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fan\Desktop\"/>
    </mc:Choice>
  </mc:AlternateContent>
  <bookViews>
    <workbookView xWindow="0" yWindow="0" windowWidth="20490" windowHeight="7695" tabRatio="853" firstSheet="1" activeTab="6"/>
  </bookViews>
  <sheets>
    <sheet name="rule_b&amp;r" sheetId="2" r:id="rId1"/>
    <sheet name="active portfolio mgm" sheetId="15" r:id="rId2"/>
    <sheet name="black&amp;red" sheetId="1" r:id="rId3"/>
    <sheet name="callable bonds" sheetId="3" r:id="rId4"/>
    <sheet name="prepay mortg" sheetId="4" r:id="rId5"/>
    <sheet name="hedge stategy_1" sheetId="5" r:id="rId6"/>
    <sheet name="Sheet1" sheetId="16" r:id="rId7"/>
    <sheet name="bootstrap" sheetId="7" r:id="rId8"/>
    <sheet name="duration" sheetId="8" r:id="rId9"/>
    <sheet name="swap" sheetId="9" r:id="rId10"/>
    <sheet name="portfolio correlation" sheetId="13" r:id="rId11"/>
    <sheet name="Spearman's Rank Correlation" sheetId="14" r:id="rId12"/>
    <sheet name="VaR mapping&amp;stress tesing" sheetId="10" r:id="rId13"/>
    <sheet name="correlation" sheetId="12" r:id="rId14"/>
    <sheet name="benchmark portfolio" sheetId="11" r:id="rId15"/>
  </sheets>
  <definedNames>
    <definedName name="solver_adj" localSheetId="4" hidden="1">'prepay mortg'!$C$3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'prepay mortg'!#REF!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100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6" l="1"/>
  <c r="F6" i="16" s="1"/>
  <c r="E7" i="16"/>
  <c r="F7" i="16" s="1"/>
  <c r="E5" i="16"/>
  <c r="F5" i="16" s="1"/>
  <c r="F4" i="16"/>
  <c r="E4" i="16"/>
  <c r="E8" i="16" s="1"/>
  <c r="F8" i="16" l="1"/>
  <c r="D11" i="16"/>
  <c r="F40" i="9"/>
  <c r="F39" i="9"/>
  <c r="D40" i="9"/>
  <c r="D39" i="9"/>
  <c r="C16" i="15"/>
  <c r="E16" i="15" s="1"/>
  <c r="C15" i="15"/>
  <c r="D16" i="15"/>
  <c r="D15" i="15"/>
  <c r="E15" i="15" s="1"/>
  <c r="D5" i="15"/>
  <c r="D10" i="15"/>
  <c r="E10" i="15" s="1"/>
  <c r="D11" i="15"/>
  <c r="C11" i="15"/>
  <c r="C10" i="15"/>
  <c r="C9" i="15"/>
  <c r="D6" i="15"/>
  <c r="E11" i="15" l="1"/>
  <c r="B25" i="14"/>
  <c r="B15" i="14"/>
  <c r="G11" i="14"/>
  <c r="G12" i="14"/>
  <c r="G13" i="14"/>
  <c r="G10" i="14"/>
  <c r="F11" i="14"/>
  <c r="F12" i="14"/>
  <c r="F13" i="14"/>
  <c r="F10" i="14"/>
  <c r="F20" i="13" l="1"/>
  <c r="F19" i="13"/>
  <c r="B22" i="13"/>
  <c r="B23" i="13" s="1"/>
  <c r="B21" i="13"/>
  <c r="A15" i="13"/>
  <c r="E2" i="13"/>
  <c r="F10" i="13"/>
  <c r="D10" i="13" a="1"/>
  <c r="D10" i="13" s="1"/>
  <c r="B7" i="13"/>
  <c r="A8" i="13"/>
  <c r="B8" i="13"/>
  <c r="A7" i="13"/>
  <c r="E10" i="13" l="1"/>
  <c r="E11" i="13"/>
  <c r="D11" i="13"/>
  <c r="J8" i="9"/>
  <c r="F10" i="9"/>
  <c r="F9" i="9"/>
  <c r="Y6" i="11"/>
  <c r="B14" i="12" l="1"/>
  <c r="E17" i="12"/>
  <c r="B13" i="12"/>
  <c r="B12" i="12"/>
  <c r="I11" i="12"/>
  <c r="H11" i="12"/>
  <c r="B11" i="12"/>
  <c r="B10" i="12"/>
  <c r="C8" i="12"/>
  <c r="B8" i="12"/>
  <c r="E4" i="12"/>
  <c r="E5" i="12"/>
  <c r="G5" i="12" s="1"/>
  <c r="I5" i="12" s="1"/>
  <c r="E6" i="12"/>
  <c r="E7" i="12"/>
  <c r="G7" i="12" s="1"/>
  <c r="I7" i="12" s="1"/>
  <c r="E3" i="12"/>
  <c r="E8" i="12" s="1"/>
  <c r="G4" i="12" s="1"/>
  <c r="I4" i="12" s="1"/>
  <c r="D4" i="12"/>
  <c r="D5" i="12"/>
  <c r="D6" i="12"/>
  <c r="D7" i="12"/>
  <c r="D3" i="12"/>
  <c r="D8" i="12" s="1"/>
  <c r="J35" i="10"/>
  <c r="I36" i="10"/>
  <c r="I35" i="10"/>
  <c r="C36" i="10"/>
  <c r="H36" i="10"/>
  <c r="C35" i="10"/>
  <c r="X25" i="11" a="1"/>
  <c r="X25" i="11" s="1"/>
  <c r="AG28" i="11"/>
  <c r="AK28" i="11"/>
  <c r="AA29" i="11"/>
  <c r="AE29" i="11"/>
  <c r="AI29" i="11"/>
  <c r="Y30" i="11"/>
  <c r="AC30" i="11"/>
  <c r="AG30" i="11"/>
  <c r="AK30" i="11"/>
  <c r="AA31" i="11"/>
  <c r="AE31" i="11"/>
  <c r="AI31" i="11"/>
  <c r="Y32" i="11"/>
  <c r="AC32" i="11"/>
  <c r="AG32" i="11"/>
  <c r="AK32" i="11"/>
  <c r="AA33" i="11"/>
  <c r="AE33" i="11"/>
  <c r="AI33" i="11"/>
  <c r="Y34" i="11"/>
  <c r="AC34" i="11"/>
  <c r="AG34" i="11"/>
  <c r="AK34" i="11"/>
  <c r="AA35" i="11"/>
  <c r="AE35" i="11"/>
  <c r="AI35" i="11"/>
  <c r="Y36" i="11"/>
  <c r="AC36" i="11"/>
  <c r="AG36" i="11"/>
  <c r="AK36" i="11"/>
  <c r="AA37" i="11"/>
  <c r="AE37" i="11"/>
  <c r="AI37" i="11"/>
  <c r="Y38" i="11"/>
  <c r="AC38" i="11"/>
  <c r="AG38" i="11"/>
  <c r="AK38" i="11"/>
  <c r="X19" i="11" a="1"/>
  <c r="X19" i="11" s="1"/>
  <c r="AB17" i="11"/>
  <c r="AA17" i="11"/>
  <c r="Z17" i="11"/>
  <c r="Y17" i="11"/>
  <c r="X17" i="11"/>
  <c r="AB16" i="11"/>
  <c r="AA16" i="11"/>
  <c r="Z16" i="11"/>
  <c r="Y16" i="11"/>
  <c r="X16" i="11"/>
  <c r="AB15" i="11"/>
  <c r="AA15" i="11"/>
  <c r="Z15" i="11"/>
  <c r="Y15" i="11"/>
  <c r="X15" i="11"/>
  <c r="AB14" i="11"/>
  <c r="AA14" i="11"/>
  <c r="Z14" i="11"/>
  <c r="Y14" i="11"/>
  <c r="X14" i="11"/>
  <c r="AB13" i="11"/>
  <c r="AA13" i="11"/>
  <c r="Z13" i="11"/>
  <c r="Y13" i="11"/>
  <c r="X13" i="11"/>
  <c r="AB12" i="11"/>
  <c r="AA12" i="11"/>
  <c r="Z12" i="11"/>
  <c r="Y12" i="11"/>
  <c r="X12" i="11"/>
  <c r="AB11" i="11"/>
  <c r="AA11" i="11"/>
  <c r="Z11" i="11"/>
  <c r="Y11" i="11"/>
  <c r="X11" i="11"/>
  <c r="AB10" i="11"/>
  <c r="AA10" i="11"/>
  <c r="Z10" i="11"/>
  <c r="Y10" i="11"/>
  <c r="AB9" i="11"/>
  <c r="AA9" i="11"/>
  <c r="Z9" i="11"/>
  <c r="Y9" i="11"/>
  <c r="X9" i="11"/>
  <c r="AB8" i="11"/>
  <c r="AA8" i="11"/>
  <c r="Z8" i="11"/>
  <c r="Y8" i="11"/>
  <c r="X8" i="11"/>
  <c r="AB7" i="11"/>
  <c r="AA7" i="11"/>
  <c r="Z7" i="11"/>
  <c r="Y7" i="11"/>
  <c r="X7" i="11"/>
  <c r="AB6" i="11"/>
  <c r="AA6" i="11"/>
  <c r="Z6" i="11"/>
  <c r="X6" i="11"/>
  <c r="AB5" i="11"/>
  <c r="AA5" i="11"/>
  <c r="Z5" i="11"/>
  <c r="Y5" i="11"/>
  <c r="X5" i="11"/>
  <c r="AB4" i="11"/>
  <c r="AA4" i="11"/>
  <c r="Z4" i="11"/>
  <c r="Y4" i="11"/>
  <c r="X4" i="11"/>
  <c r="X10" i="11"/>
  <c r="J10" i="11"/>
  <c r="Q18" i="11"/>
  <c r="Q9" i="11"/>
  <c r="Q6" i="11"/>
  <c r="Q5" i="11"/>
  <c r="Q4" i="11"/>
  <c r="V18" i="11"/>
  <c r="U18" i="11"/>
  <c r="T18" i="11"/>
  <c r="S18" i="11"/>
  <c r="R18" i="11"/>
  <c r="V17" i="11"/>
  <c r="V4" i="11"/>
  <c r="U14" i="11"/>
  <c r="U7" i="11"/>
  <c r="T13" i="11"/>
  <c r="T8" i="11"/>
  <c r="S12" i="11"/>
  <c r="S9" i="11"/>
  <c r="R10" i="11"/>
  <c r="R11" i="11"/>
  <c r="Q7" i="11"/>
  <c r="Q8" i="11"/>
  <c r="Q10" i="11"/>
  <c r="Q11" i="11"/>
  <c r="Q12" i="11"/>
  <c r="Q13" i="11"/>
  <c r="Q14" i="11"/>
  <c r="Q15" i="11"/>
  <c r="Q16" i="11"/>
  <c r="Q17" i="11"/>
  <c r="K12" i="11"/>
  <c r="J11" i="11"/>
  <c r="J18" i="11"/>
  <c r="K9" i="11"/>
  <c r="K18" i="11" s="1"/>
  <c r="L13" i="11"/>
  <c r="L8" i="11"/>
  <c r="M14" i="11"/>
  <c r="M7" i="11"/>
  <c r="M18" i="11" s="1"/>
  <c r="N18" i="11"/>
  <c r="L18" i="11"/>
  <c r="N17" i="11"/>
  <c r="N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8" i="11" s="1"/>
  <c r="I17" i="11"/>
  <c r="I4" i="11"/>
  <c r="B7" i="11"/>
  <c r="B6" i="11"/>
  <c r="B5" i="11"/>
  <c r="B4" i="11"/>
  <c r="H18" i="11"/>
  <c r="C18" i="11"/>
  <c r="G18" i="11" a="1"/>
  <c r="G18" i="11" s="1"/>
  <c r="F18" i="11" a="1"/>
  <c r="F18" i="11" s="1"/>
  <c r="E18" i="11" a="1"/>
  <c r="E18" i="11" s="1"/>
  <c r="D18" i="11" a="1"/>
  <c r="D18" i="11" s="1"/>
  <c r="J3" i="10"/>
  <c r="J9" i="10"/>
  <c r="K4" i="10"/>
  <c r="J31" i="10"/>
  <c r="F30" i="10"/>
  <c r="J30" i="10"/>
  <c r="J26" i="10"/>
  <c r="J27" i="10"/>
  <c r="J28" i="10"/>
  <c r="J29" i="10"/>
  <c r="J25" i="10"/>
  <c r="F3" i="10"/>
  <c r="I26" i="10"/>
  <c r="I27" i="10"/>
  <c r="I28" i="10"/>
  <c r="I29" i="10"/>
  <c r="I25" i="10"/>
  <c r="H27" i="10"/>
  <c r="H28" i="10"/>
  <c r="H29" i="10"/>
  <c r="H26" i="10"/>
  <c r="H25" i="10"/>
  <c r="F26" i="10"/>
  <c r="F27" i="10"/>
  <c r="F28" i="10"/>
  <c r="F29" i="10"/>
  <c r="F25" i="10"/>
  <c r="G9" i="10"/>
  <c r="F8" i="10"/>
  <c r="J8" i="10" s="1"/>
  <c r="F7" i="10"/>
  <c r="J7" i="10" s="1"/>
  <c r="F6" i="10"/>
  <c r="J4" i="12" l="1"/>
  <c r="F7" i="12"/>
  <c r="H7" i="12" s="1"/>
  <c r="F3" i="12"/>
  <c r="H3" i="12" s="1"/>
  <c r="J7" i="12"/>
  <c r="F4" i="12"/>
  <c r="H4" i="12" s="1"/>
  <c r="J6" i="12"/>
  <c r="F5" i="12"/>
  <c r="H5" i="12" s="1"/>
  <c r="G6" i="12"/>
  <c r="I6" i="12" s="1"/>
  <c r="J5" i="12"/>
  <c r="G3" i="12"/>
  <c r="I3" i="12" s="1"/>
  <c r="I10" i="12" s="1"/>
  <c r="F6" i="12"/>
  <c r="H6" i="12" s="1"/>
  <c r="J3" i="12"/>
  <c r="J9" i="12"/>
  <c r="I37" i="10"/>
  <c r="AJ38" i="11"/>
  <c r="AF38" i="11"/>
  <c r="X38" i="11"/>
  <c r="AD37" i="11"/>
  <c r="AJ36" i="11"/>
  <c r="AB36" i="11"/>
  <c r="AH35" i="11"/>
  <c r="Z35" i="11"/>
  <c r="AF34" i="11"/>
  <c r="X34" i="11"/>
  <c r="AD33" i="11"/>
  <c r="AJ32" i="11"/>
  <c r="AB32" i="11"/>
  <c r="AH31" i="11"/>
  <c r="Z31" i="11"/>
  <c r="AF30" i="11"/>
  <c r="X30" i="11"/>
  <c r="AD29" i="11"/>
  <c r="AJ28" i="11"/>
  <c r="AB28" i="11"/>
  <c r="AH27" i="11"/>
  <c r="Z27" i="11"/>
  <c r="AF26" i="11"/>
  <c r="X26" i="11"/>
  <c r="Z25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I30" i="11"/>
  <c r="AE30" i="11"/>
  <c r="AA30" i="11"/>
  <c r="AK29" i="11"/>
  <c r="AG29" i="11"/>
  <c r="AC29" i="11"/>
  <c r="Y29" i="11"/>
  <c r="AI28" i="11"/>
  <c r="AE28" i="11"/>
  <c r="AA28" i="11"/>
  <c r="AK27" i="11"/>
  <c r="AG27" i="11"/>
  <c r="AC27" i="11"/>
  <c r="Y27" i="11"/>
  <c r="AI26" i="11"/>
  <c r="AE26" i="11"/>
  <c r="AA26" i="11"/>
  <c r="AK25" i="11"/>
  <c r="AG25" i="11"/>
  <c r="AC25" i="11"/>
  <c r="Y25" i="11"/>
  <c r="AC28" i="11"/>
  <c r="Y28" i="11"/>
  <c r="AI27" i="11"/>
  <c r="AE27" i="11"/>
  <c r="AA27" i="11"/>
  <c r="AK26" i="11"/>
  <c r="AG26" i="11"/>
  <c r="AC26" i="11"/>
  <c r="Y26" i="11"/>
  <c r="AI25" i="11"/>
  <c r="AE25" i="11"/>
  <c r="AA25" i="11"/>
  <c r="AB38" i="11"/>
  <c r="AH37" i="11"/>
  <c r="Z37" i="11"/>
  <c r="AF36" i="11"/>
  <c r="X36" i="11"/>
  <c r="AD35" i="11"/>
  <c r="AJ34" i="11"/>
  <c r="AB34" i="11"/>
  <c r="AH33" i="11"/>
  <c r="Z33" i="11"/>
  <c r="AF32" i="11"/>
  <c r="X32" i="11"/>
  <c r="AD31" i="11"/>
  <c r="AJ30" i="11"/>
  <c r="AB30" i="11"/>
  <c r="AH29" i="11"/>
  <c r="Z29" i="11"/>
  <c r="AF28" i="11"/>
  <c r="X28" i="11"/>
  <c r="AD27" i="11"/>
  <c r="AJ26" i="11"/>
  <c r="AB26" i="11"/>
  <c r="AH25" i="11"/>
  <c r="AD25" i="11"/>
  <c r="AH38" i="11"/>
  <c r="AD38" i="11"/>
  <c r="Z38" i="11"/>
  <c r="AJ37" i="11"/>
  <c r="AF37" i="11"/>
  <c r="AB37" i="11"/>
  <c r="X37" i="11"/>
  <c r="AH36" i="11"/>
  <c r="AD36" i="11"/>
  <c r="Z36" i="11"/>
  <c r="AJ35" i="11"/>
  <c r="AF35" i="11"/>
  <c r="AB35" i="11"/>
  <c r="X35" i="11"/>
  <c r="AH34" i="11"/>
  <c r="AD34" i="11"/>
  <c r="Z34" i="11"/>
  <c r="AJ33" i="11"/>
  <c r="AF33" i="11"/>
  <c r="AB33" i="11"/>
  <c r="X33" i="11"/>
  <c r="AH32" i="11"/>
  <c r="AD32" i="11"/>
  <c r="Z32" i="11"/>
  <c r="AJ31" i="11"/>
  <c r="AF31" i="11"/>
  <c r="AB31" i="11"/>
  <c r="X31" i="11"/>
  <c r="AH30" i="11"/>
  <c r="AD30" i="11"/>
  <c r="Z30" i="11"/>
  <c r="AJ29" i="11"/>
  <c r="AF29" i="11"/>
  <c r="AB29" i="11"/>
  <c r="X29" i="11"/>
  <c r="AH28" i="11"/>
  <c r="AD28" i="11"/>
  <c r="Z28" i="11"/>
  <c r="AJ27" i="11"/>
  <c r="AF27" i="11"/>
  <c r="AB27" i="11"/>
  <c r="X27" i="11"/>
  <c r="AH26" i="11"/>
  <c r="AD26" i="11"/>
  <c r="Z26" i="11"/>
  <c r="AJ25" i="11"/>
  <c r="AF25" i="11"/>
  <c r="AB25" i="11"/>
  <c r="AH23" i="11"/>
  <c r="AD23" i="11"/>
  <c r="Z23" i="11"/>
  <c r="AJ22" i="11"/>
  <c r="AF22" i="11"/>
  <c r="AB22" i="11"/>
  <c r="X22" i="11"/>
  <c r="AH21" i="11"/>
  <c r="AD21" i="11"/>
  <c r="Z21" i="11"/>
  <c r="AJ20" i="11"/>
  <c r="AF20" i="11"/>
  <c r="AB20" i="11"/>
  <c r="X20" i="11"/>
  <c r="AH19" i="11"/>
  <c r="AD19" i="11"/>
  <c r="Z19" i="11"/>
  <c r="AI23" i="11"/>
  <c r="AA23" i="11"/>
  <c r="AG22" i="11"/>
  <c r="AC22" i="11"/>
  <c r="Y22" i="11"/>
  <c r="AI21" i="11"/>
  <c r="AE21" i="11"/>
  <c r="AK20" i="11"/>
  <c r="AG20" i="11"/>
  <c r="AC20" i="11"/>
  <c r="Y20" i="11"/>
  <c r="AI19" i="11"/>
  <c r="AE19" i="11"/>
  <c r="AA19" i="11"/>
  <c r="AK23" i="11"/>
  <c r="AG23" i="11"/>
  <c r="AC23" i="11"/>
  <c r="Y23" i="11"/>
  <c r="AI22" i="11"/>
  <c r="AE22" i="11"/>
  <c r="AA22" i="11"/>
  <c r="AK21" i="11"/>
  <c r="AG21" i="11"/>
  <c r="AC21" i="11"/>
  <c r="Y21" i="11"/>
  <c r="AI20" i="11"/>
  <c r="AE20" i="11"/>
  <c r="AA20" i="11"/>
  <c r="AK19" i="11"/>
  <c r="AG19" i="11"/>
  <c r="AC19" i="11"/>
  <c r="Y19" i="11"/>
  <c r="AE23" i="11"/>
  <c r="AK22" i="11"/>
  <c r="AA21" i="11"/>
  <c r="AJ23" i="11"/>
  <c r="AF23" i="11"/>
  <c r="AB23" i="11"/>
  <c r="X23" i="11"/>
  <c r="AH22" i="11"/>
  <c r="AD22" i="11"/>
  <c r="Z22" i="11"/>
  <c r="AJ21" i="11"/>
  <c r="AF21" i="11"/>
  <c r="AB21" i="11"/>
  <c r="X21" i="11"/>
  <c r="AH20" i="11"/>
  <c r="AD20" i="11"/>
  <c r="Z20" i="11"/>
  <c r="AJ19" i="11"/>
  <c r="AF19" i="11"/>
  <c r="AB19" i="11"/>
  <c r="J6" i="10"/>
  <c r="L11" i="10" a="1"/>
  <c r="L11" i="10" s="1"/>
  <c r="K6" i="10"/>
  <c r="F4" i="10"/>
  <c r="Q4" i="10"/>
  <c r="H10" i="12" l="1"/>
  <c r="B5" i="10"/>
  <c r="J10" i="10" s="1"/>
  <c r="I9" i="10" s="1"/>
  <c r="J4" i="10"/>
  <c r="K5" i="10"/>
  <c r="F9" i="10"/>
  <c r="P14" i="10"/>
  <c r="M13" i="10"/>
  <c r="O11" i="10"/>
  <c r="N15" i="10"/>
  <c r="P13" i="10"/>
  <c r="M12" i="10"/>
  <c r="O13" i="10"/>
  <c r="M11" i="10"/>
  <c r="O15" i="10"/>
  <c r="L14" i="10"/>
  <c r="N12" i="10"/>
  <c r="O14" i="10"/>
  <c r="L13" i="10"/>
  <c r="N11" i="10"/>
  <c r="M15" i="10"/>
  <c r="N14" i="10"/>
  <c r="P12" i="10"/>
  <c r="L12" i="10"/>
  <c r="P15" i="10"/>
  <c r="L15" i="10"/>
  <c r="M14" i="10"/>
  <c r="N13" i="10"/>
  <c r="O12" i="10"/>
  <c r="P11" i="10"/>
  <c r="K7" i="10"/>
  <c r="K8" i="10"/>
  <c r="D74" i="9"/>
  <c r="D73" i="9"/>
  <c r="D72" i="9"/>
  <c r="D71" i="9"/>
  <c r="D70" i="9"/>
  <c r="D69" i="9"/>
  <c r="D68" i="9"/>
  <c r="D67" i="9"/>
  <c r="C65" i="9"/>
  <c r="D56" i="9"/>
  <c r="C61" i="9"/>
  <c r="D46" i="9" s="1"/>
  <c r="F45" i="9"/>
  <c r="B61" i="9" s="1"/>
  <c r="D45" i="9"/>
  <c r="D41" i="9"/>
  <c r="D42" i="9"/>
  <c r="G13" i="10" l="1" a="1"/>
  <c r="G13" i="10" s="1"/>
  <c r="K9" i="10"/>
  <c r="D52" i="9"/>
  <c r="D54" i="9"/>
  <c r="D51" i="9"/>
  <c r="D48" i="9"/>
  <c r="D49" i="9"/>
  <c r="D53" i="9"/>
  <c r="D50" i="9"/>
  <c r="F41" i="9"/>
  <c r="F42" i="9"/>
  <c r="M200" i="3"/>
  <c r="J137" i="3"/>
  <c r="G140" i="3"/>
  <c r="B9" i="3"/>
  <c r="H49" i="3"/>
  <c r="H13" i="10" l="1"/>
  <c r="J13" i="10"/>
  <c r="I13" i="10"/>
  <c r="K13" i="10"/>
  <c r="G15" i="10" a="1"/>
  <c r="K17" i="10" s="1"/>
  <c r="D55" i="9"/>
  <c r="D57" i="9" s="1"/>
  <c r="D33" i="9"/>
  <c r="E33" i="9" s="1"/>
  <c r="D32" i="9"/>
  <c r="D31" i="9"/>
  <c r="E31" i="9" s="1"/>
  <c r="F33" i="9"/>
  <c r="G33" i="9" s="1"/>
  <c r="F32" i="9"/>
  <c r="G32" i="9" s="1"/>
  <c r="F31" i="9"/>
  <c r="G31" i="9" s="1"/>
  <c r="E32" i="9"/>
  <c r="D21" i="9"/>
  <c r="E23" i="9"/>
  <c r="F18" i="9"/>
  <c r="F21" i="9" s="1"/>
  <c r="F22" i="9" s="1"/>
  <c r="D23" i="9"/>
  <c r="E22" i="9"/>
  <c r="E21" i="9"/>
  <c r="D22" i="9"/>
  <c r="K18" i="10" l="1"/>
  <c r="H17" i="10"/>
  <c r="J19" i="10"/>
  <c r="H15" i="10"/>
  <c r="G15" i="10"/>
  <c r="H16" i="10"/>
  <c r="K16" i="10"/>
  <c r="H19" i="10"/>
  <c r="I19" i="10"/>
  <c r="I18" i="10"/>
  <c r="I16" i="10"/>
  <c r="J15" i="10"/>
  <c r="K19" i="10"/>
  <c r="K15" i="10"/>
  <c r="I17" i="10"/>
  <c r="G19" i="10"/>
  <c r="G16" i="10"/>
  <c r="I15" i="10"/>
  <c r="G18" i="10"/>
  <c r="G17" i="10"/>
  <c r="J16" i="10"/>
  <c r="J18" i="10"/>
  <c r="H18" i="10"/>
  <c r="J17" i="10"/>
  <c r="G34" i="9"/>
  <c r="E34" i="9"/>
  <c r="G21" i="9"/>
  <c r="H21" i="9" s="1"/>
  <c r="I21" i="9" s="1"/>
  <c r="F23" i="9"/>
  <c r="G23" i="9" s="1"/>
  <c r="H23" i="9" s="1"/>
  <c r="I23" i="9" s="1"/>
  <c r="G22" i="9"/>
  <c r="H22" i="9" s="1"/>
  <c r="I22" i="9" s="1"/>
  <c r="E34" i="7"/>
  <c r="H26" i="7"/>
  <c r="I26" i="7"/>
  <c r="H27" i="7"/>
  <c r="H24" i="7"/>
  <c r="E36" i="7"/>
  <c r="E35" i="7"/>
  <c r="F35" i="7"/>
  <c r="D37" i="7" s="1"/>
  <c r="E37" i="7" s="1"/>
  <c r="H25" i="7"/>
  <c r="D25" i="7"/>
  <c r="D24" i="7"/>
  <c r="D23" i="7"/>
  <c r="E24" i="7" s="1"/>
  <c r="D27" i="7"/>
  <c r="M17" i="10" l="1" a="1"/>
  <c r="G35" i="9"/>
  <c r="I24" i="9"/>
  <c r="E38" i="7"/>
  <c r="E25" i="7"/>
  <c r="E26" i="7"/>
  <c r="H9" i="9"/>
  <c r="H8" i="9"/>
  <c r="G10" i="9"/>
  <c r="G9" i="9"/>
  <c r="G8" i="9"/>
  <c r="H10" i="9"/>
  <c r="J9" i="9"/>
  <c r="J10" i="9"/>
  <c r="M17" i="10" l="1"/>
  <c r="N17" i="10"/>
  <c r="M19" i="10"/>
  <c r="O19" i="10"/>
  <c r="O21" i="10"/>
  <c r="O17" i="10"/>
  <c r="P21" i="10"/>
  <c r="Q19" i="10"/>
  <c r="P19" i="10"/>
  <c r="P17" i="10"/>
  <c r="M21" i="10"/>
  <c r="Q18" i="10"/>
  <c r="M18" i="10"/>
  <c r="P20" i="10"/>
  <c r="N20" i="10"/>
  <c r="Q20" i="10"/>
  <c r="N21" i="10"/>
  <c r="Q17" i="10"/>
  <c r="O18" i="10"/>
  <c r="O20" i="10"/>
  <c r="M20" i="10"/>
  <c r="N18" i="10"/>
  <c r="N19" i="10"/>
  <c r="Q21" i="10"/>
  <c r="P18" i="10"/>
  <c r="I8" i="9"/>
  <c r="I10" i="9"/>
  <c r="K10" i="9" s="1"/>
  <c r="I9" i="9"/>
  <c r="K9" i="9"/>
  <c r="K8" i="9"/>
  <c r="D14" i="8"/>
  <c r="E14" i="8"/>
  <c r="E3" i="8"/>
  <c r="L14" i="8"/>
  <c r="K14" i="8"/>
  <c r="L12" i="8"/>
  <c r="L11" i="8"/>
  <c r="L10" i="8"/>
  <c r="L9" i="8"/>
  <c r="L8" i="8"/>
  <c r="L7" i="8"/>
  <c r="K13" i="8"/>
  <c r="K9" i="8"/>
  <c r="M9" i="8" s="1"/>
  <c r="N9" i="8" s="1"/>
  <c r="K10" i="8"/>
  <c r="M10" i="8" s="1"/>
  <c r="N10" i="8" s="1"/>
  <c r="K11" i="8"/>
  <c r="M11" i="8" s="1"/>
  <c r="N11" i="8" s="1"/>
  <c r="K12" i="8"/>
  <c r="M12" i="8" s="1"/>
  <c r="N12" i="8" s="1"/>
  <c r="K7" i="8"/>
  <c r="K8" i="8"/>
  <c r="M8" i="8" s="1"/>
  <c r="N8" i="8" s="1"/>
  <c r="D7" i="8"/>
  <c r="E13" i="8"/>
  <c r="E12" i="8"/>
  <c r="E11" i="8"/>
  <c r="E10" i="8"/>
  <c r="E9" i="8"/>
  <c r="E8" i="8"/>
  <c r="E7" i="8"/>
  <c r="D12" i="8"/>
  <c r="D11" i="8"/>
  <c r="D10" i="8"/>
  <c r="D9" i="8"/>
  <c r="D8" i="8"/>
  <c r="K11" i="9" l="1"/>
  <c r="L13" i="8"/>
  <c r="M7" i="8"/>
  <c r="N7" i="8" s="1"/>
  <c r="N13" i="8" s="1"/>
  <c r="D13" i="8"/>
  <c r="D26" i="7"/>
  <c r="E27" i="7" s="1"/>
  <c r="M13" i="8" l="1"/>
  <c r="F9" i="8"/>
  <c r="G9" i="8" s="1"/>
  <c r="F12" i="8"/>
  <c r="G12" i="8" s="1"/>
  <c r="F8" i="8"/>
  <c r="G8" i="8" s="1"/>
  <c r="F7" i="8"/>
  <c r="F10" i="8"/>
  <c r="G10" i="8" s="1"/>
  <c r="F11" i="8"/>
  <c r="G11" i="8" s="1"/>
  <c r="G6" i="7"/>
  <c r="G5" i="7"/>
  <c r="G4" i="7"/>
  <c r="K13" i="5"/>
  <c r="K15" i="5"/>
  <c r="C7" i="5"/>
  <c r="C13" i="5"/>
  <c r="G7" i="8" l="1"/>
  <c r="G13" i="8" s="1"/>
  <c r="F13" i="8"/>
  <c r="G7" i="7"/>
  <c r="G8" i="7" s="1"/>
  <c r="K17" i="5"/>
  <c r="E3" i="5"/>
  <c r="E4" i="5"/>
  <c r="D12" i="5"/>
  <c r="E15" i="5"/>
  <c r="F15" i="5" s="1"/>
  <c r="G15" i="5" s="1"/>
  <c r="D15" i="5"/>
  <c r="G10" i="7" l="1"/>
  <c r="E12" i="5"/>
  <c r="D13" i="5"/>
  <c r="C17" i="5"/>
  <c r="C18" i="5" s="1"/>
  <c r="C19" i="5" s="1"/>
  <c r="D17" i="5"/>
  <c r="D18" i="5" s="1"/>
  <c r="D19" i="5" s="1"/>
  <c r="G10" i="5"/>
  <c r="G16" i="5" s="1"/>
  <c r="C10" i="5"/>
  <c r="C16" i="5" s="1"/>
  <c r="D10" i="5"/>
  <c r="D16" i="5" s="1"/>
  <c r="E10" i="5"/>
  <c r="E16" i="5" s="1"/>
  <c r="F10" i="5"/>
  <c r="F16" i="5" s="1"/>
  <c r="F12" i="5"/>
  <c r="F13" i="5" s="1"/>
  <c r="F17" i="5" s="1"/>
  <c r="F18" i="5" s="1"/>
  <c r="F19" i="5" s="1"/>
  <c r="E13" i="5"/>
  <c r="E17" i="5" s="1"/>
  <c r="E18" i="5" s="1"/>
  <c r="E19" i="5" s="1"/>
  <c r="E11" i="4"/>
  <c r="D11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E2" i="4"/>
  <c r="E3" i="4" s="1"/>
  <c r="E7" i="4"/>
  <c r="D12" i="4"/>
  <c r="D7" i="4"/>
  <c r="C4" i="4"/>
  <c r="F3" i="4"/>
  <c r="AH11" i="4"/>
  <c r="AH12" i="4" s="1"/>
  <c r="AH14" i="4"/>
  <c r="C20" i="5" l="1"/>
  <c r="E20" i="5"/>
  <c r="E21" i="5" s="1"/>
  <c r="D20" i="5"/>
  <c r="D21" i="5" s="1"/>
  <c r="F20" i="5"/>
  <c r="F21" i="5" s="1"/>
  <c r="G12" i="5"/>
  <c r="G13" i="5" s="1"/>
  <c r="G17" i="5" s="1"/>
  <c r="G18" i="5" s="1"/>
  <c r="G19" i="5" s="1"/>
  <c r="G20" i="5" s="1"/>
  <c r="G21" i="5" s="1"/>
  <c r="AH3" i="4"/>
  <c r="AG9" i="4" s="1"/>
  <c r="AH9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AI55" i="3"/>
  <c r="AJ54" i="3"/>
  <c r="AG75" i="3"/>
  <c r="AH76" i="3" s="1"/>
  <c r="AI77" i="3" s="1"/>
  <c r="AJ78" i="3" s="1"/>
  <c r="AG73" i="3"/>
  <c r="AH74" i="3" s="1"/>
  <c r="AI75" i="3" s="1"/>
  <c r="AJ76" i="3" s="1"/>
  <c r="AG71" i="3"/>
  <c r="AH72" i="3" s="1"/>
  <c r="AI73" i="3" s="1"/>
  <c r="AJ74" i="3" s="1"/>
  <c r="AG69" i="3"/>
  <c r="AH70" i="3" s="1"/>
  <c r="AI71" i="3" s="1"/>
  <c r="AJ72" i="3" s="1"/>
  <c r="AG67" i="3"/>
  <c r="AH68" i="3" s="1"/>
  <c r="AG65" i="3"/>
  <c r="AH66" i="3" s="1"/>
  <c r="AI65" i="3" s="1"/>
  <c r="AJ64" i="3" s="1"/>
  <c r="AG63" i="3"/>
  <c r="AH64" i="3" s="1"/>
  <c r="AI63" i="3" s="1"/>
  <c r="AJ62" i="3" s="1"/>
  <c r="AG61" i="3"/>
  <c r="AH62" i="3" s="1"/>
  <c r="AI61" i="3" s="1"/>
  <c r="AJ60" i="3" s="1"/>
  <c r="AG59" i="3"/>
  <c r="AH60" i="3" s="1"/>
  <c r="AI59" i="3" s="1"/>
  <c r="AJ58" i="3" s="1"/>
  <c r="AG57" i="3"/>
  <c r="AH56" i="3" s="1"/>
  <c r="AG39" i="3"/>
  <c r="AH38" i="3" s="1"/>
  <c r="AI37" i="3" s="1"/>
  <c r="AJ36" i="3" s="1"/>
  <c r="AG35" i="3"/>
  <c r="AH34" i="3" s="1"/>
  <c r="AI33" i="3" s="1"/>
  <c r="AJ32" i="3" s="1"/>
  <c r="AG31" i="3"/>
  <c r="AH30" i="3" s="1"/>
  <c r="AI29" i="3" s="1"/>
  <c r="AJ28" i="3" s="1"/>
  <c r="AG29" i="3"/>
  <c r="AH28" i="3" s="1"/>
  <c r="AI27" i="3" s="1"/>
  <c r="AJ26" i="3" s="1"/>
  <c r="AG27" i="3"/>
  <c r="AH26" i="3" s="1"/>
  <c r="AI25" i="3" s="1"/>
  <c r="AJ24" i="3" s="1"/>
  <c r="AF72" i="3"/>
  <c r="AE71" i="3"/>
  <c r="AC71" i="3"/>
  <c r="AD72" i="3" s="1"/>
  <c r="AE73" i="3" s="1"/>
  <c r="AF74" i="3" s="1"/>
  <c r="AC69" i="3"/>
  <c r="AD70" i="3" s="1"/>
  <c r="AF68" i="3"/>
  <c r="AD68" i="3"/>
  <c r="AE69" i="3" s="1"/>
  <c r="AF70" i="3" s="1"/>
  <c r="AB68" i="3"/>
  <c r="Z68" i="3"/>
  <c r="AA69" i="3" s="1"/>
  <c r="AB70" i="3" s="1"/>
  <c r="AD42" i="3"/>
  <c r="AB42" i="3"/>
  <c r="AC41" i="3" s="1"/>
  <c r="AD40" i="3" s="1"/>
  <c r="AE39" i="3" s="1"/>
  <c r="AF38" i="3" s="1"/>
  <c r="AG37" i="3" s="1"/>
  <c r="AH36" i="3" s="1"/>
  <c r="AI35" i="3" s="1"/>
  <c r="AJ34" i="3" s="1"/>
  <c r="Z42" i="3"/>
  <c r="X42" i="3"/>
  <c r="Y41" i="3" s="1"/>
  <c r="Z40" i="3" s="1"/>
  <c r="AA39" i="3" s="1"/>
  <c r="AB38" i="3" s="1"/>
  <c r="AC37" i="3" s="1"/>
  <c r="AD36" i="3" s="1"/>
  <c r="AE35" i="3" s="1"/>
  <c r="AF34" i="3" s="1"/>
  <c r="AG33" i="3" s="1"/>
  <c r="AH32" i="3" s="1"/>
  <c r="AI31" i="3" s="1"/>
  <c r="AJ30" i="3" s="1"/>
  <c r="V42" i="3"/>
  <c r="T42" i="3"/>
  <c r="U41" i="3" s="1"/>
  <c r="V40" i="3" s="1"/>
  <c r="W39" i="3" s="1"/>
  <c r="X38" i="3" s="1"/>
  <c r="Y37" i="3" s="1"/>
  <c r="Z36" i="3" s="1"/>
  <c r="AA35" i="3" s="1"/>
  <c r="AB34" i="3" s="1"/>
  <c r="AC33" i="3" s="1"/>
  <c r="AD32" i="3" s="1"/>
  <c r="AE31" i="3" s="1"/>
  <c r="AF30" i="3" s="1"/>
  <c r="R42" i="3"/>
  <c r="AE41" i="3"/>
  <c r="AF40" i="3" s="1"/>
  <c r="AA41" i="3"/>
  <c r="AB40" i="3" s="1"/>
  <c r="AC39" i="3" s="1"/>
  <c r="AD38" i="3" s="1"/>
  <c r="AE37" i="3" s="1"/>
  <c r="AF36" i="3" s="1"/>
  <c r="W41" i="3"/>
  <c r="X40" i="3" s="1"/>
  <c r="Y39" i="3" s="1"/>
  <c r="Z38" i="3" s="1"/>
  <c r="AA37" i="3" s="1"/>
  <c r="AB36" i="3" s="1"/>
  <c r="AC35" i="3" s="1"/>
  <c r="AD34" i="3" s="1"/>
  <c r="AE33" i="3" s="1"/>
  <c r="AF32" i="3" s="1"/>
  <c r="S41" i="3"/>
  <c r="T40" i="3" s="1"/>
  <c r="U39" i="3" s="1"/>
  <c r="V38" i="3" s="1"/>
  <c r="W37" i="3" s="1"/>
  <c r="X36" i="3" s="1"/>
  <c r="Y35" i="3" s="1"/>
  <c r="Z34" i="3" s="1"/>
  <c r="AA33" i="3" s="1"/>
  <c r="AB32" i="3" s="1"/>
  <c r="AC31" i="3" s="1"/>
  <c r="AD30" i="3" s="1"/>
  <c r="AE29" i="3" s="1"/>
  <c r="AF28" i="3" s="1"/>
  <c r="K51" i="3"/>
  <c r="L50" i="3" s="1"/>
  <c r="M49" i="3" s="1"/>
  <c r="N48" i="3" s="1"/>
  <c r="O47" i="3" s="1"/>
  <c r="P46" i="3" s="1"/>
  <c r="Q45" i="3" s="1"/>
  <c r="R44" i="3" s="1"/>
  <c r="S43" i="3" s="1"/>
  <c r="J50" i="3"/>
  <c r="K49" i="3" s="1"/>
  <c r="L48" i="3" s="1"/>
  <c r="M47" i="3" s="1"/>
  <c r="N46" i="3" s="1"/>
  <c r="O45" i="3" s="1"/>
  <c r="P44" i="3" s="1"/>
  <c r="Q43" i="3" s="1"/>
  <c r="J48" i="3"/>
  <c r="L46" i="3" s="1"/>
  <c r="M45" i="3" s="1"/>
  <c r="N44" i="3" s="1"/>
  <c r="O43" i="3" s="1"/>
  <c r="P42" i="3" s="1"/>
  <c r="Q41" i="3" s="1"/>
  <c r="R40" i="3" s="1"/>
  <c r="S39" i="3" s="1"/>
  <c r="T38" i="3" s="1"/>
  <c r="U37" i="3" s="1"/>
  <c r="V36" i="3" s="1"/>
  <c r="W35" i="3" s="1"/>
  <c r="X34" i="3" s="1"/>
  <c r="Y33" i="3" s="1"/>
  <c r="Z32" i="3" s="1"/>
  <c r="AA31" i="3" s="1"/>
  <c r="AB30" i="3" s="1"/>
  <c r="AC29" i="3" s="1"/>
  <c r="AD28" i="3" s="1"/>
  <c r="AE27" i="3" s="1"/>
  <c r="AF26" i="3" s="1"/>
  <c r="AG25" i="3" s="1"/>
  <c r="AH24" i="3" s="1"/>
  <c r="AI23" i="3" s="1"/>
  <c r="J52" i="3"/>
  <c r="K53" i="3" s="1"/>
  <c r="L54" i="3" s="1"/>
  <c r="M55" i="3" s="1"/>
  <c r="N56" i="3" s="1"/>
  <c r="O57" i="3" s="1"/>
  <c r="P58" i="3" s="1"/>
  <c r="Q59" i="3" s="1"/>
  <c r="R60" i="3" s="1"/>
  <c r="S61" i="3" s="1"/>
  <c r="T62" i="3" s="1"/>
  <c r="U63" i="3" s="1"/>
  <c r="V64" i="3" s="1"/>
  <c r="W65" i="3" s="1"/>
  <c r="X66" i="3" s="1"/>
  <c r="Y67" i="3" s="1"/>
  <c r="H51" i="3"/>
  <c r="I48" i="3"/>
  <c r="J47" i="3" s="1"/>
  <c r="K46" i="3" s="1"/>
  <c r="L45" i="3" s="1"/>
  <c r="M44" i="3" s="1"/>
  <c r="N43" i="3" s="1"/>
  <c r="O42" i="3" s="1"/>
  <c r="P41" i="3" s="1"/>
  <c r="Q40" i="3" s="1"/>
  <c r="R39" i="3" s="1"/>
  <c r="S38" i="3" s="1"/>
  <c r="T37" i="3" s="1"/>
  <c r="U36" i="3" s="1"/>
  <c r="V35" i="3" s="1"/>
  <c r="W34" i="3" s="1"/>
  <c r="X33" i="3" s="1"/>
  <c r="Y32" i="3" s="1"/>
  <c r="Z31" i="3" s="1"/>
  <c r="AA30" i="3" s="1"/>
  <c r="AB29" i="3" s="1"/>
  <c r="AC28" i="3" s="1"/>
  <c r="AD27" i="3" s="1"/>
  <c r="AE26" i="3" s="1"/>
  <c r="AF25" i="3" s="1"/>
  <c r="AG24" i="3" s="1"/>
  <c r="I50" i="3"/>
  <c r="J49" i="3" s="1"/>
  <c r="K48" i="3" s="1"/>
  <c r="L47" i="3" s="1"/>
  <c r="M46" i="3" s="1"/>
  <c r="N45" i="3" s="1"/>
  <c r="O44" i="3" s="1"/>
  <c r="P43" i="3" s="1"/>
  <c r="Q42" i="3" s="1"/>
  <c r="R41" i="3" s="1"/>
  <c r="S40" i="3" s="1"/>
  <c r="T39" i="3" s="1"/>
  <c r="U38" i="3" s="1"/>
  <c r="V37" i="3" s="1"/>
  <c r="W36" i="3" s="1"/>
  <c r="X35" i="3" s="1"/>
  <c r="Y34" i="3" s="1"/>
  <c r="Z33" i="3" s="1"/>
  <c r="AA32" i="3" s="1"/>
  <c r="AB31" i="3" s="1"/>
  <c r="AC30" i="3" s="1"/>
  <c r="AD29" i="3" s="1"/>
  <c r="AE28" i="3" s="1"/>
  <c r="AF27" i="3" s="1"/>
  <c r="AG26" i="3" s="1"/>
  <c r="AH25" i="3" s="1"/>
  <c r="B10" i="3"/>
  <c r="B7" i="3"/>
  <c r="W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E9" i="4" l="1"/>
  <c r="G9" i="4"/>
  <c r="AH10" i="4"/>
  <c r="AH7" i="4"/>
  <c r="AI24" i="3"/>
  <c r="AH23" i="3"/>
  <c r="I52" i="3"/>
  <c r="AG11" i="4"/>
  <c r="AG12" i="4" s="1"/>
  <c r="AG14" i="4"/>
  <c r="M9" i="4"/>
  <c r="F9" i="4"/>
  <c r="J9" i="4"/>
  <c r="N9" i="4"/>
  <c r="R9" i="4"/>
  <c r="V9" i="4"/>
  <c r="Z9" i="4"/>
  <c r="AD9" i="4"/>
  <c r="K9" i="4"/>
  <c r="O9" i="4"/>
  <c r="S9" i="4"/>
  <c r="W9" i="4"/>
  <c r="AA9" i="4"/>
  <c r="AE9" i="4"/>
  <c r="H9" i="4"/>
  <c r="I9" i="4"/>
  <c r="Q9" i="4"/>
  <c r="U9" i="4"/>
  <c r="AB9" i="4"/>
  <c r="AC9" i="4"/>
  <c r="Y9" i="4"/>
  <c r="AF9" i="4"/>
  <c r="X9" i="4"/>
  <c r="T9" i="4"/>
  <c r="P9" i="4"/>
  <c r="L9" i="4"/>
  <c r="AJ22" i="3"/>
  <c r="AH58" i="3"/>
  <c r="AI57" i="3" s="1"/>
  <c r="AJ56" i="3" s="1"/>
  <c r="C4" i="1"/>
  <c r="D3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Q7" i="4" l="1"/>
  <c r="P10" i="4"/>
  <c r="P7" i="4"/>
  <c r="O10" i="4"/>
  <c r="Z7" i="4"/>
  <c r="Y10" i="4"/>
  <c r="R7" i="4"/>
  <c r="Q10" i="4"/>
  <c r="AB7" i="4"/>
  <c r="AA10" i="4"/>
  <c r="L7" i="4"/>
  <c r="K10" i="4"/>
  <c r="S7" i="4"/>
  <c r="R10" i="4"/>
  <c r="G7" i="4"/>
  <c r="F10" i="4"/>
  <c r="V7" i="4"/>
  <c r="U10" i="4"/>
  <c r="X10" i="4"/>
  <c r="Y7" i="4"/>
  <c r="AD7" i="4"/>
  <c r="AC10" i="4"/>
  <c r="J7" i="4"/>
  <c r="I10" i="4"/>
  <c r="X7" i="4"/>
  <c r="W10" i="4"/>
  <c r="AE7" i="4"/>
  <c r="AD10" i="4"/>
  <c r="O7" i="4"/>
  <c r="N10" i="4"/>
  <c r="N7" i="4"/>
  <c r="M10" i="4"/>
  <c r="H7" i="4"/>
  <c r="G10" i="4"/>
  <c r="AF7" i="4"/>
  <c r="AE10" i="4"/>
  <c r="W7" i="4"/>
  <c r="V10" i="4"/>
  <c r="U7" i="4"/>
  <c r="T10" i="4"/>
  <c r="L10" i="4"/>
  <c r="M7" i="4"/>
  <c r="AG7" i="4"/>
  <c r="AF10" i="4"/>
  <c r="AC7" i="4"/>
  <c r="AB10" i="4"/>
  <c r="I7" i="4"/>
  <c r="H10" i="4"/>
  <c r="T7" i="4"/>
  <c r="S10" i="4"/>
  <c r="AA7" i="4"/>
  <c r="Z10" i="4"/>
  <c r="K7" i="4"/>
  <c r="J10" i="4"/>
  <c r="AG10" i="4"/>
  <c r="E10" i="4"/>
  <c r="E12" i="4"/>
  <c r="F7" i="4"/>
  <c r="AI22" i="3"/>
  <c r="J51" i="3"/>
  <c r="J53" i="3"/>
  <c r="K54" i="3" s="1"/>
  <c r="L55" i="3" s="1"/>
  <c r="M56" i="3" s="1"/>
  <c r="N57" i="3" s="1"/>
  <c r="O58" i="3" s="1"/>
  <c r="P59" i="3" s="1"/>
  <c r="Q60" i="3" s="1"/>
  <c r="R61" i="3" s="1"/>
  <c r="S62" i="3" s="1"/>
  <c r="T63" i="3" s="1"/>
  <c r="U64" i="3" s="1"/>
  <c r="V65" i="3" s="1"/>
  <c r="W66" i="3" s="1"/>
  <c r="X67" i="3" s="1"/>
  <c r="Y68" i="3" s="1"/>
  <c r="Z69" i="3" s="1"/>
  <c r="AA70" i="3" s="1"/>
  <c r="AB71" i="3" s="1"/>
  <c r="AC72" i="3" s="1"/>
  <c r="AD73" i="3" s="1"/>
  <c r="AE74" i="3" s="1"/>
  <c r="AJ23" i="3"/>
  <c r="AI114" i="3"/>
  <c r="Y11" i="4"/>
  <c r="Y12" i="4" s="1"/>
  <c r="Y14" i="4"/>
  <c r="AA11" i="4"/>
  <c r="AA12" i="4" s="1"/>
  <c r="AA14" i="4"/>
  <c r="V11" i="4"/>
  <c r="V12" i="4" s="1"/>
  <c r="V14" i="4"/>
  <c r="X14" i="4"/>
  <c r="X11" i="4"/>
  <c r="X12" i="4" s="1"/>
  <c r="AC11" i="4"/>
  <c r="AC12" i="4" s="1"/>
  <c r="AC14" i="4"/>
  <c r="G11" i="4"/>
  <c r="G12" i="4" s="1"/>
  <c r="G14" i="4"/>
  <c r="F11" i="4"/>
  <c r="F12" i="4" s="1"/>
  <c r="F14" i="4"/>
  <c r="T14" i="4"/>
  <c r="T11" i="4"/>
  <c r="T12" i="4" s="1"/>
  <c r="Q11" i="4"/>
  <c r="Q12" i="4" s="1"/>
  <c r="Q14" i="4"/>
  <c r="K11" i="4"/>
  <c r="K12" i="4" s="1"/>
  <c r="K14" i="4"/>
  <c r="I11" i="4"/>
  <c r="I12" i="4" s="1"/>
  <c r="I14" i="4"/>
  <c r="W11" i="4"/>
  <c r="W12" i="4" s="1"/>
  <c r="W14" i="4"/>
  <c r="R11" i="4"/>
  <c r="R12" i="4" s="1"/>
  <c r="R14" i="4"/>
  <c r="D14" i="4"/>
  <c r="L14" i="4"/>
  <c r="L11" i="4"/>
  <c r="L12" i="4" s="1"/>
  <c r="AF14" i="4"/>
  <c r="AF11" i="4"/>
  <c r="AF12" i="4" s="1"/>
  <c r="AB14" i="4"/>
  <c r="AB11" i="4"/>
  <c r="AB12" i="4" s="1"/>
  <c r="H14" i="4"/>
  <c r="H11" i="4"/>
  <c r="H12" i="4" s="1"/>
  <c r="S11" i="4"/>
  <c r="S12" i="4" s="1"/>
  <c r="S14" i="4"/>
  <c r="AD11" i="4"/>
  <c r="AD12" i="4" s="1"/>
  <c r="AD14" i="4"/>
  <c r="N11" i="4"/>
  <c r="N12" i="4" s="1"/>
  <c r="N14" i="4"/>
  <c r="P14" i="4"/>
  <c r="P11" i="4"/>
  <c r="P12" i="4" s="1"/>
  <c r="U11" i="4"/>
  <c r="U12" i="4" s="1"/>
  <c r="U14" i="4"/>
  <c r="AE11" i="4"/>
  <c r="AE12" i="4" s="1"/>
  <c r="AE14" i="4"/>
  <c r="O11" i="4"/>
  <c r="O12" i="4" s="1"/>
  <c r="O14" i="4"/>
  <c r="Z11" i="4"/>
  <c r="Z12" i="4" s="1"/>
  <c r="Z14" i="4"/>
  <c r="J11" i="4"/>
  <c r="J12" i="4" s="1"/>
  <c r="J14" i="4"/>
  <c r="M11" i="4"/>
  <c r="M12" i="4" s="1"/>
  <c r="M14" i="4"/>
  <c r="E14" i="4"/>
  <c r="AI67" i="3"/>
  <c r="AJ66" i="3" s="1"/>
  <c r="AI69" i="3"/>
  <c r="L52" i="3"/>
  <c r="M51" i="3" s="1"/>
  <c r="N50" i="3" s="1"/>
  <c r="O49" i="3" s="1"/>
  <c r="P48" i="3" s="1"/>
  <c r="Q47" i="3" s="1"/>
  <c r="R46" i="3" s="1"/>
  <c r="S45" i="3" s="1"/>
  <c r="T44" i="3" s="1"/>
  <c r="U43" i="3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F75" i="3" l="1"/>
  <c r="AG76" i="3" s="1"/>
  <c r="AH77" i="3" s="1"/>
  <c r="AI78" i="3" s="1"/>
  <c r="K50" i="3"/>
  <c r="L49" i="3" s="1"/>
  <c r="M48" i="3" s="1"/>
  <c r="N47" i="3" s="1"/>
  <c r="O46" i="3" s="1"/>
  <c r="P45" i="3" s="1"/>
  <c r="Q44" i="3" s="1"/>
  <c r="R43" i="3" s="1"/>
  <c r="S42" i="3" s="1"/>
  <c r="T41" i="3" s="1"/>
  <c r="U40" i="3" s="1"/>
  <c r="V39" i="3" s="1"/>
  <c r="W38" i="3" s="1"/>
  <c r="X37" i="3" s="1"/>
  <c r="Y36" i="3" s="1"/>
  <c r="Z35" i="3" s="1"/>
  <c r="AA34" i="3" s="1"/>
  <c r="AB33" i="3" s="1"/>
  <c r="AC32" i="3" s="1"/>
  <c r="AD31" i="3" s="1"/>
  <c r="AE30" i="3" s="1"/>
  <c r="K52" i="3"/>
  <c r="AI174" i="3"/>
  <c r="AJ21" i="3"/>
  <c r="AI112" i="3"/>
  <c r="AJ70" i="3"/>
  <c r="AJ68" i="3"/>
  <c r="M53" i="3"/>
  <c r="N54" i="3" s="1"/>
  <c r="O55" i="3" s="1"/>
  <c r="P56" i="3" s="1"/>
  <c r="Q57" i="3" s="1"/>
  <c r="R58" i="3" s="1"/>
  <c r="S59" i="3" s="1"/>
  <c r="T60" i="3" s="1"/>
  <c r="U61" i="3" s="1"/>
  <c r="V62" i="3" s="1"/>
  <c r="W63" i="3" s="1"/>
  <c r="X64" i="3" s="1"/>
  <c r="Y65" i="3" s="1"/>
  <c r="Z66" i="3" s="1"/>
  <c r="AA67" i="3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C5" i="1"/>
  <c r="D5" i="1" s="1"/>
  <c r="E5" i="1" s="1"/>
  <c r="AF29" i="3" l="1"/>
  <c r="L53" i="3"/>
  <c r="M54" i="3" s="1"/>
  <c r="N55" i="3" s="1"/>
  <c r="O56" i="3" s="1"/>
  <c r="P57" i="3" s="1"/>
  <c r="Q58" i="3" s="1"/>
  <c r="R59" i="3" s="1"/>
  <c r="S60" i="3" s="1"/>
  <c r="T61" i="3" s="1"/>
  <c r="U62" i="3" s="1"/>
  <c r="V63" i="3" s="1"/>
  <c r="W64" i="3" s="1"/>
  <c r="X65" i="3" s="1"/>
  <c r="Y66" i="3" s="1"/>
  <c r="Z67" i="3" s="1"/>
  <c r="AA68" i="3" s="1"/>
  <c r="AB69" i="3" s="1"/>
  <c r="AC70" i="3" s="1"/>
  <c r="AD71" i="3" s="1"/>
  <c r="L51" i="3"/>
  <c r="AI172" i="3"/>
  <c r="AH113" i="3"/>
  <c r="AJ79" i="3"/>
  <c r="AI168" i="3"/>
  <c r="AI228" i="3" s="1"/>
  <c r="N52" i="3"/>
  <c r="O51" i="3" s="1"/>
  <c r="P50" i="3" s="1"/>
  <c r="Q49" i="3" s="1"/>
  <c r="R48" i="3" s="1"/>
  <c r="S47" i="3" s="1"/>
  <c r="T46" i="3" s="1"/>
  <c r="U45" i="3" s="1"/>
  <c r="V44" i="3" s="1"/>
  <c r="W43" i="3" s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C6" i="1"/>
  <c r="D6" i="1" s="1"/>
  <c r="E6" i="1" s="1"/>
  <c r="F6" i="1" s="1"/>
  <c r="G6" i="1" s="1"/>
  <c r="H6" i="1" s="1"/>
  <c r="I6" i="1" s="1"/>
  <c r="J6" i="1" s="1"/>
  <c r="K6" i="1" s="1"/>
  <c r="C7" i="1"/>
  <c r="AE72" i="3" l="1"/>
  <c r="M50" i="3"/>
  <c r="N49" i="3" s="1"/>
  <c r="O48" i="3" s="1"/>
  <c r="P47" i="3" s="1"/>
  <c r="Q46" i="3" s="1"/>
  <c r="R45" i="3" s="1"/>
  <c r="S44" i="3" s="1"/>
  <c r="T43" i="3" s="1"/>
  <c r="U42" i="3" s="1"/>
  <c r="V41" i="3" s="1"/>
  <c r="W40" i="3" s="1"/>
  <c r="X39" i="3" s="1"/>
  <c r="Y38" i="3" s="1"/>
  <c r="Z37" i="3" s="1"/>
  <c r="AA36" i="3" s="1"/>
  <c r="AB35" i="3" s="1"/>
  <c r="AC34" i="3" s="1"/>
  <c r="AD33" i="3" s="1"/>
  <c r="M52" i="3"/>
  <c r="AH173" i="3"/>
  <c r="AG28" i="3"/>
  <c r="O53" i="3"/>
  <c r="P54" i="3" s="1"/>
  <c r="Q55" i="3" s="1"/>
  <c r="R56" i="3" s="1"/>
  <c r="S57" i="3" s="1"/>
  <c r="T58" i="3" s="1"/>
  <c r="U59" i="3" s="1"/>
  <c r="V60" i="3" s="1"/>
  <c r="W61" i="3" s="1"/>
  <c r="X62" i="3" s="1"/>
  <c r="Y63" i="3" s="1"/>
  <c r="Z64" i="3" s="1"/>
  <c r="AA65" i="3" s="1"/>
  <c r="AB66" i="3" s="1"/>
  <c r="AC67" i="3" s="1"/>
  <c r="L6" i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C8" i="1"/>
  <c r="AE32" i="3" l="1"/>
  <c r="AF31" i="3" s="1"/>
  <c r="AG30" i="3" s="1"/>
  <c r="AH29" i="3" s="1"/>
  <c r="N51" i="3"/>
  <c r="N53" i="3"/>
  <c r="O54" i="3" s="1"/>
  <c r="P55" i="3" s="1"/>
  <c r="Q56" i="3" s="1"/>
  <c r="R57" i="3" s="1"/>
  <c r="S58" i="3" s="1"/>
  <c r="T59" i="3" s="1"/>
  <c r="U60" i="3" s="1"/>
  <c r="V61" i="3" s="1"/>
  <c r="W62" i="3" s="1"/>
  <c r="X63" i="3" s="1"/>
  <c r="Y64" i="3" s="1"/>
  <c r="Z65" i="3" s="1"/>
  <c r="AA66" i="3" s="1"/>
  <c r="AH27" i="3"/>
  <c r="AF73" i="3"/>
  <c r="P52" i="3"/>
  <c r="Q51" i="3" s="1"/>
  <c r="R50" i="3" s="1"/>
  <c r="S49" i="3" s="1"/>
  <c r="T48" i="3" s="1"/>
  <c r="U47" i="3" s="1"/>
  <c r="V46" i="3" s="1"/>
  <c r="W45" i="3" s="1"/>
  <c r="X44" i="3" s="1"/>
  <c r="Y43" i="3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D8" i="1"/>
  <c r="E8" i="1" s="1"/>
  <c r="F8" i="1" s="1"/>
  <c r="C9" i="1"/>
  <c r="AB67" i="3" l="1"/>
  <c r="AG74" i="3"/>
  <c r="O50" i="3"/>
  <c r="P49" i="3" s="1"/>
  <c r="Q48" i="3" s="1"/>
  <c r="R47" i="3" s="1"/>
  <c r="S46" i="3" s="1"/>
  <c r="T45" i="3" s="1"/>
  <c r="U44" i="3" s="1"/>
  <c r="V43" i="3" s="1"/>
  <c r="W42" i="3" s="1"/>
  <c r="X41" i="3" s="1"/>
  <c r="Y40" i="3" s="1"/>
  <c r="O52" i="3"/>
  <c r="AI26" i="3"/>
  <c r="AI28" i="3"/>
  <c r="Q53" i="3"/>
  <c r="R54" i="3" s="1"/>
  <c r="S55" i="3" s="1"/>
  <c r="T56" i="3" s="1"/>
  <c r="U57" i="3" s="1"/>
  <c r="V58" i="3" s="1"/>
  <c r="W59" i="3" s="1"/>
  <c r="X60" i="3" s="1"/>
  <c r="Y61" i="3" s="1"/>
  <c r="Z62" i="3" s="1"/>
  <c r="AA63" i="3" s="1"/>
  <c r="AB64" i="3" s="1"/>
  <c r="AC65" i="3" s="1"/>
  <c r="AD66" i="3" s="1"/>
  <c r="AE67" i="3" s="1"/>
  <c r="G8" i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D9" i="1"/>
  <c r="E9" i="1" s="1"/>
  <c r="F9" i="1" s="1"/>
  <c r="G9" i="1" s="1"/>
  <c r="C10" i="1"/>
  <c r="AJ25" i="3" l="1"/>
  <c r="AI116" i="3"/>
  <c r="AH75" i="3"/>
  <c r="AJ27" i="3"/>
  <c r="AI118" i="3"/>
  <c r="P51" i="3"/>
  <c r="P53" i="3"/>
  <c r="Q54" i="3" s="1"/>
  <c r="R55" i="3" s="1"/>
  <c r="S56" i="3" s="1"/>
  <c r="T57" i="3" s="1"/>
  <c r="U58" i="3" s="1"/>
  <c r="V59" i="3" s="1"/>
  <c r="W60" i="3" s="1"/>
  <c r="X61" i="3" s="1"/>
  <c r="Y62" i="3" s="1"/>
  <c r="Z39" i="3"/>
  <c r="AC68" i="3"/>
  <c r="R52" i="3"/>
  <c r="S51" i="3" s="1"/>
  <c r="T50" i="3" s="1"/>
  <c r="U49" i="3" s="1"/>
  <c r="V48" i="3" s="1"/>
  <c r="W47" i="3" s="1"/>
  <c r="X46" i="3" s="1"/>
  <c r="Y45" i="3" s="1"/>
  <c r="Z44" i="3" s="1"/>
  <c r="AA43" i="3" s="1"/>
  <c r="H9" i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C11" i="1"/>
  <c r="Z63" i="3" l="1"/>
  <c r="AD69" i="3"/>
  <c r="Q50" i="3"/>
  <c r="R49" i="3" s="1"/>
  <c r="S48" i="3" s="1"/>
  <c r="T47" i="3" s="1"/>
  <c r="U46" i="3" s="1"/>
  <c r="V45" i="3" s="1"/>
  <c r="Q52" i="3"/>
  <c r="AI76" i="3"/>
  <c r="AI176" i="3"/>
  <c r="AH115" i="3"/>
  <c r="AH117" i="3"/>
  <c r="AI178" i="3"/>
  <c r="AA38" i="3"/>
  <c r="S53" i="3"/>
  <c r="T54" i="3" s="1"/>
  <c r="U55" i="3" s="1"/>
  <c r="V56" i="3" s="1"/>
  <c r="W57" i="3" s="1"/>
  <c r="X58" i="3" s="1"/>
  <c r="Y59" i="3" s="1"/>
  <c r="Z60" i="3" s="1"/>
  <c r="AA61" i="3" s="1"/>
  <c r="AB62" i="3" s="1"/>
  <c r="AC63" i="3" s="1"/>
  <c r="AD64" i="3" s="1"/>
  <c r="AE65" i="3" s="1"/>
  <c r="AF66" i="3" s="1"/>
  <c r="C12" i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H177" i="3" l="1"/>
  <c r="AB37" i="3"/>
  <c r="AH175" i="3"/>
  <c r="AG116" i="3"/>
  <c r="AG114" i="3"/>
  <c r="AG174" i="3" s="1"/>
  <c r="AJ77" i="3"/>
  <c r="AI166" i="3"/>
  <c r="AE70" i="3"/>
  <c r="R51" i="3"/>
  <c r="R53" i="3"/>
  <c r="S54" i="3" s="1"/>
  <c r="T55" i="3" s="1"/>
  <c r="U56" i="3" s="1"/>
  <c r="V57" i="3" s="1"/>
  <c r="W58" i="3" s="1"/>
  <c r="X59" i="3" s="1"/>
  <c r="Y60" i="3" s="1"/>
  <c r="Z61" i="3" s="1"/>
  <c r="W44" i="3"/>
  <c r="X43" i="3" s="1"/>
  <c r="Y42" i="3" s="1"/>
  <c r="AA64" i="3"/>
  <c r="T52" i="3"/>
  <c r="U51" i="3" s="1"/>
  <c r="V50" i="3" s="1"/>
  <c r="W49" i="3" s="1"/>
  <c r="X48" i="3" s="1"/>
  <c r="Y47" i="3" s="1"/>
  <c r="Z46" i="3" s="1"/>
  <c r="AA45" i="3" s="1"/>
  <c r="AB44" i="3" s="1"/>
  <c r="AC43" i="3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C13" i="1"/>
  <c r="AB65" i="3" l="1"/>
  <c r="AC36" i="3"/>
  <c r="Z41" i="3"/>
  <c r="AF71" i="3"/>
  <c r="AG72" i="3" s="1"/>
  <c r="AF115" i="3"/>
  <c r="AG176" i="3"/>
  <c r="S50" i="3"/>
  <c r="T49" i="3" s="1"/>
  <c r="U48" i="3" s="1"/>
  <c r="V47" i="3" s="1"/>
  <c r="W46" i="3" s="1"/>
  <c r="X45" i="3" s="1"/>
  <c r="S52" i="3"/>
  <c r="AA62" i="3"/>
  <c r="AH167" i="3"/>
  <c r="AH227" i="3" s="1"/>
  <c r="AI226" i="3"/>
  <c r="U53" i="3"/>
  <c r="V54" i="3" s="1"/>
  <c r="W55" i="3" s="1"/>
  <c r="X56" i="3" s="1"/>
  <c r="Y57" i="3" s="1"/>
  <c r="Z58" i="3" s="1"/>
  <c r="AA59" i="3" s="1"/>
  <c r="AB60" i="3" s="1"/>
  <c r="AC61" i="3" s="1"/>
  <c r="AD62" i="3" s="1"/>
  <c r="AE63" i="3" s="1"/>
  <c r="AF64" i="3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C14" i="1"/>
  <c r="Y44" i="3" l="1"/>
  <c r="Z43" i="3" s="1"/>
  <c r="AH73" i="3"/>
  <c r="AD35" i="3"/>
  <c r="AB63" i="3"/>
  <c r="T51" i="3"/>
  <c r="T53" i="3"/>
  <c r="U54" i="3" s="1"/>
  <c r="V55" i="3" s="1"/>
  <c r="W56" i="3" s="1"/>
  <c r="X57" i="3" s="1"/>
  <c r="Y58" i="3" s="1"/>
  <c r="Z59" i="3" s="1"/>
  <c r="AA60" i="3" s="1"/>
  <c r="AF175" i="3"/>
  <c r="AA40" i="3"/>
  <c r="AB39" i="3" s="1"/>
  <c r="AC38" i="3" s="1"/>
  <c r="AD37" i="3" s="1"/>
  <c r="AE36" i="3" s="1"/>
  <c r="AF35" i="3" s="1"/>
  <c r="AC66" i="3"/>
  <c r="V52" i="3"/>
  <c r="W51" i="3" s="1"/>
  <c r="X50" i="3" s="1"/>
  <c r="Y49" i="3" s="1"/>
  <c r="Z48" i="3" s="1"/>
  <c r="AA47" i="3" s="1"/>
  <c r="AB46" i="3" s="1"/>
  <c r="AC45" i="3" s="1"/>
  <c r="AD44" i="3" s="1"/>
  <c r="AE43" i="3" s="1"/>
  <c r="AF42" i="3" s="1"/>
  <c r="AG41" i="3" s="1"/>
  <c r="AH40" i="3" s="1"/>
  <c r="AI39" i="3" s="1"/>
  <c r="AJ38" i="3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C15" i="1"/>
  <c r="AB61" i="3" l="1"/>
  <c r="AC64" i="3"/>
  <c r="AI74" i="3"/>
  <c r="U50" i="3"/>
  <c r="V49" i="3" s="1"/>
  <c r="U52" i="3"/>
  <c r="AD67" i="3"/>
  <c r="AG34" i="3"/>
  <c r="AE34" i="3"/>
  <c r="AF33" i="3" s="1"/>
  <c r="AG32" i="3" s="1"/>
  <c r="AA42" i="3"/>
  <c r="W53" i="3"/>
  <c r="X54" i="3" s="1"/>
  <c r="Y55" i="3" s="1"/>
  <c r="Z56" i="3" s="1"/>
  <c r="AA57" i="3" s="1"/>
  <c r="AB58" i="3" s="1"/>
  <c r="AC59" i="3" s="1"/>
  <c r="AD60" i="3" s="1"/>
  <c r="AE61" i="3" s="1"/>
  <c r="AF62" i="3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C16" i="1"/>
  <c r="AB41" i="3" l="1"/>
  <c r="AH33" i="3"/>
  <c r="W48" i="3"/>
  <c r="AD65" i="3"/>
  <c r="V51" i="3"/>
  <c r="V53" i="3"/>
  <c r="W54" i="3" s="1"/>
  <c r="X55" i="3" s="1"/>
  <c r="Y56" i="3" s="1"/>
  <c r="Z57" i="3" s="1"/>
  <c r="AA58" i="3" s="1"/>
  <c r="AB59" i="3" s="1"/>
  <c r="AH31" i="3"/>
  <c r="AE68" i="3"/>
  <c r="AJ75" i="3"/>
  <c r="AI164" i="3"/>
  <c r="AC62" i="3"/>
  <c r="X52" i="3"/>
  <c r="Y51" i="3" s="1"/>
  <c r="Z50" i="3" s="1"/>
  <c r="AA49" i="3" s="1"/>
  <c r="AB48" i="3" s="1"/>
  <c r="AC47" i="3" s="1"/>
  <c r="AD46" i="3" s="1"/>
  <c r="AE45" i="3" s="1"/>
  <c r="AF44" i="3" s="1"/>
  <c r="AG43" i="3" s="1"/>
  <c r="AH42" i="3" s="1"/>
  <c r="AI41" i="3" s="1"/>
  <c r="AJ40" i="3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C17" i="1"/>
  <c r="AI224" i="3" l="1"/>
  <c r="AH165" i="3"/>
  <c r="AI30" i="3"/>
  <c r="AE66" i="3"/>
  <c r="AI32" i="3"/>
  <c r="AF69" i="3"/>
  <c r="AC60" i="3"/>
  <c r="AD63" i="3"/>
  <c r="W50" i="3"/>
  <c r="W52" i="3"/>
  <c r="X47" i="3"/>
  <c r="Y46" i="3" s="1"/>
  <c r="Z45" i="3" s="1"/>
  <c r="AC40" i="3"/>
  <c r="Y53" i="3"/>
  <c r="Z54" i="3" s="1"/>
  <c r="AA55" i="3" s="1"/>
  <c r="AB56" i="3" s="1"/>
  <c r="AC57" i="3" s="1"/>
  <c r="AD58" i="3" s="1"/>
  <c r="AE59" i="3" s="1"/>
  <c r="AF60" i="3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C18" i="1"/>
  <c r="AD39" i="3" l="1"/>
  <c r="X49" i="3"/>
  <c r="AD61" i="3"/>
  <c r="AJ31" i="3"/>
  <c r="AI122" i="3"/>
  <c r="AJ29" i="3"/>
  <c r="AI120" i="3"/>
  <c r="AG166" i="3"/>
  <c r="AG226" i="3" s="1"/>
  <c r="AH225" i="3"/>
  <c r="X51" i="3"/>
  <c r="X53" i="3"/>
  <c r="Y54" i="3" s="1"/>
  <c r="Z55" i="3" s="1"/>
  <c r="AA56" i="3" s="1"/>
  <c r="AB57" i="3" s="1"/>
  <c r="AC58" i="3" s="1"/>
  <c r="AA44" i="3"/>
  <c r="AE64" i="3"/>
  <c r="AG70" i="3"/>
  <c r="AF67" i="3"/>
  <c r="Z52" i="3"/>
  <c r="AA51" i="3" s="1"/>
  <c r="AB50" i="3" s="1"/>
  <c r="AC49" i="3" s="1"/>
  <c r="AD48" i="3" s="1"/>
  <c r="AE47" i="3" s="1"/>
  <c r="AF46" i="3" s="1"/>
  <c r="AG45" i="3" s="1"/>
  <c r="AH44" i="3" s="1"/>
  <c r="AI43" i="3" s="1"/>
  <c r="AJ42" i="3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C19" i="1"/>
  <c r="AI182" i="3" l="1"/>
  <c r="AH71" i="3"/>
  <c r="AB43" i="3"/>
  <c r="Y48" i="3"/>
  <c r="Z47" i="3" s="1"/>
  <c r="AA46" i="3" s="1"/>
  <c r="AB45" i="3" s="1"/>
  <c r="AC44" i="3" s="1"/>
  <c r="AD43" i="3" s="1"/>
  <c r="AE42" i="3" s="1"/>
  <c r="AI180" i="3"/>
  <c r="AH119" i="3"/>
  <c r="AH121" i="3"/>
  <c r="AD59" i="3"/>
  <c r="AG68" i="3"/>
  <c r="AF65" i="3"/>
  <c r="Y50" i="3"/>
  <c r="Y52" i="3"/>
  <c r="AE62" i="3"/>
  <c r="AE38" i="3"/>
  <c r="AA53" i="3"/>
  <c r="AB54" i="3" s="1"/>
  <c r="AC55" i="3" s="1"/>
  <c r="AD56" i="3" s="1"/>
  <c r="AE57" i="3" s="1"/>
  <c r="AF58" i="3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C20" i="1"/>
  <c r="Z51" i="3" l="1"/>
  <c r="Z53" i="3"/>
  <c r="AE60" i="3"/>
  <c r="AH69" i="3"/>
  <c r="AH181" i="3"/>
  <c r="AF41" i="3"/>
  <c r="AG40" i="3" s="1"/>
  <c r="AI72" i="3"/>
  <c r="AG120" i="3"/>
  <c r="AH179" i="3"/>
  <c r="AG118" i="3"/>
  <c r="AG66" i="3"/>
  <c r="AF37" i="3"/>
  <c r="Z49" i="3"/>
  <c r="AF63" i="3"/>
  <c r="AC42" i="3"/>
  <c r="AD41" i="3" s="1"/>
  <c r="AB52" i="3"/>
  <c r="AC51" i="3" s="1"/>
  <c r="AD50" i="3" s="1"/>
  <c r="AE49" i="3" s="1"/>
  <c r="AF48" i="3" s="1"/>
  <c r="AG47" i="3" s="1"/>
  <c r="AH46" i="3" s="1"/>
  <c r="AI45" i="3" s="1"/>
  <c r="AJ44" i="3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C21" i="1"/>
  <c r="AG178" i="3" l="1"/>
  <c r="AF119" i="3"/>
  <c r="AF117" i="3"/>
  <c r="AF61" i="3"/>
  <c r="AG64" i="3"/>
  <c r="AG36" i="3"/>
  <c r="AH35" i="3" s="1"/>
  <c r="AA54" i="3"/>
  <c r="AB55" i="3" s="1"/>
  <c r="AC56" i="3" s="1"/>
  <c r="AD57" i="3" s="1"/>
  <c r="AH39" i="3"/>
  <c r="AI70" i="3"/>
  <c r="AI68" i="3"/>
  <c r="AJ73" i="3"/>
  <c r="AI162" i="3"/>
  <c r="AG180" i="3"/>
  <c r="AE40" i="3"/>
  <c r="AF39" i="3" s="1"/>
  <c r="AA48" i="3"/>
  <c r="AH67" i="3"/>
  <c r="AA50" i="3"/>
  <c r="AA52" i="3"/>
  <c r="AC53" i="3"/>
  <c r="AD54" i="3" s="1"/>
  <c r="AE55" i="3" s="1"/>
  <c r="C22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I158" i="3" l="1"/>
  <c r="AJ67" i="3"/>
  <c r="AJ69" i="3"/>
  <c r="AI38" i="3"/>
  <c r="AG62" i="3"/>
  <c r="AB49" i="3"/>
  <c r="AB47" i="3"/>
  <c r="AH65" i="3"/>
  <c r="AE118" i="3"/>
  <c r="AF177" i="3"/>
  <c r="AE116" i="3"/>
  <c r="AE58" i="3"/>
  <c r="AF179" i="3"/>
  <c r="AI34" i="3"/>
  <c r="AI222" i="3"/>
  <c r="AH163" i="3"/>
  <c r="AJ71" i="3"/>
  <c r="AI160" i="3"/>
  <c r="AB51" i="3"/>
  <c r="AB53" i="3"/>
  <c r="AC54" i="3" s="1"/>
  <c r="AD55" i="3" s="1"/>
  <c r="AE56" i="3" s="1"/>
  <c r="AI66" i="3"/>
  <c r="AG38" i="3"/>
  <c r="AF56" i="3"/>
  <c r="AG55" i="3" s="1"/>
  <c r="AH54" i="3" s="1"/>
  <c r="AI53" i="3" s="1"/>
  <c r="AJ52" i="3" s="1"/>
  <c r="AF54" i="3"/>
  <c r="AG53" i="3" s="1"/>
  <c r="AH52" i="3" s="1"/>
  <c r="AI51" i="3" s="1"/>
  <c r="AJ50" i="3" s="1"/>
  <c r="AD52" i="3"/>
  <c r="AE51" i="3" s="1"/>
  <c r="AF50" i="3" s="1"/>
  <c r="AG49" i="3" s="1"/>
  <c r="AH48" i="3" s="1"/>
  <c r="AI47" i="3" s="1"/>
  <c r="AJ46" i="3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C23" i="1"/>
  <c r="AH37" i="3" l="1"/>
  <c r="AI64" i="3"/>
  <c r="AC48" i="3"/>
  <c r="AJ37" i="3"/>
  <c r="AI128" i="3"/>
  <c r="AC50" i="3"/>
  <c r="AD49" i="3" s="1"/>
  <c r="AE48" i="3" s="1"/>
  <c r="AC52" i="3"/>
  <c r="AH223" i="3"/>
  <c r="AG164" i="3"/>
  <c r="AJ65" i="3"/>
  <c r="AI156" i="3"/>
  <c r="AE178" i="3"/>
  <c r="AC46" i="3"/>
  <c r="AH63" i="3"/>
  <c r="AE176" i="3"/>
  <c r="AD117" i="3"/>
  <c r="AI220" i="3"/>
  <c r="AH161" i="3"/>
  <c r="AF57" i="3"/>
  <c r="AF55" i="3"/>
  <c r="AJ33" i="3"/>
  <c r="AI124" i="3"/>
  <c r="AF59" i="3"/>
  <c r="AI218" i="3"/>
  <c r="AH159" i="3"/>
  <c r="AE53" i="3"/>
  <c r="AF52" i="3" s="1"/>
  <c r="AG51" i="3" s="1"/>
  <c r="AH50" i="3" s="1"/>
  <c r="AI49" i="3" s="1"/>
  <c r="AJ48" i="3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C24" i="1"/>
  <c r="AI188" i="3" l="1"/>
  <c r="AG60" i="3"/>
  <c r="AG58" i="3"/>
  <c r="AG56" i="3"/>
  <c r="AD177" i="3"/>
  <c r="AI216" i="3"/>
  <c r="AH157" i="3"/>
  <c r="AD51" i="3"/>
  <c r="AD53" i="3"/>
  <c r="AE54" i="3" s="1"/>
  <c r="AF53" i="3" s="1"/>
  <c r="AJ63" i="3"/>
  <c r="AI154" i="3"/>
  <c r="AI62" i="3"/>
  <c r="AI184" i="3"/>
  <c r="AH123" i="3"/>
  <c r="AD45" i="3"/>
  <c r="AG54" i="3"/>
  <c r="AH219" i="3"/>
  <c r="AG160" i="3"/>
  <c r="AG220" i="3" s="1"/>
  <c r="AH221" i="3"/>
  <c r="AG162" i="3"/>
  <c r="AF165" i="3"/>
  <c r="AF225" i="3" s="1"/>
  <c r="AG224" i="3"/>
  <c r="AF47" i="3"/>
  <c r="AD47" i="3"/>
  <c r="AI36" i="3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C25" i="1"/>
  <c r="AI214" i="3" l="1"/>
  <c r="AH155" i="3"/>
  <c r="AH217" i="3"/>
  <c r="AG158" i="3"/>
  <c r="AG46" i="3"/>
  <c r="AH53" i="3"/>
  <c r="AE44" i="3"/>
  <c r="AF43" i="3" s="1"/>
  <c r="AG52" i="3"/>
  <c r="AH51" i="3" s="1"/>
  <c r="AH55" i="3"/>
  <c r="AJ35" i="3"/>
  <c r="AI126" i="3"/>
  <c r="AH183" i="3"/>
  <c r="AG122" i="3"/>
  <c r="AE50" i="3"/>
  <c r="AE52" i="3"/>
  <c r="AH61" i="3"/>
  <c r="AE46" i="3"/>
  <c r="AF161" i="3"/>
  <c r="AG222" i="3"/>
  <c r="AF163" i="3"/>
  <c r="AJ61" i="3"/>
  <c r="AI152" i="3"/>
  <c r="AH57" i="3"/>
  <c r="AH59" i="3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C26" i="1"/>
  <c r="AF49" i="3" l="1"/>
  <c r="AG48" i="3" s="1"/>
  <c r="AI212" i="3"/>
  <c r="AH153" i="3"/>
  <c r="AF221" i="3"/>
  <c r="AE162" i="3"/>
  <c r="AI60" i="3"/>
  <c r="AG182" i="3"/>
  <c r="AF121" i="3"/>
  <c r="AI50" i="3"/>
  <c r="AI52" i="3"/>
  <c r="AI186" i="3"/>
  <c r="AH125" i="3"/>
  <c r="AH127" i="3"/>
  <c r="AI58" i="3"/>
  <c r="AF51" i="3"/>
  <c r="AH215" i="3"/>
  <c r="AG156" i="3"/>
  <c r="AI56" i="3"/>
  <c r="AG218" i="3"/>
  <c r="AF159" i="3"/>
  <c r="AF223" i="3"/>
  <c r="AE164" i="3"/>
  <c r="AE224" i="3" s="1"/>
  <c r="AF45" i="3"/>
  <c r="AI54" i="3"/>
  <c r="AG42" i="3"/>
  <c r="AH45" i="3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C27" i="1"/>
  <c r="AH185" i="3" l="1"/>
  <c r="AG124" i="3"/>
  <c r="AH213" i="3"/>
  <c r="AG154" i="3"/>
  <c r="AF219" i="3"/>
  <c r="AE160" i="3"/>
  <c r="AG216" i="3"/>
  <c r="AF157" i="3"/>
  <c r="AJ49" i="3"/>
  <c r="AI140" i="3"/>
  <c r="AJ59" i="3"/>
  <c r="AI150" i="3"/>
  <c r="AJ53" i="3"/>
  <c r="AI144" i="3"/>
  <c r="AJ55" i="3"/>
  <c r="AI146" i="3"/>
  <c r="AG44" i="3"/>
  <c r="AH43" i="3" s="1"/>
  <c r="AJ57" i="3"/>
  <c r="AI148" i="3"/>
  <c r="AF181" i="3"/>
  <c r="AE120" i="3"/>
  <c r="AD163" i="3"/>
  <c r="AD223" i="3" s="1"/>
  <c r="AE222" i="3"/>
  <c r="AI44" i="3"/>
  <c r="AG50" i="3"/>
  <c r="AH41" i="3"/>
  <c r="AG126" i="3"/>
  <c r="AH187" i="3"/>
  <c r="AJ51" i="3"/>
  <c r="AI142" i="3"/>
  <c r="AH47" i="3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C28" i="1"/>
  <c r="AG186" i="3" l="1"/>
  <c r="AH49" i="3"/>
  <c r="AI206" i="3"/>
  <c r="AH147" i="3"/>
  <c r="AF217" i="3"/>
  <c r="AE158" i="3"/>
  <c r="AG214" i="3"/>
  <c r="AF155" i="3"/>
  <c r="AE180" i="3"/>
  <c r="AD119" i="3"/>
  <c r="AI202" i="3"/>
  <c r="AH143" i="3"/>
  <c r="AI208" i="3"/>
  <c r="AH149" i="3"/>
  <c r="AI200" i="3"/>
  <c r="AH141" i="3"/>
  <c r="AH201" i="3" s="1"/>
  <c r="AE220" i="3"/>
  <c r="AD161" i="3"/>
  <c r="AF123" i="3"/>
  <c r="AG184" i="3"/>
  <c r="AF125" i="3"/>
  <c r="AI210" i="3"/>
  <c r="AH151" i="3"/>
  <c r="AI40" i="3"/>
  <c r="AJ43" i="3"/>
  <c r="AI134" i="3"/>
  <c r="AI204" i="3"/>
  <c r="AH145" i="3"/>
  <c r="AI46" i="3"/>
  <c r="AI42" i="3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AE218" i="3" l="1"/>
  <c r="AD159" i="3"/>
  <c r="AJ41" i="3"/>
  <c r="AI132" i="3"/>
  <c r="AJ39" i="3"/>
  <c r="AI130" i="3"/>
  <c r="AG142" i="3"/>
  <c r="AH203" i="3"/>
  <c r="AG144" i="3"/>
  <c r="AI48" i="3"/>
  <c r="AE124" i="3"/>
  <c r="AF185" i="3"/>
  <c r="AH211" i="3"/>
  <c r="AG152" i="3"/>
  <c r="AF215" i="3"/>
  <c r="AE156" i="3"/>
  <c r="AH207" i="3"/>
  <c r="AG148" i="3"/>
  <c r="AH205" i="3"/>
  <c r="AG146" i="3"/>
  <c r="AI194" i="3"/>
  <c r="AF183" i="3"/>
  <c r="AE122" i="3"/>
  <c r="AJ45" i="3"/>
  <c r="AI136" i="3"/>
  <c r="AC162" i="3"/>
  <c r="AC222" i="3" s="1"/>
  <c r="AD221" i="3"/>
  <c r="AH209" i="3"/>
  <c r="AG150" i="3"/>
  <c r="AD179" i="3"/>
  <c r="AC118" i="3"/>
  <c r="S28" i="1"/>
  <c r="T28" i="1" s="1"/>
  <c r="U28" i="1" s="1"/>
  <c r="V28" i="1" s="1"/>
  <c r="W28" i="1" s="1"/>
  <c r="X28" i="1" s="1"/>
  <c r="Y28" i="1" s="1"/>
  <c r="Z28" i="1" s="1"/>
  <c r="AA28" i="1" s="1"/>
  <c r="AB28" i="1" s="1"/>
  <c r="AI192" i="3" l="1"/>
  <c r="AH133" i="3"/>
  <c r="AH193" i="3" s="1"/>
  <c r="AG210" i="3"/>
  <c r="AF151" i="3"/>
  <c r="AI196" i="3"/>
  <c r="AH135" i="3"/>
  <c r="AG208" i="3"/>
  <c r="AF149" i="3"/>
  <c r="AG212" i="3"/>
  <c r="AF153" i="3"/>
  <c r="AG202" i="3"/>
  <c r="AF143" i="3"/>
  <c r="AJ47" i="3"/>
  <c r="AI138" i="3"/>
  <c r="AI190" i="3"/>
  <c r="AH129" i="3"/>
  <c r="AH131" i="3"/>
  <c r="AD219" i="3"/>
  <c r="AC160" i="3"/>
  <c r="AE184" i="3"/>
  <c r="AC178" i="3"/>
  <c r="AE182" i="3"/>
  <c r="AD123" i="3"/>
  <c r="AD121" i="3"/>
  <c r="AG206" i="3"/>
  <c r="AF147" i="3"/>
  <c r="AE216" i="3"/>
  <c r="AD157" i="3"/>
  <c r="AG204" i="3"/>
  <c r="AF145" i="3"/>
  <c r="AF211" i="3" l="1"/>
  <c r="AE152" i="3"/>
  <c r="AD217" i="3"/>
  <c r="AC158" i="3"/>
  <c r="AD181" i="3"/>
  <c r="AC120" i="3"/>
  <c r="AI198" i="3"/>
  <c r="AH139" i="3"/>
  <c r="AF213" i="3"/>
  <c r="AE154" i="3"/>
  <c r="AG134" i="3"/>
  <c r="AH195" i="3"/>
  <c r="AH191" i="3"/>
  <c r="AG132" i="3"/>
  <c r="AH137" i="3"/>
  <c r="AB161" i="3"/>
  <c r="AB221" i="3" s="1"/>
  <c r="AC220" i="3"/>
  <c r="AC122" i="3"/>
  <c r="AD183" i="3"/>
  <c r="AF205" i="3"/>
  <c r="AE146" i="3"/>
  <c r="AF207" i="3"/>
  <c r="AE148" i="3"/>
  <c r="AH189" i="3"/>
  <c r="AG130" i="3"/>
  <c r="AG190" i="3" s="1"/>
  <c r="AG128" i="3"/>
  <c r="AE144" i="3"/>
  <c r="AF203" i="3"/>
  <c r="AF209" i="3"/>
  <c r="AE150" i="3"/>
  <c r="AD145" i="3" l="1"/>
  <c r="AE204" i="3"/>
  <c r="AH199" i="3"/>
  <c r="AG140" i="3"/>
  <c r="AE210" i="3"/>
  <c r="AD151" i="3"/>
  <c r="AG188" i="3"/>
  <c r="AF129" i="3"/>
  <c r="AF127" i="3"/>
  <c r="AC182" i="3"/>
  <c r="AF131" i="3"/>
  <c r="AG192" i="3"/>
  <c r="AF133" i="3"/>
  <c r="AF193" i="3" s="1"/>
  <c r="AG194" i="3"/>
  <c r="AE208" i="3"/>
  <c r="AD149" i="3"/>
  <c r="AE214" i="3"/>
  <c r="AD155" i="3"/>
  <c r="AB121" i="3"/>
  <c r="AC180" i="3"/>
  <c r="AB119" i="3"/>
  <c r="AE212" i="3"/>
  <c r="AD153" i="3"/>
  <c r="AH197" i="3"/>
  <c r="AG138" i="3"/>
  <c r="AG198" i="3" s="1"/>
  <c r="AC218" i="3"/>
  <c r="AB159" i="3"/>
  <c r="AE206" i="3"/>
  <c r="AD147" i="3"/>
  <c r="AG136" i="3"/>
  <c r="AF135" i="3" s="1"/>
  <c r="AE134" i="3" l="1"/>
  <c r="AF195" i="3"/>
  <c r="AE130" i="3"/>
  <c r="AF189" i="3"/>
  <c r="AF139" i="3"/>
  <c r="AG200" i="3"/>
  <c r="AF141" i="3"/>
  <c r="AD207" i="3"/>
  <c r="AC148" i="3"/>
  <c r="AA120" i="3"/>
  <c r="AB179" i="3"/>
  <c r="AD215" i="3"/>
  <c r="AC156" i="3"/>
  <c r="AD209" i="3"/>
  <c r="AC150" i="3"/>
  <c r="AD211" i="3"/>
  <c r="AC152" i="3"/>
  <c r="AD205" i="3"/>
  <c r="AG196" i="3"/>
  <c r="AF137" i="3"/>
  <c r="AE136" i="3" s="1"/>
  <c r="AF191" i="3"/>
  <c r="AE132" i="3"/>
  <c r="AA160" i="3"/>
  <c r="AA220" i="3" s="1"/>
  <c r="AB219" i="3"/>
  <c r="AD213" i="3"/>
  <c r="AC154" i="3"/>
  <c r="AB181" i="3"/>
  <c r="AE126" i="3"/>
  <c r="AF187" i="3"/>
  <c r="AE128" i="3"/>
  <c r="AC146" i="3"/>
  <c r="AE196" i="3" l="1"/>
  <c r="AF201" i="3"/>
  <c r="AE142" i="3"/>
  <c r="AC214" i="3"/>
  <c r="AB155" i="3"/>
  <c r="AD133" i="3"/>
  <c r="AD193" i="3" s="1"/>
  <c r="AE192" i="3"/>
  <c r="AA180" i="3"/>
  <c r="AE190" i="3"/>
  <c r="AD131" i="3"/>
  <c r="AC216" i="3"/>
  <c r="AB157" i="3"/>
  <c r="AC208" i="3"/>
  <c r="AB149" i="3"/>
  <c r="AF199" i="3"/>
  <c r="AE140" i="3"/>
  <c r="AD127" i="3"/>
  <c r="AD187" i="3" s="1"/>
  <c r="AE188" i="3"/>
  <c r="AD129" i="3"/>
  <c r="AC210" i="3"/>
  <c r="AB151" i="3"/>
  <c r="AE186" i="3"/>
  <c r="AD125" i="3"/>
  <c r="AC212" i="3"/>
  <c r="AB153" i="3"/>
  <c r="AB147" i="3"/>
  <c r="AC206" i="3"/>
  <c r="AF197" i="3"/>
  <c r="AE138" i="3"/>
  <c r="AE194" i="3"/>
  <c r="AD135" i="3"/>
  <c r="AA148" i="3" l="1"/>
  <c r="AB207" i="3"/>
  <c r="AC132" i="3"/>
  <c r="AD191" i="3"/>
  <c r="AD139" i="3"/>
  <c r="AE198" i="3"/>
  <c r="AB213" i="3"/>
  <c r="AA154" i="3"/>
  <c r="AB211" i="3"/>
  <c r="AA152" i="3"/>
  <c r="AB209" i="3"/>
  <c r="AA150" i="3"/>
  <c r="AE200" i="3"/>
  <c r="AD141" i="3"/>
  <c r="AB217" i="3"/>
  <c r="AA158" i="3"/>
  <c r="AB215" i="3"/>
  <c r="AA156" i="3"/>
  <c r="AD137" i="3"/>
  <c r="AD143" i="3"/>
  <c r="AE202" i="3"/>
  <c r="AC134" i="3"/>
  <c r="AC194" i="3" s="1"/>
  <c r="AD195" i="3"/>
  <c r="AC136" i="3"/>
  <c r="AC124" i="3"/>
  <c r="AD185" i="3"/>
  <c r="AC126" i="3"/>
  <c r="AC128" i="3"/>
  <c r="AC188" i="3" s="1"/>
  <c r="AD189" i="3"/>
  <c r="AC130" i="3"/>
  <c r="Z159" i="3" l="1"/>
  <c r="Z219" i="3" s="1"/>
  <c r="AA218" i="3"/>
  <c r="AA214" i="3"/>
  <c r="Z155" i="3"/>
  <c r="AC186" i="3"/>
  <c r="AB127" i="3"/>
  <c r="AD197" i="3"/>
  <c r="AC138" i="3"/>
  <c r="AC192" i="3"/>
  <c r="AB133" i="3"/>
  <c r="AB135" i="3"/>
  <c r="AB195" i="3" s="1"/>
  <c r="AC196" i="3"/>
  <c r="AB129" i="3"/>
  <c r="AB189" i="3" s="1"/>
  <c r="AC190" i="3"/>
  <c r="AB131" i="3"/>
  <c r="AA216" i="3"/>
  <c r="Z157" i="3"/>
  <c r="AD201" i="3"/>
  <c r="AC142" i="3"/>
  <c r="AA212" i="3"/>
  <c r="Z153" i="3"/>
  <c r="AC144" i="3"/>
  <c r="AD203" i="3"/>
  <c r="AA210" i="3"/>
  <c r="Z151" i="3"/>
  <c r="AB125" i="3"/>
  <c r="AB185" i="3" s="1"/>
  <c r="AC184" i="3"/>
  <c r="AB123" i="3"/>
  <c r="AC140" i="3"/>
  <c r="AD199" i="3"/>
  <c r="Z149" i="3"/>
  <c r="AA208" i="3"/>
  <c r="Y150" i="3" l="1"/>
  <c r="Z209" i="3"/>
  <c r="AA130" i="3"/>
  <c r="AB191" i="3"/>
  <c r="AA132" i="3"/>
  <c r="Z215" i="3"/>
  <c r="Y156" i="3"/>
  <c r="AB145" i="3"/>
  <c r="AC204" i="3"/>
  <c r="AC200" i="3"/>
  <c r="AB141" i="3"/>
  <c r="Z213" i="3"/>
  <c r="Y154" i="3"/>
  <c r="AB193" i="3"/>
  <c r="AA134" i="3"/>
  <c r="AA126" i="3"/>
  <c r="AA186" i="3" s="1"/>
  <c r="AB187" i="3"/>
  <c r="AA128" i="3"/>
  <c r="AB143" i="3"/>
  <c r="AC202" i="3"/>
  <c r="AC198" i="3"/>
  <c r="AB139" i="3"/>
  <c r="Z211" i="3"/>
  <c r="Y152" i="3"/>
  <c r="Y158" i="3"/>
  <c r="Y218" i="3" s="1"/>
  <c r="Z217" i="3"/>
  <c r="AA124" i="3"/>
  <c r="AB183" i="3"/>
  <c r="AA122" i="3"/>
  <c r="AB137" i="3"/>
  <c r="Y212" i="3" l="1"/>
  <c r="X153" i="3"/>
  <c r="AA146" i="3"/>
  <c r="AB205" i="3"/>
  <c r="AA184" i="3"/>
  <c r="Z125" i="3"/>
  <c r="AA144" i="3"/>
  <c r="AB203" i="3"/>
  <c r="AA194" i="3"/>
  <c r="AB201" i="3"/>
  <c r="AA142" i="3"/>
  <c r="X157" i="3"/>
  <c r="X217" i="3" s="1"/>
  <c r="Y216" i="3"/>
  <c r="AA190" i="3"/>
  <c r="Z131" i="3"/>
  <c r="AB199" i="3"/>
  <c r="AA140" i="3"/>
  <c r="Z127" i="3"/>
  <c r="Z187" i="3" s="1"/>
  <c r="AA188" i="3"/>
  <c r="Z129" i="3"/>
  <c r="AA136" i="3"/>
  <c r="AA196" i="3" s="1"/>
  <c r="AB197" i="3"/>
  <c r="AA138" i="3"/>
  <c r="Z123" i="3"/>
  <c r="AA182" i="3"/>
  <c r="Z121" i="3"/>
  <c r="Y214" i="3"/>
  <c r="X155" i="3"/>
  <c r="AA192" i="3"/>
  <c r="Z133" i="3"/>
  <c r="X151" i="3"/>
  <c r="Y210" i="3"/>
  <c r="Z137" i="3" l="1"/>
  <c r="AA198" i="3"/>
  <c r="Z139" i="3"/>
  <c r="Z193" i="3"/>
  <c r="Y122" i="3"/>
  <c r="Z181" i="3"/>
  <c r="Z145" i="3"/>
  <c r="AA204" i="3"/>
  <c r="Z147" i="3"/>
  <c r="AA206" i="3"/>
  <c r="AA202" i="3"/>
  <c r="Z143" i="3"/>
  <c r="AA200" i="3"/>
  <c r="Z141" i="3"/>
  <c r="Z135" i="3"/>
  <c r="Z195" i="3" s="1"/>
  <c r="Z185" i="3"/>
  <c r="Y126" i="3"/>
  <c r="X213" i="3"/>
  <c r="W154" i="3"/>
  <c r="X211" i="3"/>
  <c r="W152" i="3"/>
  <c r="Z191" i="3"/>
  <c r="Y132" i="3"/>
  <c r="W156" i="3"/>
  <c r="W216" i="3" s="1"/>
  <c r="X215" i="3"/>
  <c r="Z183" i="3"/>
  <c r="Y124" i="3"/>
  <c r="Y128" i="3"/>
  <c r="Z189" i="3"/>
  <c r="Y130" i="3"/>
  <c r="Y146" i="3" l="1"/>
  <c r="Z205" i="3"/>
  <c r="Y134" i="3"/>
  <c r="Y190" i="3"/>
  <c r="X131" i="3"/>
  <c r="Z201" i="3"/>
  <c r="Y142" i="3"/>
  <c r="Y138" i="3"/>
  <c r="Z199" i="3"/>
  <c r="Y140" i="3"/>
  <c r="X125" i="3"/>
  <c r="X185" i="3" s="1"/>
  <c r="Y184" i="3"/>
  <c r="V155" i="3"/>
  <c r="V215" i="3" s="1"/>
  <c r="W214" i="3"/>
  <c r="Y186" i="3"/>
  <c r="X127" i="3"/>
  <c r="Y148" i="3"/>
  <c r="Z207" i="3"/>
  <c r="Y182" i="3"/>
  <c r="X123" i="3"/>
  <c r="X133" i="3"/>
  <c r="Y192" i="3"/>
  <c r="W212" i="3"/>
  <c r="V153" i="3"/>
  <c r="Y188" i="3"/>
  <c r="X129" i="3"/>
  <c r="Y144" i="3"/>
  <c r="Z203" i="3"/>
  <c r="Y136" i="3"/>
  <c r="Y196" i="3" s="1"/>
  <c r="Z197" i="3"/>
  <c r="W124" i="3" l="1"/>
  <c r="X183" i="3"/>
  <c r="X137" i="3"/>
  <c r="Y198" i="3"/>
  <c r="X139" i="3"/>
  <c r="X145" i="3"/>
  <c r="Y204" i="3"/>
  <c r="X143" i="3"/>
  <c r="Y202" i="3"/>
  <c r="Y194" i="3"/>
  <c r="X135" i="3"/>
  <c r="X195" i="3" s="1"/>
  <c r="U154" i="3"/>
  <c r="U214" i="3" s="1"/>
  <c r="V213" i="3"/>
  <c r="X189" i="3"/>
  <c r="W130" i="3"/>
  <c r="Y200" i="3"/>
  <c r="X141" i="3"/>
  <c r="W126" i="3"/>
  <c r="X187" i="3"/>
  <c r="W128" i="3"/>
  <c r="W134" i="3"/>
  <c r="X193" i="3"/>
  <c r="X149" i="3"/>
  <c r="Y208" i="3"/>
  <c r="X191" i="3"/>
  <c r="W132" i="3"/>
  <c r="X147" i="3"/>
  <c r="Y206" i="3"/>
  <c r="W188" i="3" l="1"/>
  <c r="V129" i="3"/>
  <c r="W144" i="3"/>
  <c r="X203" i="3"/>
  <c r="W148" i="3"/>
  <c r="X207" i="3"/>
  <c r="W150" i="3"/>
  <c r="X209" i="3"/>
  <c r="V131" i="3"/>
  <c r="W190" i="3"/>
  <c r="W136" i="3"/>
  <c r="X197" i="3"/>
  <c r="W138" i="3"/>
  <c r="V133" i="3"/>
  <c r="W192" i="3"/>
  <c r="W186" i="3"/>
  <c r="V127" i="3"/>
  <c r="W146" i="3"/>
  <c r="X205" i="3"/>
  <c r="W194" i="3"/>
  <c r="V135" i="3"/>
  <c r="W142" i="3"/>
  <c r="X201" i="3"/>
  <c r="X199" i="3"/>
  <c r="W140" i="3"/>
  <c r="W184" i="3"/>
  <c r="V125" i="3"/>
  <c r="V185" i="3" l="1"/>
  <c r="U126" i="3"/>
  <c r="W196" i="3"/>
  <c r="V137" i="3"/>
  <c r="W210" i="3"/>
  <c r="V151" i="3"/>
  <c r="V145" i="3"/>
  <c r="W204" i="3"/>
  <c r="V143" i="3"/>
  <c r="W202" i="3"/>
  <c r="V147" i="3"/>
  <c r="W206" i="3"/>
  <c r="V193" i="3"/>
  <c r="U134" i="3"/>
  <c r="U130" i="3"/>
  <c r="V189" i="3"/>
  <c r="V141" i="3"/>
  <c r="W200" i="3"/>
  <c r="V195" i="3"/>
  <c r="U136" i="3"/>
  <c r="V187" i="3"/>
  <c r="U128" i="3"/>
  <c r="W198" i="3"/>
  <c r="V139" i="3"/>
  <c r="U132" i="3"/>
  <c r="V191" i="3"/>
  <c r="V149" i="3"/>
  <c r="W208" i="3"/>
  <c r="V197" i="3" l="1"/>
  <c r="U138" i="3"/>
  <c r="V209" i="3"/>
  <c r="U150" i="3"/>
  <c r="T131" i="3"/>
  <c r="U190" i="3"/>
  <c r="U148" i="3"/>
  <c r="V207" i="3"/>
  <c r="U146" i="3"/>
  <c r="V205" i="3"/>
  <c r="U140" i="3"/>
  <c r="V199" i="3"/>
  <c r="U194" i="3"/>
  <c r="T135" i="3"/>
  <c r="V211" i="3"/>
  <c r="U152" i="3"/>
  <c r="U186" i="3"/>
  <c r="T127" i="3"/>
  <c r="U196" i="3"/>
  <c r="T137" i="3"/>
  <c r="T129" i="3"/>
  <c r="U188" i="3"/>
  <c r="U192" i="3"/>
  <c r="T133" i="3"/>
  <c r="U142" i="3"/>
  <c r="V201" i="3"/>
  <c r="U144" i="3"/>
  <c r="V203" i="3"/>
  <c r="T193" i="3" l="1"/>
  <c r="S134" i="3"/>
  <c r="U210" i="3"/>
  <c r="T151" i="3"/>
  <c r="T145" i="3"/>
  <c r="U204" i="3"/>
  <c r="T141" i="3"/>
  <c r="U200" i="3"/>
  <c r="U208" i="3"/>
  <c r="T149" i="3"/>
  <c r="T197" i="3"/>
  <c r="S128" i="3"/>
  <c r="T187" i="3"/>
  <c r="T195" i="3"/>
  <c r="S136" i="3"/>
  <c r="T139" i="3"/>
  <c r="S138" i="3" s="1"/>
  <c r="U198" i="3"/>
  <c r="T153" i="3"/>
  <c r="T213" i="3" s="1"/>
  <c r="U212" i="3"/>
  <c r="T143" i="3"/>
  <c r="U202" i="3"/>
  <c r="S130" i="3"/>
  <c r="T189" i="3"/>
  <c r="T147" i="3"/>
  <c r="U206" i="3"/>
  <c r="T191" i="3"/>
  <c r="S132" i="3"/>
  <c r="S198" i="3" l="1"/>
  <c r="R137" i="3"/>
  <c r="S196" i="3"/>
  <c r="S190" i="3"/>
  <c r="R131" i="3"/>
  <c r="S142" i="3"/>
  <c r="T201" i="3"/>
  <c r="T209" i="3"/>
  <c r="S150" i="3"/>
  <c r="S194" i="3"/>
  <c r="R135" i="3"/>
  <c r="S192" i="3"/>
  <c r="R133" i="3"/>
  <c r="S152" i="3"/>
  <c r="S212" i="3" s="1"/>
  <c r="T211" i="3"/>
  <c r="T207" i="3"/>
  <c r="S148" i="3"/>
  <c r="S144" i="3"/>
  <c r="T203" i="3"/>
  <c r="S140" i="3"/>
  <c r="T199" i="3"/>
  <c r="R129" i="3"/>
  <c r="S188" i="3"/>
  <c r="S146" i="3"/>
  <c r="T205" i="3"/>
  <c r="S208" i="3" l="1"/>
  <c r="R149" i="3"/>
  <c r="S206" i="3"/>
  <c r="R147" i="3"/>
  <c r="Q136" i="3"/>
  <c r="R195" i="3"/>
  <c r="R189" i="3"/>
  <c r="Q130" i="3"/>
  <c r="R145" i="3"/>
  <c r="S204" i="3"/>
  <c r="R143" i="3"/>
  <c r="S202" i="3"/>
  <c r="R197" i="3"/>
  <c r="R193" i="3"/>
  <c r="Q134" i="3"/>
  <c r="R151" i="3"/>
  <c r="R211" i="3" s="1"/>
  <c r="S210" i="3"/>
  <c r="R191" i="3"/>
  <c r="Q132" i="3"/>
  <c r="R141" i="3"/>
  <c r="S200" i="3"/>
  <c r="R139" i="3"/>
  <c r="Q190" i="3" l="1"/>
  <c r="P131" i="3"/>
  <c r="Q140" i="3"/>
  <c r="R199" i="3"/>
  <c r="Q144" i="3"/>
  <c r="R203" i="3"/>
  <c r="P135" i="3"/>
  <c r="Q194" i="3"/>
  <c r="Q150" i="3"/>
  <c r="Q210" i="3" s="1"/>
  <c r="R209" i="3"/>
  <c r="Q192" i="3"/>
  <c r="P133" i="3"/>
  <c r="R207" i="3"/>
  <c r="Q148" i="3"/>
  <c r="Q142" i="3"/>
  <c r="R201" i="3"/>
  <c r="Q138" i="3"/>
  <c r="R205" i="3"/>
  <c r="Q146" i="3"/>
  <c r="P137" i="3"/>
  <c r="Q196" i="3"/>
  <c r="O134" i="3" l="1"/>
  <c r="P193" i="3"/>
  <c r="Q206" i="3"/>
  <c r="P147" i="3"/>
  <c r="P143" i="3"/>
  <c r="Q202" i="3"/>
  <c r="O136" i="3"/>
  <c r="P195" i="3"/>
  <c r="P141" i="3"/>
  <c r="Q200" i="3"/>
  <c r="P149" i="3"/>
  <c r="P209" i="3" s="1"/>
  <c r="Q208" i="3"/>
  <c r="O132" i="3"/>
  <c r="P191" i="3"/>
  <c r="P197" i="3"/>
  <c r="P139" i="3"/>
  <c r="O138" i="3" s="1"/>
  <c r="Q198" i="3"/>
  <c r="Q204" i="3"/>
  <c r="P145" i="3"/>
  <c r="O198" i="3" l="1"/>
  <c r="P205" i="3"/>
  <c r="O146" i="3"/>
  <c r="N137" i="3"/>
  <c r="O196" i="3"/>
  <c r="O148" i="3"/>
  <c r="O208" i="3" s="1"/>
  <c r="P207" i="3"/>
  <c r="O140" i="3"/>
  <c r="P199" i="3"/>
  <c r="N133" i="3"/>
  <c r="O192" i="3"/>
  <c r="O142" i="3"/>
  <c r="P201" i="3"/>
  <c r="P203" i="3"/>
  <c r="O144" i="3"/>
  <c r="N135" i="3"/>
  <c r="O194" i="3"/>
  <c r="O202" i="3" l="1"/>
  <c r="N143" i="3"/>
  <c r="N197" i="3"/>
  <c r="N147" i="3"/>
  <c r="N207" i="3" s="1"/>
  <c r="O206" i="3"/>
  <c r="M134" i="3"/>
  <c r="N193" i="3"/>
  <c r="N141" i="3"/>
  <c r="O200" i="3"/>
  <c r="O204" i="3"/>
  <c r="N145" i="3"/>
  <c r="M136" i="3"/>
  <c r="N195" i="3"/>
  <c r="N139" i="3"/>
  <c r="M146" i="3" l="1"/>
  <c r="M206" i="3" s="1"/>
  <c r="N205" i="3"/>
  <c r="M140" i="3"/>
  <c r="N199" i="3"/>
  <c r="L135" i="3"/>
  <c r="M194" i="3"/>
  <c r="M138" i="3"/>
  <c r="N203" i="3"/>
  <c r="M144" i="3"/>
  <c r="L137" i="3"/>
  <c r="M196" i="3"/>
  <c r="N201" i="3"/>
  <c r="M142" i="3"/>
  <c r="L139" i="3" l="1"/>
  <c r="M198" i="3"/>
  <c r="L141" i="3"/>
  <c r="K138" i="3"/>
  <c r="L197" i="3"/>
  <c r="M202" i="3"/>
  <c r="L143" i="3"/>
  <c r="L145" i="3"/>
  <c r="L205" i="3" s="1"/>
  <c r="M204" i="3"/>
  <c r="K136" i="3"/>
  <c r="L195" i="3"/>
  <c r="L201" i="3" l="1"/>
  <c r="K142" i="3"/>
  <c r="K196" i="3"/>
  <c r="K144" i="3"/>
  <c r="K204" i="3" s="1"/>
  <c r="L203" i="3"/>
  <c r="K198" i="3"/>
  <c r="L199" i="3"/>
  <c r="K140" i="3"/>
  <c r="J139" i="3" s="1"/>
  <c r="J199" i="3" l="1"/>
  <c r="J197" i="3"/>
  <c r="I138" i="3"/>
  <c r="K200" i="3"/>
  <c r="J141" i="3"/>
  <c r="J143" i="3"/>
  <c r="J203" i="3" s="1"/>
  <c r="K202" i="3"/>
  <c r="I142" i="3" l="1"/>
  <c r="I202" i="3" s="1"/>
  <c r="J201" i="3"/>
  <c r="I198" i="3"/>
  <c r="I140" i="3"/>
  <c r="H139" i="3" s="1"/>
  <c r="H199" i="3" l="1"/>
  <c r="I200" i="3"/>
  <c r="H141" i="3"/>
  <c r="H201" i="3" s="1"/>
  <c r="G200" i="3" l="1"/>
  <c r="E9" i="15" l="1"/>
</calcChain>
</file>

<file path=xl/comments1.xml><?xml version="1.0" encoding="utf-8"?>
<comments xmlns="http://schemas.openxmlformats.org/spreadsheetml/2006/main">
  <authors>
    <author>Hookyplayer</author>
  </authors>
  <commentList>
    <comment ref="A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quit</t>
        </r>
      </text>
    </comment>
  </commentList>
</comments>
</file>

<file path=xl/comments2.xml><?xml version="1.0" encoding="utf-8"?>
<comments xmlns="http://schemas.openxmlformats.org/spreadsheetml/2006/main">
  <authors>
    <author>Hookyplayer</author>
  </authors>
  <commentList>
    <comment ref="D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值par amount 100 at maturity</t>
        </r>
      </text>
    </comment>
    <comment ref="D10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F（1，1）</t>
        </r>
      </text>
    </comment>
  </commentList>
</comments>
</file>

<file path=xl/comments3.xml><?xml version="1.0" encoding="utf-8"?>
<comments xmlns="http://schemas.openxmlformats.org/spreadsheetml/2006/main">
  <authors>
    <author>Hookyplayer</author>
  </authors>
  <commentList>
    <comment ref="C1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red left on deck
</t>
        </r>
      </text>
    </comment>
    <comment ref="C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position value already known
</t>
        </r>
      </text>
    </comment>
    <comment ref="A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black left on deck</t>
        </r>
      </text>
    </comment>
    <comment ref="B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value already known
</t>
        </r>
      </text>
    </comment>
  </commentList>
</comments>
</file>

<file path=xl/comments4.xml><?xml version="1.0" encoding="utf-8"?>
<comments xmlns="http://schemas.openxmlformats.org/spreadsheetml/2006/main">
  <authors>
    <author>Hookyplayer</author>
  </authors>
  <commentList>
    <comment ref="A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geomatric</t>
        </r>
      </text>
    </comment>
  </commentList>
</comments>
</file>

<file path=xl/comments5.xml><?xml version="1.0" encoding="utf-8"?>
<comments xmlns="http://schemas.openxmlformats.org/spreadsheetml/2006/main">
  <authors>
    <author>Hookyplayer</author>
  </authors>
  <commentList>
    <comment ref="B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bigger than interest rate, to offer option of prepayment</t>
        </r>
      </text>
    </comment>
    <comment ref="B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scheduled balance reduction (principal)</t>
        </r>
      </text>
    </comment>
    <comment ref="D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start owe bank 100</t>
        </r>
      </text>
    </comment>
    <comment ref="B11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mortgage is like contract (have the right of perpetually borrow at 7%) yearly (pray for market interest rate grow up e.g.12% such that I borrow at 7% but invest 12%), at a smaller amount</t>
        </r>
      </text>
    </comment>
    <comment ref="B1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scheduled reduction on remaining balance
</t>
        </r>
      </text>
    </comment>
    <comment ref="D1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to write down 
the remaining balance</t>
        </r>
      </text>
    </comment>
  </commentList>
</comments>
</file>

<file path=xl/comments6.xml><?xml version="1.0" encoding="utf-8"?>
<comments xmlns="http://schemas.openxmlformats.org/spreadsheetml/2006/main">
  <authors>
    <author>Hookyplayer</author>
  </authors>
  <commentList>
    <comment ref="B17" authorId="0" shapeId="0">
      <text>
        <r>
          <rPr>
            <b/>
            <sz val="9"/>
            <color indexed="81"/>
            <rFont val="宋体"/>
          </rPr>
          <t xml:space="preserve">Hookyplayer:
</t>
        </r>
        <r>
          <rPr>
            <sz val="9"/>
            <color indexed="81"/>
            <rFont val="宋体"/>
          </rPr>
          <t xml:space="preserve"> return on the index (consider dividend)</t>
        </r>
      </text>
    </comment>
    <comment ref="B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CAPM
</t>
        </r>
      </text>
    </comment>
    <comment ref="P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clsoe position</t>
        </r>
      </text>
    </comment>
    <comment ref="R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stack and roll
</t>
        </r>
      </text>
    </comment>
    <comment ref="B20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是否独立于index变化，用以衡量对冲的效率</t>
        </r>
      </text>
    </comment>
  </commentList>
</comments>
</file>

<file path=xl/comments7.xml><?xml version="1.0" encoding="utf-8"?>
<comments xmlns="http://schemas.openxmlformats.org/spreadsheetml/2006/main">
  <authors>
    <author>Hookyplayer</author>
  </authors>
  <commentList>
    <comment ref="D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3m bond with no coupons, turn 99.6 into 100 in 3m</t>
        </r>
      </text>
    </comment>
    <comment ref="G10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Linear approximation, but spline function is more accurate (polynomial or exponential)</t>
        </r>
      </text>
    </comment>
    <comment ref="C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risk-free rates to value derivatives, exchange fixed rate for floating rate.
Floatign rate: assume invest at very low risk overnight rate, reinvest the proceeds each day.</t>
        </r>
      </text>
    </comment>
    <comment ref="E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不会算</t>
        </r>
      </text>
    </comment>
    <comment ref="C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2y bond with principal 100, coupon 3% per year($0.75 every 3m)assumed worth $100</t>
        </r>
      </text>
    </comment>
    <comment ref="C1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5y bond with principal 100, coupon 4% per year($1 every 3m)also assumed worth $100</t>
        </r>
      </text>
    </comment>
    <comment ref="D2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In return for $100 investment today, 103.05 is to be received in 1 year.</t>
        </r>
      </text>
    </comment>
    <comment ref="C2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FRA quotes be used to obtain short-maturity forward LIBOR rates directly, but swap quotes must be used for </t>
        </r>
        <r>
          <rPr>
            <b/>
            <sz val="9"/>
            <color indexed="81"/>
            <rFont val="宋体"/>
          </rPr>
          <t xml:space="preserve">long-term </t>
        </r>
        <r>
          <rPr>
            <sz val="9"/>
            <color indexed="81"/>
            <rFont val="宋体"/>
          </rPr>
          <t>maturities.</t>
        </r>
      </text>
    </comment>
    <comment ref="E3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用OIS discount</t>
        </r>
      </text>
    </comment>
    <comment ref="D3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between 6- to 12-month period, with semiannual compounding</t>
        </r>
      </text>
    </comment>
    <comment ref="D3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for the swap payment sum to be worth zero</t>
        </r>
      </text>
    </comment>
  </commentList>
</comments>
</file>

<file path=xl/comments8.xml><?xml version="1.0" encoding="utf-8"?>
<comments xmlns="http://schemas.openxmlformats.org/spreadsheetml/2006/main">
  <authors>
    <author>Hookyplayer</author>
  </authors>
  <commentList>
    <comment ref="D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Bond price (initial)
</t>
        </r>
      </text>
    </comment>
    <comment ref="E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comparison with E14
</t>
        </r>
      </text>
    </comment>
    <comment ref="G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(1) duration, a measure of how long the holder has to wait before receiving the pv of cash payments;
(2) n-year zero-coupon bond has duration of n;
(3)</t>
        </r>
        <r>
          <rPr>
            <b/>
            <sz val="9"/>
            <color indexed="81"/>
            <rFont val="宋体"/>
          </rPr>
          <t xml:space="preserve"> coupon bearing bonds have less than n duration;</t>
        </r>
      </text>
    </comment>
    <comment ref="K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Bond price (initial)
</t>
        </r>
      </text>
    </comment>
    <comment ref="L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comparison with E14
</t>
        </r>
      </text>
    </comment>
    <comment ref="N1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(1) duration, a measure of how long the holder has to wait before receiving the pv of cash payments;
(2) n-year zero-coupon bond has duration of n;
(3)</t>
        </r>
        <r>
          <rPr>
            <b/>
            <sz val="9"/>
            <color indexed="81"/>
            <rFont val="宋体"/>
          </rPr>
          <t xml:space="preserve"> coupon bearing bonds have less than n duration;</t>
        </r>
      </text>
    </comment>
    <comment ref="E1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new bond price</t>
        </r>
      </text>
    </comment>
    <comment ref="L1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new bond price</t>
        </r>
      </text>
    </comment>
  </commentList>
</comments>
</file>

<file path=xl/comments9.xml><?xml version="1.0" encoding="utf-8"?>
<comments xmlns="http://schemas.openxmlformats.org/spreadsheetml/2006/main">
  <authors>
    <author>Hookyplayer</author>
  </authors>
  <commentList>
    <comment ref="C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remaining life of swap = 1.25</t>
        </r>
      </text>
    </comment>
    <comment ref="F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forward rate for each forward payment is calculated from forward curve</t>
        </r>
      </text>
    </comment>
    <comment ref="F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此处非计算得来，而是0.25年前决定的</t>
        </r>
      </text>
    </comment>
    <comment ref="E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LIBOR for 3- to 9-month</t>
        </r>
      </text>
    </comment>
    <comment ref="F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the 3- to 9-month forward rate with semiannual compounding</t>
        </r>
      </text>
    </comment>
    <comment ref="E10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LIBOR for 9- to 15-month</t>
        </r>
      </text>
    </comment>
    <comment ref="D1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rf</t>
        </r>
      </text>
    </comment>
    <comment ref="D16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r</t>
        </r>
      </text>
    </comment>
    <comment ref="C1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calculation in perspective of broker</t>
        </r>
      </text>
    </comment>
    <comment ref="F1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payer of higher interest currency in early dates has negative CF</t>
        </r>
      </text>
    </comment>
    <comment ref="C37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swap spread to indicate credit risk</t>
        </r>
      </text>
    </comment>
    <comment ref="C3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discount factor, implied by spot curve</t>
        </r>
      </text>
    </comment>
    <comment ref="F3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面值1</t>
        </r>
      </text>
    </comment>
    <comment ref="C4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matures on July 2 2015,
evaluated on July 12 2012
twice in a year payment</t>
        </r>
      </text>
    </comment>
    <comment ref="D4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coupon rate,i.e.,
1 5/8%</t>
        </r>
      </text>
    </comment>
    <comment ref="C5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 (including accrued interest)</t>
        </r>
      </text>
    </comment>
    <comment ref="B66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from implied spot curve</t>
        </r>
      </text>
    </comment>
    <comment ref="D7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such that equals current market price</t>
        </r>
      </text>
    </comment>
  </commentList>
</comments>
</file>

<file path=xl/comments10.xml><?xml version="1.0" encoding="utf-8"?>
<comments xmlns="http://schemas.openxmlformats.org/spreadsheetml/2006/main">
  <authors>
    <author>Hookyplayer</author>
  </authors>
  <commentList>
    <comment ref="E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loss will exceed 1324621 once every 100 10day periods;
等价于——
若250交易日/年，每4年1000个交易日，1324621是每1000个交易日出现一次
</t>
        </r>
      </text>
    </comment>
    <comment ref="D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变化</t>
        </r>
      </text>
    </comment>
    <comment ref="F18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default is binomial event</t>
        </r>
      </text>
    </comment>
  </commentList>
</comments>
</file>

<file path=xl/comments11.xml><?xml version="1.0" encoding="utf-8"?>
<comments xmlns="http://schemas.openxmlformats.org/spreadsheetml/2006/main">
  <authors>
    <author>Hookyplayer</author>
  </authors>
  <commentList>
    <comment ref="C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par value
5% Coupon rate
100 million
</t>
        </r>
      </text>
    </comment>
    <comment ref="D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par value
3.5% Coupon rate
100 million</t>
        </r>
      </text>
    </comment>
    <comment ref="H2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for zero coupon</t>
        </r>
      </text>
    </comment>
    <comment ref="B6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weighted average life for portfolio = 3, both bonds weights = 50%, 
0.5*1+0.5*5 = 3</t>
        </r>
      </text>
    </comment>
    <comment ref="G6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total portfolio value of 200 在average life</t>
        </r>
      </text>
    </comment>
    <comment ref="G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2.968 million</t>
        </r>
      </text>
    </comment>
    <comment ref="J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Macaulay duration
</t>
        </r>
      </text>
    </comment>
    <comment ref="K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undiversified VaR, assuming five zero-coupon bonds perfectly correlated</t>
        </r>
      </text>
    </comment>
    <comment ref="G24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VaR percentage movement, 95% confidence for zero couon bond</t>
        </r>
      </text>
    </comment>
    <comment ref="I25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there's 95% probability that one year zero bond fall to 0.9616
</t>
        </r>
      </text>
    </comment>
    <comment ref="B3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equivalent to borrow 100 million for 6m, and invest the proceeds at 12m
</t>
        </r>
      </text>
    </comment>
    <comment ref="J35" authorId="0" shapeId="0">
      <text>
        <r>
          <rPr>
            <b/>
            <sz val="9"/>
            <color indexed="81"/>
            <rFont val="宋体"/>
          </rPr>
          <t>不会算</t>
        </r>
      </text>
    </comment>
    <comment ref="C36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pv of notional 100million FRA contract</t>
        </r>
      </text>
    </comment>
  </commentList>
</comments>
</file>

<file path=xl/comments12.xml><?xml version="1.0" encoding="utf-8"?>
<comments xmlns="http://schemas.openxmlformats.org/spreadsheetml/2006/main">
  <authors>
    <author>Hookyplayer</author>
  </authors>
  <commentList>
    <comment ref="C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market value weight</t>
        </r>
      </text>
    </comment>
    <comment ref="H3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zero coupon bond portfolio weights</t>
        </r>
      </text>
    </comment>
    <comment ref="O19" authorId="0" shapeId="0">
      <text>
        <r>
          <rPr>
            <b/>
            <sz val="9"/>
            <color indexed="81"/>
            <rFont val="宋体"/>
          </rPr>
          <t>Hookyplayer:</t>
        </r>
        <r>
          <rPr>
            <sz val="9"/>
            <color indexed="81"/>
            <rFont val="宋体"/>
          </rPr>
          <t xml:space="preserve">
不会算</t>
        </r>
      </text>
    </comment>
  </commentList>
</comments>
</file>

<file path=xl/sharedStrings.xml><?xml version="1.0" encoding="utf-8"?>
<sst xmlns="http://schemas.openxmlformats.org/spreadsheetml/2006/main" count="406" uniqueCount="370">
  <si>
    <t>end of deck</t>
    <phoneticPr fontId="1" type="noConversion"/>
  </si>
  <si>
    <t>v(b,r)</t>
    <phoneticPr fontId="1" type="noConversion"/>
  </si>
  <si>
    <t>v(1,0)</t>
    <phoneticPr fontId="1" type="noConversion"/>
  </si>
  <si>
    <t>v(2,0)</t>
    <phoneticPr fontId="1" type="noConversion"/>
  </si>
  <si>
    <t>v(0,1)</t>
    <phoneticPr fontId="1" type="noConversion"/>
  </si>
  <si>
    <t>v(0,2)</t>
    <phoneticPr fontId="1" type="noConversion"/>
  </si>
  <si>
    <t>Max(0,(b/(b+r))*(1+v(b-1,r))+(b/(b+r))*(-1+v(b,r-1)))</t>
    <phoneticPr fontId="1" type="noConversion"/>
  </si>
  <si>
    <t>yr</t>
    <phoneticPr fontId="1" type="noConversion"/>
  </si>
  <si>
    <t>c</t>
    <phoneticPr fontId="1" type="noConversion"/>
  </si>
  <si>
    <t>maturity</t>
    <phoneticPr fontId="1" type="noConversion"/>
  </si>
  <si>
    <t>remaining principal</t>
    <phoneticPr fontId="1" type="noConversion"/>
  </si>
  <si>
    <t>interest rate</t>
    <phoneticPr fontId="1" type="noConversion"/>
  </si>
  <si>
    <t>sigma(volatility)</t>
    <phoneticPr fontId="1" type="noConversion"/>
  </si>
  <si>
    <t>drift</t>
    <phoneticPr fontId="1" type="noConversion"/>
  </si>
  <si>
    <t xml:space="preserve">interest rate </t>
    <phoneticPr fontId="1" type="noConversion"/>
  </si>
  <si>
    <t>up multiplier</t>
    <phoneticPr fontId="1" type="noConversion"/>
  </si>
  <si>
    <t>down multiplier</t>
    <phoneticPr fontId="1" type="noConversion"/>
  </si>
  <si>
    <t>non-callable</t>
    <phoneticPr fontId="1" type="noConversion"/>
  </si>
  <si>
    <t>value of callable bond</t>
    <phoneticPr fontId="1" type="noConversion"/>
  </si>
  <si>
    <t>min(remaining principal, value of non-callable)</t>
    <phoneticPr fontId="1" type="noConversion"/>
  </si>
  <si>
    <t>callable</t>
    <phoneticPr fontId="1" type="noConversion"/>
  </si>
  <si>
    <t>yr</t>
    <phoneticPr fontId="1" type="noConversion"/>
  </si>
  <si>
    <t>discount</t>
    <phoneticPr fontId="1" type="noConversion"/>
  </si>
  <si>
    <t>B2</t>
  </si>
  <si>
    <t>B0</t>
    <phoneticPr fontId="1" type="noConversion"/>
  </si>
  <si>
    <t>B1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</si>
  <si>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</si>
  <si>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</si>
  <si>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</si>
  <si>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</si>
  <si>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</si>
  <si>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</si>
  <si>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</si>
  <si>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</si>
  <si>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</si>
  <si>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</si>
  <si>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</si>
  <si>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</si>
  <si>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</si>
  <si>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</si>
  <si>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</si>
  <si>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</si>
  <si>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</si>
  <si>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</si>
  <si>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</si>
  <si>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</si>
  <si>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</si>
  <si>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</si>
  <si>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</si>
  <si>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</si>
  <si>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</si>
  <si>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</si>
  <si>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</si>
  <si>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</si>
  <si>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</t>
    <phoneticPr fontId="1" type="noConversion"/>
  </si>
  <si>
    <t>interest rate</t>
    <phoneticPr fontId="1" type="noConversion"/>
  </si>
  <si>
    <t>extra payments</t>
    <phoneticPr fontId="1" type="noConversion"/>
  </si>
  <si>
    <t>Bt-Bt-1</t>
    <phoneticPr fontId="1" type="noConversion"/>
  </si>
  <si>
    <t>owe bank</t>
    <phoneticPr fontId="1" type="noConversion"/>
  </si>
  <si>
    <t>borrowed amount</t>
    <phoneticPr fontId="1" type="noConversion"/>
  </si>
  <si>
    <t>remaining balance</t>
    <phoneticPr fontId="1" type="noConversion"/>
  </si>
  <si>
    <t>r</t>
    <phoneticPr fontId="1" type="noConversion"/>
  </si>
  <si>
    <t>b*c</t>
    <phoneticPr fontId="1" type="noConversion"/>
  </si>
  <si>
    <t>r*c</t>
    <phoneticPr fontId="1" type="noConversion"/>
  </si>
  <si>
    <t>interest on remaining principal</t>
    <phoneticPr fontId="1" type="noConversion"/>
  </si>
  <si>
    <t>growing rate of amortization</t>
    <phoneticPr fontId="1" type="noConversion"/>
  </si>
  <si>
    <t>payment</t>
    <phoneticPr fontId="1" type="noConversion"/>
  </si>
  <si>
    <t>coupon (mortgage rate)</t>
    <phoneticPr fontId="1" type="noConversion"/>
  </si>
  <si>
    <t>prepayrment = refinancing option</t>
    <phoneticPr fontId="1" type="noConversion"/>
  </si>
  <si>
    <t>return on market</t>
    <phoneticPr fontId="1" type="noConversion"/>
  </si>
  <si>
    <t>Total value of position in 3m</t>
    <phoneticPr fontId="1" type="noConversion"/>
  </si>
  <si>
    <r>
      <rPr>
        <b/>
        <sz val="12"/>
        <color theme="1"/>
        <rFont val="Garamond Premr Pro"/>
        <family val="1"/>
      </rPr>
      <t>futures price</t>
    </r>
    <r>
      <rPr>
        <sz val="12"/>
        <color theme="1"/>
        <rFont val="Garamond Premr Pro"/>
        <family val="2"/>
        <charset val="134"/>
      </rPr>
      <t xml:space="preserve"> of index in 3m</t>
    </r>
    <phoneticPr fontId="1" type="noConversion"/>
  </si>
  <si>
    <r>
      <rPr>
        <b/>
        <sz val="12"/>
        <color theme="1"/>
        <rFont val="Garamond Premr Pro"/>
        <family val="1"/>
      </rPr>
      <t>futures price</t>
    </r>
    <r>
      <rPr>
        <sz val="12"/>
        <color theme="1"/>
        <rFont val="Garamond Premr Pro"/>
        <family val="2"/>
        <charset val="134"/>
      </rPr>
      <t xml:space="preserve"> of index today</t>
    </r>
    <phoneticPr fontId="1" type="noConversion"/>
  </si>
  <si>
    <t>A futures contract with 4m maturity be used to hedge the V(portfolio) over next 3m</t>
    <phoneticPr fontId="1" type="noConversion"/>
  </si>
  <si>
    <t>r (per annum)</t>
    <phoneticPr fontId="1" type="noConversion"/>
  </si>
  <si>
    <t>dividend yield on index (per annum)</t>
    <phoneticPr fontId="1" type="noConversion"/>
  </si>
  <si>
    <t>beta</t>
    <phoneticPr fontId="1" type="noConversion"/>
  </si>
  <si>
    <t>value of index in 3m</t>
    <phoneticPr fontId="1" type="noConversion"/>
  </si>
  <si>
    <t>times the index</t>
    <phoneticPr fontId="1" type="noConversion"/>
  </si>
  <si>
    <t>each contract is on ($):</t>
    <phoneticPr fontId="1" type="noConversion"/>
  </si>
  <si>
    <t>V(F)</t>
    <phoneticPr fontId="1" type="noConversion"/>
  </si>
  <si>
    <t>V(A)</t>
    <phoneticPr fontId="1" type="noConversion"/>
  </si>
  <si>
    <t>index level</t>
    <phoneticPr fontId="1" type="noConversion"/>
  </si>
  <si>
    <t>loss on the index</t>
    <phoneticPr fontId="1" type="noConversion"/>
  </si>
  <si>
    <r>
      <t xml:space="preserve">gain on </t>
    </r>
    <r>
      <rPr>
        <b/>
        <sz val="12"/>
        <color theme="1"/>
        <rFont val="Garamond Premr Pro"/>
        <family val="1"/>
      </rPr>
      <t>futures</t>
    </r>
    <r>
      <rPr>
        <sz val="12"/>
        <color theme="1"/>
        <rFont val="Garamond Premr Pro"/>
        <family val="2"/>
        <charset val="134"/>
      </rPr>
      <t xml:space="preserve"> position ($)</t>
    </r>
    <phoneticPr fontId="1" type="noConversion"/>
  </si>
  <si>
    <t>(per 3m)</t>
    <phoneticPr fontId="1" type="noConversion"/>
  </si>
  <si>
    <t>E(return on portfolio)</t>
    <phoneticPr fontId="1" type="noConversion"/>
  </si>
  <si>
    <t>E(portfolio value in 3m)</t>
    <phoneticPr fontId="1" type="noConversion"/>
  </si>
  <si>
    <t># of contracts needed</t>
    <phoneticPr fontId="1" type="noConversion"/>
  </si>
  <si>
    <t>shares</t>
    <phoneticPr fontId="1" type="noConversion"/>
  </si>
  <si>
    <t>stock</t>
    <phoneticPr fontId="1" type="noConversion"/>
  </si>
  <si>
    <t>long</t>
    <phoneticPr fontId="1" type="noConversion"/>
  </si>
  <si>
    <t>each worth $</t>
    <phoneticPr fontId="1" type="noConversion"/>
  </si>
  <si>
    <t>beta of stock</t>
    <phoneticPr fontId="1" type="noConversion"/>
  </si>
  <si>
    <t>April</t>
    <phoneticPr fontId="1" type="noConversion"/>
  </si>
  <si>
    <t xml:space="preserve">May 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</si>
  <si>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</si>
  <si>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</si>
  <si>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</si>
  <si>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times the index</t>
    <phoneticPr fontId="1" type="noConversion"/>
  </si>
  <si>
    <t>each contract for delivery of ($):</t>
    <phoneticPr fontId="1" type="noConversion"/>
  </si>
  <si>
    <t>V(A)</t>
    <phoneticPr fontId="1" type="noConversion"/>
  </si>
  <si>
    <t>V(F)</t>
    <phoneticPr fontId="1" type="noConversion"/>
  </si>
  <si>
    <t># of contract needed</t>
    <phoneticPr fontId="1" type="noConversion"/>
  </si>
  <si>
    <t>short</t>
    <phoneticPr fontId="1" type="noConversion"/>
  </si>
  <si>
    <t>futures price in April for:</t>
    <phoneticPr fontId="1" type="noConversion"/>
  </si>
  <si>
    <t>short</t>
    <phoneticPr fontId="1" type="noConversion"/>
  </si>
  <si>
    <t>long</t>
    <phoneticPr fontId="1" type="noConversion"/>
  </si>
  <si>
    <t>…</t>
    <phoneticPr fontId="1" type="noConversion"/>
  </si>
  <si>
    <t>to determine zero rates</t>
    <phoneticPr fontId="1" type="noConversion"/>
  </si>
  <si>
    <t>bond principal</t>
    <phoneticPr fontId="1" type="noConversion"/>
  </si>
  <si>
    <t>annual coupon</t>
    <phoneticPr fontId="1" type="noConversion"/>
  </si>
  <si>
    <t>bond price</t>
    <phoneticPr fontId="1" type="noConversion"/>
  </si>
  <si>
    <t>bond yield</t>
    <phoneticPr fontId="1" type="noConversion"/>
  </si>
  <si>
    <t>ttm</t>
    <phoneticPr fontId="1" type="noConversion"/>
  </si>
  <si>
    <t>Q</t>
    <phoneticPr fontId="1" type="noConversion"/>
  </si>
  <si>
    <t>SA</t>
    <phoneticPr fontId="1" type="noConversion"/>
  </si>
  <si>
    <t>A</t>
    <phoneticPr fontId="1" type="noConversion"/>
  </si>
  <si>
    <t>SA</t>
    <phoneticPr fontId="1" type="noConversion"/>
  </si>
  <si>
    <t>SA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</si>
  <si>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</si>
  <si>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</si>
  <si>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</si>
  <si>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12M</t>
    <phoneticPr fontId="1" type="noConversion"/>
  </si>
  <si>
    <t>2Y</t>
    <phoneticPr fontId="1" type="noConversion"/>
  </si>
  <si>
    <t>5Y</t>
    <phoneticPr fontId="1" type="noConversion"/>
  </si>
  <si>
    <t>monthly</t>
    <phoneticPr fontId="1" type="noConversion"/>
  </si>
  <si>
    <t>quarterly</t>
    <phoneticPr fontId="1" type="noConversion"/>
  </si>
  <si>
    <t>semiannually</t>
    <phoneticPr fontId="1" type="noConversion"/>
  </si>
  <si>
    <t>annually</t>
    <phoneticPr fontId="1" type="noConversion"/>
  </si>
  <si>
    <t>quarterly</t>
    <phoneticPr fontId="1" type="noConversion"/>
  </si>
  <si>
    <t>quarterly</t>
    <phoneticPr fontId="1" type="noConversion"/>
  </si>
  <si>
    <t>Compounding 
frequency</t>
    <phoneticPr fontId="1" type="noConversion"/>
  </si>
  <si>
    <t>zero rate</t>
    <phoneticPr fontId="1" type="noConversion"/>
  </si>
  <si>
    <t>OIS (overnight
 interest swap)</t>
    <phoneticPr fontId="1" type="noConversion"/>
  </si>
  <si>
    <t>year</t>
    <phoneticPr fontId="1" type="noConversion"/>
  </si>
  <si>
    <t>forward rate calculation</t>
    <phoneticPr fontId="1" type="noConversion"/>
  </si>
  <si>
    <t>using forward rate</t>
    <phoneticPr fontId="1" type="noConversion"/>
  </si>
  <si>
    <t>using zero rate</t>
    <phoneticPr fontId="1" type="noConversion"/>
  </si>
  <si>
    <t>forward rate for
n-th year
(per annum)</t>
    <phoneticPr fontId="1" type="noConversion"/>
  </si>
  <si>
    <t>zero rate for 
n-year investment
(per annum)</t>
    <phoneticPr fontId="1" type="noConversion"/>
  </si>
  <si>
    <t>CF ($)</t>
    <phoneticPr fontId="1" type="noConversion"/>
  </si>
  <si>
    <t>PV</t>
    <phoneticPr fontId="1" type="noConversion"/>
  </si>
  <si>
    <t>weight</t>
    <phoneticPr fontId="1" type="noConversion"/>
  </si>
  <si>
    <t>3y</t>
    <phoneticPr fontId="1" type="noConversion"/>
  </si>
  <si>
    <t>face value ($)</t>
    <phoneticPr fontId="1" type="noConversion"/>
  </si>
  <si>
    <t>time (year)</t>
    <phoneticPr fontId="1" type="noConversion"/>
  </si>
  <si>
    <t>coupon</t>
    <phoneticPr fontId="1" type="noConversion"/>
  </si>
  <si>
    <t>yield</t>
    <phoneticPr fontId="1" type="noConversion"/>
  </si>
  <si>
    <t>B</t>
    <phoneticPr fontId="1" type="noConversion"/>
  </si>
  <si>
    <t>∆B=(dB/dy)∆y</t>
    <phoneticPr fontId="1" type="noConversion"/>
  </si>
  <si>
    <t>y</t>
    <phoneticPr fontId="1" type="noConversion"/>
  </si>
  <si>
    <r>
      <t>D=(</t>
    </r>
    <r>
      <rPr>
        <b/>
        <sz val="12"/>
        <color theme="1"/>
        <rFont val="FangSong"/>
        <family val="3"/>
        <charset val="134"/>
      </rPr>
      <t>∑</t>
    </r>
    <r>
      <rPr>
        <b/>
        <sz val="12"/>
        <color theme="1"/>
        <rFont val="Garamond Premr Pro"/>
        <family val="1"/>
      </rPr>
      <t>t*c*exp(-yt))/B</t>
    </r>
    <phoneticPr fontId="1" type="noConversion"/>
  </si>
  <si>
    <r>
      <t>∆B=</t>
    </r>
    <r>
      <rPr>
        <b/>
        <sz val="12"/>
        <color theme="1"/>
        <rFont val="FangSong"/>
        <family val="3"/>
        <charset val="134"/>
      </rPr>
      <t>∑</t>
    </r>
    <r>
      <rPr>
        <b/>
        <sz val="12"/>
        <color theme="1"/>
        <rFont val="Garamond Premr Pro"/>
        <family val="1"/>
      </rPr>
      <t>t*c*exp(-yt)</t>
    </r>
    <r>
      <rPr>
        <b/>
        <sz val="12"/>
        <color rgb="FFFF0000"/>
        <rFont val="Garamond Premr Pro"/>
        <family val="1"/>
      </rPr>
      <t>(-∆y)</t>
    </r>
    <phoneticPr fontId="1" type="noConversion"/>
  </si>
  <si>
    <t>∆B=(-B)*D*∆y</t>
    <phoneticPr fontId="1" type="noConversion"/>
  </si>
  <si>
    <t>∆B</t>
  </si>
  <si>
    <t>time*weight</t>
    <phoneticPr fontId="1" type="noConversion"/>
  </si>
  <si>
    <r>
      <t>B=</t>
    </r>
    <r>
      <rPr>
        <sz val="12"/>
        <color theme="1"/>
        <rFont val="FangSong"/>
        <family val="3"/>
        <charset val="134"/>
      </rPr>
      <t>∑</t>
    </r>
    <r>
      <rPr>
        <sz val="12"/>
        <color theme="1"/>
        <rFont val="Garamond Premr Pro"/>
        <family val="2"/>
        <charset val="134"/>
      </rPr>
      <t>c*exp(-yt)</t>
    </r>
    <phoneticPr fontId="1" type="noConversion"/>
  </si>
  <si>
    <r>
      <t>B=</t>
    </r>
    <r>
      <rPr>
        <sz val="12"/>
        <color theme="1"/>
        <rFont val="FangSong"/>
        <family val="3"/>
        <charset val="134"/>
      </rPr>
      <t>∑</t>
    </r>
    <r>
      <rPr>
        <sz val="12"/>
        <color theme="1"/>
        <rFont val="Garamond Premr Pro"/>
        <family val="2"/>
        <charset val="134"/>
      </rPr>
      <t>c/(1+(y/m))</t>
    </r>
    <phoneticPr fontId="1" type="noConversion"/>
  </si>
  <si>
    <r>
      <t>D=</t>
    </r>
    <r>
      <rPr>
        <b/>
        <sz val="12"/>
        <color theme="1"/>
        <rFont val="FangSong"/>
        <family val="3"/>
        <charset val="134"/>
      </rPr>
      <t>∑</t>
    </r>
    <r>
      <rPr>
        <b/>
        <sz val="12"/>
        <color theme="1"/>
        <rFont val="Garamond Premr Pro"/>
        <family val="1"/>
      </rPr>
      <t>t*c/(1+(y/m))</t>
    </r>
    <phoneticPr fontId="1" type="noConversion"/>
  </si>
  <si>
    <r>
      <t>∆B=</t>
    </r>
    <r>
      <rPr>
        <b/>
        <sz val="12"/>
        <color theme="1"/>
        <rFont val="FangSong"/>
        <family val="3"/>
        <charset val="134"/>
      </rPr>
      <t>∑</t>
    </r>
    <r>
      <rPr>
        <b/>
        <sz val="12"/>
        <color theme="1"/>
        <rFont val="Garamond Premr Pro"/>
        <family val="1"/>
      </rPr>
      <t>t*c/(1+(y/m))</t>
    </r>
    <r>
      <rPr>
        <b/>
        <sz val="12"/>
        <color rgb="FFFF0000"/>
        <rFont val="Garamond Premr Pro"/>
        <family val="1"/>
      </rPr>
      <t>(-∆y)</t>
    </r>
    <phoneticPr fontId="1" type="noConversion"/>
  </si>
  <si>
    <t>t=1/m</t>
    <phoneticPr fontId="1" type="noConversion"/>
  </si>
  <si>
    <t>D*=D/(1+(y/m))</t>
    <phoneticPr fontId="1" type="noConversion"/>
  </si>
  <si>
    <t>∆B=(-∆y)BD/(1+(y/m))</t>
    <phoneticPr fontId="1" type="noConversion"/>
  </si>
  <si>
    <t>time (yr)</t>
    <phoneticPr fontId="1" type="noConversion"/>
  </si>
  <si>
    <t>fixed CF</t>
    <phoneticPr fontId="1" type="noConversion"/>
  </si>
  <si>
    <t>floating CF</t>
    <phoneticPr fontId="1" type="noConversion"/>
  </si>
  <si>
    <t>risk-free rate</t>
    <phoneticPr fontId="1" type="noConversion"/>
  </si>
  <si>
    <t>LIBOR</t>
    <phoneticPr fontId="1" type="noConversion"/>
  </si>
  <si>
    <t>forward rate</t>
    <phoneticPr fontId="1" type="noConversion"/>
  </si>
  <si>
    <r>
      <t xml:space="preserve">1. Calculate </t>
    </r>
    <r>
      <rPr>
        <b/>
        <sz val="12"/>
        <color rgb="FF00B0F0"/>
        <rFont val="Garamond Premr Pro"/>
        <family val="1"/>
      </rPr>
      <t>forward rate for each LIBOR</t>
    </r>
    <r>
      <rPr>
        <sz val="12"/>
        <color theme="1"/>
        <rFont val="Garamond Premr Pro"/>
        <family val="1"/>
      </rPr>
      <t xml:space="preserve"> that will determine swap CF</t>
    </r>
    <phoneticPr fontId="1" type="noConversion"/>
  </si>
  <si>
    <t>value of swap</t>
    <phoneticPr fontId="1" type="noConversion"/>
  </si>
  <si>
    <t>net CF</t>
    <phoneticPr fontId="1" type="noConversion"/>
  </si>
  <si>
    <t>discount factor</t>
    <phoneticPr fontId="1" type="noConversion"/>
  </si>
  <si>
    <t>PV of CF</t>
    <phoneticPr fontId="1" type="noConversion"/>
  </si>
  <si>
    <t>2. Calculate swap CF on assumption that LIBOR = forward rates</t>
    <phoneticPr fontId="1" type="noConversion"/>
  </si>
  <si>
    <t>3. Discount swap CF at risk-free rate</t>
    <phoneticPr fontId="1" type="noConversion"/>
  </si>
  <si>
    <r>
      <t xml:space="preserve">e.g. </t>
    </r>
    <r>
      <rPr>
        <sz val="12"/>
        <color rgb="FFFF0000"/>
        <rFont val="Garamond Premr Pro"/>
        <family val="1"/>
      </rPr>
      <t>semiannual</t>
    </r>
    <r>
      <rPr>
        <sz val="12"/>
        <color theme="1"/>
        <rFont val="Garamond Premr Pro"/>
        <family val="2"/>
        <charset val="134"/>
      </rPr>
      <t xml:space="preserve"> payments at </t>
    </r>
    <r>
      <rPr>
        <b/>
        <sz val="12"/>
        <color rgb="FF92D050"/>
        <rFont val="Garamond Premr Pro"/>
        <family val="1"/>
      </rPr>
      <t xml:space="preserve">3% </t>
    </r>
    <r>
      <rPr>
        <sz val="12"/>
        <color theme="1"/>
        <rFont val="Garamond Premr Pro"/>
        <family val="2"/>
        <charset val="134"/>
      </rPr>
      <t>+  LIBOR receipt + principal 100 million</t>
    </r>
    <phoneticPr fontId="1" type="noConversion"/>
  </si>
  <si>
    <t>alternative method</t>
    <phoneticPr fontId="1" type="noConversion"/>
  </si>
  <si>
    <t>forward LIBOR rate calculation</t>
    <phoneticPr fontId="1" type="noConversion"/>
  </si>
  <si>
    <t>OIS zero rates</t>
    <phoneticPr fontId="1" type="noConversion"/>
  </si>
  <si>
    <t>year</t>
    <phoneticPr fontId="1" type="noConversion"/>
  </si>
  <si>
    <t>forward LIBOR</t>
    <phoneticPr fontId="1" type="noConversion"/>
  </si>
  <si>
    <t xml:space="preserve">2-yr swap rate: </t>
    <phoneticPr fontId="1" type="noConversion"/>
  </si>
  <si>
    <t>value of payment in swap</t>
    <phoneticPr fontId="1" type="noConversion"/>
  </si>
  <si>
    <t>principal</t>
    <phoneticPr fontId="1" type="noConversion"/>
  </si>
  <si>
    <t>fixed rate in interest rate swap is chosen s.t. the swap is worth zero initially</t>
    <phoneticPr fontId="1" type="noConversion"/>
  </si>
  <si>
    <t>procedure</t>
    <phoneticPr fontId="1" type="noConversion"/>
  </si>
  <si>
    <t>task 2</t>
    <phoneticPr fontId="1" type="noConversion"/>
  </si>
  <si>
    <t>assume term structure of risk-free interest rate is flat in both Japan and US</t>
    <phoneticPr fontId="1" type="noConversion"/>
  </si>
  <si>
    <t>yen</t>
    <phoneticPr fontId="1" type="noConversion"/>
  </si>
  <si>
    <t>USD</t>
    <phoneticPr fontId="1" type="noConversion"/>
  </si>
  <si>
    <t>broker</t>
    <phoneticPr fontId="1" type="noConversion"/>
  </si>
  <si>
    <t>$1=110yen</t>
    <phoneticPr fontId="1" type="noConversion"/>
  </si>
  <si>
    <t>time (yr)</t>
    <phoneticPr fontId="1" type="noConversion"/>
  </si>
  <si>
    <t>$ CF</t>
    <phoneticPr fontId="1" type="noConversion"/>
  </si>
  <si>
    <t>yen CF</t>
    <phoneticPr fontId="1" type="noConversion"/>
  </si>
  <si>
    <t>PV</t>
    <phoneticPr fontId="1" type="noConversion"/>
  </si>
  <si>
    <t>fx rate (t0)</t>
    <phoneticPr fontId="1" type="noConversion"/>
  </si>
  <si>
    <t>1y forward exchange rate</t>
    <phoneticPr fontId="1" type="noConversion"/>
  </si>
  <si>
    <t>1yen=</t>
    <phoneticPr fontId="1" type="noConversion"/>
  </si>
  <si>
    <t>USD</t>
    <phoneticPr fontId="1" type="noConversion"/>
  </si>
  <si>
    <t>net CF ($)</t>
    <phoneticPr fontId="1" type="noConversion"/>
  </si>
  <si>
    <r>
      <rPr>
        <b/>
        <sz val="12"/>
        <color theme="1"/>
        <rFont val="Garamond Premr Pro"/>
        <family val="1"/>
      </rPr>
      <t>receive</t>
    </r>
    <r>
      <rPr>
        <sz val="12"/>
        <color theme="1"/>
        <rFont val="Garamond Premr Pro"/>
        <family val="2"/>
        <charset val="134"/>
      </rPr>
      <t xml:space="preserve"> (yen):</t>
    </r>
    <phoneticPr fontId="1" type="noConversion"/>
  </si>
  <si>
    <r>
      <rPr>
        <b/>
        <sz val="12"/>
        <color rgb="FFFF0000"/>
        <rFont val="Garamond Premr Pro"/>
        <family val="1"/>
      </rPr>
      <t>pay</t>
    </r>
    <r>
      <rPr>
        <sz val="12"/>
        <color theme="1"/>
        <rFont val="Garamond Premr Pro"/>
        <family val="2"/>
        <charset val="134"/>
      </rPr>
      <t xml:space="preserve"> ($):</t>
    </r>
    <phoneticPr fontId="1" type="noConversion"/>
  </si>
  <si>
    <t>value of swap</t>
    <phoneticPr fontId="1" type="noConversion"/>
  </si>
  <si>
    <t>time (yr)</t>
    <phoneticPr fontId="1" type="noConversion"/>
  </si>
  <si>
    <t>CF on $ bond</t>
    <phoneticPr fontId="1" type="noConversion"/>
  </si>
  <si>
    <t>CF on yen bond</t>
    <phoneticPr fontId="1" type="noConversion"/>
  </si>
  <si>
    <t>PV (yen)</t>
    <phoneticPr fontId="1" type="noConversion"/>
  </si>
  <si>
    <t>PV ($)</t>
    <phoneticPr fontId="1" type="noConversion"/>
  </si>
  <si>
    <t>yen CF in $</t>
    <phoneticPr fontId="1" type="noConversion"/>
  </si>
  <si>
    <t>tast 3: value swap in terms of bond</t>
    <phoneticPr fontId="1" type="noConversion"/>
  </si>
  <si>
    <t>value of swap in $</t>
    <phoneticPr fontId="1" type="noConversion"/>
  </si>
  <si>
    <t>task 4: determine swap curve</t>
    <phoneticPr fontId="1" type="noConversion"/>
  </si>
  <si>
    <t>P(i)</t>
    <phoneticPr fontId="1" type="noConversion"/>
  </si>
  <si>
    <t>spot rate  from P</t>
    <phoneticPr fontId="1" type="noConversion"/>
  </si>
  <si>
    <t>swap rate must satisfy</t>
    <phoneticPr fontId="1" type="noConversion"/>
  </si>
  <si>
    <t>LHS = 1</t>
    <phoneticPr fontId="1" type="noConversion"/>
  </si>
  <si>
    <t>swap tenor</t>
    <phoneticPr fontId="1" type="noConversion"/>
  </si>
  <si>
    <t>task 5: interpolation (use swap spread in fixed income pricing)</t>
    <phoneticPr fontId="1" type="noConversion"/>
  </si>
  <si>
    <t>treasury rate</t>
    <phoneticPr fontId="1" type="noConversion"/>
  </si>
  <si>
    <t>remaining maturity</t>
    <phoneticPr fontId="1" type="noConversion"/>
  </si>
  <si>
    <t>YTM on bond</t>
    <phoneticPr fontId="1" type="noConversion"/>
  </si>
  <si>
    <t>invoice price</t>
    <phoneticPr fontId="1" type="noConversion"/>
  </si>
  <si>
    <t xml:space="preserve">1million note </t>
    <phoneticPr fontId="1" type="noConversion"/>
  </si>
  <si>
    <t>CF</t>
    <phoneticPr fontId="1" type="noConversion"/>
  </si>
  <si>
    <t>2y</t>
    <phoneticPr fontId="1" type="noConversion"/>
  </si>
  <si>
    <t>swap spread</t>
    <phoneticPr fontId="1" type="noConversion"/>
  </si>
  <si>
    <t>accrued interest</t>
    <phoneticPr fontId="1" type="noConversion"/>
  </si>
  <si>
    <t>clean price</t>
    <phoneticPr fontId="1" type="noConversion"/>
  </si>
  <si>
    <t>task6: z-spread in valuation</t>
    <phoneticPr fontId="1" type="noConversion"/>
  </si>
  <si>
    <t>z-spread</t>
    <phoneticPr fontId="1" type="noConversion"/>
  </si>
  <si>
    <t>r</t>
    <phoneticPr fontId="1" type="noConversion"/>
  </si>
  <si>
    <t>CF</t>
    <phoneticPr fontId="1" type="noConversion"/>
  </si>
  <si>
    <t>invoice price</t>
    <phoneticPr fontId="1" type="noConversion"/>
  </si>
  <si>
    <t>yr</t>
    <phoneticPr fontId="1" type="noConversion"/>
  </si>
  <si>
    <t>PV(CF)</t>
    <phoneticPr fontId="1" type="noConversion"/>
  </si>
  <si>
    <t>VaR%</t>
    <phoneticPr fontId="1" type="noConversion"/>
  </si>
  <si>
    <t>prpincipal 
mapping VaR</t>
    <phoneticPr fontId="1" type="noConversion"/>
  </si>
  <si>
    <t>duration
mapping
VaR</t>
    <phoneticPr fontId="1" type="noConversion"/>
  </si>
  <si>
    <t>t x PV(CF)</t>
    <phoneticPr fontId="1" type="noConversion"/>
  </si>
  <si>
    <t>CF 
5yr bond</t>
    <phoneticPr fontId="1" type="noConversion"/>
  </si>
  <si>
    <t>CF 
1yr bond</t>
    <phoneticPr fontId="1" type="noConversion"/>
  </si>
  <si>
    <t>spot 
rate</t>
    <phoneticPr fontId="1" type="noConversion"/>
  </si>
  <si>
    <t>V x PV</t>
    <phoneticPr fontId="1" type="noConversion"/>
  </si>
  <si>
    <t>correlation matrix</t>
    <phoneticPr fontId="1" type="noConversion"/>
  </si>
  <si>
    <t>1yr</t>
    <phoneticPr fontId="1" type="noConversion"/>
  </si>
  <si>
    <t>2yr</t>
    <phoneticPr fontId="1" type="noConversion"/>
  </si>
  <si>
    <t>3yr</t>
    <phoneticPr fontId="1" type="noConversion"/>
  </si>
  <si>
    <t>4yr</t>
    <phoneticPr fontId="1" type="noConversion"/>
  </si>
  <si>
    <t>5yr</t>
    <phoneticPr fontId="1" type="noConversion"/>
  </si>
  <si>
    <t>yr</t>
  </si>
  <si>
    <t>CF 
5yr bond</t>
  </si>
  <si>
    <t>CF 
1yr bond</t>
  </si>
  <si>
    <t>spot 
rate</t>
  </si>
  <si>
    <t>PV(CF)</t>
  </si>
  <si>
    <t>VaR%</t>
  </si>
  <si>
    <t>PV
factor</t>
    <phoneticPr fontId="1" type="noConversion"/>
  </si>
  <si>
    <t>VaR Adj. 
PV factor</t>
    <phoneticPr fontId="1" type="noConversion"/>
  </si>
  <si>
    <t>New zero value</t>
    <phoneticPr fontId="1" type="noConversion"/>
  </si>
  <si>
    <t>undiversified VaR</t>
    <phoneticPr fontId="1" type="noConversion"/>
  </si>
  <si>
    <t>maturity</t>
    <phoneticPr fontId="1" type="noConversion"/>
  </si>
  <si>
    <t>benchmark</t>
    <phoneticPr fontId="1" type="noConversion"/>
  </si>
  <si>
    <t>A</t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</si>
  <si>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</si>
  <si>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</si>
  <si>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</si>
  <si>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</si>
  <si>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</si>
  <si>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</si>
  <si>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</si>
  <si>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</si>
  <si>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Total value</t>
    <phoneticPr fontId="1" type="noConversion"/>
  </si>
  <si>
    <t>task: behchmark the VaR of a 100 million bond portfolio with duraition=4.77 to a portfolio of two zero-coupon bonds with same duration at 95% confidence level</t>
    <phoneticPr fontId="1" type="noConversion"/>
  </si>
  <si>
    <t>VaR %</t>
    <phoneticPr fontId="1" type="noConversion"/>
  </si>
  <si>
    <t>Duration</t>
    <phoneticPr fontId="1" type="noConversion"/>
  </si>
  <si>
    <t>Tracking errorVaR</t>
    <phoneticPr fontId="1" type="noConversion"/>
  </si>
  <si>
    <t>AbsoluteVaR</t>
    <phoneticPr fontId="1" type="noConversion"/>
  </si>
  <si>
    <r>
      <t xml:space="preserve">1. </t>
    </r>
    <r>
      <rPr>
        <sz val="12"/>
        <color theme="1"/>
        <rFont val="FangSong"/>
        <family val="3"/>
        <charset val="134"/>
      </rPr>
      <t>首先久期配对</t>
    </r>
    <phoneticPr fontId="1" type="noConversion"/>
  </si>
  <si>
    <t>market value positions for each zero coupon bond in portfolio</t>
    <phoneticPr fontId="1" type="noConversion"/>
  </si>
  <si>
    <t>Delta</t>
    <phoneticPr fontId="1" type="noConversion"/>
  </si>
  <si>
    <t>position</t>
    <phoneticPr fontId="1" type="noConversion"/>
  </si>
  <si>
    <t>180days</t>
    <phoneticPr fontId="1" type="noConversion"/>
  </si>
  <si>
    <t>360days</t>
    <phoneticPr fontId="1" type="noConversion"/>
  </si>
  <si>
    <t>PV</t>
    <phoneticPr fontId="1" type="noConversion"/>
  </si>
  <si>
    <t>VaR%</t>
    <phoneticPr fontId="1" type="noConversion"/>
  </si>
  <si>
    <t>correlation</t>
    <phoneticPr fontId="1" type="noConversion"/>
  </si>
  <si>
    <t>spot rate</t>
    <phoneticPr fontId="1" type="noConversion"/>
  </si>
  <si>
    <t>task: VaRfor FRA to sell</t>
    <phoneticPr fontId="1" type="noConversion"/>
  </si>
  <si>
    <t>forward rate F(1,2)</t>
    <phoneticPr fontId="1" type="noConversion"/>
  </si>
  <si>
    <t>year</t>
    <phoneticPr fontId="1" type="noConversion"/>
  </si>
  <si>
    <t>X</t>
    <phoneticPr fontId="1" type="noConversion"/>
  </si>
  <si>
    <t>Y</t>
    <phoneticPr fontId="1" type="noConversion"/>
  </si>
  <si>
    <t>deviation</t>
    <phoneticPr fontId="1" type="noConversion"/>
  </si>
  <si>
    <t>Sum</t>
    <phoneticPr fontId="1" type="noConversion"/>
  </si>
  <si>
    <t>Mean</t>
    <phoneticPr fontId="1" type="noConversion"/>
  </si>
  <si>
    <t>correlation</t>
    <phoneticPr fontId="1" type="noConversion"/>
  </si>
  <si>
    <t>df</t>
    <phoneticPr fontId="1" type="noConversion"/>
  </si>
  <si>
    <t>covatiance</t>
    <phoneticPr fontId="1" type="noConversion"/>
  </si>
  <si>
    <t>deviation squared</t>
    <phoneticPr fontId="1" type="noConversion"/>
  </si>
  <si>
    <t>variance</t>
    <phoneticPr fontId="1" type="noConversion"/>
  </si>
  <si>
    <t>s.d.</t>
    <phoneticPr fontId="1" type="noConversion"/>
  </si>
  <si>
    <t>portfolio s.d.</t>
    <phoneticPr fontId="1" type="noConversion"/>
  </si>
  <si>
    <t>return/risk</t>
    <phoneticPr fontId="1" type="noConversion"/>
  </si>
  <si>
    <t>A</t>
    <phoneticPr fontId="1" type="noConversion"/>
  </si>
  <si>
    <t>4 million</t>
    <phoneticPr fontId="1" type="noConversion"/>
  </si>
  <si>
    <t>8million</t>
    <phoneticPr fontId="1" type="noConversion"/>
  </si>
  <si>
    <t>daily s.d.</t>
    <phoneticPr fontId="1" type="noConversion"/>
  </si>
  <si>
    <t xml:space="preserve">99% 
confidence level </t>
    <phoneticPr fontId="1" type="noConversion"/>
  </si>
  <si>
    <t>α</t>
    <phoneticPr fontId="1" type="noConversion"/>
  </si>
  <si>
    <r>
      <t>corr</t>
    </r>
    <r>
      <rPr>
        <sz val="12"/>
        <color theme="1"/>
        <rFont val="FangSong"/>
        <family val="3"/>
        <charset val="134"/>
      </rPr>
      <t>矩阵</t>
    </r>
    <phoneticPr fontId="1" type="noConversion"/>
  </si>
  <si>
    <t>投资额矩阵和转置</t>
    <phoneticPr fontId="1" type="noConversion"/>
  </si>
  <si>
    <t>10dayVaR at 99%</t>
    <phoneticPr fontId="1" type="noConversion"/>
  </si>
  <si>
    <t>Basel Committee on Banking Supervision</t>
    <phoneticPr fontId="1" type="noConversion"/>
  </si>
  <si>
    <t>trading book上大于3倍10天VaR</t>
    <phoneticPr fontId="1" type="noConversion"/>
  </si>
  <si>
    <r>
      <t>Y</t>
    </r>
    <r>
      <rPr>
        <sz val="12"/>
        <color theme="1"/>
        <rFont val="FangSong"/>
        <family val="3"/>
        <charset val="134"/>
      </rPr>
      <t>向A、B贷款</t>
    </r>
    <phoneticPr fontId="1" type="noConversion"/>
  </si>
  <si>
    <t>B</t>
    <phoneticPr fontId="1" type="noConversion"/>
  </si>
  <si>
    <t>prob. Default</t>
    <phoneticPr fontId="1" type="noConversion"/>
  </si>
  <si>
    <t>concentration ratio</t>
    <phoneticPr fontId="1" type="noConversion"/>
  </si>
  <si>
    <t>default corr</t>
    <phoneticPr fontId="1" type="noConversion"/>
  </si>
  <si>
    <t>LGD</t>
    <phoneticPr fontId="1" type="noConversion"/>
  </si>
  <si>
    <t>joint prob.default</t>
    <phoneticPr fontId="1" type="noConversion"/>
  </si>
  <si>
    <t>s.d.</t>
    <phoneticPr fontId="1" type="noConversion"/>
  </si>
  <si>
    <t>expected loss</t>
    <phoneticPr fontId="1" type="noConversion"/>
  </si>
  <si>
    <t>X</t>
    <phoneticPr fontId="1" type="noConversion"/>
  </si>
  <si>
    <t>步骤1：排序</t>
    <phoneticPr fontId="1" type="noConversion"/>
  </si>
  <si>
    <t>X Rank</t>
    <phoneticPr fontId="1" type="noConversion"/>
  </si>
  <si>
    <t>YRank</t>
    <phoneticPr fontId="1" type="noConversion"/>
  </si>
  <si>
    <t>d(i)</t>
    <phoneticPr fontId="1" type="noConversion"/>
  </si>
  <si>
    <t>d(i)^2</t>
    <phoneticPr fontId="1" type="noConversion"/>
  </si>
  <si>
    <t>spearman's corr</t>
    <phoneticPr fontId="1" type="noConversion"/>
  </si>
  <si>
    <t>concordant pairs</t>
    <phoneticPr fontId="1" type="noConversion"/>
  </si>
  <si>
    <t>{(1,2),(2,4)}</t>
    <phoneticPr fontId="1" type="noConversion"/>
  </si>
  <si>
    <t>discordant paris</t>
    <phoneticPr fontId="1" type="noConversion"/>
  </si>
  <si>
    <t>{(1,2),(3,1)}</t>
    <phoneticPr fontId="1" type="noConversion"/>
  </si>
  <si>
    <t>{(1,2),(4,3)}</t>
    <phoneticPr fontId="1" type="noConversion"/>
  </si>
  <si>
    <t>{2,4),(3,1)}</t>
    <phoneticPr fontId="1" type="noConversion"/>
  </si>
  <si>
    <t>{(2,4),(4,3)}</t>
    <phoneticPr fontId="1" type="noConversion"/>
  </si>
  <si>
    <r>
      <t xml:space="preserve">Kendall's </t>
    </r>
    <r>
      <rPr>
        <sz val="12"/>
        <color theme="1"/>
        <rFont val="Garamond Premr Pro"/>
        <family val="1"/>
      </rPr>
      <t>τ</t>
    </r>
    <phoneticPr fontId="1" type="noConversion"/>
  </si>
  <si>
    <t>r(1)</t>
    <phoneticPr fontId="1" type="noConversion"/>
  </si>
  <si>
    <t>r(2)</t>
    <phoneticPr fontId="1" type="noConversion"/>
  </si>
  <si>
    <t>r(3)</t>
    <phoneticPr fontId="1" type="noConversion"/>
  </si>
  <si>
    <t>f(1,1)</t>
    <phoneticPr fontId="1" type="noConversion"/>
  </si>
  <si>
    <t>f(1,2)</t>
    <phoneticPr fontId="1" type="noConversion"/>
  </si>
  <si>
    <t>p0</t>
  </si>
  <si>
    <t>p0</t>
    <phoneticPr fontId="1" type="noConversion"/>
  </si>
  <si>
    <t>p1</t>
  </si>
  <si>
    <t>1y 0-coupon</t>
    <phoneticPr fontId="1" type="noConversion"/>
  </si>
  <si>
    <t>2y 0-coupon</t>
  </si>
  <si>
    <t>2y 0-coupon</t>
    <phoneticPr fontId="1" type="noConversion"/>
  </si>
  <si>
    <t>p1</t>
    <phoneticPr fontId="1" type="noConversion"/>
  </si>
  <si>
    <r>
      <t>HPY(1</t>
    </r>
    <r>
      <rPr>
        <sz val="12"/>
        <color theme="1"/>
        <rFont val="FangSong"/>
        <family val="3"/>
        <charset val="134"/>
      </rPr>
      <t>年</t>
    </r>
    <r>
      <rPr>
        <sz val="12"/>
        <color theme="1"/>
        <rFont val="Garamond Premr Pro"/>
        <family val="1"/>
      </rPr>
      <t>)</t>
    </r>
    <phoneticPr fontId="1" type="noConversion"/>
  </si>
  <si>
    <t>3y 0-coupon</t>
  </si>
  <si>
    <t>3y 0-coupon</t>
    <phoneticPr fontId="1" type="noConversion"/>
  </si>
  <si>
    <r>
      <t>spot</t>
    </r>
    <r>
      <rPr>
        <sz val="12"/>
        <color theme="1"/>
        <rFont val="FangSong"/>
        <family val="3"/>
        <charset val="134"/>
      </rPr>
      <t>按照</t>
    </r>
    <r>
      <rPr>
        <sz val="12"/>
        <color theme="1"/>
        <rFont val="Garamond Premr Pro"/>
        <family val="1"/>
      </rPr>
      <t>forward curve</t>
    </r>
    <r>
      <rPr>
        <sz val="12"/>
        <color theme="1"/>
        <rFont val="FangSong"/>
        <family val="3"/>
        <charset val="134"/>
      </rPr>
      <t>移动的话1年期收益总是r(1)</t>
    </r>
    <phoneticPr fontId="1" type="noConversion"/>
  </si>
  <si>
    <t>HPY(1年)</t>
  </si>
  <si>
    <r>
      <rPr>
        <sz val="12"/>
        <color theme="1"/>
        <rFont val="FangSong"/>
        <family val="3"/>
        <charset val="134"/>
      </rPr>
      <t>若预测forward</t>
    </r>
    <r>
      <rPr>
        <sz val="12"/>
        <color theme="1"/>
        <rFont val="Garamond Premr Pro"/>
        <family val="1"/>
      </rPr>
      <t xml:space="preserve"> curve flat 10% 1 year from today</t>
    </r>
    <phoneticPr fontId="1" type="noConversion"/>
  </si>
  <si>
    <r>
      <rPr>
        <sz val="12"/>
        <color theme="1"/>
        <rFont val="FangSong"/>
        <family val="3"/>
        <charset val="134"/>
      </rPr>
      <t>折现因子会变！不要用计算器物</t>
    </r>
    <r>
      <rPr>
        <sz val="12"/>
        <color theme="1"/>
        <rFont val="Garamond Premr Pro"/>
        <family val="2"/>
        <charset val="134"/>
      </rPr>
      <t>I/Y</t>
    </r>
    <r>
      <rPr>
        <sz val="12"/>
        <color theme="1"/>
        <rFont val="FangSong"/>
        <family val="3"/>
        <charset val="134"/>
      </rPr>
      <t>键！</t>
    </r>
    <phoneticPr fontId="1" type="noConversion"/>
  </si>
  <si>
    <t>Доход</t>
    <phoneticPr fontId="1" type="noConversion"/>
  </si>
  <si>
    <t>Исследования и разработки</t>
    <phoneticPr fontId="1" type="noConversion"/>
  </si>
  <si>
    <t>Общие и административные вопросы</t>
  </si>
  <si>
    <t>Процентные доходы</t>
  </si>
  <si>
    <t>Чистые денежные средства для 
операционной деятельности</t>
    <phoneticPr fontId="1" type="noConversion"/>
  </si>
  <si>
    <t xml:space="preserve">Денежные средства для 
приобретения имущества.оборудования </t>
    <phoneticPr fontId="1" type="noConversion"/>
  </si>
  <si>
    <t>до 2020 Q1</t>
    <phoneticPr fontId="1" type="noConversion"/>
  </si>
  <si>
    <t>Чистая прибыль</t>
  </si>
  <si>
    <t>NPV</t>
    <phoneticPr fontId="1" type="noConversion"/>
  </si>
  <si>
    <t>Приток от правительства ('Бесплатный')</t>
    <phoneticPr fontId="1" type="noConversion"/>
  </si>
  <si>
    <t>($тыс)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</si>
</sst>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0.00_);[Red]\(0.00\)"/>
    <numFmt numFmtId="177" formatCode="_-* #,##0_-;\-* #,##0_-;_-* &quot;-&quot;??_-;_-@_-"/>
    <numFmt numFmtId="178" formatCode="0_);[Red]\(0\)"/>
    <numFmt numFmtId="179" formatCode="0.000"/>
    <numFmt numFmtId="180" formatCode="0.0"/>
    <numFmt numFmtId="181" formatCode="0.00_ "/>
    <numFmt numFmtId="182" formatCode="0.000_ "/>
    <numFmt numFmtId="183" formatCode="0.0%"/>
    <numFmt numFmtId="184" formatCode="0.0000%"/>
    <numFmt numFmtId="185" formatCode="0.0000"/>
    <numFmt numFmtId="186" formatCode="0.0_ "/>
    <numFmt numFmtId="187" formatCode="0.000000"/>
    <numFmt numFmtId="188" formatCode="0.000%"/>
    <numFmt numFmtId="189" formatCode="0.000_);[Red]\(0.000\)"/>
    <numFmt numFmtId="190" formatCode="0E+00"/>
  </numFmts>
  <fonts count="18">
    <font>
      <sz val="12"/>
      <color theme="1"/>
      <name val="Garamond Premr Pro"/>
      <family val="2"/>
      <charset val="134"/>
    </font>
    <font>
      <sz val="9"/>
      <name val="Garamond Premr Pro"/>
      <family val="2"/>
      <charset val="134"/>
    </font>
    <font>
      <sz val="12"/>
      <color theme="1"/>
      <name val="Garamond Premr Pro"/>
      <family val="2"/>
      <charset val="134"/>
    </font>
    <font>
      <sz val="9"/>
      <color indexed="81"/>
      <name val="宋体"/>
    </font>
    <font>
      <b/>
      <sz val="9"/>
      <color indexed="81"/>
      <name val="宋体"/>
    </font>
    <font>
      <b/>
      <sz val="12"/>
      <color theme="1"/>
      <name val="Garamond Premr Pro"/>
      <family val="1"/>
    </font>
    <font>
      <sz val="12"/>
      <color theme="1"/>
      <name val="Garamond Premr Pro"/>
      <family val="1"/>
    </font>
    <font>
      <i/>
      <sz val="12"/>
      <color theme="1"/>
      <name val="Garamond Premr Pro"/>
      <family val="1"/>
    </font>
    <font>
      <sz val="12"/>
      <color rgb="FFFF0000"/>
      <name val="Garamond Premr Pro"/>
      <family val="1"/>
    </font>
    <font>
      <sz val="12"/>
      <color theme="1"/>
      <name val="FangSong"/>
      <family val="3"/>
      <charset val="134"/>
    </font>
    <font>
      <i/>
      <sz val="12"/>
      <color theme="3"/>
      <name val="Garamond Premr Pro"/>
      <family val="1"/>
    </font>
    <font>
      <sz val="12"/>
      <color theme="0"/>
      <name val="Garamond Premr Pro"/>
      <family val="2"/>
      <charset val="134"/>
    </font>
    <font>
      <b/>
      <sz val="12"/>
      <color theme="1"/>
      <name val="FangSong"/>
      <family val="3"/>
      <charset val="134"/>
    </font>
    <font>
      <b/>
      <sz val="12"/>
      <color rgb="FFFF0000"/>
      <name val="Garamond Premr Pro"/>
      <family val="1"/>
    </font>
    <font>
      <b/>
      <sz val="12"/>
      <color rgb="FF00B0F0"/>
      <name val="Garamond Premr Pro"/>
      <family val="1"/>
    </font>
    <font>
      <b/>
      <sz val="12"/>
      <color rgb="FF92D050"/>
      <name val="Garamond Premr Pro"/>
      <family val="1"/>
    </font>
    <font>
      <sz val="12"/>
      <color rgb="FFFF0000"/>
      <name val="Garamond Premr Pro"/>
      <family val="2"/>
      <charset val="134"/>
    </font>
    <font>
      <b/>
      <i/>
      <sz val="12"/>
      <color theme="1"/>
      <name val="Garamond Premr Pro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7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2" fontId="0" fillId="3" borderId="0" xfId="0" applyNumberFormat="1" applyFill="1">
      <alignment vertical="center"/>
    </xf>
    <xf numFmtId="0" fontId="0" fillId="3" borderId="0" xfId="0" applyFill="1">
      <alignment vertical="center"/>
    </xf>
    <xf numFmtId="177" fontId="0" fillId="3" borderId="0" xfId="1" applyNumberFormat="1" applyFont="1" applyFill="1">
      <alignment vertical="center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178" fontId="0" fillId="0" borderId="0" xfId="1" applyNumberFormat="1" applyFont="1">
      <alignment vertical="center"/>
    </xf>
    <xf numFmtId="2" fontId="0" fillId="4" borderId="0" xfId="0" applyNumberFormat="1" applyFill="1">
      <alignment vertical="center"/>
    </xf>
    <xf numFmtId="2" fontId="0" fillId="4" borderId="0" xfId="0" applyNumberFormat="1" applyFill="1" applyBorder="1">
      <alignment vertical="center"/>
    </xf>
    <xf numFmtId="1" fontId="0" fillId="3" borderId="0" xfId="0" applyNumberFormat="1" applyFill="1">
      <alignment vertical="center"/>
    </xf>
    <xf numFmtId="1" fontId="0" fillId="0" borderId="0" xfId="0" applyNumberFormat="1" applyFill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2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2" fontId="0" fillId="5" borderId="0" xfId="0" applyNumberFormat="1" applyFill="1">
      <alignment vertical="center"/>
    </xf>
    <xf numFmtId="0" fontId="0" fillId="0" borderId="0" xfId="0" applyFill="1">
      <alignment vertical="center"/>
    </xf>
    <xf numFmtId="2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9" fontId="5" fillId="0" borderId="0" xfId="0" applyNumberFormat="1" applyFon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2" fontId="0" fillId="0" borderId="1" xfId="0" applyNumberFormat="1" applyBorder="1">
      <alignment vertical="center"/>
    </xf>
    <xf numFmtId="2" fontId="0" fillId="5" borderId="1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Fill="1">
      <alignment vertical="center"/>
    </xf>
    <xf numFmtId="180" fontId="0" fillId="0" borderId="0" xfId="0" applyNumberFormat="1" applyAlignment="1">
      <alignment horizontal="center" vertical="center" wrapText="1"/>
    </xf>
    <xf numFmtId="10" fontId="0" fillId="0" borderId="0" xfId="2" applyNumberFormat="1" applyFont="1" applyFill="1" applyBorder="1">
      <alignment vertical="center"/>
    </xf>
    <xf numFmtId="10" fontId="0" fillId="0" borderId="0" xfId="2" applyNumberFormat="1" applyFont="1" applyFill="1">
      <alignment vertical="center"/>
    </xf>
    <xf numFmtId="10" fontId="5" fillId="0" borderId="0" xfId="2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0" borderId="2" xfId="0" applyBorder="1">
      <alignment vertical="center"/>
    </xf>
    <xf numFmtId="9" fontId="0" fillId="0" borderId="1" xfId="2" applyNumberFormat="1" applyFont="1" applyBorder="1">
      <alignment vertical="center"/>
    </xf>
    <xf numFmtId="0" fontId="5" fillId="0" borderId="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11" xfId="2" applyNumberFormat="1" applyFont="1" applyBorder="1">
      <alignment vertical="center"/>
    </xf>
    <xf numFmtId="0" fontId="6" fillId="0" borderId="6" xfId="0" applyFont="1" applyBorder="1">
      <alignment vertical="center"/>
    </xf>
    <xf numFmtId="177" fontId="0" fillId="0" borderId="0" xfId="1" applyNumberFormat="1" applyFont="1" applyBorder="1">
      <alignment vertical="center"/>
    </xf>
    <xf numFmtId="177" fontId="0" fillId="0" borderId="7" xfId="1" applyNumberFormat="1" applyFont="1" applyBorder="1">
      <alignment vertical="center"/>
    </xf>
    <xf numFmtId="10" fontId="0" fillId="0" borderId="0" xfId="2" applyNumberFormat="1" applyFont="1" applyBorder="1">
      <alignment vertical="center"/>
    </xf>
    <xf numFmtId="10" fontId="0" fillId="0" borderId="7" xfId="2" applyNumberFormat="1" applyFont="1" applyBorder="1">
      <alignment vertical="center"/>
    </xf>
    <xf numFmtId="177" fontId="0" fillId="0" borderId="13" xfId="1" applyNumberFormat="1" applyFont="1" applyBorder="1">
      <alignment vertical="center"/>
    </xf>
    <xf numFmtId="177" fontId="0" fillId="0" borderId="14" xfId="1" applyNumberFormat="1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2" borderId="12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0" fillId="4" borderId="0" xfId="0" applyFill="1">
      <alignment vertical="center"/>
    </xf>
    <xf numFmtId="178" fontId="0" fillId="0" borderId="0" xfId="2" applyNumberFormat="1" applyFont="1">
      <alignment vertical="center"/>
    </xf>
    <xf numFmtId="0" fontId="9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8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3" xfId="0" applyFont="1" applyBorder="1">
      <alignment vertical="center"/>
    </xf>
    <xf numFmtId="10" fontId="0" fillId="0" borderId="14" xfId="2" applyNumberFormat="1" applyFont="1" applyBorder="1">
      <alignment vertical="center"/>
    </xf>
    <xf numFmtId="0" fontId="0" fillId="0" borderId="4" xfId="0" applyBorder="1" applyAlignment="1">
      <alignment vertical="center" wrapText="1"/>
    </xf>
    <xf numFmtId="0" fontId="10" fillId="2" borderId="5" xfId="0" applyFont="1" applyFill="1" applyBorder="1">
      <alignment vertical="center"/>
    </xf>
    <xf numFmtId="183" fontId="0" fillId="0" borderId="0" xfId="0" applyNumberFormat="1" applyBorder="1">
      <alignment vertical="center"/>
    </xf>
    <xf numFmtId="184" fontId="10" fillId="0" borderId="7" xfId="2" applyNumberFormat="1" applyFont="1" applyBorder="1">
      <alignment vertical="center"/>
    </xf>
    <xf numFmtId="184" fontId="10" fillId="0" borderId="7" xfId="0" applyNumberFormat="1" applyFont="1" applyBorder="1">
      <alignment vertical="center"/>
    </xf>
    <xf numFmtId="183" fontId="0" fillId="0" borderId="13" xfId="0" applyNumberFormat="1" applyBorder="1">
      <alignment vertical="center"/>
    </xf>
    <xf numFmtId="184" fontId="10" fillId="0" borderId="14" xfId="0" applyNumberFormat="1" applyFont="1" applyBorder="1">
      <alignment vertical="center"/>
    </xf>
    <xf numFmtId="0" fontId="0" fillId="8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5" xfId="0" applyFill="1" applyBorder="1" applyAlignment="1">
      <alignment vertical="center" wrapText="1"/>
    </xf>
    <xf numFmtId="185" fontId="0" fillId="0" borderId="0" xfId="0" applyNumberFormat="1" applyBorder="1">
      <alignment vertical="center"/>
    </xf>
    <xf numFmtId="183" fontId="0" fillId="0" borderId="7" xfId="0" applyNumberFormat="1" applyBorder="1">
      <alignment vertical="center"/>
    </xf>
    <xf numFmtId="185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0" fontId="0" fillId="0" borderId="5" xfId="0" applyBorder="1">
      <alignment vertical="center"/>
    </xf>
    <xf numFmtId="179" fontId="0" fillId="0" borderId="7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0" fontId="0" fillId="0" borderId="16" xfId="2" applyNumberFormat="1" applyFont="1" applyBorder="1">
      <alignment vertical="center"/>
    </xf>
    <xf numFmtId="179" fontId="0" fillId="0" borderId="17" xfId="0" applyNumberFormat="1" applyBorder="1">
      <alignment vertical="center"/>
    </xf>
    <xf numFmtId="0" fontId="5" fillId="0" borderId="0" xfId="0" applyFont="1" applyFill="1" applyBorder="1">
      <alignment vertical="center"/>
    </xf>
    <xf numFmtId="0" fontId="5" fillId="5" borderId="0" xfId="0" applyFont="1" applyFill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5" fillId="0" borderId="6" xfId="0" applyFont="1" applyBorder="1">
      <alignment vertical="center"/>
    </xf>
    <xf numFmtId="179" fontId="0" fillId="2" borderId="7" xfId="0" applyNumberFormat="1" applyFill="1" applyBorder="1">
      <alignment vertical="center"/>
    </xf>
    <xf numFmtId="0" fontId="0" fillId="0" borderId="14" xfId="0" applyBorder="1">
      <alignment vertical="center"/>
    </xf>
    <xf numFmtId="179" fontId="0" fillId="0" borderId="13" xfId="0" applyNumberFormat="1" applyBorder="1">
      <alignment vertical="center"/>
    </xf>
    <xf numFmtId="179" fontId="0" fillId="0" borderId="16" xfId="0" applyNumberFormat="1" applyBorder="1">
      <alignment vertical="center"/>
    </xf>
    <xf numFmtId="182" fontId="0" fillId="10" borderId="13" xfId="0" applyNumberFormat="1" applyFill="1" applyBorder="1">
      <alignment vertical="center"/>
    </xf>
    <xf numFmtId="179" fontId="0" fillId="10" borderId="0" xfId="0" applyNumberFormat="1" applyFill="1" applyBorder="1">
      <alignment vertical="center"/>
    </xf>
    <xf numFmtId="179" fontId="11" fillId="11" borderId="0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10" fontId="0" fillId="0" borderId="0" xfId="0" applyNumberFormat="1" applyBorder="1">
      <alignment vertical="center"/>
    </xf>
    <xf numFmtId="10" fontId="0" fillId="2" borderId="0" xfId="0" applyNumberFormat="1" applyFill="1" applyBorder="1">
      <alignment vertical="center"/>
    </xf>
    <xf numFmtId="186" fontId="0" fillId="0" borderId="0" xfId="0" applyNumberFormat="1" applyBorder="1">
      <alignment vertical="center"/>
    </xf>
    <xf numFmtId="184" fontId="0" fillId="0" borderId="0" xfId="0" applyNumberFormat="1" applyBorder="1">
      <alignment vertical="center"/>
    </xf>
    <xf numFmtId="0" fontId="6" fillId="12" borderId="13" xfId="0" applyFont="1" applyFill="1" applyBorder="1">
      <alignment vertical="center"/>
    </xf>
    <xf numFmtId="0" fontId="6" fillId="12" borderId="1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0" xfId="0" applyAlignment="1">
      <alignment horizontal="left" vertical="top"/>
    </xf>
    <xf numFmtId="0" fontId="14" fillId="0" borderId="18" xfId="0" applyFont="1" applyBorder="1">
      <alignment vertical="center"/>
    </xf>
    <xf numFmtId="0" fontId="0" fillId="0" borderId="19" xfId="0" applyBorder="1">
      <alignment vertical="center"/>
    </xf>
    <xf numFmtId="184" fontId="0" fillId="0" borderId="16" xfId="0" applyNumberFormat="1" applyBorder="1">
      <alignment vertical="center"/>
    </xf>
    <xf numFmtId="10" fontId="0" fillId="0" borderId="20" xfId="0" applyNumberFormat="1" applyBorder="1">
      <alignment vertical="center"/>
    </xf>
    <xf numFmtId="10" fontId="0" fillId="0" borderId="19" xfId="0" applyNumberFormat="1" applyBorder="1">
      <alignment vertical="center"/>
    </xf>
    <xf numFmtId="10" fontId="0" fillId="0" borderId="19" xfId="0" applyNumberFormat="1" applyFill="1" applyBorder="1">
      <alignment vertical="center"/>
    </xf>
    <xf numFmtId="0" fontId="5" fillId="0" borderId="21" xfId="0" applyFont="1" applyBorder="1">
      <alignment vertical="center"/>
    </xf>
    <xf numFmtId="180" fontId="0" fillId="0" borderId="22" xfId="0" applyNumberFormat="1" applyBorder="1">
      <alignment vertical="center"/>
    </xf>
    <xf numFmtId="0" fontId="0" fillId="0" borderId="20" xfId="0" applyBorder="1">
      <alignment vertical="center"/>
    </xf>
    <xf numFmtId="185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7" fillId="13" borderId="6" xfId="0" applyFont="1" applyFill="1" applyBorder="1">
      <alignment vertical="center"/>
    </xf>
    <xf numFmtId="183" fontId="7" fillId="13" borderId="0" xfId="0" applyNumberFormat="1" applyFont="1" applyFill="1" applyBorder="1">
      <alignment vertical="center"/>
    </xf>
    <xf numFmtId="183" fontId="0" fillId="9" borderId="0" xfId="0" applyNumberFormat="1" applyFill="1" applyBorder="1">
      <alignment vertical="center"/>
    </xf>
    <xf numFmtId="183" fontId="0" fillId="4" borderId="0" xfId="0" applyNumberFormat="1" applyFill="1" applyBorder="1">
      <alignment vertical="center"/>
    </xf>
    <xf numFmtId="185" fontId="0" fillId="0" borderId="0" xfId="0" applyNumberFormat="1">
      <alignment vertical="center"/>
    </xf>
    <xf numFmtId="9" fontId="0" fillId="0" borderId="0" xfId="0" applyNumberFormat="1" applyBorder="1">
      <alignment vertical="center"/>
    </xf>
    <xf numFmtId="185" fontId="0" fillId="0" borderId="7" xfId="0" applyNumberFormat="1" applyBorder="1">
      <alignment vertical="center"/>
    </xf>
    <xf numFmtId="1" fontId="5" fillId="5" borderId="14" xfId="0" applyNumberFormat="1" applyFont="1" applyFill="1" applyBorder="1">
      <alignment vertical="center"/>
    </xf>
    <xf numFmtId="10" fontId="0" fillId="0" borderId="0" xfId="0" applyNumberFormat="1">
      <alignment vertical="center"/>
    </xf>
    <xf numFmtId="43" fontId="0" fillId="0" borderId="0" xfId="1" applyFont="1">
      <alignment vertical="center"/>
    </xf>
    <xf numFmtId="187" fontId="0" fillId="0" borderId="0" xfId="0" applyNumberFormat="1">
      <alignment vertical="center"/>
    </xf>
    <xf numFmtId="177" fontId="16" fillId="0" borderId="0" xfId="1" applyNumberFormat="1" applyFont="1" applyBorder="1">
      <alignment vertical="center"/>
    </xf>
    <xf numFmtId="177" fontId="0" fillId="14" borderId="0" xfId="1" applyNumberFormat="1" applyFont="1" applyFill="1" applyBorder="1">
      <alignment vertical="center"/>
    </xf>
    <xf numFmtId="177" fontId="16" fillId="0" borderId="7" xfId="1" applyNumberFormat="1" applyFont="1" applyBorder="1">
      <alignment vertical="center"/>
    </xf>
    <xf numFmtId="177" fontId="0" fillId="9" borderId="0" xfId="1" applyNumberFormat="1" applyFont="1" applyFill="1" applyBorder="1">
      <alignment vertical="center"/>
    </xf>
    <xf numFmtId="177" fontId="16" fillId="0" borderId="13" xfId="1" applyNumberFormat="1" applyFont="1" applyBorder="1">
      <alignment vertical="center"/>
    </xf>
    <xf numFmtId="177" fontId="0" fillId="5" borderId="0" xfId="1" applyNumberFormat="1" applyFont="1" applyFill="1">
      <alignment vertical="center"/>
    </xf>
    <xf numFmtId="177" fontId="0" fillId="0" borderId="0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5" borderId="0" xfId="0" applyFill="1" applyBorder="1">
      <alignment vertical="center"/>
    </xf>
    <xf numFmtId="177" fontId="17" fillId="0" borderId="0" xfId="0" applyNumberFormat="1" applyFon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43" fontId="0" fillId="5" borderId="0" xfId="0" applyNumberFormat="1" applyFill="1" applyBorder="1">
      <alignment vertical="center"/>
    </xf>
    <xf numFmtId="0" fontId="7" fillId="0" borderId="0" xfId="0" applyFont="1">
      <alignment vertical="center"/>
    </xf>
    <xf numFmtId="185" fontId="7" fillId="0" borderId="0" xfId="0" applyNumberFormat="1" applyFont="1">
      <alignment vertical="center"/>
    </xf>
    <xf numFmtId="188" fontId="0" fillId="0" borderId="0" xfId="0" applyNumberFormat="1">
      <alignment vertical="center"/>
    </xf>
    <xf numFmtId="43" fontId="0" fillId="0" borderId="0" xfId="1" applyNumberFormat="1" applyFont="1">
      <alignment vertical="center"/>
    </xf>
    <xf numFmtId="0" fontId="0" fillId="5" borderId="0" xfId="0" applyFill="1">
      <alignment vertical="center"/>
    </xf>
    <xf numFmtId="43" fontId="0" fillId="5" borderId="0" xfId="1" applyNumberFormat="1" applyFont="1" applyFill="1">
      <alignment vertical="center"/>
    </xf>
    <xf numFmtId="43" fontId="0" fillId="0" borderId="7" xfId="1" applyNumberFormat="1" applyFont="1" applyBorder="1">
      <alignment vertical="center"/>
    </xf>
    <xf numFmtId="43" fontId="0" fillId="0" borderId="14" xfId="1" applyNumberFormat="1" applyFont="1" applyBorder="1">
      <alignment vertical="center"/>
    </xf>
    <xf numFmtId="0" fontId="0" fillId="0" borderId="6" xfId="0" applyBorder="1" applyAlignment="1">
      <alignment horizontal="right"/>
    </xf>
    <xf numFmtId="188" fontId="0" fillId="0" borderId="0" xfId="0" applyNumberFormat="1" applyBorder="1">
      <alignment vertical="center"/>
    </xf>
    <xf numFmtId="2" fontId="16" fillId="0" borderId="6" xfId="0" applyNumberFormat="1" applyFont="1" applyBorder="1">
      <alignment vertical="center"/>
    </xf>
    <xf numFmtId="188" fontId="16" fillId="0" borderId="0" xfId="0" applyNumberFormat="1" applyFont="1" applyBorder="1">
      <alignment vertical="center"/>
    </xf>
    <xf numFmtId="188" fontId="0" fillId="0" borderId="7" xfId="0" applyNumberFormat="1" applyBorder="1">
      <alignment vertical="center"/>
    </xf>
    <xf numFmtId="188" fontId="0" fillId="0" borderId="13" xfId="0" applyNumberFormat="1" applyBorder="1">
      <alignment vertical="center"/>
    </xf>
    <xf numFmtId="0" fontId="0" fillId="8" borderId="5" xfId="0" applyFill="1" applyBorder="1">
      <alignment vertical="center"/>
    </xf>
    <xf numFmtId="43" fontId="0" fillId="0" borderId="7" xfId="1" applyFont="1" applyBorder="1">
      <alignment vertical="center"/>
    </xf>
    <xf numFmtId="43" fontId="0" fillId="0" borderId="14" xfId="1" applyFont="1" applyBorder="1">
      <alignment vertical="center"/>
    </xf>
    <xf numFmtId="43" fontId="0" fillId="5" borderId="0" xfId="1" applyFont="1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" xfId="0" applyBorder="1">
      <alignment vertical="center"/>
    </xf>
    <xf numFmtId="0" fontId="0" fillId="0" borderId="28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15" borderId="0" xfId="0" applyFill="1" applyBorder="1">
      <alignment vertical="center"/>
    </xf>
    <xf numFmtId="184" fontId="0" fillId="15" borderId="0" xfId="0" applyNumberFormat="1" applyFill="1" applyBorder="1">
      <alignment vertical="center"/>
    </xf>
    <xf numFmtId="0" fontId="0" fillId="8" borderId="0" xfId="0" applyFill="1" applyBorder="1">
      <alignment vertical="center"/>
    </xf>
    <xf numFmtId="2" fontId="0" fillId="8" borderId="0" xfId="0" applyNumberFormat="1" applyFill="1" applyBorder="1">
      <alignment vertical="center"/>
    </xf>
    <xf numFmtId="0" fontId="0" fillId="0" borderId="9" xfId="0" applyBorder="1" applyAlignment="1">
      <alignment horizontal="center" vertical="center"/>
    </xf>
    <xf numFmtId="185" fontId="0" fillId="0" borderId="6" xfId="0" applyNumberFormat="1" applyBorder="1">
      <alignment vertical="center"/>
    </xf>
    <xf numFmtId="0" fontId="0" fillId="0" borderId="11" xfId="0" applyBorder="1">
      <alignment vertical="center"/>
    </xf>
    <xf numFmtId="10" fontId="0" fillId="0" borderId="13" xfId="2" applyNumberFormat="1" applyFont="1" applyBorder="1">
      <alignment vertical="center"/>
    </xf>
    <xf numFmtId="185" fontId="0" fillId="2" borderId="0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2" fontId="0" fillId="0" borderId="7" xfId="0" applyNumberFormat="1" applyBorder="1">
      <alignment vertical="center"/>
    </xf>
    <xf numFmtId="2" fontId="0" fillId="0" borderId="0" xfId="0" applyNumberFormat="1" applyBorder="1">
      <alignment vertical="center"/>
    </xf>
    <xf numFmtId="181" fontId="0" fillId="2" borderId="14" xfId="0" applyNumberFormat="1" applyFill="1" applyBorder="1">
      <alignment vertical="center"/>
    </xf>
    <xf numFmtId="185" fontId="0" fillId="5" borderId="0" xfId="0" applyNumberFormat="1" applyFill="1" applyBorder="1">
      <alignment vertical="center"/>
    </xf>
    <xf numFmtId="0" fontId="0" fillId="0" borderId="24" xfId="0" applyBorder="1">
      <alignment vertical="center"/>
    </xf>
    <xf numFmtId="179" fontId="0" fillId="0" borderId="2" xfId="0" applyNumberFormat="1" applyBorder="1">
      <alignment vertical="center"/>
    </xf>
    <xf numFmtId="179" fontId="0" fillId="0" borderId="26" xfId="0" applyNumberFormat="1" applyBorder="1">
      <alignment vertical="center"/>
    </xf>
    <xf numFmtId="179" fontId="0" fillId="0" borderId="28" xfId="0" applyNumberForma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188" fontId="0" fillId="8" borderId="0" xfId="2" applyNumberFormat="1" applyFont="1" applyFill="1">
      <alignment vertical="center"/>
    </xf>
    <xf numFmtId="0" fontId="16" fillId="0" borderId="0" xfId="0" applyFont="1">
      <alignment vertical="center"/>
    </xf>
    <xf numFmtId="190" fontId="0" fillId="0" borderId="0" xfId="0" applyNumberFormat="1">
      <alignment vertical="center"/>
    </xf>
    <xf numFmtId="189" fontId="0" fillId="0" borderId="0" xfId="0" applyNumberFormat="1">
      <alignment vertical="center"/>
    </xf>
    <xf numFmtId="188" fontId="0" fillId="0" borderId="0" xfId="2" applyNumberFormat="1" applyFont="1" applyBorder="1">
      <alignment vertical="center"/>
    </xf>
    <xf numFmtId="185" fontId="0" fillId="0" borderId="29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Border="1">
      <alignment vertical="center"/>
    </xf>
    <xf numFmtId="0" fontId="9" fillId="0" borderId="0" xfId="0" applyFont="1" applyBorder="1">
      <alignment vertical="center"/>
    </xf>
    <xf numFmtId="188" fontId="0" fillId="0" borderId="6" xfId="2" applyNumberFormat="1" applyFont="1" applyBorder="1">
      <alignment vertical="center"/>
    </xf>
    <xf numFmtId="188" fontId="0" fillId="0" borderId="7" xfId="2" applyNumberFormat="1" applyFont="1" applyBorder="1">
      <alignment vertical="center"/>
    </xf>
    <xf numFmtId="0" fontId="9" fillId="0" borderId="6" xfId="0" applyFont="1" applyBorder="1">
      <alignment vertical="center"/>
    </xf>
    <xf numFmtId="177" fontId="0" fillId="5" borderId="12" xfId="1" applyNumberFormat="1" applyFont="1" applyFill="1" applyBorder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6" borderId="0" xfId="0" applyFill="1">
      <alignment vertical="center"/>
    </xf>
    <xf numFmtId="9" fontId="5" fillId="0" borderId="0" xfId="0" applyNumberFormat="1" applyFont="1">
      <alignment vertical="center"/>
    </xf>
    <xf numFmtId="9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2" borderId="5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2" borderId="1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4" xfId="0" applyFont="1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9" fontId="0" fillId="0" borderId="0" xfId="0" applyNumberForma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7" fontId="7" fillId="0" borderId="7" xfId="1" applyNumberFormat="1" applyFont="1" applyBorder="1">
      <alignment vertical="center"/>
    </xf>
    <xf numFmtId="9" fontId="0" fillId="0" borderId="0" xfId="2" applyFont="1" applyBorder="1">
      <alignment vertical="center"/>
    </xf>
    <xf numFmtId="177" fontId="7" fillId="0" borderId="0" xfId="1" applyNumberFormat="1" applyFont="1" applyBorder="1">
      <alignment vertical="center"/>
    </xf>
    <xf numFmtId="177" fontId="7" fillId="0" borderId="2" xfId="1" applyNumberFormat="1" applyFont="1" applyBorder="1">
      <alignment vertical="center"/>
    </xf>
    <xf numFmtId="0" fontId="0" fillId="0" borderId="30" xfId="0" applyBorder="1">
      <alignment vertical="center"/>
    </xf>
    <xf numFmtId="0" fontId="13" fillId="0" borderId="30" xfId="0" applyFont="1" applyBorder="1">
      <alignment vertical="center"/>
    </xf>
    <xf numFmtId="177" fontId="8" fillId="0" borderId="30" xfId="0" applyNumberFormat="1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5" fillId="0" borderId="32" xfId="0" applyFont="1" applyBorder="1">
      <alignment vertical="center"/>
    </xf>
    <xf numFmtId="0" fontId="7" fillId="0" borderId="33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0" fillId="0" borderId="34" xfId="0" applyBorder="1">
      <alignment vertical="center"/>
    </xf>
    <xf numFmtId="0" fontId="0" fillId="0" borderId="35" xfId="0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6.5"/>
  <sheetData>
    <row r="1" spans="1:2">
      <c r="A1" t="s">
        <v>0</v>
      </c>
    </row>
    <row r="2" spans="1:2">
      <c r="A2" s="1" t="s">
        <v>1</v>
      </c>
      <c r="B2" t="s">
        <v>6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6"/>
  <sheetViews>
    <sheetView workbookViewId="0">
      <selection activeCell="D5" sqref="D5"/>
    </sheetView>
  </sheetViews>
  <sheetFormatPr defaultRowHeight="16.5"/>
  <cols>
    <col min="1" max="1" width="2.5" style="45" customWidth="1"/>
    <col min="2" max="2" width="11.25" style="45" bestFit="1" customWidth="1"/>
    <col min="3" max="16384" width="9" style="45"/>
  </cols>
  <sheetData>
    <row r="1" spans="2:5">
      <c r="E1" s="70"/>
    </row>
    <row r="2" spans="2:5">
      <c r="B2" s="45" t="s">
        <v>340</v>
      </c>
      <c r="C2" s="228">
        <v>0.09</v>
      </c>
      <c r="E2" s="228"/>
    </row>
    <row r="3" spans="2:5">
      <c r="B3" s="45" t="s">
        <v>341</v>
      </c>
      <c r="C3" s="228">
        <v>0.1</v>
      </c>
      <c r="E3" s="228"/>
    </row>
    <row r="4" spans="2:5">
      <c r="B4" s="45" t="s">
        <v>342</v>
      </c>
      <c r="C4" s="228">
        <v>0.11</v>
      </c>
      <c r="E4" s="228"/>
    </row>
    <row r="5" spans="2:5">
      <c r="B5" s="45" t="s">
        <v>343</v>
      </c>
      <c r="C5" s="229">
        <v>0.1101</v>
      </c>
      <c r="D5" s="45">
        <f>(1+C3)^2/(1+C2)-1</f>
        <v>0.11009174311926606</v>
      </c>
      <c r="E5" s="229"/>
    </row>
    <row r="6" spans="2:5">
      <c r="B6" s="45" t="s">
        <v>344</v>
      </c>
      <c r="C6" s="229">
        <v>0.1201</v>
      </c>
      <c r="D6" s="45">
        <f>SQRT((1+C4)^3/(1+C2))-1</f>
        <v>0.12013719670830558</v>
      </c>
      <c r="E6" s="229"/>
    </row>
    <row r="7" spans="2:5" ht="17.25" thickBot="1">
      <c r="B7" s="45" t="s">
        <v>355</v>
      </c>
    </row>
    <row r="8" spans="2:5">
      <c r="B8" s="230"/>
      <c r="C8" s="231" t="s">
        <v>346</v>
      </c>
      <c r="D8" s="231" t="s">
        <v>351</v>
      </c>
      <c r="E8" s="232" t="s">
        <v>352</v>
      </c>
    </row>
    <row r="9" spans="2:5">
      <c r="B9" s="57" t="s">
        <v>348</v>
      </c>
      <c r="C9" s="218">
        <f>D9/(1+C2)</f>
        <v>91.743119266055032</v>
      </c>
      <c r="D9" s="218">
        <v>100</v>
      </c>
      <c r="E9" s="233">
        <f>D9/C9-1</f>
        <v>9.000000000000008E-2</v>
      </c>
    </row>
    <row r="10" spans="2:5">
      <c r="B10" s="57" t="s">
        <v>350</v>
      </c>
      <c r="C10" s="218">
        <f>100/(1+C3)^2</f>
        <v>82.644628099173545</v>
      </c>
      <c r="D10" s="218">
        <f>100/(1+C5)</f>
        <v>90.081974596883157</v>
      </c>
      <c r="E10" s="233">
        <f>D10/C10-1</f>
        <v>8.999189262228624E-2</v>
      </c>
    </row>
    <row r="11" spans="2:5" ht="17.25" thickBot="1">
      <c r="B11" s="234" t="s">
        <v>354</v>
      </c>
      <c r="C11" s="235">
        <f>100/(1+C4)^3</f>
        <v>73.119138130095024</v>
      </c>
      <c r="D11" s="235">
        <f>100/(1+C6)^2</f>
        <v>79.705154056473049</v>
      </c>
      <c r="E11" s="236">
        <f>D11/C11-1</f>
        <v>9.0072395474082967E-2</v>
      </c>
    </row>
    <row r="13" spans="2:5" ht="17.25" thickBot="1">
      <c r="B13" s="237" t="s">
        <v>357</v>
      </c>
    </row>
    <row r="14" spans="2:5">
      <c r="B14" s="230"/>
      <c r="C14" s="231" t="s">
        <v>345</v>
      </c>
      <c r="D14" s="231" t="s">
        <v>347</v>
      </c>
      <c r="E14" s="238" t="s">
        <v>356</v>
      </c>
    </row>
    <row r="15" spans="2:5">
      <c r="B15" s="57" t="s">
        <v>349</v>
      </c>
      <c r="C15" s="218">
        <f>100/(1+C3)^2</f>
        <v>82.644628099173545</v>
      </c>
      <c r="D15" s="218">
        <f>100/(1+10%)</f>
        <v>90.909090909090907</v>
      </c>
      <c r="E15" s="239">
        <f>D15/C15-1</f>
        <v>0.10000000000000009</v>
      </c>
    </row>
    <row r="16" spans="2:5" ht="17.25" thickBot="1">
      <c r="B16" s="234" t="s">
        <v>353</v>
      </c>
      <c r="C16" s="235">
        <f>100/(1+C4)^3</f>
        <v>73.119138130095024</v>
      </c>
      <c r="D16" s="235">
        <f>100/(1+10%)^2</f>
        <v>82.644628099173545</v>
      </c>
      <c r="E16" s="240">
        <f>D16/C16-1</f>
        <v>0.13027355371900828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zoomScale="90" zoomScaleNormal="90" workbookViewId="0">
      <pane ySplit="1" topLeftCell="A2" activePane="bottomLeft" state="frozen"/>
      <selection pane="bottomLeft" activeCell="C4" sqref="C4"/>
    </sheetView>
  </sheetViews>
  <sheetFormatPr defaultRowHeight="16.5"/>
  <cols>
    <col min="1" max="1" width="5.375" bestFit="1" customWidth="1"/>
    <col min="2" max="2" width="4.75" bestFit="1" customWidth="1"/>
    <col min="3" max="28" width="5.875" bestFit="1" customWidth="1"/>
  </cols>
  <sheetData>
    <row r="1" spans="1:28">
      <c r="B1">
        <v>0</v>
      </c>
      <c r="C1" s="2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s="7">
        <v>26</v>
      </c>
    </row>
    <row r="2" spans="1:28">
      <c r="A2" s="11">
        <v>0</v>
      </c>
      <c r="B2" s="5"/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</row>
    <row r="3" spans="1:28">
      <c r="A3" s="5">
        <v>1</v>
      </c>
      <c r="B3" s="10">
        <f>A3</f>
        <v>1</v>
      </c>
      <c r="C3" s="4">
        <v>0.5</v>
      </c>
      <c r="D3" s="9">
        <f>MAX(0,(D$1/(D$1+$B3)*(-1+C3)+($B3/(D$1+$B3))*(1+D2)))</f>
        <v>0</v>
      </c>
      <c r="E3" s="9">
        <f t="shared" ref="E3:R3" si="0">MAX(0,(E$1/(E$1+$B3)*(-1+D3)+($B3/(E$1+$B3))*(1+E2)))</f>
        <v>0</v>
      </c>
      <c r="F3" s="9">
        <f t="shared" si="0"/>
        <v>0</v>
      </c>
      <c r="G3" s="9">
        <f t="shared" si="0"/>
        <v>0</v>
      </c>
      <c r="H3" s="9">
        <f t="shared" si="0"/>
        <v>0</v>
      </c>
      <c r="I3" s="9">
        <f t="shared" si="0"/>
        <v>0</v>
      </c>
      <c r="J3" s="9">
        <f t="shared" si="0"/>
        <v>0</v>
      </c>
      <c r="K3" s="9">
        <f t="shared" si="0"/>
        <v>0</v>
      </c>
      <c r="L3" s="9">
        <f t="shared" si="0"/>
        <v>0</v>
      </c>
      <c r="M3" s="9">
        <f t="shared" si="0"/>
        <v>0</v>
      </c>
      <c r="N3" s="9">
        <f t="shared" si="0"/>
        <v>0</v>
      </c>
      <c r="O3" s="9">
        <f t="shared" si="0"/>
        <v>0</v>
      </c>
      <c r="P3" s="9">
        <f t="shared" si="0"/>
        <v>0</v>
      </c>
      <c r="Q3" s="9">
        <f t="shared" si="0"/>
        <v>0</v>
      </c>
      <c r="R3" s="9">
        <f t="shared" si="0"/>
        <v>0</v>
      </c>
      <c r="S3" s="9">
        <f t="shared" ref="S3:S28" si="1">MAX(0,(S$1/(S$1+$B3)*(-1+R3)+($B3/(S$1+$B3))*(1+S2)))</f>
        <v>0</v>
      </c>
      <c r="T3" s="9">
        <f t="shared" ref="T3:T28" si="2">MAX(0,(T$1/(T$1+$B3)*(-1+S3)+($B3/(T$1+$B3))*(1+T2)))</f>
        <v>0</v>
      </c>
      <c r="U3" s="9">
        <f t="shared" ref="U3:U28" si="3">MAX(0,(U$1/(U$1+$B3)*(-1+T3)+($B3/(U$1+$B3))*(1+U2)))</f>
        <v>0</v>
      </c>
      <c r="V3" s="9">
        <f t="shared" ref="V3:V28" si="4">MAX(0,(V$1/(V$1+$B3)*(-1+U3)+($B3/(V$1+$B3))*(1+V2)))</f>
        <v>0</v>
      </c>
      <c r="W3" s="9">
        <f t="shared" ref="W3:W28" si="5">MAX(0,(W$1/(W$1+$B3)*(-1+V3)+($B3/(W$1+$B3))*(1+W2)))</f>
        <v>0</v>
      </c>
      <c r="X3" s="9">
        <f t="shared" ref="X3:X28" si="6">MAX(0,(X$1/(X$1+$B3)*(-1+W3)+($B3/(X$1+$B3))*(1+X2)))</f>
        <v>0</v>
      </c>
      <c r="Y3" s="9">
        <f t="shared" ref="Y3:Y28" si="7">MAX(0,(Y$1/(Y$1+$B3)*(-1+X3)+($B3/(Y$1+$B3))*(1+Y2)))</f>
        <v>0</v>
      </c>
      <c r="Z3" s="9">
        <f t="shared" ref="Z3:Z28" si="8">MAX(0,(Z$1/(Z$1+$B3)*(-1+Y3)+($B3/(Z$1+$B3))*(1+Z2)))</f>
        <v>0</v>
      </c>
      <c r="AA3" s="9">
        <f t="shared" ref="AA3:AA28" si="9">MAX(0,(AA$1/(AA$1+$B3)*(-1+Z3)+($B3/(AA$1+$B3))*(1+AA2)))</f>
        <v>0</v>
      </c>
      <c r="AB3" s="14">
        <f t="shared" ref="AB3:AB28" si="10">MAX(0,(AB$1/(AB$1+$B3)*(-1+AA3)+($B3/(AB$1+$B3))*(1+AB2)))</f>
        <v>0</v>
      </c>
    </row>
    <row r="4" spans="1:28">
      <c r="A4" s="5">
        <v>2</v>
      </c>
      <c r="B4" s="15">
        <f t="shared" ref="B4:B28" si="11">A4</f>
        <v>2</v>
      </c>
      <c r="C4" s="3">
        <f t="shared" ref="C4:C28" si="12">MAX(0,(C$1/(C$1+$B4)*(-1+B4)+($B4/(C$1+$B4))*(1+C3)))</f>
        <v>1.3333333333333333</v>
      </c>
      <c r="D4" s="3">
        <f>MAX(0,(D$1/(D$1+$B4)*(-1+C4)+($B4/(D$1+$B4))*(1+D3)))</f>
        <v>0.66666666666666663</v>
      </c>
      <c r="E4" s="3">
        <f t="shared" ref="E4:R4" si="13">MAX(0,(E$1/(E$1+$B4)*(-1+D4)+($B4/(E$1+$B4))*(1+E3)))</f>
        <v>0.2</v>
      </c>
      <c r="F4" s="9">
        <f t="shared" si="13"/>
        <v>0</v>
      </c>
      <c r="G4" s="9">
        <f t="shared" si="13"/>
        <v>0</v>
      </c>
      <c r="H4" s="9">
        <f t="shared" si="13"/>
        <v>0</v>
      </c>
      <c r="I4" s="9">
        <f t="shared" si="13"/>
        <v>0</v>
      </c>
      <c r="J4" s="9">
        <f t="shared" si="13"/>
        <v>0</v>
      </c>
      <c r="K4" s="9">
        <f t="shared" si="13"/>
        <v>0</v>
      </c>
      <c r="L4" s="9">
        <f t="shared" si="13"/>
        <v>0</v>
      </c>
      <c r="M4" s="9">
        <f t="shared" si="13"/>
        <v>0</v>
      </c>
      <c r="N4" s="9">
        <f t="shared" si="13"/>
        <v>0</v>
      </c>
      <c r="O4" s="9">
        <f t="shared" si="13"/>
        <v>0</v>
      </c>
      <c r="P4" s="9">
        <f t="shared" si="13"/>
        <v>0</v>
      </c>
      <c r="Q4" s="9">
        <f t="shared" si="13"/>
        <v>0</v>
      </c>
      <c r="R4" s="9">
        <f t="shared" si="13"/>
        <v>0</v>
      </c>
      <c r="S4" s="9">
        <f t="shared" si="1"/>
        <v>0</v>
      </c>
      <c r="T4" s="9">
        <f t="shared" si="2"/>
        <v>0</v>
      </c>
      <c r="U4" s="9">
        <f t="shared" si="3"/>
        <v>0</v>
      </c>
      <c r="V4" s="9">
        <f t="shared" si="4"/>
        <v>0</v>
      </c>
      <c r="W4" s="9">
        <f t="shared" si="5"/>
        <v>0</v>
      </c>
      <c r="X4" s="9">
        <f t="shared" si="6"/>
        <v>0</v>
      </c>
      <c r="Y4" s="9">
        <f t="shared" si="7"/>
        <v>0</v>
      </c>
      <c r="Z4" s="9">
        <f t="shared" si="8"/>
        <v>0</v>
      </c>
      <c r="AA4" s="9">
        <f t="shared" si="9"/>
        <v>0</v>
      </c>
      <c r="AB4" s="14">
        <f t="shared" si="10"/>
        <v>0</v>
      </c>
    </row>
    <row r="5" spans="1:28">
      <c r="A5" s="5">
        <v>3</v>
      </c>
      <c r="B5" s="15">
        <f t="shared" si="11"/>
        <v>3</v>
      </c>
      <c r="C5" s="3">
        <f t="shared" si="12"/>
        <v>2.25</v>
      </c>
      <c r="D5" s="3">
        <f t="shared" ref="D5:R5" si="14">MAX(0,(D$1/(D$1+$B5)*(-1+C5)+($B5/(D$1+$B5))*(1+D4)))</f>
        <v>1.5</v>
      </c>
      <c r="E5" s="3">
        <f t="shared" si="14"/>
        <v>0.85</v>
      </c>
      <c r="F5" s="3">
        <f t="shared" si="14"/>
        <v>0.3428571428571428</v>
      </c>
      <c r="G5" s="9">
        <f t="shared" si="14"/>
        <v>0</v>
      </c>
      <c r="H5" s="9">
        <f t="shared" si="14"/>
        <v>0</v>
      </c>
      <c r="I5" s="9">
        <f>MAX(0,(I$1/(I$1+$B5)*(-1+H5)+($B5/(I$1+$B5))*(1+I4)))</f>
        <v>0</v>
      </c>
      <c r="J5" s="9">
        <f t="shared" si="14"/>
        <v>0</v>
      </c>
      <c r="K5" s="9">
        <f t="shared" si="14"/>
        <v>0</v>
      </c>
      <c r="L5" s="9">
        <f t="shared" si="14"/>
        <v>0</v>
      </c>
      <c r="M5" s="9">
        <f t="shared" si="14"/>
        <v>0</v>
      </c>
      <c r="N5" s="9">
        <f t="shared" si="14"/>
        <v>0</v>
      </c>
      <c r="O5" s="9">
        <f t="shared" si="14"/>
        <v>0</v>
      </c>
      <c r="P5" s="9">
        <f t="shared" si="14"/>
        <v>0</v>
      </c>
      <c r="Q5" s="9">
        <f t="shared" si="14"/>
        <v>0</v>
      </c>
      <c r="R5" s="9">
        <f t="shared" si="14"/>
        <v>0</v>
      </c>
      <c r="S5" s="9">
        <f t="shared" si="1"/>
        <v>0</v>
      </c>
      <c r="T5" s="9">
        <f t="shared" si="2"/>
        <v>0</v>
      </c>
      <c r="U5" s="9">
        <f t="shared" si="3"/>
        <v>0</v>
      </c>
      <c r="V5" s="9">
        <f t="shared" si="4"/>
        <v>0</v>
      </c>
      <c r="W5" s="9">
        <f t="shared" si="5"/>
        <v>0</v>
      </c>
      <c r="X5" s="9">
        <f t="shared" si="6"/>
        <v>0</v>
      </c>
      <c r="Y5" s="9">
        <f t="shared" si="7"/>
        <v>0</v>
      </c>
      <c r="Z5" s="9">
        <f t="shared" si="8"/>
        <v>0</v>
      </c>
      <c r="AA5" s="9">
        <f t="shared" si="9"/>
        <v>0</v>
      </c>
      <c r="AB5" s="14">
        <f t="shared" si="10"/>
        <v>0</v>
      </c>
    </row>
    <row r="6" spans="1:28">
      <c r="A6" s="5">
        <v>4</v>
      </c>
      <c r="B6" s="15">
        <f t="shared" si="11"/>
        <v>4</v>
      </c>
      <c r="C6" s="3">
        <f t="shared" si="12"/>
        <v>3.2</v>
      </c>
      <c r="D6" s="3">
        <f>MAX(0,(D$1/(D$1+$B6)*(-1+C6)+($B6/(D$1+$B6))*(1+D5)))</f>
        <v>2.4</v>
      </c>
      <c r="E6" s="3">
        <f t="shared" ref="E6:R6" si="15">MAX(0,(E$1/(E$1+$B6)*(-1+D6)+($B6/(E$1+$B6))*(1+E5)))</f>
        <v>1.657142857142857</v>
      </c>
      <c r="F6" s="3">
        <f t="shared" si="15"/>
        <v>0.99999999999999989</v>
      </c>
      <c r="G6" s="3">
        <f t="shared" si="15"/>
        <v>0.44444444444444436</v>
      </c>
      <c r="H6" s="3">
        <f t="shared" si="15"/>
        <v>6.6666666666666707E-2</v>
      </c>
      <c r="I6" s="9">
        <f t="shared" si="15"/>
        <v>0</v>
      </c>
      <c r="J6" s="9">
        <f t="shared" si="15"/>
        <v>0</v>
      </c>
      <c r="K6" s="9">
        <f t="shared" si="15"/>
        <v>0</v>
      </c>
      <c r="L6" s="9">
        <f t="shared" si="15"/>
        <v>0</v>
      </c>
      <c r="M6" s="9">
        <f t="shared" si="15"/>
        <v>0</v>
      </c>
      <c r="N6" s="9">
        <f t="shared" si="15"/>
        <v>0</v>
      </c>
      <c r="O6" s="9">
        <f t="shared" si="15"/>
        <v>0</v>
      </c>
      <c r="P6" s="9">
        <f t="shared" si="15"/>
        <v>0</v>
      </c>
      <c r="Q6" s="9">
        <f t="shared" si="15"/>
        <v>0</v>
      </c>
      <c r="R6" s="9">
        <f t="shared" si="15"/>
        <v>0</v>
      </c>
      <c r="S6" s="9">
        <f t="shared" si="1"/>
        <v>0</v>
      </c>
      <c r="T6" s="9">
        <f t="shared" si="2"/>
        <v>0</v>
      </c>
      <c r="U6" s="9">
        <f t="shared" si="3"/>
        <v>0</v>
      </c>
      <c r="V6" s="9">
        <f t="shared" si="4"/>
        <v>0</v>
      </c>
      <c r="W6" s="9">
        <f t="shared" si="5"/>
        <v>0</v>
      </c>
      <c r="X6" s="9">
        <f t="shared" si="6"/>
        <v>0</v>
      </c>
      <c r="Y6" s="9">
        <f t="shared" si="7"/>
        <v>0</v>
      </c>
      <c r="Z6" s="9">
        <f t="shared" si="8"/>
        <v>0</v>
      </c>
      <c r="AA6" s="9">
        <f t="shared" si="9"/>
        <v>0</v>
      </c>
      <c r="AB6" s="14">
        <f t="shared" si="10"/>
        <v>0</v>
      </c>
    </row>
    <row r="7" spans="1:28">
      <c r="A7" s="5">
        <v>5</v>
      </c>
      <c r="B7" s="15">
        <f t="shared" si="11"/>
        <v>5</v>
      </c>
      <c r="C7" s="3">
        <f t="shared" si="12"/>
        <v>4.166666666666667</v>
      </c>
      <c r="D7" s="3">
        <f>MAX(0,(D$1/(D$1+$B7)*(-1+C7)+($B7/(D$1+$B7))*(1+D6)))</f>
        <v>3.333333333333333</v>
      </c>
      <c r="E7" s="3">
        <f t="shared" ref="E7:R7" si="16">MAX(0,(E$1/(E$1+$B7)*(-1+D7)+($B7/(E$1+$B7))*(1+E6)))</f>
        <v>2.5357142857142856</v>
      </c>
      <c r="F7" s="3">
        <f t="shared" si="16"/>
        <v>1.7936507936507935</v>
      </c>
      <c r="G7" s="3">
        <f t="shared" si="16"/>
        <v>1.1190476190476191</v>
      </c>
      <c r="H7" s="3">
        <f t="shared" si="16"/>
        <v>0.54978354978354971</v>
      </c>
      <c r="I7" s="3">
        <f t="shared" si="16"/>
        <v>0.15404040404040398</v>
      </c>
      <c r="J7" s="9">
        <f t="shared" si="16"/>
        <v>0</v>
      </c>
      <c r="K7" s="9">
        <f t="shared" si="16"/>
        <v>0</v>
      </c>
      <c r="L7" s="9">
        <f t="shared" si="16"/>
        <v>0</v>
      </c>
      <c r="M7" s="9">
        <f t="shared" si="16"/>
        <v>0</v>
      </c>
      <c r="N7" s="9">
        <f t="shared" si="16"/>
        <v>0</v>
      </c>
      <c r="O7" s="9">
        <f t="shared" si="16"/>
        <v>0</v>
      </c>
      <c r="P7" s="9">
        <f t="shared" si="16"/>
        <v>0</v>
      </c>
      <c r="Q7" s="9">
        <f t="shared" si="16"/>
        <v>0</v>
      </c>
      <c r="R7" s="9">
        <f t="shared" si="16"/>
        <v>0</v>
      </c>
      <c r="S7" s="9">
        <f t="shared" si="1"/>
        <v>0</v>
      </c>
      <c r="T7" s="9">
        <f t="shared" si="2"/>
        <v>0</v>
      </c>
      <c r="U7" s="9">
        <f t="shared" si="3"/>
        <v>0</v>
      </c>
      <c r="V7" s="9">
        <f t="shared" si="4"/>
        <v>0</v>
      </c>
      <c r="W7" s="9">
        <f t="shared" si="5"/>
        <v>0</v>
      </c>
      <c r="X7" s="9">
        <f t="shared" si="6"/>
        <v>0</v>
      </c>
      <c r="Y7" s="9">
        <f t="shared" si="7"/>
        <v>0</v>
      </c>
      <c r="Z7" s="9">
        <f t="shared" si="8"/>
        <v>0</v>
      </c>
      <c r="AA7" s="9">
        <f t="shared" si="9"/>
        <v>0</v>
      </c>
      <c r="AB7" s="14">
        <f t="shared" si="10"/>
        <v>0</v>
      </c>
    </row>
    <row r="8" spans="1:28">
      <c r="A8" s="5">
        <v>6</v>
      </c>
      <c r="B8" s="15">
        <f t="shared" si="11"/>
        <v>6</v>
      </c>
      <c r="C8" s="3">
        <f t="shared" si="12"/>
        <v>5.1428571428571432</v>
      </c>
      <c r="D8" s="3">
        <f>MAX(0,(D$1/(D$1+$B8)*(-1+C8)+($B8/(D$1+$B8))*(1+D7)))</f>
        <v>4.2857142857142856</v>
      </c>
      <c r="E8" s="3">
        <f t="shared" ref="E8:R8" si="17">MAX(0,(E$1/(E$1+$B8)*(-1+D8)+($B8/(E$1+$B8))*(1+E7)))</f>
        <v>3.4523809523809517</v>
      </c>
      <c r="F8" s="3">
        <f t="shared" si="17"/>
        <v>2.6571428571428566</v>
      </c>
      <c r="G8" s="3">
        <f t="shared" si="17"/>
        <v>1.9090909090909087</v>
      </c>
      <c r="H8" s="3">
        <f t="shared" si="17"/>
        <v>1.2294372294372291</v>
      </c>
      <c r="I8" s="3">
        <f t="shared" si="17"/>
        <v>0.656177156177156</v>
      </c>
      <c r="J8" s="3">
        <f t="shared" si="17"/>
        <v>0.23210123210123199</v>
      </c>
      <c r="K8" s="9">
        <f t="shared" si="17"/>
        <v>0</v>
      </c>
      <c r="L8" s="9">
        <f t="shared" si="17"/>
        <v>0</v>
      </c>
      <c r="M8" s="9">
        <f t="shared" si="17"/>
        <v>0</v>
      </c>
      <c r="N8" s="9">
        <f t="shared" si="17"/>
        <v>0</v>
      </c>
      <c r="O8" s="9">
        <f t="shared" si="17"/>
        <v>0</v>
      </c>
      <c r="P8" s="9">
        <f t="shared" si="17"/>
        <v>0</v>
      </c>
      <c r="Q8" s="9">
        <f t="shared" si="17"/>
        <v>0</v>
      </c>
      <c r="R8" s="9">
        <f t="shared" si="17"/>
        <v>0</v>
      </c>
      <c r="S8" s="9">
        <f t="shared" si="1"/>
        <v>0</v>
      </c>
      <c r="T8" s="9">
        <f t="shared" si="2"/>
        <v>0</v>
      </c>
      <c r="U8" s="9">
        <f t="shared" si="3"/>
        <v>0</v>
      </c>
      <c r="V8" s="9">
        <f t="shared" si="4"/>
        <v>0</v>
      </c>
      <c r="W8" s="9">
        <f t="shared" si="5"/>
        <v>0</v>
      </c>
      <c r="X8" s="9">
        <f t="shared" si="6"/>
        <v>0</v>
      </c>
      <c r="Y8" s="9">
        <f t="shared" si="7"/>
        <v>0</v>
      </c>
      <c r="Z8" s="9">
        <f t="shared" si="8"/>
        <v>0</v>
      </c>
      <c r="AA8" s="9">
        <f t="shared" si="9"/>
        <v>0</v>
      </c>
      <c r="AB8" s="14">
        <f t="shared" si="10"/>
        <v>0</v>
      </c>
    </row>
    <row r="9" spans="1:28">
      <c r="A9" s="5">
        <v>7</v>
      </c>
      <c r="B9" s="15">
        <f t="shared" si="11"/>
        <v>7</v>
      </c>
      <c r="C9" s="3">
        <f t="shared" si="12"/>
        <v>6.125</v>
      </c>
      <c r="D9" s="3">
        <f t="shared" ref="D9:R9" si="18">MAX(0,(D$1/(D$1+$B9)*(-1+C9)+($B9/(D$1+$B9))*(1+D8)))</f>
        <v>5.25</v>
      </c>
      <c r="E9" s="3">
        <f t="shared" si="18"/>
        <v>4.3916666666666657</v>
      </c>
      <c r="F9" s="3">
        <f t="shared" si="18"/>
        <v>3.5606060606060597</v>
      </c>
      <c r="G9" s="3">
        <f t="shared" si="18"/>
        <v>2.7638888888888884</v>
      </c>
      <c r="H9" s="3">
        <f t="shared" si="18"/>
        <v>2.0145687645687644</v>
      </c>
      <c r="I9" s="3">
        <f t="shared" si="18"/>
        <v>1.3353729603729603</v>
      </c>
      <c r="J9" s="3">
        <f t="shared" si="18"/>
        <v>0.75384615384615361</v>
      </c>
      <c r="K9" s="3">
        <f t="shared" si="18"/>
        <v>0.29903846153846142</v>
      </c>
      <c r="L9" s="9">
        <f t="shared" si="18"/>
        <v>0</v>
      </c>
      <c r="M9" s="9">
        <f t="shared" si="18"/>
        <v>0</v>
      </c>
      <c r="N9" s="9">
        <f t="shared" si="18"/>
        <v>0</v>
      </c>
      <c r="O9" s="9">
        <f t="shared" si="18"/>
        <v>0</v>
      </c>
      <c r="P9" s="9">
        <f t="shared" si="18"/>
        <v>0</v>
      </c>
      <c r="Q9" s="9">
        <f t="shared" si="18"/>
        <v>0</v>
      </c>
      <c r="R9" s="9">
        <f t="shared" si="18"/>
        <v>0</v>
      </c>
      <c r="S9" s="9">
        <f t="shared" si="1"/>
        <v>0</v>
      </c>
      <c r="T9" s="9">
        <f t="shared" si="2"/>
        <v>0</v>
      </c>
      <c r="U9" s="9">
        <f t="shared" si="3"/>
        <v>0</v>
      </c>
      <c r="V9" s="9">
        <f t="shared" si="4"/>
        <v>0</v>
      </c>
      <c r="W9" s="9">
        <f t="shared" si="5"/>
        <v>0</v>
      </c>
      <c r="X9" s="9">
        <f t="shared" si="6"/>
        <v>0</v>
      </c>
      <c r="Y9" s="9">
        <f t="shared" si="7"/>
        <v>0</v>
      </c>
      <c r="Z9" s="9">
        <f t="shared" si="8"/>
        <v>0</v>
      </c>
      <c r="AA9" s="9">
        <f t="shared" si="9"/>
        <v>0</v>
      </c>
      <c r="AB9" s="14">
        <f t="shared" si="10"/>
        <v>0</v>
      </c>
    </row>
    <row r="10" spans="1:28">
      <c r="A10" s="5">
        <v>8</v>
      </c>
      <c r="B10" s="15">
        <f t="shared" si="11"/>
        <v>8</v>
      </c>
      <c r="C10" s="3">
        <f t="shared" si="12"/>
        <v>7.1111111111111107</v>
      </c>
      <c r="D10" s="3">
        <f t="shared" ref="D10:R10" si="19">MAX(0,(D$1/(D$1+$B10)*(-1+C10)+($B10/(D$1+$B10))*(1+D9)))</f>
        <v>6.2222222222222223</v>
      </c>
      <c r="E10" s="3">
        <f t="shared" si="19"/>
        <v>5.3454545454545448</v>
      </c>
      <c r="F10" s="3">
        <f t="shared" si="19"/>
        <v>4.488888888888888</v>
      </c>
      <c r="G10" s="3">
        <f t="shared" si="19"/>
        <v>3.6581196581196576</v>
      </c>
      <c r="H10" s="3">
        <f t="shared" si="19"/>
        <v>2.8618048618048615</v>
      </c>
      <c r="I10" s="3">
        <f t="shared" si="19"/>
        <v>2.1143745143745143</v>
      </c>
      <c r="J10" s="3">
        <f t="shared" si="19"/>
        <v>1.4341103341103341</v>
      </c>
      <c r="K10" s="3">
        <f t="shared" si="19"/>
        <v>0.84113533525298223</v>
      </c>
      <c r="L10" s="3">
        <f t="shared" si="19"/>
        <v>0.35618629736276786</v>
      </c>
      <c r="M10" s="3">
        <f t="shared" si="19"/>
        <v>4.8318382683707695E-2</v>
      </c>
      <c r="N10" s="9">
        <f t="shared" si="19"/>
        <v>0</v>
      </c>
      <c r="O10" s="9">
        <f t="shared" si="19"/>
        <v>0</v>
      </c>
      <c r="P10" s="9">
        <f t="shared" si="19"/>
        <v>0</v>
      </c>
      <c r="Q10" s="9">
        <f t="shared" si="19"/>
        <v>0</v>
      </c>
      <c r="R10" s="9">
        <f t="shared" si="19"/>
        <v>0</v>
      </c>
      <c r="S10" s="9">
        <f t="shared" si="1"/>
        <v>0</v>
      </c>
      <c r="T10" s="9">
        <f t="shared" si="2"/>
        <v>0</v>
      </c>
      <c r="U10" s="9">
        <f t="shared" si="3"/>
        <v>0</v>
      </c>
      <c r="V10" s="9">
        <f t="shared" si="4"/>
        <v>0</v>
      </c>
      <c r="W10" s="9">
        <f t="shared" si="5"/>
        <v>0</v>
      </c>
      <c r="X10" s="9">
        <f t="shared" si="6"/>
        <v>0</v>
      </c>
      <c r="Y10" s="9">
        <f t="shared" si="7"/>
        <v>0</v>
      </c>
      <c r="Z10" s="9">
        <f t="shared" si="8"/>
        <v>0</v>
      </c>
      <c r="AA10" s="9">
        <f t="shared" si="9"/>
        <v>0</v>
      </c>
      <c r="AB10" s="14">
        <f t="shared" si="10"/>
        <v>0</v>
      </c>
    </row>
    <row r="11" spans="1:28">
      <c r="A11" s="5">
        <v>9</v>
      </c>
      <c r="B11" s="15">
        <f t="shared" si="11"/>
        <v>9</v>
      </c>
      <c r="C11" s="3">
        <f t="shared" si="12"/>
        <v>8.1</v>
      </c>
      <c r="D11" s="3">
        <f t="shared" ref="D11:R11" si="20">MAX(0,(D$1/(D$1+$B11)*(-1+C11)+($B11/(D$1+$B11))*(1+D10)))</f>
        <v>7.2</v>
      </c>
      <c r="E11" s="3">
        <f t="shared" si="20"/>
        <v>6.3090909090909086</v>
      </c>
      <c r="F11" s="3">
        <f t="shared" si="20"/>
        <v>5.4335664335664333</v>
      </c>
      <c r="G11" s="3">
        <f t="shared" si="20"/>
        <v>4.5779220779220777</v>
      </c>
      <c r="H11" s="3">
        <f t="shared" si="20"/>
        <v>3.7482517482517479</v>
      </c>
      <c r="I11" s="3">
        <f t="shared" si="20"/>
        <v>2.9541958041958041</v>
      </c>
      <c r="J11" s="3">
        <f t="shared" si="20"/>
        <v>2.2082682023858493</v>
      </c>
      <c r="K11" s="3">
        <f t="shared" si="20"/>
        <v>1.5247017688194158</v>
      </c>
      <c r="L11" s="3">
        <f t="shared" si="20"/>
        <v>0.91856286128731934</v>
      </c>
      <c r="M11" s="3">
        <f t="shared" si="20"/>
        <v>0.4269528459156941</v>
      </c>
      <c r="N11" s="3">
        <f t="shared" si="20"/>
        <v>0.10111591195182523</v>
      </c>
      <c r="O11" s="9">
        <f t="shared" si="20"/>
        <v>0</v>
      </c>
      <c r="P11" s="9">
        <f t="shared" si="20"/>
        <v>0</v>
      </c>
      <c r="Q11" s="9">
        <f t="shared" si="20"/>
        <v>0</v>
      </c>
      <c r="R11" s="9">
        <f t="shared" si="20"/>
        <v>0</v>
      </c>
      <c r="S11" s="9">
        <f t="shared" si="1"/>
        <v>0</v>
      </c>
      <c r="T11" s="9">
        <f t="shared" si="2"/>
        <v>0</v>
      </c>
      <c r="U11" s="9">
        <f t="shared" si="3"/>
        <v>0</v>
      </c>
      <c r="V11" s="9">
        <f t="shared" si="4"/>
        <v>0</v>
      </c>
      <c r="W11" s="9">
        <f t="shared" si="5"/>
        <v>0</v>
      </c>
      <c r="X11" s="9">
        <f t="shared" si="6"/>
        <v>0</v>
      </c>
      <c r="Y11" s="9">
        <f t="shared" si="7"/>
        <v>0</v>
      </c>
      <c r="Z11" s="9">
        <f t="shared" si="8"/>
        <v>0</v>
      </c>
      <c r="AA11" s="9">
        <f t="shared" si="9"/>
        <v>0</v>
      </c>
      <c r="AB11" s="14">
        <f t="shared" si="10"/>
        <v>0</v>
      </c>
    </row>
    <row r="12" spans="1:28">
      <c r="A12" s="5">
        <v>10</v>
      </c>
      <c r="B12" s="15">
        <f t="shared" si="11"/>
        <v>10</v>
      </c>
      <c r="C12" s="3">
        <f t="shared" si="12"/>
        <v>9.0909090909090899</v>
      </c>
      <c r="D12" s="3">
        <f t="shared" ref="D12:R12" si="21">MAX(0,(D$1/(D$1+$B12)*(-1+C12)+($B12/(D$1+$B12))*(1+D11)))</f>
        <v>8.1818181818181817</v>
      </c>
      <c r="E12" s="3">
        <f t="shared" si="21"/>
        <v>7.27972027972028</v>
      </c>
      <c r="F12" s="3">
        <f t="shared" si="21"/>
        <v>6.3896103896103895</v>
      </c>
      <c r="G12" s="3">
        <f t="shared" si="21"/>
        <v>5.5151515151515147</v>
      </c>
      <c r="H12" s="3">
        <f t="shared" si="21"/>
        <v>4.6608391608391599</v>
      </c>
      <c r="I12" s="3">
        <f t="shared" si="21"/>
        <v>3.8334018922254209</v>
      </c>
      <c r="J12" s="3">
        <f t="shared" si="21"/>
        <v>3.0416609534256587</v>
      </c>
      <c r="K12" s="3">
        <f t="shared" si="21"/>
        <v>2.2958929615276356</v>
      </c>
      <c r="L12" s="3">
        <f t="shared" si="21"/>
        <v>1.6072279114074774</v>
      </c>
      <c r="M12" s="3">
        <f t="shared" si="21"/>
        <v>0.99757311831615203</v>
      </c>
      <c r="N12" s="3">
        <f t="shared" si="21"/>
        <v>0.49918347905963983</v>
      </c>
      <c r="O12" s="3">
        <f t="shared" si="21"/>
        <v>0.15171240120762258</v>
      </c>
      <c r="P12" s="3">
        <f t="shared" si="21"/>
        <v>0</v>
      </c>
      <c r="Q12" s="9">
        <f t="shared" si="21"/>
        <v>0</v>
      </c>
      <c r="R12" s="9">
        <f t="shared" si="21"/>
        <v>0</v>
      </c>
      <c r="S12" s="9">
        <f t="shared" si="1"/>
        <v>0</v>
      </c>
      <c r="T12" s="9">
        <f t="shared" si="2"/>
        <v>0</v>
      </c>
      <c r="U12" s="9">
        <f t="shared" si="3"/>
        <v>0</v>
      </c>
      <c r="V12" s="9">
        <f t="shared" si="4"/>
        <v>0</v>
      </c>
      <c r="W12" s="9">
        <f t="shared" si="5"/>
        <v>0</v>
      </c>
      <c r="X12" s="9">
        <f t="shared" si="6"/>
        <v>0</v>
      </c>
      <c r="Y12" s="9">
        <f t="shared" si="7"/>
        <v>0</v>
      </c>
      <c r="Z12" s="9">
        <f t="shared" si="8"/>
        <v>0</v>
      </c>
      <c r="AA12" s="9">
        <f t="shared" si="9"/>
        <v>0</v>
      </c>
      <c r="AB12" s="14">
        <f t="shared" si="10"/>
        <v>0</v>
      </c>
    </row>
    <row r="13" spans="1:28">
      <c r="A13" s="5">
        <v>11</v>
      </c>
      <c r="B13" s="15">
        <f t="shared" si="11"/>
        <v>11</v>
      </c>
      <c r="C13" s="3">
        <f t="shared" si="12"/>
        <v>10.083333333333332</v>
      </c>
      <c r="D13" s="3">
        <f t="shared" ref="D13:R13" si="22">MAX(0,(D$1/(D$1+$B13)*(-1+C13)+($B13/(D$1+$B13))*(1+D12)))</f>
        <v>9.1666666666666661</v>
      </c>
      <c r="E13" s="3">
        <f t="shared" si="22"/>
        <v>8.2554945054945055</v>
      </c>
      <c r="F13" s="3">
        <f t="shared" si="22"/>
        <v>7.3538461538461535</v>
      </c>
      <c r="G13" s="3">
        <f t="shared" si="22"/>
        <v>6.4647435897435894</v>
      </c>
      <c r="H13" s="3">
        <f t="shared" si="22"/>
        <v>5.5916289592760178</v>
      </c>
      <c r="I13" s="3">
        <f t="shared" si="22"/>
        <v>4.7393790849673199</v>
      </c>
      <c r="J13" s="3">
        <f t="shared" si="22"/>
        <v>3.9143843772326736</v>
      </c>
      <c r="K13" s="3">
        <f t="shared" si="22"/>
        <v>3.1242140985949032</v>
      </c>
      <c r="L13" s="3">
        <f t="shared" si="22"/>
        <v>2.3772213338776802</v>
      </c>
      <c r="M13" s="3">
        <f t="shared" si="22"/>
        <v>1.6873972260969161</v>
      </c>
      <c r="N13" s="3">
        <f t="shared" si="22"/>
        <v>1.0756428253399579</v>
      </c>
      <c r="O13" s="3">
        <f t="shared" si="22"/>
        <v>0.56884138094597092</v>
      </c>
      <c r="P13" s="3">
        <f t="shared" si="22"/>
        <v>0.1985511733297437</v>
      </c>
      <c r="Q13" s="9">
        <f t="shared" si="22"/>
        <v>0</v>
      </c>
      <c r="R13" s="9">
        <f t="shared" si="22"/>
        <v>0</v>
      </c>
      <c r="S13" s="9">
        <f t="shared" si="1"/>
        <v>0</v>
      </c>
      <c r="T13" s="9">
        <f t="shared" si="2"/>
        <v>0</v>
      </c>
      <c r="U13" s="9">
        <f t="shared" si="3"/>
        <v>0</v>
      </c>
      <c r="V13" s="9">
        <f t="shared" si="4"/>
        <v>0</v>
      </c>
      <c r="W13" s="9">
        <f t="shared" si="5"/>
        <v>0</v>
      </c>
      <c r="X13" s="9">
        <f t="shared" si="6"/>
        <v>0</v>
      </c>
      <c r="Y13" s="9">
        <f t="shared" si="7"/>
        <v>0</v>
      </c>
      <c r="Z13" s="9">
        <f t="shared" si="8"/>
        <v>0</v>
      </c>
      <c r="AA13" s="9">
        <f t="shared" si="9"/>
        <v>0</v>
      </c>
      <c r="AB13" s="14">
        <f t="shared" si="10"/>
        <v>0</v>
      </c>
    </row>
    <row r="14" spans="1:28">
      <c r="A14" s="5">
        <v>12</v>
      </c>
      <c r="B14" s="15">
        <f t="shared" si="11"/>
        <v>12</v>
      </c>
      <c r="C14" s="3">
        <f t="shared" si="12"/>
        <v>11.076923076923077</v>
      </c>
      <c r="D14" s="3">
        <f t="shared" ref="D14:R14" si="23">MAX(0,(D$1/(D$1+$B14)*(-1+C14)+($B14/(D$1+$B14))*(1+D13)))</f>
        <v>10.153846153846153</v>
      </c>
      <c r="E14" s="3">
        <f t="shared" si="23"/>
        <v>9.2351648351648361</v>
      </c>
      <c r="F14" s="3">
        <f t="shared" si="23"/>
        <v>8.324175824175823</v>
      </c>
      <c r="G14" s="3">
        <f t="shared" si="23"/>
        <v>7.4234001292824825</v>
      </c>
      <c r="H14" s="3">
        <f t="shared" si="23"/>
        <v>6.535552682611506</v>
      </c>
      <c r="I14" s="3">
        <f t="shared" si="23"/>
        <v>5.6642851472572833</v>
      </c>
      <c r="J14" s="3">
        <f t="shared" si="23"/>
        <v>4.8143446852425171</v>
      </c>
      <c r="K14" s="3">
        <f t="shared" si="23"/>
        <v>3.9914129214438803</v>
      </c>
      <c r="L14" s="3">
        <f t="shared" si="23"/>
        <v>3.2018538736804985</v>
      </c>
      <c r="M14" s="3">
        <f t="shared" si="23"/>
        <v>2.4551808401586293</v>
      </c>
      <c r="N14" s="3">
        <f t="shared" si="23"/>
        <v>1.7654118327492936</v>
      </c>
      <c r="O14" s="3">
        <f t="shared" si="23"/>
        <v>1.1510580158836987</v>
      </c>
      <c r="P14" s="3">
        <f t="shared" si="23"/>
        <v>0.63451639624341172</v>
      </c>
      <c r="Q14" s="3">
        <f t="shared" si="23"/>
        <v>0.24139799791300648</v>
      </c>
      <c r="R14" s="9">
        <f t="shared" si="23"/>
        <v>0</v>
      </c>
      <c r="S14" s="9">
        <f t="shared" si="1"/>
        <v>0</v>
      </c>
      <c r="T14" s="9">
        <f t="shared" si="2"/>
        <v>0</v>
      </c>
      <c r="U14" s="9">
        <f t="shared" si="3"/>
        <v>0</v>
      </c>
      <c r="V14" s="9">
        <f t="shared" si="4"/>
        <v>0</v>
      </c>
      <c r="W14" s="9">
        <f t="shared" si="5"/>
        <v>0</v>
      </c>
      <c r="X14" s="9">
        <f t="shared" si="6"/>
        <v>0</v>
      </c>
      <c r="Y14" s="9">
        <f t="shared" si="7"/>
        <v>0</v>
      </c>
      <c r="Z14" s="9">
        <f t="shared" si="8"/>
        <v>0</v>
      </c>
      <c r="AA14" s="9">
        <f t="shared" si="9"/>
        <v>0</v>
      </c>
      <c r="AB14" s="14">
        <f t="shared" si="10"/>
        <v>0</v>
      </c>
    </row>
    <row r="15" spans="1:28">
      <c r="A15" s="5">
        <v>13</v>
      </c>
      <c r="B15" s="15">
        <f t="shared" si="11"/>
        <v>13</v>
      </c>
      <c r="C15" s="3">
        <f t="shared" si="12"/>
        <v>12.071428571428573</v>
      </c>
      <c r="D15" s="3">
        <f t="shared" ref="D15:R15" si="24">MAX(0,(D$1/(D$1+$B15)*(-1+C15)+($B15/(D$1+$B15))*(1+D14)))</f>
        <v>11.142857142857142</v>
      </c>
      <c r="E15" s="3">
        <f t="shared" si="24"/>
        <v>10.217857142857143</v>
      </c>
      <c r="F15" s="3">
        <f t="shared" si="24"/>
        <v>9.2991596638655452</v>
      </c>
      <c r="G15" s="3">
        <f t="shared" si="24"/>
        <v>8.3888888888888893</v>
      </c>
      <c r="H15" s="3">
        <f t="shared" si="24"/>
        <v>7.4892378003833109</v>
      </c>
      <c r="I15" s="3">
        <f t="shared" si="24"/>
        <v>6.6030185758513928</v>
      </c>
      <c r="J15" s="3">
        <f t="shared" si="24"/>
        <v>5.7338395007125644</v>
      </c>
      <c r="K15" s="3">
        <f t="shared" si="24"/>
        <v>4.8860419765992509</v>
      </c>
      <c r="L15" s="3">
        <f t="shared" si="24"/>
        <v>4.0645443532103904</v>
      </c>
      <c r="M15" s="3">
        <f t="shared" si="24"/>
        <v>3.2761391169740195</v>
      </c>
      <c r="N15" s="3">
        <f t="shared" si="24"/>
        <v>2.5305609291771622</v>
      </c>
      <c r="O15" s="3">
        <f t="shared" si="24"/>
        <v>1.8408094725304305</v>
      </c>
      <c r="P15" s="3">
        <f t="shared" si="24"/>
        <v>1.2229646580218658</v>
      </c>
      <c r="Q15" s="3">
        <f t="shared" si="24"/>
        <v>0.69580870868560973</v>
      </c>
      <c r="R15" s="3">
        <f t="shared" si="24"/>
        <v>0.2804461841024054</v>
      </c>
      <c r="S15" s="3">
        <f t="shared" si="1"/>
        <v>2.5586170991363066E-2</v>
      </c>
      <c r="T15" s="9">
        <f t="shared" si="2"/>
        <v>0</v>
      </c>
      <c r="U15" s="9">
        <f t="shared" si="3"/>
        <v>0</v>
      </c>
      <c r="V15" s="9">
        <f t="shared" si="4"/>
        <v>0</v>
      </c>
      <c r="W15" s="9">
        <f t="shared" si="5"/>
        <v>0</v>
      </c>
      <c r="X15" s="9">
        <f t="shared" si="6"/>
        <v>0</v>
      </c>
      <c r="Y15" s="9">
        <f t="shared" si="7"/>
        <v>0</v>
      </c>
      <c r="Z15" s="9">
        <f t="shared" si="8"/>
        <v>0</v>
      </c>
      <c r="AA15" s="9">
        <f t="shared" si="9"/>
        <v>0</v>
      </c>
      <c r="AB15" s="14">
        <f t="shared" si="10"/>
        <v>0</v>
      </c>
    </row>
    <row r="16" spans="1:28">
      <c r="A16" s="5">
        <v>14</v>
      </c>
      <c r="B16" s="15">
        <f t="shared" si="11"/>
        <v>14</v>
      </c>
      <c r="C16" s="3">
        <f t="shared" si="12"/>
        <v>13.066666666666668</v>
      </c>
      <c r="D16" s="3">
        <f t="shared" ref="D16:R16" si="25">MAX(0,(D$1/(D$1+$B16)*(-1+C16)+($B16/(D$1+$B16))*(1+D15)))</f>
        <v>12.133333333333333</v>
      </c>
      <c r="E16" s="3">
        <f t="shared" si="25"/>
        <v>11.202941176470588</v>
      </c>
      <c r="F16" s="3">
        <f t="shared" si="25"/>
        <v>10.277777777777779</v>
      </c>
      <c r="G16" s="3">
        <f t="shared" si="25"/>
        <v>9.3596491228070171</v>
      </c>
      <c r="H16" s="3">
        <f t="shared" si="25"/>
        <v>8.4503611971104213</v>
      </c>
      <c r="I16" s="3">
        <f t="shared" si="25"/>
        <v>7.5521327829377354</v>
      </c>
      <c r="J16" s="3">
        <f t="shared" si="25"/>
        <v>6.6677643306126271</v>
      </c>
      <c r="K16" s="3">
        <f t="shared" si="25"/>
        <v>5.8006289846914418</v>
      </c>
      <c r="L16" s="3">
        <f t="shared" si="25"/>
        <v>4.9545796163274956</v>
      </c>
      <c r="M16" s="3">
        <f t="shared" si="25"/>
        <v>4.134652936689549</v>
      </c>
      <c r="N16" s="3">
        <f t="shared" si="25"/>
        <v>3.3478341634136486</v>
      </c>
      <c r="O16" s="3">
        <f t="shared" si="25"/>
        <v>2.6034509903630907</v>
      </c>
      <c r="P16" s="3">
        <f t="shared" si="25"/>
        <v>1.9132078241924781</v>
      </c>
      <c r="Q16" s="3">
        <f t="shared" si="25"/>
        <v>1.2910151477408864</v>
      </c>
      <c r="R16" s="3">
        <f t="shared" si="25"/>
        <v>0.75274963137626194</v>
      </c>
      <c r="S16" s="3">
        <f t="shared" si="1"/>
        <v>0.32757903636372693</v>
      </c>
      <c r="T16" s="3">
        <f t="shared" si="2"/>
        <v>5.9263207954596442E-2</v>
      </c>
      <c r="U16" s="9">
        <f t="shared" si="3"/>
        <v>0</v>
      </c>
      <c r="V16" s="9">
        <f t="shared" si="4"/>
        <v>0</v>
      </c>
      <c r="W16" s="9">
        <f t="shared" si="5"/>
        <v>0</v>
      </c>
      <c r="X16" s="9">
        <f t="shared" si="6"/>
        <v>0</v>
      </c>
      <c r="Y16" s="9">
        <f t="shared" si="7"/>
        <v>0</v>
      </c>
      <c r="Z16" s="9">
        <f t="shared" si="8"/>
        <v>0</v>
      </c>
      <c r="AA16" s="9">
        <f t="shared" si="9"/>
        <v>0</v>
      </c>
      <c r="AB16" s="14">
        <f t="shared" si="10"/>
        <v>0</v>
      </c>
    </row>
    <row r="17" spans="1:28">
      <c r="A17" s="5">
        <v>15</v>
      </c>
      <c r="B17" s="15">
        <f t="shared" si="11"/>
        <v>15</v>
      </c>
      <c r="C17" s="3">
        <f t="shared" si="12"/>
        <v>14.062500000000002</v>
      </c>
      <c r="D17" s="3">
        <f t="shared" ref="D17:R17" si="26">MAX(0,(D$1/(D$1+$B17)*(-1+C17)+($B17/(D$1+$B17))*(1+D16)))</f>
        <v>13.125</v>
      </c>
      <c r="E17" s="3">
        <f t="shared" si="26"/>
        <v>12.189950980392158</v>
      </c>
      <c r="F17" s="3">
        <f t="shared" si="26"/>
        <v>11.259287925696595</v>
      </c>
      <c r="G17" s="3">
        <f t="shared" si="26"/>
        <v>10.334558823529411</v>
      </c>
      <c r="H17" s="3">
        <f t="shared" si="26"/>
        <v>9.4172748046587031</v>
      </c>
      <c r="I17" s="3">
        <f t="shared" si="26"/>
        <v>8.5092234262125892</v>
      </c>
      <c r="J17" s="3">
        <f t="shared" si="26"/>
        <v>7.6126196682126146</v>
      </c>
      <c r="K17" s="3">
        <f t="shared" si="26"/>
        <v>6.7301254910118811</v>
      </c>
      <c r="L17" s="3">
        <f t="shared" si="26"/>
        <v>5.8647979662012499</v>
      </c>
      <c r="M17" s="3">
        <f t="shared" si="26"/>
        <v>5.0204835260983458</v>
      </c>
      <c r="N17" s="3">
        <f t="shared" si="26"/>
        <v>4.202344991273514</v>
      </c>
      <c r="O17" s="3">
        <f t="shared" si="26"/>
        <v>3.4172232050715015</v>
      </c>
      <c r="P17" s="3">
        <f t="shared" si="26"/>
        <v>2.6737669735823517</v>
      </c>
      <c r="Q17" s="3">
        <f t="shared" si="26"/>
        <v>1.9823910606616191</v>
      </c>
      <c r="R17" s="3">
        <f t="shared" si="26"/>
        <v>1.3551452077816077</v>
      </c>
      <c r="S17" s="3">
        <f t="shared" si="1"/>
        <v>0.81097356492947614</v>
      </c>
      <c r="T17" s="3">
        <f t="shared" si="2"/>
        <v>0.37837794812271264</v>
      </c>
      <c r="U17" s="3">
        <f t="shared" si="3"/>
        <v>9.3799441597986477E-2</v>
      </c>
      <c r="V17" s="9">
        <f t="shared" si="4"/>
        <v>0</v>
      </c>
      <c r="W17" s="9">
        <f t="shared" si="5"/>
        <v>0</v>
      </c>
      <c r="X17" s="9">
        <f t="shared" si="6"/>
        <v>0</v>
      </c>
      <c r="Y17" s="9">
        <f t="shared" si="7"/>
        <v>0</v>
      </c>
      <c r="Z17" s="9">
        <f t="shared" si="8"/>
        <v>0</v>
      </c>
      <c r="AA17" s="9">
        <f t="shared" si="9"/>
        <v>0</v>
      </c>
      <c r="AB17" s="14">
        <f t="shared" si="10"/>
        <v>0</v>
      </c>
    </row>
    <row r="18" spans="1:28">
      <c r="A18" s="5">
        <v>16</v>
      </c>
      <c r="B18" s="15">
        <f t="shared" si="11"/>
        <v>16</v>
      </c>
      <c r="C18" s="3">
        <f t="shared" si="12"/>
        <v>15.058823529411766</v>
      </c>
      <c r="D18" s="3">
        <f t="shared" ref="D18:R18" si="27">MAX(0,(D$1/(D$1+$B18)*(-1+C18)+($B18/(D$1+$B18))*(1+D17)))</f>
        <v>14.117647058823529</v>
      </c>
      <c r="E18" s="3">
        <f t="shared" si="27"/>
        <v>13.178534571723427</v>
      </c>
      <c r="F18" s="3">
        <f t="shared" si="27"/>
        <v>12.243137254901962</v>
      </c>
      <c r="G18" s="3">
        <f t="shared" si="27"/>
        <v>11.312791783380018</v>
      </c>
      <c r="H18" s="3">
        <f t="shared" si="27"/>
        <v>10.38877943521906</v>
      </c>
      <c r="I18" s="3">
        <f t="shared" si="27"/>
        <v>9.472566559388472</v>
      </c>
      <c r="J18" s="3">
        <f t="shared" si="27"/>
        <v>8.5659352986045665</v>
      </c>
      <c r="K18" s="3">
        <f t="shared" si="27"/>
        <v>7.6710170217452482</v>
      </c>
      <c r="L18" s="3">
        <f t="shared" si="27"/>
        <v>6.7902668337181726</v>
      </c>
      <c r="M18" s="3">
        <f t="shared" si="27"/>
        <v>5.9266915403138309</v>
      </c>
      <c r="N18" s="3">
        <f t="shared" si="27"/>
        <v>5.0842077980050782</v>
      </c>
      <c r="O18" s="3">
        <f t="shared" si="27"/>
        <v>4.267940436386553</v>
      </c>
      <c r="P18" s="3">
        <f t="shared" si="27"/>
        <v>3.4843812562243124</v>
      </c>
      <c r="Q18" s="3">
        <f t="shared" si="27"/>
        <v>2.7414185746435673</v>
      </c>
      <c r="R18" s="3">
        <f t="shared" si="27"/>
        <v>2.0482818912125875</v>
      </c>
      <c r="S18" s="3">
        <f t="shared" si="1"/>
        <v>1.4180717936207761</v>
      </c>
      <c r="T18" s="3">
        <f t="shared" si="2"/>
        <v>0.86998057220992275</v>
      </c>
      <c r="U18" s="3">
        <f t="shared" si="3"/>
        <v>0.42944062678732331</v>
      </c>
      <c r="V18" s="3">
        <f t="shared" si="4"/>
        <v>0.12746701488184625</v>
      </c>
      <c r="W18" s="9">
        <f t="shared" si="5"/>
        <v>0</v>
      </c>
      <c r="X18" s="9">
        <f t="shared" si="6"/>
        <v>0</v>
      </c>
      <c r="Y18" s="9">
        <f t="shared" si="7"/>
        <v>0</v>
      </c>
      <c r="Z18" s="9">
        <f t="shared" si="8"/>
        <v>0</v>
      </c>
      <c r="AA18" s="9">
        <f t="shared" si="9"/>
        <v>0</v>
      </c>
      <c r="AB18" s="14">
        <f t="shared" si="10"/>
        <v>0</v>
      </c>
    </row>
    <row r="19" spans="1:28">
      <c r="A19" s="5">
        <v>17</v>
      </c>
      <c r="B19" s="15">
        <f t="shared" si="11"/>
        <v>17</v>
      </c>
      <c r="C19" s="3">
        <f t="shared" si="12"/>
        <v>16.055555555555557</v>
      </c>
      <c r="D19" s="3">
        <f t="shared" ref="D19:R19" si="28">MAX(0,(D$1/(D$1+$B19)*(-1+C19)+($B19/(D$1+$B19))*(1+D18)))</f>
        <v>15.111111111111111</v>
      </c>
      <c r="E19" s="3">
        <f t="shared" si="28"/>
        <v>14.168421052631579</v>
      </c>
      <c r="F19" s="3">
        <f t="shared" si="28"/>
        <v>13.228905597326651</v>
      </c>
      <c r="G19" s="3">
        <f t="shared" si="28"/>
        <v>12.293726741095162</v>
      </c>
      <c r="H19" s="3">
        <f t="shared" si="28"/>
        <v>11.363983080230216</v>
      </c>
      <c r="I19" s="3">
        <f t="shared" si="28"/>
        <v>10.440896377967315</v>
      </c>
      <c r="J19" s="3">
        <f t="shared" si="28"/>
        <v>9.5259228440006467</v>
      </c>
      <c r="K19" s="3">
        <f t="shared" si="28"/>
        <v>8.6207921140644252</v>
      </c>
      <c r="L19" s="3">
        <f t="shared" si="28"/>
        <v>7.7274984190315994</v>
      </c>
      <c r="M19" s="3">
        <f t="shared" si="28"/>
        <v>6.8484370998100967</v>
      </c>
      <c r="N19" s="3">
        <f t="shared" si="28"/>
        <v>5.9866475090968096</v>
      </c>
      <c r="O19" s="3">
        <f t="shared" si="28"/>
        <v>5.1460468345609973</v>
      </c>
      <c r="P19" s="3">
        <f t="shared" si="28"/>
        <v>4.3315850657957178</v>
      </c>
      <c r="Q19" s="3">
        <f t="shared" si="28"/>
        <v>3.5493091173711377</v>
      </c>
      <c r="R19" s="3">
        <f t="shared" si="28"/>
        <v>2.8063556978349151</v>
      </c>
      <c r="S19" s="3">
        <f t="shared" si="1"/>
        <v>2.1122137457278454</v>
      </c>
      <c r="T19" s="3">
        <f t="shared" si="2"/>
        <v>1.4802719185905686</v>
      </c>
      <c r="U19" s="3">
        <f t="shared" si="3"/>
        <v>0.92849047523903616</v>
      </c>
      <c r="V19" s="3">
        <f t="shared" si="4"/>
        <v>0.47937158804789481</v>
      </c>
      <c r="W19" s="3">
        <f t="shared" si="5"/>
        <v>0.15965271971067868</v>
      </c>
      <c r="X19" s="9">
        <f t="shared" si="6"/>
        <v>0</v>
      </c>
      <c r="Y19" s="9">
        <f t="shared" si="7"/>
        <v>0</v>
      </c>
      <c r="Z19" s="9">
        <f t="shared" si="8"/>
        <v>0</v>
      </c>
      <c r="AA19" s="9">
        <f t="shared" si="9"/>
        <v>0</v>
      </c>
      <c r="AB19" s="14">
        <f t="shared" si="10"/>
        <v>0</v>
      </c>
    </row>
    <row r="20" spans="1:28">
      <c r="A20" s="5">
        <v>18</v>
      </c>
      <c r="B20" s="15">
        <f t="shared" si="11"/>
        <v>18</v>
      </c>
      <c r="C20" s="3">
        <f t="shared" si="12"/>
        <v>17.05263157894737</v>
      </c>
      <c r="D20" s="3">
        <f t="shared" ref="D20:R20" si="29">MAX(0,(D$1/(D$1+$B20)*(-1+C20)+($B20/(D$1+$B20))*(1+D19)))</f>
        <v>16.105263157894736</v>
      </c>
      <c r="E20" s="3">
        <f t="shared" si="29"/>
        <v>15.1593984962406</v>
      </c>
      <c r="F20" s="3">
        <f t="shared" si="29"/>
        <v>14.216267942583734</v>
      </c>
      <c r="G20" s="3">
        <f t="shared" si="29"/>
        <v>13.276887871853548</v>
      </c>
      <c r="H20" s="3">
        <f t="shared" si="29"/>
        <v>12.34220927813605</v>
      </c>
      <c r="I20" s="3">
        <f t="shared" si="29"/>
        <v>11.41326399001456</v>
      </c>
      <c r="J20" s="3">
        <f t="shared" si="29"/>
        <v>10.491258581235696</v>
      </c>
      <c r="K20" s="3">
        <f t="shared" si="29"/>
        <v>9.5776142697881816</v>
      </c>
      <c r="L20" s="3">
        <f t="shared" si="29"/>
        <v>8.6739683657303797</v>
      </c>
      <c r="M20" s="3">
        <f t="shared" si="29"/>
        <v>7.7822593041246861</v>
      </c>
      <c r="N20" s="3">
        <f t="shared" si="29"/>
        <v>6.9048922271079602</v>
      </c>
      <c r="O20" s="3">
        <f t="shared" si="29"/>
        <v>6.044917483048434</v>
      </c>
      <c r="P20" s="3">
        <f t="shared" si="29"/>
        <v>5.2061679983437816</v>
      </c>
      <c r="Q20" s="3">
        <f t="shared" si="29"/>
        <v>4.3933358814496115</v>
      </c>
      <c r="R20" s="3">
        <f t="shared" si="29"/>
        <v>3.6119934313006548</v>
      </c>
      <c r="S20" s="3">
        <f t="shared" si="1"/>
        <v>2.8692495930060669</v>
      </c>
      <c r="T20" s="3">
        <f t="shared" si="2"/>
        <v>2.1747607557983177</v>
      </c>
      <c r="U20" s="3">
        <f t="shared" si="3"/>
        <v>1.5414400787694782</v>
      </c>
      <c r="V20" s="3">
        <f t="shared" si="4"/>
        <v>0.98572342526978074</v>
      </c>
      <c r="W20" s="3">
        <f t="shared" si="5"/>
        <v>0.52753694578096444</v>
      </c>
      <c r="X20" s="3">
        <f t="shared" si="6"/>
        <v>0.19014532017953045</v>
      </c>
      <c r="Y20" s="9">
        <f t="shared" si="7"/>
        <v>0</v>
      </c>
      <c r="Z20" s="9">
        <f t="shared" si="8"/>
        <v>0</v>
      </c>
      <c r="AA20" s="9">
        <f t="shared" si="9"/>
        <v>0</v>
      </c>
      <c r="AB20" s="14">
        <f t="shared" si="10"/>
        <v>0</v>
      </c>
    </row>
    <row r="21" spans="1:28">
      <c r="A21" s="5">
        <v>19</v>
      </c>
      <c r="B21" s="15">
        <f t="shared" si="11"/>
        <v>19</v>
      </c>
      <c r="C21" s="3">
        <f t="shared" si="12"/>
        <v>18.05</v>
      </c>
      <c r="D21" s="3">
        <f t="shared" ref="D21:R21" si="30">MAX(0,(D$1/(D$1+$B21)*(-1+C21)+($B21/(D$1+$B21))*(1+D20)))</f>
        <v>17.100000000000001</v>
      </c>
      <c r="E21" s="3">
        <f t="shared" si="30"/>
        <v>16.1512987012987</v>
      </c>
      <c r="F21" s="3">
        <f t="shared" si="30"/>
        <v>15.204968944099381</v>
      </c>
      <c r="G21" s="3">
        <f t="shared" si="30"/>
        <v>14.261904761904763</v>
      </c>
      <c r="H21" s="3">
        <f t="shared" si="30"/>
        <v>13.32293619424054</v>
      </c>
      <c r="I21" s="3">
        <f t="shared" si="30"/>
        <v>12.3889449680754</v>
      </c>
      <c r="J21" s="3">
        <f t="shared" si="30"/>
        <v>11.460943436595608</v>
      </c>
      <c r="K21" s="3">
        <f t="shared" si="30"/>
        <v>10.540112930547712</v>
      </c>
      <c r="L21" s="3">
        <f t="shared" si="30"/>
        <v>9.6278113191156667</v>
      </c>
      <c r="M21" s="3">
        <f t="shared" si="30"/>
        <v>8.7256283762880447</v>
      </c>
      <c r="N21" s="3">
        <f t="shared" si="30"/>
        <v>7.8354997687260575</v>
      </c>
      <c r="O21" s="3">
        <f t="shared" si="30"/>
        <v>6.9598415366049684</v>
      </c>
      <c r="P21" s="3">
        <f t="shared" si="30"/>
        <v>6.1016658630606493</v>
      </c>
      <c r="Q21" s="3">
        <f t="shared" si="30"/>
        <v>5.2646579321603628</v>
      </c>
      <c r="R21" s="3">
        <f t="shared" si="30"/>
        <v>4.4532114888365211</v>
      </c>
      <c r="S21" s="3">
        <f t="shared" si="1"/>
        <v>3.6727871549260036</v>
      </c>
      <c r="T21" s="3">
        <f t="shared" si="2"/>
        <v>2.9305573824009756</v>
      </c>
      <c r="U21" s="3">
        <f t="shared" si="3"/>
        <v>2.2359987305852269</v>
      </c>
      <c r="V21" s="3">
        <f t="shared" si="4"/>
        <v>1.6012492228674455</v>
      </c>
      <c r="W21" s="3">
        <f t="shared" si="5"/>
        <v>1.0412358912513671</v>
      </c>
      <c r="X21" s="3">
        <f t="shared" si="6"/>
        <v>0.57365733392539409</v>
      </c>
      <c r="Y21" s="3">
        <f t="shared" si="7"/>
        <v>0.21890758762581103</v>
      </c>
      <c r="Z21" s="3">
        <f t="shared" si="8"/>
        <v>5.901909372545755E-3</v>
      </c>
      <c r="AA21" s="9">
        <f t="shared" si="9"/>
        <v>0</v>
      </c>
      <c r="AB21" s="14">
        <f t="shared" si="10"/>
        <v>0</v>
      </c>
    </row>
    <row r="22" spans="1:28">
      <c r="A22" s="5">
        <v>20</v>
      </c>
      <c r="B22" s="15">
        <f t="shared" si="11"/>
        <v>20</v>
      </c>
      <c r="C22" s="3">
        <f t="shared" si="12"/>
        <v>19.047619047619047</v>
      </c>
      <c r="D22" s="3">
        <f t="shared" ref="D22:R22" si="31">MAX(0,(D$1/(D$1+$B22)*(-1+C22)+($B22/(D$1+$B22))*(1+D21)))</f>
        <v>18.095238095238098</v>
      </c>
      <c r="E22" s="3">
        <f t="shared" si="31"/>
        <v>17.143986448334275</v>
      </c>
      <c r="F22" s="3">
        <f t="shared" si="31"/>
        <v>16.194805194805198</v>
      </c>
      <c r="G22" s="3">
        <f t="shared" si="31"/>
        <v>15.24848484848485</v>
      </c>
      <c r="H22" s="3">
        <f t="shared" si="31"/>
        <v>14.305755114450767</v>
      </c>
      <c r="I22" s="3">
        <f t="shared" si="31"/>
        <v>13.36737722824679</v>
      </c>
      <c r="J22" s="3">
        <f t="shared" si="31"/>
        <v>12.43421023421023</v>
      </c>
      <c r="K22" s="3">
        <f t="shared" si="31"/>
        <v>11.507246576511942</v>
      </c>
      <c r="L22" s="3">
        <f t="shared" si="31"/>
        <v>10.587623071581092</v>
      </c>
      <c r="M22" s="3">
        <f t="shared" si="31"/>
        <v>9.6766587520371914</v>
      </c>
      <c r="N22" s="3">
        <f t="shared" si="31"/>
        <v>8.775934387467732</v>
      </c>
      <c r="O22" s="3">
        <f t="shared" si="31"/>
        <v>7.8873932657327241</v>
      </c>
      <c r="P22" s="3">
        <f t="shared" si="31"/>
        <v>7.0134359700432682</v>
      </c>
      <c r="Q22" s="3">
        <f t="shared" si="31"/>
        <v>6.1569913769673219</v>
      </c>
      <c r="R22" s="3">
        <f t="shared" si="31"/>
        <v>5.3215581057835433</v>
      </c>
      <c r="S22" s="3">
        <f t="shared" si="1"/>
        <v>4.5114116458605498</v>
      </c>
      <c r="T22" s="3">
        <f t="shared" si="2"/>
        <v>3.7320146650923522</v>
      </c>
      <c r="U22" s="3">
        <f t="shared" si="3"/>
        <v>2.9904680320117754</v>
      </c>
      <c r="V22" s="3">
        <f t="shared" si="4"/>
        <v>2.2958586274396104</v>
      </c>
      <c r="W22" s="3">
        <f t="shared" si="5"/>
        <v>1.6594572927136382</v>
      </c>
      <c r="X22" s="3">
        <f t="shared" si="6"/>
        <v>1.0947906456716172</v>
      </c>
      <c r="Y22" s="3">
        <f t="shared" si="7"/>
        <v>0.61763573495263757</v>
      </c>
      <c r="Z22" s="3">
        <f t="shared" si="8"/>
        <v>0.24866581423441406</v>
      </c>
      <c r="AA22" s="3">
        <f t="shared" si="9"/>
        <v>2.7036563463563312E-2</v>
      </c>
      <c r="AB22" s="14">
        <f t="shared" si="10"/>
        <v>0</v>
      </c>
    </row>
    <row r="23" spans="1:28">
      <c r="A23" s="5">
        <v>21</v>
      </c>
      <c r="B23" s="15">
        <f t="shared" si="11"/>
        <v>21</v>
      </c>
      <c r="C23" s="3">
        <f t="shared" si="12"/>
        <v>20.045454545454547</v>
      </c>
      <c r="D23" s="3">
        <f t="shared" ref="D23:R23" si="32">MAX(0,(D$1/(D$1+$B23)*(-1+C23)+($B23/(D$1+$B23))*(1+D22)))</f>
        <v>19.09090909090909</v>
      </c>
      <c r="E23" s="3">
        <f t="shared" si="32"/>
        <v>18.137351778656125</v>
      </c>
      <c r="F23" s="3">
        <f t="shared" si="32"/>
        <v>17.185612648221344</v>
      </c>
      <c r="G23" s="3">
        <f t="shared" si="32"/>
        <v>16.236394040741867</v>
      </c>
      <c r="H23" s="3">
        <f t="shared" si="32"/>
        <v>15.290341542515456</v>
      </c>
      <c r="I23" s="3">
        <f t="shared" si="32"/>
        <v>14.348118306813957</v>
      </c>
      <c r="J23" s="3">
        <f t="shared" si="32"/>
        <v>13.410460736997466</v>
      </c>
      <c r="K23" s="3">
        <f t="shared" si="32"/>
        <v>12.478210824657598</v>
      </c>
      <c r="L23" s="3">
        <f t="shared" si="32"/>
        <v>11.552328798379964</v>
      </c>
      <c r="M23" s="3">
        <f t="shared" si="32"/>
        <v>10.63392033046752</v>
      </c>
      <c r="N23" s="3">
        <f t="shared" si="32"/>
        <v>9.7242929121949278</v>
      </c>
      <c r="O23" s="3">
        <f t="shared" si="32"/>
        <v>8.8250313658506254</v>
      </c>
      <c r="P23" s="3">
        <f t="shared" si="32"/>
        <v>7.9380741283662113</v>
      </c>
      <c r="Q23" s="3">
        <f t="shared" si="32"/>
        <v>7.0657758567168596</v>
      </c>
      <c r="R23" s="3">
        <f t="shared" si="32"/>
        <v>6.2109495656465992</v>
      </c>
      <c r="S23" s="3">
        <f t="shared" si="1"/>
        <v>5.3769943994490461</v>
      </c>
      <c r="T23" s="3">
        <f t="shared" si="2"/>
        <v>4.5681591578723655</v>
      </c>
      <c r="U23" s="3">
        <f t="shared" si="3"/>
        <v>3.7898713167955558</v>
      </c>
      <c r="V23" s="3">
        <f t="shared" si="4"/>
        <v>3.049035549076657</v>
      </c>
      <c r="W23" s="3">
        <f t="shared" si="5"/>
        <v>2.3542464208951475</v>
      </c>
      <c r="X23" s="3">
        <f t="shared" si="6"/>
        <v>1.7159075539255164</v>
      </c>
      <c r="Y23" s="3">
        <f t="shared" si="7"/>
        <v>1.1462778221430061</v>
      </c>
      <c r="Z23" s="3">
        <f t="shared" si="8"/>
        <v>0.66072555178566306</v>
      </c>
      <c r="AA23" s="3">
        <f t="shared" si="9"/>
        <v>0.28447623102992181</v>
      </c>
      <c r="AB23" s="12">
        <f t="shared" si="10"/>
        <v>5.0986851208041806E-2</v>
      </c>
    </row>
    <row r="24" spans="1:28">
      <c r="A24" s="5">
        <v>22</v>
      </c>
      <c r="B24" s="15">
        <f t="shared" si="11"/>
        <v>22</v>
      </c>
      <c r="C24" s="3">
        <f t="shared" si="12"/>
        <v>21.04347826086957</v>
      </c>
      <c r="D24" s="3">
        <f t="shared" ref="D24:R24" si="33">MAX(0,(D$1/(D$1+$B24)*(-1+C24)+($B24/(D$1+$B24))*(1+D23)))</f>
        <v>20.086956521739129</v>
      </c>
      <c r="E24" s="3">
        <f t="shared" si="33"/>
        <v>19.131304347826084</v>
      </c>
      <c r="F24" s="3">
        <f t="shared" si="33"/>
        <v>18.177257525083611</v>
      </c>
      <c r="G24" s="3">
        <f t="shared" si="33"/>
        <v>17.225442834138484</v>
      </c>
      <c r="H24" s="3">
        <f t="shared" si="33"/>
        <v>16.276434676434675</v>
      </c>
      <c r="I24" s="3">
        <f t="shared" si="33"/>
        <v>15.330815361549993</v>
      </c>
      <c r="J24" s="3">
        <f t="shared" si="33"/>
        <v>14.389221970211473</v>
      </c>
      <c r="K24" s="3">
        <f t="shared" si="33"/>
        <v>13.452375350786143</v>
      </c>
      <c r="L24" s="3">
        <f t="shared" si="33"/>
        <v>12.521093346006895</v>
      </c>
      <c r="M24" s="3">
        <f t="shared" si="33"/>
        <v>11.596311335647311</v>
      </c>
      <c r="N24" s="3">
        <f t="shared" si="33"/>
        <v>10.679122944001652</v>
      </c>
      <c r="O24" s="3">
        <f t="shared" si="33"/>
        <v>9.770836809163864</v>
      </c>
      <c r="P24" s="3">
        <f t="shared" si="33"/>
        <v>8.8730373931208533</v>
      </c>
      <c r="Q24" s="3">
        <f t="shared" si="33"/>
        <v>7.9876386417455061</v>
      </c>
      <c r="R24" s="3">
        <f t="shared" si="33"/>
        <v>7.1169239134777182</v>
      </c>
      <c r="S24" s="3">
        <f t="shared" si="1"/>
        <v>6.2636303414615444</v>
      </c>
      <c r="T24" s="3">
        <f t="shared" si="2"/>
        <v>5.431121190487497</v>
      </c>
      <c r="U24" s="3">
        <f t="shared" si="3"/>
        <v>4.6236212582625535</v>
      </c>
      <c r="V24" s="3">
        <f t="shared" si="4"/>
        <v>3.8464573153556554</v>
      </c>
      <c r="W24" s="3">
        <f t="shared" si="5"/>
        <v>3.1062563926084188</v>
      </c>
      <c r="X24" s="3">
        <f t="shared" si="6"/>
        <v>2.4110819732669677</v>
      </c>
      <c r="Y24" s="3">
        <f t="shared" si="7"/>
        <v>1.7705110549396976</v>
      </c>
      <c r="Z24" s="3">
        <f t="shared" si="8"/>
        <v>1.1962658143008116</v>
      </c>
      <c r="AA24" s="3">
        <f t="shared" si="9"/>
        <v>0.7056409029825228</v>
      </c>
      <c r="AB24" s="12">
        <f t="shared" si="10"/>
        <v>0.32225779591921899</v>
      </c>
    </row>
    <row r="25" spans="1:28">
      <c r="A25" s="5">
        <v>23</v>
      </c>
      <c r="B25" s="15">
        <f t="shared" si="11"/>
        <v>23</v>
      </c>
      <c r="C25" s="3">
        <f t="shared" si="12"/>
        <v>22.041666666666671</v>
      </c>
      <c r="D25" s="3">
        <f t="shared" ref="D25:R25" si="34">MAX(0,(D$1/(D$1+$B25)*(-1+C25)+($B25/(D$1+$B25))*(1+D24)))</f>
        <v>21.083333333333332</v>
      </c>
      <c r="E25" s="3">
        <f t="shared" si="34"/>
        <v>20.12576923076923</v>
      </c>
      <c r="F25" s="3">
        <f t="shared" si="34"/>
        <v>19.169629629629629</v>
      </c>
      <c r="G25" s="3">
        <f t="shared" si="34"/>
        <v>18.215476190476188</v>
      </c>
      <c r="H25" s="3">
        <f t="shared" si="34"/>
        <v>17.263822575891542</v>
      </c>
      <c r="I25" s="3">
        <f t="shared" si="34"/>
        <v>16.315183711563023</v>
      </c>
      <c r="J25" s="3">
        <f t="shared" si="34"/>
        <v>15.370115322818325</v>
      </c>
      <c r="K25" s="3">
        <f t="shared" si="34"/>
        <v>14.429239717920193</v>
      </c>
      <c r="L25" s="3">
        <f t="shared" si="34"/>
        <v>13.493258913253349</v>
      </c>
      <c r="M25" s="3">
        <f t="shared" si="34"/>
        <v>12.562970846049266</v>
      </c>
      <c r="N25" s="3">
        <f t="shared" si="34"/>
        <v>11.639299367560834</v>
      </c>
      <c r="O25" s="3">
        <f t="shared" si="34"/>
        <v>10.72333717747388</v>
      </c>
      <c r="P25" s="3">
        <f t="shared" si="34"/>
        <v>9.8163940682814577</v>
      </c>
      <c r="Q25" s="3">
        <f t="shared" si="34"/>
        <v>8.9200420995886436</v>
      </c>
      <c r="R25" s="3">
        <f t="shared" si="34"/>
        <v>8.036151887266815</v>
      </c>
      <c r="S25" s="3">
        <f t="shared" si="1"/>
        <v>7.1669519984287842</v>
      </c>
      <c r="T25" s="3">
        <f t="shared" si="2"/>
        <v>6.3151444720226966</v>
      </c>
      <c r="U25" s="3">
        <f t="shared" si="3"/>
        <v>5.4840722359159519</v>
      </c>
      <c r="V25" s="3">
        <f t="shared" si="4"/>
        <v>4.677906115616258</v>
      </c>
      <c r="W25" s="3">
        <f t="shared" si="5"/>
        <v>3.9018164876803416</v>
      </c>
      <c r="X25" s="3">
        <f t="shared" si="6"/>
        <v>3.1621077358690615</v>
      </c>
      <c r="Y25" s="3">
        <f t="shared" si="7"/>
        <v>2.4663093954043793</v>
      </c>
      <c r="Z25" s="3">
        <f t="shared" si="8"/>
        <v>1.8235221110345483</v>
      </c>
      <c r="AA25" s="3">
        <f t="shared" si="9"/>
        <v>1.2462040321762862</v>
      </c>
      <c r="AB25" s="12">
        <f t="shared" si="10"/>
        <v>0.7512904927086832</v>
      </c>
    </row>
    <row r="26" spans="1:28">
      <c r="A26" s="5">
        <v>24</v>
      </c>
      <c r="B26" s="15">
        <f t="shared" si="11"/>
        <v>24</v>
      </c>
      <c r="C26" s="3">
        <f t="shared" si="12"/>
        <v>23.040000000000006</v>
      </c>
      <c r="D26" s="3">
        <f t="shared" ref="D26:R26" si="35">MAX(0,(D$1/(D$1+$B26)*(-1+C26)+($B26/(D$1+$B26))*(1+D25)))</f>
        <v>22.08</v>
      </c>
      <c r="E26" s="3">
        <f t="shared" si="35"/>
        <v>21.120683760683757</v>
      </c>
      <c r="F26" s="3">
        <f t="shared" si="35"/>
        <v>20.162637362637359</v>
      </c>
      <c r="G26" s="3">
        <f t="shared" si="35"/>
        <v>19.206366047745355</v>
      </c>
      <c r="H26" s="3">
        <f t="shared" si="35"/>
        <v>18.252331270262303</v>
      </c>
      <c r="I26" s="3">
        <f t="shared" si="35"/>
        <v>17.300991224817697</v>
      </c>
      <c r="J26" s="3">
        <f t="shared" si="35"/>
        <v>16.352834298318168</v>
      </c>
      <c r="K26" s="3">
        <f t="shared" si="35"/>
        <v>15.408401876210551</v>
      </c>
      <c r="L26" s="3">
        <f t="shared" si="35"/>
        <v>14.468300961181939</v>
      </c>
      <c r="M26" s="3">
        <f t="shared" si="35"/>
        <v>13.533217453662392</v>
      </c>
      <c r="N26" s="3">
        <f t="shared" si="35"/>
        <v>12.603938729594686</v>
      </c>
      <c r="O26" s="3">
        <f t="shared" si="35"/>
        <v>11.681386371462272</v>
      </c>
      <c r="P26" s="3">
        <f t="shared" si="35"/>
        <v>10.766654390505968</v>
      </c>
      <c r="Q26" s="3">
        <f t="shared" si="35"/>
        <v>9.8610468268645377</v>
      </c>
      <c r="R26" s="3">
        <f t="shared" si="35"/>
        <v>8.9661098631059044</v>
      </c>
      <c r="S26" s="3">
        <f t="shared" si="1"/>
        <v>8.0836759910997849</v>
      </c>
      <c r="T26" s="3">
        <f t="shared" si="2"/>
        <v>7.2159436944843049</v>
      </c>
      <c r="U26" s="3">
        <f t="shared" si="3"/>
        <v>6.3655968338880147</v>
      </c>
      <c r="V26" s="3">
        <f t="shared" si="4"/>
        <v>5.5359473511943289</v>
      </c>
      <c r="W26" s="3">
        <f t="shared" si="5"/>
        <v>4.7310775573202024</v>
      </c>
      <c r="X26" s="3">
        <f t="shared" si="6"/>
        <v>3.9559628678674335</v>
      </c>
      <c r="Y26" s="3">
        <f t="shared" si="7"/>
        <v>3.2165653500139588</v>
      </c>
      <c r="Z26" s="3">
        <f t="shared" si="8"/>
        <v>2.5200437305242538</v>
      </c>
      <c r="AA26" s="3">
        <f t="shared" si="9"/>
        <v>1.8757140823538205</v>
      </c>
      <c r="AB26" s="12">
        <f t="shared" si="10"/>
        <v>1.2959907593241546</v>
      </c>
    </row>
    <row r="27" spans="1:28">
      <c r="A27" s="5">
        <v>25</v>
      </c>
      <c r="B27" s="15">
        <f t="shared" si="11"/>
        <v>25</v>
      </c>
      <c r="C27" s="3">
        <f t="shared" si="12"/>
        <v>24.038461538461544</v>
      </c>
      <c r="D27" s="3">
        <f t="shared" ref="D27:R27" si="36">MAX(0,(D$1/(D$1+$B27)*(-1+C27)+($B27/(D$1+$B27))*(1+D26)))</f>
        <v>23.076923076923077</v>
      </c>
      <c r="E27" s="3">
        <f t="shared" si="36"/>
        <v>22.115995115995116</v>
      </c>
      <c r="F27" s="3">
        <f t="shared" si="36"/>
        <v>21.15620394930739</v>
      </c>
      <c r="G27" s="3">
        <f t="shared" si="36"/>
        <v>20.198005698005698</v>
      </c>
      <c r="H27" s="3">
        <f t="shared" si="36"/>
        <v>19.241816643373927</v>
      </c>
      <c r="I27" s="3">
        <f t="shared" si="36"/>
        <v>18.288046785126873</v>
      </c>
      <c r="J27" s="3">
        <f t="shared" si="36"/>
        <v>17.337128234514218</v>
      </c>
      <c r="K27" s="3">
        <f t="shared" si="36"/>
        <v>16.389535323996817</v>
      </c>
      <c r="L27" s="3">
        <f t="shared" si="36"/>
        <v>15.445796493414761</v>
      </c>
      <c r="M27" s="3">
        <f t="shared" si="36"/>
        <v>14.506505493586726</v>
      </c>
      <c r="N27" s="3">
        <f t="shared" si="36"/>
        <v>13.572338761159674</v>
      </c>
      <c r="O27" s="3">
        <f t="shared" si="36"/>
        <v>12.644080610042963</v>
      </c>
      <c r="P27" s="3">
        <f t="shared" si="36"/>
        <v>11.722653546237197</v>
      </c>
      <c r="Q27" s="3">
        <f t="shared" si="36"/>
        <v>10.809149346629285</v>
      </c>
      <c r="R27" s="3">
        <f t="shared" si="36"/>
        <v>9.9048569786272225</v>
      </c>
      <c r="S27" s="3">
        <f t="shared" si="1"/>
        <v>9.0112968670037468</v>
      </c>
      <c r="T27" s="3">
        <f t="shared" si="2"/>
        <v>8.1302775806552354</v>
      </c>
      <c r="U27" s="3">
        <f t="shared" si="3"/>
        <v>7.2639817018102235</v>
      </c>
      <c r="V27" s="3">
        <f t="shared" si="4"/>
        <v>6.4150737292458375</v>
      </c>
      <c r="W27" s="3">
        <f t="shared" si="5"/>
        <v>5.5868149401558185</v>
      </c>
      <c r="X27" s="3">
        <f t="shared" si="6"/>
        <v>4.7831702208534868</v>
      </c>
      <c r="Y27" s="3">
        <f t="shared" si="7"/>
        <v>4.0088968506245664</v>
      </c>
      <c r="Z27" s="3">
        <f t="shared" si="8"/>
        <v>3.2696860750631824</v>
      </c>
      <c r="AA27" s="3">
        <f t="shared" si="9"/>
        <v>2.5727000787085013</v>
      </c>
      <c r="AB27" s="12">
        <f t="shared" si="10"/>
        <v>1.9272543339122528</v>
      </c>
    </row>
    <row r="28" spans="1:28">
      <c r="A28" s="8">
        <v>26</v>
      </c>
      <c r="B28" s="15">
        <f t="shared" si="11"/>
        <v>26</v>
      </c>
      <c r="C28" s="6">
        <f t="shared" si="12"/>
        <v>25.037037037037042</v>
      </c>
      <c r="D28" s="6">
        <f t="shared" ref="D28:R28" si="37">MAX(0,(D$1/(D$1+$B28)*(-1+C28)+($B28/(D$1+$B28))*(1+D27)))</f>
        <v>24.074074074074076</v>
      </c>
      <c r="E28" s="6">
        <f t="shared" si="37"/>
        <v>23.11165845648604</v>
      </c>
      <c r="F28" s="6">
        <f t="shared" si="37"/>
        <v>22.150264550264545</v>
      </c>
      <c r="G28" s="6">
        <f t="shared" si="37"/>
        <v>21.190305512886159</v>
      </c>
      <c r="H28" s="6">
        <f t="shared" si="37"/>
        <v>20.23215830640747</v>
      </c>
      <c r="I28" s="6">
        <f t="shared" si="37"/>
        <v>19.276191653277301</v>
      </c>
      <c r="J28" s="6">
        <f t="shared" si="37"/>
        <v>18.322790215399646</v>
      </c>
      <c r="K28" s="6">
        <f t="shared" si="37"/>
        <v>17.372372296071831</v>
      </c>
      <c r="L28" s="6">
        <f t="shared" si="37"/>
        <v>16.425400883041725</v>
      </c>
      <c r="M28" s="6">
        <f t="shared" si="37"/>
        <v>15.482393312073349</v>
      </c>
      <c r="N28" s="6">
        <f t="shared" si="37"/>
        <v>14.543934935132413</v>
      </c>
      <c r="O28" s="6">
        <f t="shared" si="37"/>
        <v>13.610698718406111</v>
      </c>
      <c r="P28" s="6">
        <f t="shared" si="37"/>
        <v>12.683469356496317</v>
      </c>
      <c r="Q28" s="6">
        <f t="shared" si="37"/>
        <v>11.763168862434297</v>
      </c>
      <c r="R28" s="6">
        <f t="shared" si="37"/>
        <v>10.850880553410871</v>
      </c>
      <c r="S28" s="6">
        <f t="shared" si="1"/>
        <v>9.9478764639553994</v>
      </c>
      <c r="T28" s="6">
        <f t="shared" si="2"/>
        <v>9.0556589420053033</v>
      </c>
      <c r="U28" s="6">
        <f t="shared" si="3"/>
        <v>8.1760232032259239</v>
      </c>
      <c r="V28" s="6">
        <f t="shared" si="4"/>
        <v>7.3111387179328311</v>
      </c>
      <c r="W28" s="6">
        <f t="shared" si="5"/>
        <v>6.4636404578859725</v>
      </c>
      <c r="X28" s="6">
        <f t="shared" si="6"/>
        <v>5.6367190794933757</v>
      </c>
      <c r="Y28" s="6">
        <f t="shared" si="7"/>
        <v>4.8342011621344163</v>
      </c>
      <c r="Z28" s="6">
        <f t="shared" si="8"/>
        <v>4.0606533168573744</v>
      </c>
      <c r="AA28" s="6">
        <f t="shared" si="9"/>
        <v>3.3216967640755959</v>
      </c>
      <c r="AB28" s="13">
        <f t="shared" si="10"/>
        <v>2.6244755489939244</v>
      </c>
    </row>
    <row r="29" spans="1:28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41"/>
  <sheetViews>
    <sheetView zoomScale="80" zoomScaleNormal="80" workbookViewId="0">
      <pane ySplit="1" topLeftCell="A2" activePane="bottomLeft" state="frozen"/>
      <selection pane="bottomLeft" activeCell="G200" sqref="G200"/>
    </sheetView>
  </sheetViews>
  <sheetFormatPr defaultRowHeight="16.5"/>
  <cols>
    <col min="1" max="1" width="16.625" bestFit="1" customWidth="1"/>
    <col min="2" max="2" width="8.625" bestFit="1" customWidth="1"/>
    <col min="3" max="3" width="5.5" customWidth="1"/>
    <col min="4" max="5" width="4.5" bestFit="1" customWidth="1"/>
    <col min="6" max="6" width="9.25" style="16" bestFit="1" customWidth="1"/>
    <col min="7" max="7" width="7" style="16" bestFit="1" customWidth="1"/>
    <col min="8" max="36" width="6.125" style="16" bestFit="1" customWidth="1"/>
  </cols>
  <sheetData>
    <row r="1" spans="1:36" s="18" customFormat="1">
      <c r="A1" s="18" t="s">
        <v>7</v>
      </c>
      <c r="F1" s="18">
        <v>0</v>
      </c>
      <c r="G1" s="18">
        <v>1</v>
      </c>
      <c r="H1" s="18">
        <v>2</v>
      </c>
      <c r="I1" s="18">
        <v>3</v>
      </c>
      <c r="J1" s="18">
        <v>4</v>
      </c>
      <c r="K1" s="18">
        <v>5</v>
      </c>
      <c r="L1" s="18">
        <v>6</v>
      </c>
      <c r="M1" s="18">
        <v>7</v>
      </c>
      <c r="N1" s="18">
        <v>8</v>
      </c>
      <c r="O1" s="18">
        <v>9</v>
      </c>
      <c r="P1" s="18">
        <v>10</v>
      </c>
      <c r="Q1" s="18">
        <v>11</v>
      </c>
      <c r="R1" s="18">
        <v>12</v>
      </c>
      <c r="S1" s="18">
        <v>13</v>
      </c>
      <c r="T1" s="18">
        <v>14</v>
      </c>
      <c r="U1" s="18">
        <v>15</v>
      </c>
      <c r="V1" s="18">
        <v>16</v>
      </c>
      <c r="W1" s="18">
        <v>17</v>
      </c>
      <c r="X1" s="18">
        <v>18</v>
      </c>
      <c r="Y1" s="18">
        <v>19</v>
      </c>
      <c r="Z1" s="18">
        <v>20</v>
      </c>
      <c r="AA1" s="18">
        <v>21</v>
      </c>
      <c r="AB1" s="18">
        <v>22</v>
      </c>
      <c r="AC1" s="18">
        <v>23</v>
      </c>
      <c r="AD1" s="18">
        <v>24</v>
      </c>
      <c r="AE1" s="18">
        <v>25</v>
      </c>
      <c r="AF1" s="18">
        <v>26</v>
      </c>
      <c r="AG1" s="18">
        <v>27</v>
      </c>
      <c r="AH1" s="18">
        <v>28</v>
      </c>
      <c r="AI1" s="18">
        <v>29</v>
      </c>
      <c r="AJ1" s="18">
        <v>30</v>
      </c>
    </row>
    <row r="3" spans="1:36">
      <c r="A3" t="s">
        <v>9</v>
      </c>
      <c r="B3">
        <v>30</v>
      </c>
    </row>
    <row r="4" spans="1:36" s="18" customFormat="1">
      <c r="A4" s="18" t="s">
        <v>8</v>
      </c>
      <c r="B4" s="18">
        <v>0.09</v>
      </c>
      <c r="G4" s="18">
        <f>$B$5*$B$4</f>
        <v>9</v>
      </c>
      <c r="H4" s="18">
        <f t="shared" ref="H4:AJ4" si="0">$B$5*$B$4</f>
        <v>9</v>
      </c>
      <c r="I4" s="18">
        <f t="shared" si="0"/>
        <v>9</v>
      </c>
      <c r="J4" s="18">
        <f t="shared" si="0"/>
        <v>9</v>
      </c>
      <c r="K4" s="18">
        <f t="shared" si="0"/>
        <v>9</v>
      </c>
      <c r="L4" s="18">
        <f t="shared" si="0"/>
        <v>9</v>
      </c>
      <c r="M4" s="18">
        <f t="shared" si="0"/>
        <v>9</v>
      </c>
      <c r="N4" s="18">
        <f t="shared" si="0"/>
        <v>9</v>
      </c>
      <c r="O4" s="18">
        <f t="shared" si="0"/>
        <v>9</v>
      </c>
      <c r="P4" s="18">
        <f t="shared" si="0"/>
        <v>9</v>
      </c>
      <c r="Q4" s="18">
        <f t="shared" si="0"/>
        <v>9</v>
      </c>
      <c r="R4" s="18">
        <f t="shared" si="0"/>
        <v>9</v>
      </c>
      <c r="S4" s="18">
        <f t="shared" si="0"/>
        <v>9</v>
      </c>
      <c r="T4" s="18">
        <f t="shared" si="0"/>
        <v>9</v>
      </c>
      <c r="U4" s="18">
        <f t="shared" si="0"/>
        <v>9</v>
      </c>
      <c r="V4" s="18">
        <f t="shared" si="0"/>
        <v>9</v>
      </c>
      <c r="W4" s="18">
        <f>$B$5*$B$4</f>
        <v>9</v>
      </c>
      <c r="X4" s="18">
        <f t="shared" si="0"/>
        <v>9</v>
      </c>
      <c r="Y4" s="18">
        <f t="shared" si="0"/>
        <v>9</v>
      </c>
      <c r="Z4" s="18">
        <f t="shared" si="0"/>
        <v>9</v>
      </c>
      <c r="AA4" s="18">
        <f t="shared" si="0"/>
        <v>9</v>
      </c>
      <c r="AB4" s="18">
        <f t="shared" si="0"/>
        <v>9</v>
      </c>
      <c r="AC4" s="18">
        <f t="shared" si="0"/>
        <v>9</v>
      </c>
      <c r="AD4" s="18">
        <f t="shared" si="0"/>
        <v>9</v>
      </c>
      <c r="AE4" s="18">
        <f t="shared" si="0"/>
        <v>9</v>
      </c>
      <c r="AF4" s="18">
        <f t="shared" si="0"/>
        <v>9</v>
      </c>
      <c r="AG4" s="18">
        <f t="shared" si="0"/>
        <v>9</v>
      </c>
      <c r="AH4" s="18">
        <f t="shared" si="0"/>
        <v>9</v>
      </c>
      <c r="AI4" s="18">
        <f t="shared" si="0"/>
        <v>9</v>
      </c>
      <c r="AJ4" s="18">
        <f t="shared" si="0"/>
        <v>9</v>
      </c>
    </row>
    <row r="5" spans="1:36" s="18" customFormat="1">
      <c r="A5" s="18" t="s">
        <v>10</v>
      </c>
      <c r="B5" s="18">
        <v>100</v>
      </c>
      <c r="F5" s="18">
        <v>100</v>
      </c>
      <c r="G5" s="18">
        <v>100</v>
      </c>
      <c r="H5" s="18">
        <v>100</v>
      </c>
      <c r="I5" s="18">
        <v>100</v>
      </c>
      <c r="J5" s="18">
        <v>100</v>
      </c>
      <c r="K5" s="18">
        <v>100</v>
      </c>
      <c r="L5" s="18">
        <v>100</v>
      </c>
      <c r="M5" s="18">
        <v>100</v>
      </c>
      <c r="N5" s="18">
        <v>100</v>
      </c>
      <c r="O5" s="18">
        <v>100</v>
      </c>
      <c r="P5" s="18">
        <v>100</v>
      </c>
      <c r="Q5" s="18">
        <v>100</v>
      </c>
      <c r="R5" s="18">
        <v>100</v>
      </c>
      <c r="S5" s="18">
        <v>100</v>
      </c>
      <c r="T5" s="18">
        <v>100</v>
      </c>
      <c r="U5" s="18">
        <v>100</v>
      </c>
      <c r="V5" s="18">
        <v>100</v>
      </c>
      <c r="W5" s="18">
        <v>100</v>
      </c>
      <c r="X5" s="18">
        <v>100</v>
      </c>
      <c r="Y5" s="18">
        <v>100</v>
      </c>
      <c r="Z5" s="18">
        <v>100</v>
      </c>
      <c r="AA5" s="18">
        <v>100</v>
      </c>
      <c r="AB5" s="18">
        <v>100</v>
      </c>
      <c r="AC5" s="18">
        <v>100</v>
      </c>
      <c r="AD5" s="18">
        <v>100</v>
      </c>
      <c r="AE5" s="18">
        <v>100</v>
      </c>
      <c r="AF5" s="18">
        <v>100</v>
      </c>
      <c r="AG5" s="18">
        <v>100</v>
      </c>
      <c r="AH5" s="18">
        <v>100</v>
      </c>
      <c r="AI5" s="18">
        <v>100</v>
      </c>
      <c r="AJ5" s="18">
        <v>100</v>
      </c>
    </row>
    <row r="6" spans="1:36">
      <c r="A6" t="s">
        <v>11</v>
      </c>
      <c r="B6">
        <v>0.08</v>
      </c>
    </row>
    <row r="7" spans="1:36">
      <c r="A7" t="s">
        <v>12</v>
      </c>
      <c r="B7">
        <f>16/100</f>
        <v>0.16</v>
      </c>
    </row>
    <row r="8" spans="1:36">
      <c r="A8" t="s">
        <v>13</v>
      </c>
      <c r="B8">
        <v>0</v>
      </c>
    </row>
    <row r="9" spans="1:36">
      <c r="A9" t="s">
        <v>15</v>
      </c>
      <c r="B9">
        <f>EXP(B7+B8)</f>
        <v>1.1735108709918103</v>
      </c>
    </row>
    <row r="10" spans="1:36">
      <c r="A10" t="s">
        <v>16</v>
      </c>
      <c r="B10">
        <f>EXP(-B7+B8)</f>
        <v>0.85214378896621135</v>
      </c>
    </row>
    <row r="12" spans="1:36">
      <c r="A12" t="s">
        <v>18</v>
      </c>
      <c r="B12" t="s">
        <v>19</v>
      </c>
    </row>
    <row r="21" spans="8:36"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>
        <f t="shared" ref="AF21:AJ68" si="1">AI22*$B$9</f>
        <v>7.248104330829686</v>
      </c>
    </row>
    <row r="22" spans="8:36"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>
        <f t="shared" si="1"/>
        <v>6.1764270872956137</v>
      </c>
      <c r="AJ22" s="19">
        <f t="shared" si="1"/>
        <v>0</v>
      </c>
    </row>
    <row r="23" spans="8:36"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>
        <f t="shared" si="1"/>
        <v>5.2632039804416246</v>
      </c>
      <c r="AI23" s="19">
        <f t="shared" si="1"/>
        <v>0</v>
      </c>
      <c r="AJ23" s="19">
        <f t="shared" si="1"/>
        <v>5.2632039804416246</v>
      </c>
    </row>
    <row r="24" spans="8:36"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>
        <f t="shared" si="1"/>
        <v>4.4850065819955711</v>
      </c>
      <c r="AH24" s="19">
        <f t="shared" si="1"/>
        <v>0</v>
      </c>
      <c r="AI24" s="19">
        <f t="shared" si="1"/>
        <v>4.4850065819955711</v>
      </c>
      <c r="AJ24" s="19">
        <f t="shared" si="1"/>
        <v>0</v>
      </c>
    </row>
    <row r="25" spans="8:36"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>
        <f t="shared" ref="S25:AF38" si="2">AE26*$B$9</f>
        <v>3.8218705023201025</v>
      </c>
      <c r="AG25" s="19">
        <f t="shared" si="1"/>
        <v>0</v>
      </c>
      <c r="AH25" s="19">
        <f t="shared" si="1"/>
        <v>3.8218705023201025</v>
      </c>
      <c r="AI25" s="19">
        <f t="shared" si="1"/>
        <v>0</v>
      </c>
      <c r="AJ25" s="19">
        <f t="shared" si="1"/>
        <v>3.8218705023201025</v>
      </c>
    </row>
    <row r="26" spans="8:36"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>
        <f t="shared" si="2"/>
        <v>3.2567832107852492</v>
      </c>
      <c r="AF26" s="19">
        <f t="shared" si="2"/>
        <v>0</v>
      </c>
      <c r="AG26" s="19">
        <f t="shared" si="1"/>
        <v>3.2567832107852492</v>
      </c>
      <c r="AH26" s="19">
        <f t="shared" si="1"/>
        <v>0</v>
      </c>
      <c r="AI26" s="19">
        <f t="shared" si="1"/>
        <v>3.2567832107852492</v>
      </c>
      <c r="AJ26" s="19">
        <f t="shared" si="1"/>
        <v>0</v>
      </c>
    </row>
    <row r="27" spans="8:36"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>
        <f t="shared" si="2"/>
        <v>2.7752475850800855</v>
      </c>
      <c r="AE27" s="19">
        <f t="shared" si="2"/>
        <v>0</v>
      </c>
      <c r="AF27" s="19">
        <f t="shared" si="2"/>
        <v>2.7752475850800855</v>
      </c>
      <c r="AG27" s="19">
        <f t="shared" si="1"/>
        <v>0</v>
      </c>
      <c r="AH27" s="19">
        <f t="shared" si="1"/>
        <v>2.7752475850800855</v>
      </c>
      <c r="AI27" s="19">
        <f t="shared" si="1"/>
        <v>0</v>
      </c>
      <c r="AJ27" s="19">
        <f t="shared" si="1"/>
        <v>2.7752475850800855</v>
      </c>
    </row>
    <row r="28" spans="8:36"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>
        <f t="shared" si="2"/>
        <v>2.3649099924694719</v>
      </c>
      <c r="AD28" s="19">
        <f t="shared" si="2"/>
        <v>0</v>
      </c>
      <c r="AE28" s="19">
        <f t="shared" si="2"/>
        <v>2.3649099924694719</v>
      </c>
      <c r="AF28" s="19">
        <f t="shared" si="2"/>
        <v>0</v>
      </c>
      <c r="AG28" s="19">
        <f t="shared" si="1"/>
        <v>2.3649099924694719</v>
      </c>
      <c r="AH28" s="19">
        <f t="shared" si="1"/>
        <v>0</v>
      </c>
      <c r="AI28" s="19">
        <f t="shared" si="1"/>
        <v>2.3649099924694719</v>
      </c>
      <c r="AJ28" s="19">
        <f t="shared" si="1"/>
        <v>0</v>
      </c>
    </row>
    <row r="29" spans="8:36"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>
        <f t="shared" si="2"/>
        <v>2.01524336154699</v>
      </c>
      <c r="AC29" s="19">
        <f t="shared" si="2"/>
        <v>0</v>
      </c>
      <c r="AD29" s="19">
        <f t="shared" si="2"/>
        <v>2.01524336154699</v>
      </c>
      <c r="AE29" s="19">
        <f t="shared" si="2"/>
        <v>0</v>
      </c>
      <c r="AF29" s="19">
        <f t="shared" si="2"/>
        <v>2.01524336154699</v>
      </c>
      <c r="AG29" s="19">
        <f t="shared" si="1"/>
        <v>0</v>
      </c>
      <c r="AH29" s="19">
        <f t="shared" si="1"/>
        <v>2.01524336154699</v>
      </c>
      <c r="AI29" s="19">
        <f t="shared" si="1"/>
        <v>0</v>
      </c>
      <c r="AJ29" s="19">
        <f t="shared" si="1"/>
        <v>2.01524336154699</v>
      </c>
    </row>
    <row r="30" spans="8:36"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>
        <f t="shared" si="2"/>
        <v>1.7172771137976564</v>
      </c>
      <c r="AB30" s="19">
        <f t="shared" si="2"/>
        <v>0</v>
      </c>
      <c r="AC30" s="19">
        <f t="shared" si="2"/>
        <v>1.7172771137976564</v>
      </c>
      <c r="AD30" s="19">
        <f t="shared" si="2"/>
        <v>0</v>
      </c>
      <c r="AE30" s="19">
        <f t="shared" si="2"/>
        <v>1.7172771137976564</v>
      </c>
      <c r="AF30" s="19">
        <f t="shared" si="2"/>
        <v>0</v>
      </c>
      <c r="AG30" s="19">
        <f t="shared" si="1"/>
        <v>1.7172771137976564</v>
      </c>
      <c r="AH30" s="19">
        <f t="shared" si="1"/>
        <v>0</v>
      </c>
      <c r="AI30" s="19">
        <f t="shared" si="1"/>
        <v>1.7172771137976564</v>
      </c>
      <c r="AJ30" s="19">
        <f t="shared" si="1"/>
        <v>0</v>
      </c>
    </row>
    <row r="31" spans="8:36"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>
        <f t="shared" si="2"/>
        <v>1.4633670264564944</v>
      </c>
      <c r="AA31" s="19">
        <f t="shared" si="2"/>
        <v>0</v>
      </c>
      <c r="AB31" s="19">
        <f t="shared" si="2"/>
        <v>1.4633670264564944</v>
      </c>
      <c r="AC31" s="19">
        <f t="shared" si="2"/>
        <v>0</v>
      </c>
      <c r="AD31" s="19">
        <f t="shared" si="2"/>
        <v>1.4633670264564944</v>
      </c>
      <c r="AE31" s="19">
        <f t="shared" si="2"/>
        <v>0</v>
      </c>
      <c r="AF31" s="19">
        <f t="shared" si="2"/>
        <v>1.4633670264564944</v>
      </c>
      <c r="AG31" s="19">
        <f t="shared" si="1"/>
        <v>0</v>
      </c>
      <c r="AH31" s="19">
        <f t="shared" si="1"/>
        <v>1.4633670264564944</v>
      </c>
      <c r="AI31" s="19">
        <f t="shared" si="1"/>
        <v>0</v>
      </c>
      <c r="AJ31" s="19">
        <f t="shared" si="1"/>
        <v>1.4633670264564944</v>
      </c>
    </row>
    <row r="32" spans="8:36"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>
        <f t="shared" si="2"/>
        <v>1.2469991225728552</v>
      </c>
      <c r="Z32" s="19">
        <f t="shared" si="2"/>
        <v>0</v>
      </c>
      <c r="AA32" s="19">
        <f t="shared" si="2"/>
        <v>1.2469991225728552</v>
      </c>
      <c r="AB32" s="19">
        <f t="shared" si="2"/>
        <v>0</v>
      </c>
      <c r="AC32" s="19">
        <f t="shared" si="2"/>
        <v>1.2469991225728552</v>
      </c>
      <c r="AD32" s="19">
        <f t="shared" si="2"/>
        <v>0</v>
      </c>
      <c r="AE32" s="19">
        <f t="shared" si="2"/>
        <v>1.2469991225728552</v>
      </c>
      <c r="AF32" s="19">
        <f t="shared" si="2"/>
        <v>0</v>
      </c>
      <c r="AG32" s="19">
        <f t="shared" si="1"/>
        <v>1.2469991225728552</v>
      </c>
      <c r="AH32" s="19">
        <f t="shared" si="1"/>
        <v>0</v>
      </c>
      <c r="AI32" s="19">
        <f t="shared" si="1"/>
        <v>1.2469991225728552</v>
      </c>
      <c r="AJ32" s="19">
        <f t="shared" si="1"/>
        <v>0</v>
      </c>
    </row>
    <row r="33" spans="8:36"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f t="shared" si="2"/>
        <v>1.0626225571467738</v>
      </c>
      <c r="Y33" s="19">
        <f t="shared" si="2"/>
        <v>0</v>
      </c>
      <c r="Z33" s="19">
        <f t="shared" si="2"/>
        <v>1.0626225571467738</v>
      </c>
      <c r="AA33" s="19">
        <f t="shared" si="2"/>
        <v>0</v>
      </c>
      <c r="AB33" s="19">
        <f t="shared" si="2"/>
        <v>1.0626225571467738</v>
      </c>
      <c r="AC33" s="19">
        <f t="shared" si="2"/>
        <v>0</v>
      </c>
      <c r="AD33" s="19">
        <f t="shared" si="2"/>
        <v>1.0626225571467738</v>
      </c>
      <c r="AE33" s="19">
        <f t="shared" si="2"/>
        <v>0</v>
      </c>
      <c r="AF33" s="19">
        <f t="shared" si="2"/>
        <v>1.0626225571467738</v>
      </c>
      <c r="AG33" s="19">
        <f t="shared" si="1"/>
        <v>0</v>
      </c>
      <c r="AH33" s="19">
        <f t="shared" si="1"/>
        <v>1.0626225571467738</v>
      </c>
      <c r="AI33" s="19">
        <f t="shared" si="1"/>
        <v>0</v>
      </c>
      <c r="AJ33" s="19">
        <f t="shared" si="1"/>
        <v>1.0626225571467738</v>
      </c>
    </row>
    <row r="34" spans="8:36"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f t="shared" si="2"/>
        <v>0.90550721208801621</v>
      </c>
      <c r="X34" s="19">
        <f t="shared" si="2"/>
        <v>0</v>
      </c>
      <c r="Y34" s="19">
        <f t="shared" si="2"/>
        <v>0.90550721208801621</v>
      </c>
      <c r="Z34" s="19">
        <f t="shared" si="2"/>
        <v>0</v>
      </c>
      <c r="AA34" s="19">
        <f t="shared" si="2"/>
        <v>0.90550721208801621</v>
      </c>
      <c r="AB34" s="19">
        <f t="shared" si="2"/>
        <v>0</v>
      </c>
      <c r="AC34" s="19">
        <f t="shared" si="2"/>
        <v>0.90550721208801621</v>
      </c>
      <c r="AD34" s="19">
        <f t="shared" si="2"/>
        <v>0</v>
      </c>
      <c r="AE34" s="19">
        <f t="shared" si="2"/>
        <v>0.90550721208801621</v>
      </c>
      <c r="AF34" s="19">
        <f t="shared" si="2"/>
        <v>0</v>
      </c>
      <c r="AG34" s="19">
        <f t="shared" si="1"/>
        <v>0.90550721208801621</v>
      </c>
      <c r="AH34" s="19">
        <f t="shared" si="1"/>
        <v>0</v>
      </c>
      <c r="AI34" s="19">
        <f t="shared" si="1"/>
        <v>0.90550721208801621</v>
      </c>
      <c r="AJ34" s="19">
        <f t="shared" si="1"/>
        <v>0</v>
      </c>
    </row>
    <row r="35" spans="8:36"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>
        <f t="shared" si="2"/>
        <v>0.7716223466449128</v>
      </c>
      <c r="W35" s="19">
        <f t="shared" si="2"/>
        <v>0</v>
      </c>
      <c r="X35" s="19">
        <f t="shared" si="2"/>
        <v>0.7716223466449128</v>
      </c>
      <c r="Y35" s="19">
        <f t="shared" si="2"/>
        <v>0</v>
      </c>
      <c r="Z35" s="19">
        <f t="shared" si="2"/>
        <v>0.7716223466449128</v>
      </c>
      <c r="AA35" s="19">
        <f t="shared" si="2"/>
        <v>0</v>
      </c>
      <c r="AB35" s="19">
        <f t="shared" si="2"/>
        <v>0.7716223466449128</v>
      </c>
      <c r="AC35" s="19">
        <f t="shared" si="2"/>
        <v>0</v>
      </c>
      <c r="AD35" s="19">
        <f t="shared" si="2"/>
        <v>0.7716223466449128</v>
      </c>
      <c r="AE35" s="19">
        <f t="shared" si="2"/>
        <v>0</v>
      </c>
      <c r="AF35" s="19">
        <f t="shared" si="2"/>
        <v>0.7716223466449128</v>
      </c>
      <c r="AG35" s="19">
        <f t="shared" si="1"/>
        <v>0</v>
      </c>
      <c r="AH35" s="19">
        <f t="shared" si="1"/>
        <v>0.7716223466449128</v>
      </c>
      <c r="AI35" s="19">
        <f t="shared" si="1"/>
        <v>0</v>
      </c>
      <c r="AJ35" s="19">
        <f t="shared" si="1"/>
        <v>0.7716223466449128</v>
      </c>
    </row>
    <row r="36" spans="8:36"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>
        <f t="shared" si="2"/>
        <v>0.65753319012099531</v>
      </c>
      <c r="V36" s="19">
        <f t="shared" si="2"/>
        <v>0</v>
      </c>
      <c r="W36" s="19">
        <f t="shared" si="2"/>
        <v>0.65753319012099531</v>
      </c>
      <c r="X36" s="19">
        <f t="shared" si="2"/>
        <v>0</v>
      </c>
      <c r="Y36" s="19">
        <f t="shared" si="2"/>
        <v>0.65753319012099531</v>
      </c>
      <c r="Z36" s="19">
        <f t="shared" si="2"/>
        <v>0</v>
      </c>
      <c r="AA36" s="19">
        <f t="shared" si="2"/>
        <v>0.65753319012099531</v>
      </c>
      <c r="AB36" s="19">
        <f t="shared" si="2"/>
        <v>0</v>
      </c>
      <c r="AC36" s="19">
        <f t="shared" si="2"/>
        <v>0.65753319012099531</v>
      </c>
      <c r="AD36" s="19">
        <f t="shared" si="2"/>
        <v>0</v>
      </c>
      <c r="AE36" s="19">
        <f t="shared" si="2"/>
        <v>0.65753319012099531</v>
      </c>
      <c r="AF36" s="19">
        <f t="shared" si="2"/>
        <v>0</v>
      </c>
      <c r="AG36" s="19">
        <f t="shared" si="1"/>
        <v>0.65753319012099531</v>
      </c>
      <c r="AH36" s="19">
        <f t="shared" si="1"/>
        <v>0</v>
      </c>
      <c r="AI36" s="19">
        <f t="shared" si="1"/>
        <v>0.65753319012099531</v>
      </c>
      <c r="AJ36" s="19">
        <f t="shared" si="1"/>
        <v>0</v>
      </c>
    </row>
    <row r="37" spans="8:36"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>
        <f t="shared" si="2"/>
        <v>0.56031282400074511</v>
      </c>
      <c r="U37" s="19">
        <f t="shared" si="2"/>
        <v>0</v>
      </c>
      <c r="V37" s="19">
        <f t="shared" si="2"/>
        <v>0.56031282400074511</v>
      </c>
      <c r="W37" s="19">
        <f t="shared" si="2"/>
        <v>0</v>
      </c>
      <c r="X37" s="19">
        <f t="shared" si="2"/>
        <v>0.56031282400074511</v>
      </c>
      <c r="Y37" s="19">
        <f t="shared" si="2"/>
        <v>0</v>
      </c>
      <c r="Z37" s="19">
        <f t="shared" si="2"/>
        <v>0.56031282400074511</v>
      </c>
      <c r="AA37" s="19">
        <f t="shared" si="2"/>
        <v>0</v>
      </c>
      <c r="AB37" s="19">
        <f t="shared" si="2"/>
        <v>0.56031282400074511</v>
      </c>
      <c r="AC37" s="19">
        <f t="shared" si="2"/>
        <v>0</v>
      </c>
      <c r="AD37" s="19">
        <f t="shared" si="2"/>
        <v>0.56031282400074511</v>
      </c>
      <c r="AE37" s="19">
        <f t="shared" si="2"/>
        <v>0</v>
      </c>
      <c r="AF37" s="19">
        <f t="shared" si="2"/>
        <v>0.56031282400074511</v>
      </c>
      <c r="AG37" s="19">
        <f t="shared" si="1"/>
        <v>0</v>
      </c>
      <c r="AH37" s="19">
        <f t="shared" si="1"/>
        <v>0.56031282400074511</v>
      </c>
      <c r="AI37" s="19">
        <f t="shared" si="1"/>
        <v>0</v>
      </c>
      <c r="AJ37" s="19">
        <f t="shared" si="1"/>
        <v>0.56031282400074511</v>
      </c>
    </row>
    <row r="38" spans="8:36"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>
        <f t="shared" si="2"/>
        <v>0.47746709285035283</v>
      </c>
      <c r="T38" s="19">
        <f t="shared" si="2"/>
        <v>0</v>
      </c>
      <c r="U38" s="19">
        <f t="shared" si="2"/>
        <v>0.47746709285035283</v>
      </c>
      <c r="V38" s="19">
        <f t="shared" ref="V38:AF38" si="3">U39*$B$9</f>
        <v>0</v>
      </c>
      <c r="W38" s="19">
        <f t="shared" si="3"/>
        <v>0.47746709285035283</v>
      </c>
      <c r="X38" s="19">
        <f t="shared" si="3"/>
        <v>0</v>
      </c>
      <c r="Y38" s="19">
        <f t="shared" si="3"/>
        <v>0.47746709285035283</v>
      </c>
      <c r="Z38" s="19">
        <f t="shared" si="3"/>
        <v>0</v>
      </c>
      <c r="AA38" s="19">
        <f t="shared" si="3"/>
        <v>0.47746709285035283</v>
      </c>
      <c r="AB38" s="19">
        <f t="shared" si="3"/>
        <v>0</v>
      </c>
      <c r="AC38" s="19">
        <f t="shared" si="3"/>
        <v>0.47746709285035283</v>
      </c>
      <c r="AD38" s="19">
        <f t="shared" si="3"/>
        <v>0</v>
      </c>
      <c r="AE38" s="19">
        <f t="shared" si="3"/>
        <v>0.47746709285035283</v>
      </c>
      <c r="AF38" s="19">
        <f t="shared" si="3"/>
        <v>0</v>
      </c>
      <c r="AG38" s="19">
        <f t="shared" si="1"/>
        <v>0.47746709285035283</v>
      </c>
      <c r="AH38" s="19">
        <f t="shared" si="1"/>
        <v>0</v>
      </c>
      <c r="AI38" s="19">
        <f t="shared" si="1"/>
        <v>0.47746709285035283</v>
      </c>
      <c r="AJ38" s="19">
        <f t="shared" si="1"/>
        <v>0</v>
      </c>
    </row>
    <row r="39" spans="8:36"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f t="shared" ref="O39:AF44" si="4">Q40*$B$9</f>
        <v>0.4068706176081815</v>
      </c>
      <c r="S39" s="19">
        <f t="shared" si="4"/>
        <v>0</v>
      </c>
      <c r="T39" s="19">
        <f t="shared" si="4"/>
        <v>0.4068706176081815</v>
      </c>
      <c r="U39" s="19">
        <f t="shared" si="4"/>
        <v>0</v>
      </c>
      <c r="V39" s="19">
        <f t="shared" si="4"/>
        <v>0.4068706176081815</v>
      </c>
      <c r="W39" s="19">
        <f t="shared" si="4"/>
        <v>0</v>
      </c>
      <c r="X39" s="19">
        <f t="shared" si="4"/>
        <v>0.4068706176081815</v>
      </c>
      <c r="Y39" s="19">
        <f t="shared" si="4"/>
        <v>0</v>
      </c>
      <c r="Z39" s="19">
        <f>Y40*$B$9</f>
        <v>0.4068706176081815</v>
      </c>
      <c r="AA39" s="19">
        <f t="shared" si="4"/>
        <v>0</v>
      </c>
      <c r="AB39" s="19">
        <f t="shared" si="4"/>
        <v>0.4068706176081815</v>
      </c>
      <c r="AC39" s="19">
        <f t="shared" si="4"/>
        <v>0</v>
      </c>
      <c r="AD39" s="19">
        <f t="shared" si="4"/>
        <v>0.4068706176081815</v>
      </c>
      <c r="AE39" s="19">
        <f t="shared" si="4"/>
        <v>0</v>
      </c>
      <c r="AF39" s="19">
        <f t="shared" si="4"/>
        <v>0.4068706176081815</v>
      </c>
      <c r="AG39" s="19">
        <f t="shared" si="1"/>
        <v>0</v>
      </c>
      <c r="AH39" s="19">
        <f t="shared" si="1"/>
        <v>0.4068706176081815</v>
      </c>
      <c r="AI39" s="19">
        <f t="shared" si="1"/>
        <v>0</v>
      </c>
      <c r="AJ39" s="19">
        <f t="shared" si="1"/>
        <v>0.4068706176081815</v>
      </c>
    </row>
    <row r="40" spans="8:36">
      <c r="H40" s="19"/>
      <c r="I40" s="19"/>
      <c r="J40" s="19"/>
      <c r="K40" s="19"/>
      <c r="L40" s="19"/>
      <c r="M40" s="19"/>
      <c r="N40" s="19"/>
      <c r="O40" s="19"/>
      <c r="P40" s="19"/>
      <c r="Q40" s="19">
        <f t="shared" si="4"/>
        <v>0.34671226970765828</v>
      </c>
      <c r="R40" s="19">
        <f t="shared" si="4"/>
        <v>0</v>
      </c>
      <c r="S40" s="19">
        <f t="shared" si="4"/>
        <v>0.34671226970765828</v>
      </c>
      <c r="T40" s="19">
        <f t="shared" si="4"/>
        <v>0</v>
      </c>
      <c r="U40" s="19">
        <f t="shared" si="4"/>
        <v>0.34671226970765828</v>
      </c>
      <c r="V40" s="19">
        <f t="shared" si="4"/>
        <v>0</v>
      </c>
      <c r="W40" s="19">
        <f t="shared" si="4"/>
        <v>0.34671226970765828</v>
      </c>
      <c r="X40" s="19">
        <f t="shared" si="4"/>
        <v>0</v>
      </c>
      <c r="Y40" s="19">
        <f t="shared" si="4"/>
        <v>0.34671226970765828</v>
      </c>
      <c r="Z40" s="19">
        <f t="shared" si="4"/>
        <v>0</v>
      </c>
      <c r="AA40" s="19">
        <f t="shared" si="4"/>
        <v>0.34671226970765828</v>
      </c>
      <c r="AB40" s="19">
        <f t="shared" si="4"/>
        <v>0</v>
      </c>
      <c r="AC40" s="19">
        <f t="shared" si="4"/>
        <v>0.34671226970765828</v>
      </c>
      <c r="AD40" s="19">
        <f t="shared" si="4"/>
        <v>0</v>
      </c>
      <c r="AE40" s="19">
        <f t="shared" si="4"/>
        <v>0.34671226970765828</v>
      </c>
      <c r="AF40" s="19">
        <f t="shared" si="4"/>
        <v>0</v>
      </c>
      <c r="AG40" s="19">
        <f t="shared" si="1"/>
        <v>0.34671226970765828</v>
      </c>
      <c r="AH40" s="19">
        <f t="shared" si="1"/>
        <v>0</v>
      </c>
      <c r="AI40" s="19">
        <f t="shared" si="1"/>
        <v>0.34671226970765828</v>
      </c>
      <c r="AJ40" s="19">
        <f t="shared" si="1"/>
        <v>0</v>
      </c>
    </row>
    <row r="41" spans="8:36">
      <c r="H41" s="19"/>
      <c r="I41" s="19"/>
      <c r="J41" s="19"/>
      <c r="K41" s="19"/>
      <c r="L41" s="19"/>
      <c r="M41" s="19"/>
      <c r="N41" s="19"/>
      <c r="O41" s="19"/>
      <c r="P41" s="19">
        <f t="shared" si="4"/>
        <v>0.29544870718975891</v>
      </c>
      <c r="Q41" s="19">
        <f t="shared" si="4"/>
        <v>0</v>
      </c>
      <c r="R41" s="19">
        <f t="shared" si="4"/>
        <v>0.29544870718975891</v>
      </c>
      <c r="S41" s="19">
        <f t="shared" si="4"/>
        <v>0</v>
      </c>
      <c r="T41" s="19">
        <f t="shared" si="4"/>
        <v>0.29544870718975891</v>
      </c>
      <c r="U41" s="19">
        <f t="shared" si="4"/>
        <v>0</v>
      </c>
      <c r="V41" s="19">
        <f t="shared" si="4"/>
        <v>0.29544870718975891</v>
      </c>
      <c r="W41" s="19">
        <f t="shared" si="4"/>
        <v>0</v>
      </c>
      <c r="X41" s="19">
        <f t="shared" si="4"/>
        <v>0.29544870718975891</v>
      </c>
      <c r="Y41" s="19">
        <f t="shared" si="4"/>
        <v>0</v>
      </c>
      <c r="Z41" s="19">
        <f t="shared" si="4"/>
        <v>0.29544870718975891</v>
      </c>
      <c r="AA41" s="19">
        <f t="shared" si="4"/>
        <v>0</v>
      </c>
      <c r="AB41" s="19">
        <f t="shared" si="4"/>
        <v>0.29544870718975891</v>
      </c>
      <c r="AC41" s="19">
        <f t="shared" si="4"/>
        <v>0</v>
      </c>
      <c r="AD41" s="19">
        <f t="shared" si="4"/>
        <v>0.29544870718975891</v>
      </c>
      <c r="AE41" s="19">
        <f t="shared" si="4"/>
        <v>0</v>
      </c>
      <c r="AF41" s="19">
        <f t="shared" si="4"/>
        <v>0.29544870718975891</v>
      </c>
      <c r="AG41" s="19">
        <f t="shared" si="1"/>
        <v>0</v>
      </c>
      <c r="AH41" s="19">
        <f t="shared" si="1"/>
        <v>0.29544870718975891</v>
      </c>
      <c r="AI41" s="19">
        <f t="shared" si="1"/>
        <v>0</v>
      </c>
      <c r="AJ41" s="19">
        <f t="shared" si="1"/>
        <v>0.29544870718975891</v>
      </c>
    </row>
    <row r="42" spans="8:36">
      <c r="H42" s="19"/>
      <c r="I42" s="19"/>
      <c r="J42" s="19"/>
      <c r="K42" s="19"/>
      <c r="L42" s="19"/>
      <c r="M42" s="19"/>
      <c r="N42" s="19"/>
      <c r="O42" s="19">
        <f t="shared" si="4"/>
        <v>0.25176478078984987</v>
      </c>
      <c r="P42" s="19">
        <f t="shared" si="4"/>
        <v>0</v>
      </c>
      <c r="Q42" s="19">
        <f t="shared" si="4"/>
        <v>0.25176478078984987</v>
      </c>
      <c r="R42" s="19">
        <f t="shared" si="4"/>
        <v>0</v>
      </c>
      <c r="S42" s="19">
        <f t="shared" si="4"/>
        <v>0.25176478078984987</v>
      </c>
      <c r="T42" s="19">
        <f t="shared" si="4"/>
        <v>0</v>
      </c>
      <c r="U42" s="19">
        <f t="shared" si="4"/>
        <v>0.25176478078984987</v>
      </c>
      <c r="V42" s="19">
        <f t="shared" si="4"/>
        <v>0</v>
      </c>
      <c r="W42" s="19">
        <f t="shared" si="4"/>
        <v>0.25176478078984987</v>
      </c>
      <c r="X42" s="19">
        <f t="shared" si="4"/>
        <v>0</v>
      </c>
      <c r="Y42" s="19">
        <f t="shared" si="4"/>
        <v>0.25176478078984987</v>
      </c>
      <c r="Z42" s="19">
        <f t="shared" si="4"/>
        <v>0</v>
      </c>
      <c r="AA42" s="19">
        <f t="shared" si="4"/>
        <v>0.25176478078984987</v>
      </c>
      <c r="AB42" s="19">
        <f t="shared" si="4"/>
        <v>0</v>
      </c>
      <c r="AC42" s="19">
        <f t="shared" si="4"/>
        <v>0.25176478078984987</v>
      </c>
      <c r="AD42" s="19">
        <f t="shared" si="4"/>
        <v>0</v>
      </c>
      <c r="AE42" s="19">
        <f t="shared" si="4"/>
        <v>0.25176478078984987</v>
      </c>
      <c r="AF42" s="19">
        <f t="shared" si="4"/>
        <v>0</v>
      </c>
      <c r="AG42" s="19">
        <f t="shared" si="1"/>
        <v>0.25176478078984987</v>
      </c>
      <c r="AH42" s="19">
        <f t="shared" si="1"/>
        <v>0</v>
      </c>
      <c r="AI42" s="19">
        <f t="shared" si="1"/>
        <v>0.25176478078984987</v>
      </c>
      <c r="AJ42" s="19">
        <f t="shared" si="1"/>
        <v>0</v>
      </c>
    </row>
    <row r="43" spans="8:36">
      <c r="H43" s="19"/>
      <c r="I43" s="19"/>
      <c r="J43" s="19"/>
      <c r="K43" s="19"/>
      <c r="L43" s="19"/>
      <c r="M43" s="19"/>
      <c r="N43" s="19">
        <f t="shared" ref="J43:Y51" si="5">M44*$B$9</f>
        <v>0.21453979423051028</v>
      </c>
      <c r="O43" s="19">
        <f t="shared" si="5"/>
        <v>0</v>
      </c>
      <c r="P43" s="19">
        <f t="shared" si="5"/>
        <v>0.21453979423051028</v>
      </c>
      <c r="Q43" s="19">
        <f t="shared" si="5"/>
        <v>0</v>
      </c>
      <c r="R43" s="19">
        <f t="shared" si="5"/>
        <v>0.21453979423051028</v>
      </c>
      <c r="S43" s="19">
        <f t="shared" si="5"/>
        <v>0</v>
      </c>
      <c r="T43" s="19">
        <f t="shared" si="5"/>
        <v>0.21453979423051028</v>
      </c>
      <c r="U43" s="19">
        <f t="shared" si="5"/>
        <v>0</v>
      </c>
      <c r="V43" s="19">
        <f t="shared" si="5"/>
        <v>0.21453979423051028</v>
      </c>
      <c r="W43" s="19">
        <f t="shared" si="5"/>
        <v>0</v>
      </c>
      <c r="X43" s="19">
        <f t="shared" si="5"/>
        <v>0.21453979423051028</v>
      </c>
      <c r="Y43" s="19">
        <f t="shared" si="5"/>
        <v>0</v>
      </c>
      <c r="Z43" s="19">
        <f t="shared" ref="Z43:AJ55" si="6">Y44*$B$9</f>
        <v>0.21453979423051028</v>
      </c>
      <c r="AA43" s="19">
        <f t="shared" si="6"/>
        <v>0</v>
      </c>
      <c r="AB43" s="19">
        <f t="shared" si="6"/>
        <v>0.21453979423051028</v>
      </c>
      <c r="AC43" s="19">
        <f t="shared" si="6"/>
        <v>0</v>
      </c>
      <c r="AD43" s="19">
        <f t="shared" si="6"/>
        <v>0.21453979423051028</v>
      </c>
      <c r="AE43" s="19">
        <f t="shared" si="6"/>
        <v>0</v>
      </c>
      <c r="AF43" s="19">
        <f t="shared" si="6"/>
        <v>0.21453979423051028</v>
      </c>
      <c r="AG43" s="19">
        <f t="shared" si="1"/>
        <v>0</v>
      </c>
      <c r="AH43" s="19">
        <f t="shared" si="1"/>
        <v>0.21453979423051028</v>
      </c>
      <c r="AI43" s="19">
        <f t="shared" si="1"/>
        <v>0</v>
      </c>
      <c r="AJ43" s="19">
        <f t="shared" si="1"/>
        <v>0.21453979423051028</v>
      </c>
    </row>
    <row r="44" spans="8:36">
      <c r="H44" s="19"/>
      <c r="I44" s="19"/>
      <c r="J44" s="19"/>
      <c r="K44" s="19"/>
      <c r="L44" s="19"/>
      <c r="M44" s="19">
        <f t="shared" si="5"/>
        <v>0.18281875313961835</v>
      </c>
      <c r="N44" s="19">
        <f t="shared" si="5"/>
        <v>0</v>
      </c>
      <c r="O44" s="19">
        <f t="shared" si="5"/>
        <v>0.18281875313961835</v>
      </c>
      <c r="P44" s="19">
        <f t="shared" si="5"/>
        <v>0</v>
      </c>
      <c r="Q44" s="19">
        <f t="shared" si="5"/>
        <v>0.18281875313961835</v>
      </c>
      <c r="R44" s="19">
        <f t="shared" si="5"/>
        <v>0</v>
      </c>
      <c r="S44" s="19">
        <f t="shared" si="5"/>
        <v>0.18281875313961835</v>
      </c>
      <c r="T44" s="19">
        <f t="shared" si="5"/>
        <v>0</v>
      </c>
      <c r="U44" s="19">
        <f t="shared" si="5"/>
        <v>0.18281875313961835</v>
      </c>
      <c r="V44" s="19">
        <f t="shared" si="5"/>
        <v>0</v>
      </c>
      <c r="W44" s="19">
        <f t="shared" si="5"/>
        <v>0.18281875313961835</v>
      </c>
      <c r="X44" s="19">
        <f t="shared" si="5"/>
        <v>0</v>
      </c>
      <c r="Y44" s="19">
        <f t="shared" si="5"/>
        <v>0.18281875313961835</v>
      </c>
      <c r="Z44" s="19">
        <f t="shared" si="6"/>
        <v>0</v>
      </c>
      <c r="AA44" s="19">
        <f t="shared" si="6"/>
        <v>0.18281875313961835</v>
      </c>
      <c r="AB44" s="19">
        <f t="shared" si="6"/>
        <v>0</v>
      </c>
      <c r="AC44" s="19">
        <f t="shared" si="6"/>
        <v>0.18281875313961835</v>
      </c>
      <c r="AD44" s="19">
        <f t="shared" si="6"/>
        <v>0</v>
      </c>
      <c r="AE44" s="19">
        <f t="shared" si="6"/>
        <v>0.18281875313961835</v>
      </c>
      <c r="AF44" s="19">
        <f t="shared" si="4"/>
        <v>0</v>
      </c>
      <c r="AG44" s="19">
        <f t="shared" si="1"/>
        <v>0.18281875313961835</v>
      </c>
      <c r="AH44" s="19">
        <f t="shared" si="1"/>
        <v>0</v>
      </c>
      <c r="AI44" s="19">
        <f t="shared" si="1"/>
        <v>0.18281875313961835</v>
      </c>
      <c r="AJ44" s="19">
        <f t="shared" si="1"/>
        <v>0</v>
      </c>
    </row>
    <row r="45" spans="8:36">
      <c r="H45" s="19"/>
      <c r="I45" s="19"/>
      <c r="J45" s="19"/>
      <c r="K45" s="19"/>
      <c r="L45" s="19">
        <f t="shared" si="5"/>
        <v>0.15578786499447281</v>
      </c>
      <c r="M45" s="19">
        <f t="shared" si="5"/>
        <v>0</v>
      </c>
      <c r="N45" s="19">
        <f t="shared" si="5"/>
        <v>0.15578786499447281</v>
      </c>
      <c r="O45" s="19">
        <f t="shared" si="5"/>
        <v>0</v>
      </c>
      <c r="P45" s="19">
        <f t="shared" si="5"/>
        <v>0.15578786499447281</v>
      </c>
      <c r="Q45" s="19">
        <f t="shared" si="5"/>
        <v>0</v>
      </c>
      <c r="R45" s="19">
        <f t="shared" si="5"/>
        <v>0.15578786499447281</v>
      </c>
      <c r="S45" s="19">
        <f t="shared" si="5"/>
        <v>0</v>
      </c>
      <c r="T45" s="19">
        <f t="shared" si="5"/>
        <v>0.15578786499447281</v>
      </c>
      <c r="U45" s="19">
        <f t="shared" si="5"/>
        <v>0</v>
      </c>
      <c r="V45" s="19">
        <f t="shared" si="5"/>
        <v>0.15578786499447281</v>
      </c>
      <c r="W45" s="19">
        <f t="shared" si="5"/>
        <v>0</v>
      </c>
      <c r="X45" s="19">
        <f t="shared" si="5"/>
        <v>0.15578786499447281</v>
      </c>
      <c r="Y45" s="19">
        <f t="shared" si="5"/>
        <v>0</v>
      </c>
      <c r="Z45" s="19">
        <f t="shared" si="6"/>
        <v>0.15578786499447281</v>
      </c>
      <c r="AA45" s="19">
        <f t="shared" si="6"/>
        <v>0</v>
      </c>
      <c r="AB45" s="19">
        <f t="shared" si="6"/>
        <v>0.15578786499447281</v>
      </c>
      <c r="AC45" s="19">
        <f t="shared" si="6"/>
        <v>0</v>
      </c>
      <c r="AD45" s="19">
        <f t="shared" si="6"/>
        <v>0.15578786499447281</v>
      </c>
      <c r="AE45" s="19">
        <f t="shared" si="6"/>
        <v>0</v>
      </c>
      <c r="AF45" s="19">
        <f t="shared" si="1"/>
        <v>0.15578786499447281</v>
      </c>
      <c r="AG45" s="19">
        <f t="shared" si="1"/>
        <v>0</v>
      </c>
      <c r="AH45" s="19">
        <f t="shared" si="1"/>
        <v>0.15578786499447281</v>
      </c>
      <c r="AI45" s="19">
        <f t="shared" si="1"/>
        <v>0</v>
      </c>
      <c r="AJ45" s="19">
        <f t="shared" si="1"/>
        <v>0.15578786499447281</v>
      </c>
    </row>
    <row r="46" spans="8:36">
      <c r="H46" s="19"/>
      <c r="I46" s="19"/>
      <c r="J46" s="19"/>
      <c r="K46" s="19">
        <f t="shared" si="5"/>
        <v>0.13275366155134666</v>
      </c>
      <c r="L46" s="19">
        <f t="shared" si="5"/>
        <v>0</v>
      </c>
      <c r="M46" s="19">
        <f t="shared" si="5"/>
        <v>0.13275366155134666</v>
      </c>
      <c r="N46" s="19">
        <f t="shared" si="5"/>
        <v>0</v>
      </c>
      <c r="O46" s="19">
        <f t="shared" si="5"/>
        <v>0.13275366155134666</v>
      </c>
      <c r="P46" s="19">
        <f t="shared" si="5"/>
        <v>0</v>
      </c>
      <c r="Q46" s="19">
        <f t="shared" si="5"/>
        <v>0.13275366155134666</v>
      </c>
      <c r="R46" s="19">
        <f t="shared" si="5"/>
        <v>0</v>
      </c>
      <c r="S46" s="19">
        <f t="shared" si="5"/>
        <v>0.13275366155134666</v>
      </c>
      <c r="T46" s="19">
        <f t="shared" si="5"/>
        <v>0</v>
      </c>
      <c r="U46" s="19">
        <f t="shared" si="5"/>
        <v>0.13275366155134666</v>
      </c>
      <c r="V46" s="19">
        <f t="shared" si="5"/>
        <v>0</v>
      </c>
      <c r="W46" s="19">
        <f t="shared" si="5"/>
        <v>0.13275366155134666</v>
      </c>
      <c r="X46" s="19">
        <f t="shared" si="5"/>
        <v>0</v>
      </c>
      <c r="Y46" s="19">
        <f t="shared" si="5"/>
        <v>0.13275366155134666</v>
      </c>
      <c r="Z46" s="19">
        <f t="shared" si="6"/>
        <v>0</v>
      </c>
      <c r="AA46" s="19">
        <f t="shared" si="6"/>
        <v>0.13275366155134666</v>
      </c>
      <c r="AB46" s="19">
        <f t="shared" si="6"/>
        <v>0</v>
      </c>
      <c r="AC46" s="19">
        <f t="shared" si="6"/>
        <v>0.13275366155134666</v>
      </c>
      <c r="AD46" s="19">
        <f t="shared" si="6"/>
        <v>0</v>
      </c>
      <c r="AE46" s="19">
        <f t="shared" si="6"/>
        <v>0.13275366155134666</v>
      </c>
      <c r="AF46" s="19">
        <f t="shared" si="1"/>
        <v>0</v>
      </c>
      <c r="AG46" s="19">
        <f t="shared" si="1"/>
        <v>0.13275366155134666</v>
      </c>
      <c r="AH46" s="19">
        <f t="shared" si="1"/>
        <v>0</v>
      </c>
      <c r="AI46" s="19">
        <f t="shared" si="1"/>
        <v>0.13275366155134666</v>
      </c>
      <c r="AJ46" s="19">
        <f t="shared" si="1"/>
        <v>0</v>
      </c>
    </row>
    <row r="47" spans="8:36">
      <c r="H47" s="19"/>
      <c r="I47" s="19"/>
      <c r="J47" s="19">
        <f t="shared" si="5"/>
        <v>0.11312520815350258</v>
      </c>
      <c r="K47" s="19">
        <v>0</v>
      </c>
      <c r="L47" s="19">
        <f t="shared" si="5"/>
        <v>0.11312520815350258</v>
      </c>
      <c r="M47" s="19">
        <f t="shared" si="5"/>
        <v>0</v>
      </c>
      <c r="N47" s="19">
        <f t="shared" si="5"/>
        <v>0.11312520815350259</v>
      </c>
      <c r="O47" s="19">
        <f t="shared" si="5"/>
        <v>0</v>
      </c>
      <c r="P47" s="19">
        <f t="shared" si="5"/>
        <v>0.11312520815350259</v>
      </c>
      <c r="Q47" s="19">
        <f t="shared" si="5"/>
        <v>0</v>
      </c>
      <c r="R47" s="19">
        <f t="shared" si="5"/>
        <v>0.11312520815350259</v>
      </c>
      <c r="S47" s="19">
        <f t="shared" si="5"/>
        <v>0</v>
      </c>
      <c r="T47" s="19">
        <f t="shared" si="5"/>
        <v>0.11312520815350259</v>
      </c>
      <c r="U47" s="19">
        <f t="shared" si="5"/>
        <v>0</v>
      </c>
      <c r="V47" s="19">
        <f t="shared" si="5"/>
        <v>0.11312520815350259</v>
      </c>
      <c r="W47" s="19">
        <f t="shared" si="5"/>
        <v>0</v>
      </c>
      <c r="X47" s="19">
        <f t="shared" si="5"/>
        <v>0.11312520815350259</v>
      </c>
      <c r="Y47" s="19">
        <f t="shared" si="5"/>
        <v>0</v>
      </c>
      <c r="Z47" s="19">
        <f t="shared" si="6"/>
        <v>0.11312520815350259</v>
      </c>
      <c r="AA47" s="19">
        <f t="shared" si="6"/>
        <v>0</v>
      </c>
      <c r="AB47" s="19">
        <f t="shared" si="6"/>
        <v>0.11312520815350259</v>
      </c>
      <c r="AC47" s="19">
        <f t="shared" si="6"/>
        <v>0</v>
      </c>
      <c r="AD47" s="19">
        <f t="shared" si="6"/>
        <v>0.11312520815350259</v>
      </c>
      <c r="AE47" s="19">
        <f t="shared" si="6"/>
        <v>0</v>
      </c>
      <c r="AF47" s="19">
        <f t="shared" si="1"/>
        <v>0.11312520815350259</v>
      </c>
      <c r="AG47" s="19">
        <f t="shared" si="1"/>
        <v>0</v>
      </c>
      <c r="AH47" s="19">
        <f t="shared" si="1"/>
        <v>0.11312520815350259</v>
      </c>
      <c r="AI47" s="19">
        <f t="shared" si="1"/>
        <v>0</v>
      </c>
      <c r="AJ47" s="19">
        <f t="shared" si="1"/>
        <v>0.11312520815350259</v>
      </c>
    </row>
    <row r="48" spans="8:36">
      <c r="H48" s="19"/>
      <c r="I48" s="19">
        <f>H49*$B$9</f>
        <v>9.6398943503517021E-2</v>
      </c>
      <c r="J48" s="19">
        <f t="shared" si="5"/>
        <v>0</v>
      </c>
      <c r="K48" s="19">
        <f t="shared" si="5"/>
        <v>9.6398943503517021E-2</v>
      </c>
      <c r="L48" s="19">
        <f t="shared" si="5"/>
        <v>0</v>
      </c>
      <c r="M48" s="19">
        <f t="shared" si="5"/>
        <v>9.6398943503517034E-2</v>
      </c>
      <c r="N48" s="19">
        <f t="shared" si="5"/>
        <v>0</v>
      </c>
      <c r="O48" s="19">
        <f t="shared" si="5"/>
        <v>9.6398943503517034E-2</v>
      </c>
      <c r="P48" s="19">
        <f t="shared" si="5"/>
        <v>0</v>
      </c>
      <c r="Q48" s="19">
        <f t="shared" si="5"/>
        <v>9.6398943503517034E-2</v>
      </c>
      <c r="R48" s="19">
        <f t="shared" si="5"/>
        <v>0</v>
      </c>
      <c r="S48" s="19">
        <f t="shared" si="5"/>
        <v>9.6398943503517034E-2</v>
      </c>
      <c r="T48" s="19">
        <f t="shared" si="5"/>
        <v>0</v>
      </c>
      <c r="U48" s="19">
        <f t="shared" si="5"/>
        <v>9.6398943503517034E-2</v>
      </c>
      <c r="V48" s="19">
        <f t="shared" si="5"/>
        <v>0</v>
      </c>
      <c r="W48" s="19">
        <f t="shared" si="5"/>
        <v>9.6398943503517034E-2</v>
      </c>
      <c r="X48" s="19">
        <f t="shared" si="5"/>
        <v>0</v>
      </c>
      <c r="Y48" s="19">
        <f t="shared" si="5"/>
        <v>9.6398943503517034E-2</v>
      </c>
      <c r="Z48" s="19">
        <f t="shared" si="6"/>
        <v>0</v>
      </c>
      <c r="AA48" s="19">
        <f t="shared" si="6"/>
        <v>9.6398943503517034E-2</v>
      </c>
      <c r="AB48" s="19">
        <f t="shared" si="6"/>
        <v>0</v>
      </c>
      <c r="AC48" s="19">
        <f t="shared" si="6"/>
        <v>9.6398943503517034E-2</v>
      </c>
      <c r="AD48" s="19">
        <f t="shared" si="6"/>
        <v>0</v>
      </c>
      <c r="AE48" s="19">
        <f t="shared" si="6"/>
        <v>9.6398943503517034E-2</v>
      </c>
      <c r="AF48" s="19">
        <f t="shared" si="6"/>
        <v>0</v>
      </c>
      <c r="AG48" s="19">
        <f t="shared" si="6"/>
        <v>9.6398943503517034E-2</v>
      </c>
      <c r="AH48" s="19">
        <f t="shared" si="6"/>
        <v>0</v>
      </c>
      <c r="AI48" s="19">
        <f t="shared" si="6"/>
        <v>9.6398943503517034E-2</v>
      </c>
      <c r="AJ48" s="19">
        <f t="shared" si="6"/>
        <v>0</v>
      </c>
    </row>
    <row r="49" spans="1:36">
      <c r="H49" s="16">
        <f>G50*$B$9</f>
        <v>8.2145760969426732E-2</v>
      </c>
      <c r="I49" s="19"/>
      <c r="J49" s="19">
        <f t="shared" si="5"/>
        <v>8.2145760969426732E-2</v>
      </c>
      <c r="K49" s="19">
        <f t="shared" si="5"/>
        <v>0</v>
      </c>
      <c r="L49" s="19">
        <f t="shared" si="5"/>
        <v>8.2145760969426745E-2</v>
      </c>
      <c r="M49" s="19">
        <f t="shared" si="5"/>
        <v>0</v>
      </c>
      <c r="N49" s="19">
        <f t="shared" si="5"/>
        <v>8.2145760969426745E-2</v>
      </c>
      <c r="O49" s="19">
        <f t="shared" si="5"/>
        <v>0</v>
      </c>
      <c r="P49" s="19">
        <f t="shared" si="5"/>
        <v>8.2145760969426745E-2</v>
      </c>
      <c r="Q49" s="19">
        <f t="shared" si="5"/>
        <v>0</v>
      </c>
      <c r="R49" s="19">
        <f t="shared" si="5"/>
        <v>8.2145760969426745E-2</v>
      </c>
      <c r="S49" s="19">
        <f t="shared" si="5"/>
        <v>0</v>
      </c>
      <c r="T49" s="19">
        <f t="shared" si="5"/>
        <v>8.2145760969426745E-2</v>
      </c>
      <c r="U49" s="19">
        <f t="shared" si="5"/>
        <v>0</v>
      </c>
      <c r="V49" s="19">
        <f t="shared" si="5"/>
        <v>8.2145760969426745E-2</v>
      </c>
      <c r="W49" s="19">
        <f t="shared" si="5"/>
        <v>0</v>
      </c>
      <c r="X49" s="19">
        <f t="shared" si="5"/>
        <v>8.2145760969426745E-2</v>
      </c>
      <c r="Y49" s="19">
        <f t="shared" si="5"/>
        <v>0</v>
      </c>
      <c r="Z49" s="19">
        <f t="shared" si="6"/>
        <v>8.2145760969426745E-2</v>
      </c>
      <c r="AA49" s="19">
        <f t="shared" si="6"/>
        <v>0</v>
      </c>
      <c r="AB49" s="19">
        <f t="shared" si="6"/>
        <v>8.2145760969426745E-2</v>
      </c>
      <c r="AC49" s="19">
        <f t="shared" si="6"/>
        <v>0</v>
      </c>
      <c r="AD49" s="19">
        <f t="shared" si="6"/>
        <v>8.2145760969426745E-2</v>
      </c>
      <c r="AE49" s="19">
        <f t="shared" si="6"/>
        <v>0</v>
      </c>
      <c r="AF49" s="19">
        <f t="shared" si="6"/>
        <v>8.2145760969426745E-2</v>
      </c>
      <c r="AG49" s="19">
        <f t="shared" si="6"/>
        <v>0</v>
      </c>
      <c r="AH49" s="19">
        <f t="shared" si="6"/>
        <v>8.2145760969426745E-2</v>
      </c>
      <c r="AI49" s="19">
        <f t="shared" si="6"/>
        <v>0</v>
      </c>
      <c r="AJ49" s="19">
        <f t="shared" si="6"/>
        <v>8.2145760969426759E-2</v>
      </c>
    </row>
    <row r="50" spans="1:36">
      <c r="A50" t="s">
        <v>14</v>
      </c>
      <c r="G50" s="16">
        <v>7.0000000000000007E-2</v>
      </c>
      <c r="H50" s="19">
        <v>0</v>
      </c>
      <c r="I50" s="19">
        <f>H49*$B$10</f>
        <v>7.0000000000000007E-2</v>
      </c>
      <c r="J50" s="19">
        <f t="shared" si="5"/>
        <v>0</v>
      </c>
      <c r="K50" s="19">
        <f t="shared" si="5"/>
        <v>7.0000000000000021E-2</v>
      </c>
      <c r="L50" s="19">
        <f t="shared" si="5"/>
        <v>0</v>
      </c>
      <c r="M50" s="19">
        <f t="shared" si="5"/>
        <v>7.0000000000000021E-2</v>
      </c>
      <c r="N50" s="19">
        <f t="shared" si="5"/>
        <v>0</v>
      </c>
      <c r="O50" s="19">
        <f t="shared" si="5"/>
        <v>7.0000000000000021E-2</v>
      </c>
      <c r="P50" s="19">
        <f t="shared" si="5"/>
        <v>0</v>
      </c>
      <c r="Q50" s="19">
        <f t="shared" si="5"/>
        <v>7.0000000000000021E-2</v>
      </c>
      <c r="R50" s="19">
        <f t="shared" si="5"/>
        <v>0</v>
      </c>
      <c r="S50" s="19">
        <f t="shared" si="5"/>
        <v>7.0000000000000021E-2</v>
      </c>
      <c r="T50" s="19">
        <f t="shared" si="5"/>
        <v>0</v>
      </c>
      <c r="U50" s="19">
        <f t="shared" si="5"/>
        <v>7.0000000000000021E-2</v>
      </c>
      <c r="V50" s="19">
        <f t="shared" si="5"/>
        <v>0</v>
      </c>
      <c r="W50" s="19">
        <f t="shared" si="5"/>
        <v>7.0000000000000021E-2</v>
      </c>
      <c r="X50" s="19">
        <f t="shared" si="5"/>
        <v>0</v>
      </c>
      <c r="Y50" s="19">
        <f t="shared" si="5"/>
        <v>7.0000000000000021E-2</v>
      </c>
      <c r="Z50" s="19">
        <f t="shared" si="6"/>
        <v>0</v>
      </c>
      <c r="AA50" s="19">
        <f t="shared" si="6"/>
        <v>7.0000000000000021E-2</v>
      </c>
      <c r="AB50" s="19">
        <f t="shared" si="6"/>
        <v>0</v>
      </c>
      <c r="AC50" s="19">
        <f t="shared" si="6"/>
        <v>7.0000000000000021E-2</v>
      </c>
      <c r="AD50" s="19">
        <f t="shared" si="6"/>
        <v>0</v>
      </c>
      <c r="AE50" s="19">
        <f t="shared" si="6"/>
        <v>7.0000000000000021E-2</v>
      </c>
      <c r="AF50" s="19">
        <f t="shared" si="6"/>
        <v>0</v>
      </c>
      <c r="AG50" s="19">
        <f t="shared" si="6"/>
        <v>7.0000000000000021E-2</v>
      </c>
      <c r="AH50" s="19">
        <f t="shared" si="6"/>
        <v>0</v>
      </c>
      <c r="AI50" s="19">
        <f t="shared" si="6"/>
        <v>7.0000000000000034E-2</v>
      </c>
      <c r="AJ50" s="19">
        <f t="shared" si="6"/>
        <v>0</v>
      </c>
    </row>
    <row r="51" spans="1:36">
      <c r="H51" s="19">
        <f>G50*$B$10</f>
        <v>5.9650065227634802E-2</v>
      </c>
      <c r="I51" s="19"/>
      <c r="J51" s="19">
        <f t="shared" si="5"/>
        <v>5.9650065227634809E-2</v>
      </c>
      <c r="K51" s="19">
        <f t="shared" si="5"/>
        <v>0</v>
      </c>
      <c r="L51" s="19">
        <f t="shared" si="5"/>
        <v>5.9650065227634809E-2</v>
      </c>
      <c r="M51" s="19">
        <f t="shared" si="5"/>
        <v>0</v>
      </c>
      <c r="N51" s="19">
        <f t="shared" si="5"/>
        <v>5.9650065227634809E-2</v>
      </c>
      <c r="O51" s="19">
        <f t="shared" si="5"/>
        <v>0</v>
      </c>
      <c r="P51" s="19">
        <f t="shared" si="5"/>
        <v>5.9650065227634809E-2</v>
      </c>
      <c r="Q51" s="19">
        <f t="shared" si="5"/>
        <v>0</v>
      </c>
      <c r="R51" s="19">
        <f t="shared" si="5"/>
        <v>5.9650065227634809E-2</v>
      </c>
      <c r="S51" s="19">
        <f t="shared" si="5"/>
        <v>0</v>
      </c>
      <c r="T51" s="19">
        <f t="shared" si="5"/>
        <v>5.9650065227634809E-2</v>
      </c>
      <c r="U51" s="19">
        <f t="shared" si="5"/>
        <v>0</v>
      </c>
      <c r="V51" s="19">
        <f t="shared" si="5"/>
        <v>5.9650065227634809E-2</v>
      </c>
      <c r="W51" s="19">
        <f t="shared" si="5"/>
        <v>0</v>
      </c>
      <c r="X51" s="19">
        <f t="shared" si="5"/>
        <v>5.9650065227634809E-2</v>
      </c>
      <c r="Y51" s="19">
        <f t="shared" si="5"/>
        <v>0</v>
      </c>
      <c r="Z51" s="19">
        <f t="shared" si="6"/>
        <v>5.9650065227634809E-2</v>
      </c>
      <c r="AA51" s="19">
        <f t="shared" si="6"/>
        <v>0</v>
      </c>
      <c r="AB51" s="19">
        <f t="shared" si="6"/>
        <v>5.9650065227634809E-2</v>
      </c>
      <c r="AC51" s="19">
        <f t="shared" si="6"/>
        <v>0</v>
      </c>
      <c r="AD51" s="19">
        <f t="shared" si="6"/>
        <v>5.9650065227634809E-2</v>
      </c>
      <c r="AE51" s="19">
        <f t="shared" si="6"/>
        <v>0</v>
      </c>
      <c r="AF51" s="19">
        <f t="shared" si="6"/>
        <v>5.9650065227634809E-2</v>
      </c>
      <c r="AG51" s="19">
        <f t="shared" si="6"/>
        <v>0</v>
      </c>
      <c r="AH51" s="19">
        <f t="shared" si="6"/>
        <v>5.9650065227634816E-2</v>
      </c>
      <c r="AI51" s="19">
        <f t="shared" si="6"/>
        <v>0</v>
      </c>
      <c r="AJ51" s="19">
        <f t="shared" si="6"/>
        <v>5.9650065227634816E-2</v>
      </c>
    </row>
    <row r="52" spans="1:36">
      <c r="H52" s="19"/>
      <c r="I52" s="19">
        <f>H51*$B$10</f>
        <v>5.0830432595158376E-2</v>
      </c>
      <c r="J52" s="19">
        <f t="shared" ref="J52:Y67" si="7">I51*$B$10</f>
        <v>0</v>
      </c>
      <c r="K52" s="19">
        <f t="shared" si="7"/>
        <v>5.0830432595158376E-2</v>
      </c>
      <c r="L52" s="19">
        <f t="shared" si="7"/>
        <v>0</v>
      </c>
      <c r="M52" s="19">
        <f t="shared" si="7"/>
        <v>5.0830432595158376E-2</v>
      </c>
      <c r="N52" s="19">
        <f t="shared" si="7"/>
        <v>0</v>
      </c>
      <c r="O52" s="19">
        <f t="shared" si="7"/>
        <v>5.0830432595158376E-2</v>
      </c>
      <c r="P52" s="19">
        <f t="shared" si="7"/>
        <v>0</v>
      </c>
      <c r="Q52" s="19">
        <f t="shared" si="7"/>
        <v>5.0830432595158376E-2</v>
      </c>
      <c r="R52" s="19">
        <f t="shared" si="7"/>
        <v>0</v>
      </c>
      <c r="S52" s="19">
        <f t="shared" si="7"/>
        <v>5.0830432595158376E-2</v>
      </c>
      <c r="T52" s="19">
        <f t="shared" si="7"/>
        <v>0</v>
      </c>
      <c r="U52" s="19">
        <f t="shared" si="7"/>
        <v>5.0830432595158376E-2</v>
      </c>
      <c r="V52" s="19">
        <f t="shared" si="7"/>
        <v>0</v>
      </c>
      <c r="W52" s="19">
        <f t="shared" si="7"/>
        <v>5.0830432595158376E-2</v>
      </c>
      <c r="X52" s="19">
        <f t="shared" si="7"/>
        <v>0</v>
      </c>
      <c r="Y52" s="19">
        <f t="shared" si="7"/>
        <v>5.0830432595158376E-2</v>
      </c>
      <c r="Z52" s="19">
        <f t="shared" ref="Z52:AH68" si="8">Y51*$B$10</f>
        <v>0</v>
      </c>
      <c r="AA52" s="19">
        <f t="shared" si="8"/>
        <v>5.0830432595158376E-2</v>
      </c>
      <c r="AB52" s="19">
        <f t="shared" si="8"/>
        <v>0</v>
      </c>
      <c r="AC52" s="19">
        <f t="shared" si="8"/>
        <v>5.0830432595158376E-2</v>
      </c>
      <c r="AD52" s="19">
        <f t="shared" si="8"/>
        <v>0</v>
      </c>
      <c r="AE52" s="19">
        <f t="shared" si="8"/>
        <v>5.0830432595158376E-2</v>
      </c>
      <c r="AF52" s="19">
        <f t="shared" si="6"/>
        <v>0</v>
      </c>
      <c r="AG52" s="19">
        <f t="shared" si="6"/>
        <v>5.0830432595158383E-2</v>
      </c>
      <c r="AH52" s="19">
        <f t="shared" si="6"/>
        <v>0</v>
      </c>
      <c r="AI52" s="19">
        <f t="shared" si="6"/>
        <v>5.0830432595158383E-2</v>
      </c>
      <c r="AJ52" s="19">
        <f t="shared" si="6"/>
        <v>0</v>
      </c>
    </row>
    <row r="53" spans="1:36">
      <c r="H53" s="19"/>
      <c r="I53" s="19"/>
      <c r="J53" s="19">
        <f t="shared" si="7"/>
        <v>4.3314837426429872E-2</v>
      </c>
      <c r="K53" s="19">
        <f t="shared" si="7"/>
        <v>0</v>
      </c>
      <c r="L53" s="19">
        <f t="shared" si="7"/>
        <v>4.3314837426429872E-2</v>
      </c>
      <c r="M53" s="19">
        <f t="shared" si="7"/>
        <v>0</v>
      </c>
      <c r="N53" s="19">
        <f t="shared" si="7"/>
        <v>4.3314837426429872E-2</v>
      </c>
      <c r="O53" s="19">
        <f t="shared" si="7"/>
        <v>0</v>
      </c>
      <c r="P53" s="19">
        <f t="shared" si="7"/>
        <v>4.3314837426429872E-2</v>
      </c>
      <c r="Q53" s="19">
        <f t="shared" si="7"/>
        <v>0</v>
      </c>
      <c r="R53" s="19">
        <f t="shared" si="7"/>
        <v>4.3314837426429872E-2</v>
      </c>
      <c r="S53" s="19">
        <f t="shared" si="7"/>
        <v>0</v>
      </c>
      <c r="T53" s="19">
        <f t="shared" si="7"/>
        <v>4.3314837426429872E-2</v>
      </c>
      <c r="U53" s="19">
        <f t="shared" si="7"/>
        <v>0</v>
      </c>
      <c r="V53" s="19">
        <f t="shared" si="7"/>
        <v>4.3314837426429872E-2</v>
      </c>
      <c r="W53" s="19">
        <f t="shared" si="7"/>
        <v>0</v>
      </c>
      <c r="X53" s="19">
        <f t="shared" si="7"/>
        <v>4.3314837426429872E-2</v>
      </c>
      <c r="Y53" s="19">
        <f t="shared" si="7"/>
        <v>0</v>
      </c>
      <c r="Z53" s="19">
        <f t="shared" si="8"/>
        <v>4.3314837426429872E-2</v>
      </c>
      <c r="AA53" s="19">
        <f t="shared" si="8"/>
        <v>0</v>
      </c>
      <c r="AB53" s="19">
        <f t="shared" si="8"/>
        <v>4.3314837426429872E-2</v>
      </c>
      <c r="AC53" s="19">
        <f t="shared" si="8"/>
        <v>0</v>
      </c>
      <c r="AD53" s="19">
        <f t="shared" si="8"/>
        <v>4.3314837426429872E-2</v>
      </c>
      <c r="AE53" s="19">
        <f t="shared" si="8"/>
        <v>0</v>
      </c>
      <c r="AF53" s="19">
        <f t="shared" si="6"/>
        <v>4.3314837426429872E-2</v>
      </c>
      <c r="AG53" s="19">
        <f t="shared" si="6"/>
        <v>0</v>
      </c>
      <c r="AH53" s="19">
        <f t="shared" si="6"/>
        <v>4.3314837426429872E-2</v>
      </c>
      <c r="AI53" s="19">
        <f t="shared" si="6"/>
        <v>0</v>
      </c>
      <c r="AJ53" s="19">
        <f t="shared" si="6"/>
        <v>4.3314837426429886E-2</v>
      </c>
    </row>
    <row r="54" spans="1:36">
      <c r="H54" s="19"/>
      <c r="I54" s="19"/>
      <c r="J54" s="19"/>
      <c r="K54" s="19">
        <f t="shared" si="7"/>
        <v>3.6910469683013411E-2</v>
      </c>
      <c r="L54" s="19">
        <f t="shared" si="7"/>
        <v>0</v>
      </c>
      <c r="M54" s="19">
        <f t="shared" si="7"/>
        <v>3.6910469683013411E-2</v>
      </c>
      <c r="N54" s="19">
        <f t="shared" si="7"/>
        <v>0</v>
      </c>
      <c r="O54" s="19">
        <f t="shared" si="7"/>
        <v>3.6910469683013411E-2</v>
      </c>
      <c r="P54" s="19">
        <f t="shared" si="7"/>
        <v>0</v>
      </c>
      <c r="Q54" s="19">
        <f t="shared" si="7"/>
        <v>3.6910469683013411E-2</v>
      </c>
      <c r="R54" s="19">
        <f t="shared" si="7"/>
        <v>0</v>
      </c>
      <c r="S54" s="19">
        <f t="shared" si="7"/>
        <v>3.6910469683013411E-2</v>
      </c>
      <c r="T54" s="19">
        <f t="shared" si="7"/>
        <v>0</v>
      </c>
      <c r="U54" s="19">
        <f t="shared" si="7"/>
        <v>3.6910469683013411E-2</v>
      </c>
      <c r="V54" s="19">
        <f t="shared" si="7"/>
        <v>0</v>
      </c>
      <c r="W54" s="19">
        <f t="shared" si="7"/>
        <v>3.6910469683013411E-2</v>
      </c>
      <c r="X54" s="19">
        <f t="shared" si="7"/>
        <v>0</v>
      </c>
      <c r="Y54" s="19">
        <f t="shared" si="7"/>
        <v>3.6910469683013411E-2</v>
      </c>
      <c r="Z54" s="19">
        <f t="shared" si="8"/>
        <v>0</v>
      </c>
      <c r="AA54" s="19">
        <f t="shared" si="8"/>
        <v>3.6910469683013411E-2</v>
      </c>
      <c r="AB54" s="19">
        <f t="shared" si="8"/>
        <v>0</v>
      </c>
      <c r="AC54" s="19">
        <f t="shared" si="8"/>
        <v>3.6910469683013411E-2</v>
      </c>
      <c r="AD54" s="19">
        <f t="shared" si="8"/>
        <v>0</v>
      </c>
      <c r="AE54" s="19">
        <f t="shared" si="8"/>
        <v>3.6910469683013411E-2</v>
      </c>
      <c r="AF54" s="19">
        <f t="shared" si="6"/>
        <v>0</v>
      </c>
      <c r="AG54" s="19">
        <f t="shared" si="6"/>
        <v>3.6910469683013411E-2</v>
      </c>
      <c r="AH54" s="19">
        <f t="shared" si="6"/>
        <v>0</v>
      </c>
      <c r="AI54" s="19">
        <f t="shared" si="6"/>
        <v>3.6910469683013418E-2</v>
      </c>
      <c r="AJ54" s="19">
        <f t="shared" si="6"/>
        <v>0</v>
      </c>
    </row>
    <row r="55" spans="1:36">
      <c r="H55" s="19"/>
      <c r="I55" s="19"/>
      <c r="J55" s="19"/>
      <c r="K55" s="19"/>
      <c r="L55" s="19">
        <f t="shared" si="7"/>
        <v>3.1453027488205519E-2</v>
      </c>
      <c r="M55" s="19">
        <f t="shared" si="7"/>
        <v>0</v>
      </c>
      <c r="N55" s="19">
        <f t="shared" si="7"/>
        <v>3.1453027488205519E-2</v>
      </c>
      <c r="O55" s="19">
        <f t="shared" si="7"/>
        <v>0</v>
      </c>
      <c r="P55" s="19">
        <f t="shared" si="7"/>
        <v>3.1453027488205519E-2</v>
      </c>
      <c r="Q55" s="19">
        <f t="shared" si="7"/>
        <v>0</v>
      </c>
      <c r="R55" s="19">
        <f t="shared" si="7"/>
        <v>3.1453027488205519E-2</v>
      </c>
      <c r="S55" s="19">
        <f t="shared" si="7"/>
        <v>0</v>
      </c>
      <c r="T55" s="19">
        <f t="shared" si="7"/>
        <v>3.1453027488205519E-2</v>
      </c>
      <c r="U55" s="19">
        <f t="shared" si="7"/>
        <v>0</v>
      </c>
      <c r="V55" s="19">
        <f t="shared" si="7"/>
        <v>3.1453027488205519E-2</v>
      </c>
      <c r="W55" s="19">
        <f t="shared" si="7"/>
        <v>0</v>
      </c>
      <c r="X55" s="19">
        <f t="shared" si="7"/>
        <v>3.1453027488205519E-2</v>
      </c>
      <c r="Y55" s="19">
        <f t="shared" si="7"/>
        <v>0</v>
      </c>
      <c r="Z55" s="19">
        <f t="shared" si="8"/>
        <v>3.1453027488205519E-2</v>
      </c>
      <c r="AA55" s="19">
        <f t="shared" si="8"/>
        <v>0</v>
      </c>
      <c r="AB55" s="19">
        <f t="shared" si="8"/>
        <v>3.1453027488205519E-2</v>
      </c>
      <c r="AC55" s="19">
        <f t="shared" si="8"/>
        <v>0</v>
      </c>
      <c r="AD55" s="19">
        <f t="shared" si="8"/>
        <v>3.1453027488205519E-2</v>
      </c>
      <c r="AE55" s="19">
        <f t="shared" si="8"/>
        <v>0</v>
      </c>
      <c r="AF55" s="19">
        <f t="shared" si="6"/>
        <v>3.1453027488205519E-2</v>
      </c>
      <c r="AG55" s="19">
        <f t="shared" si="6"/>
        <v>0</v>
      </c>
      <c r="AH55" s="19">
        <f t="shared" si="6"/>
        <v>3.1453027488205526E-2</v>
      </c>
      <c r="AI55" s="19">
        <f t="shared" si="6"/>
        <v>0</v>
      </c>
      <c r="AJ55" s="19">
        <f t="shared" si="6"/>
        <v>3.1453027488205526E-2</v>
      </c>
    </row>
    <row r="56" spans="1:36">
      <c r="H56" s="19"/>
      <c r="I56" s="19"/>
      <c r="J56" s="19"/>
      <c r="K56" s="19"/>
      <c r="L56" s="19"/>
      <c r="M56" s="19">
        <f t="shared" si="7"/>
        <v>2.6802502018257849E-2</v>
      </c>
      <c r="N56" s="19">
        <f t="shared" si="7"/>
        <v>0</v>
      </c>
      <c r="O56" s="19">
        <f t="shared" si="7"/>
        <v>2.6802502018257849E-2</v>
      </c>
      <c r="P56" s="19">
        <f t="shared" si="7"/>
        <v>0</v>
      </c>
      <c r="Q56" s="19">
        <f t="shared" si="7"/>
        <v>2.6802502018257849E-2</v>
      </c>
      <c r="R56" s="19">
        <f t="shared" si="7"/>
        <v>0</v>
      </c>
      <c r="S56" s="19">
        <f t="shared" si="7"/>
        <v>2.6802502018257849E-2</v>
      </c>
      <c r="T56" s="19">
        <f t="shared" si="7"/>
        <v>0</v>
      </c>
      <c r="U56" s="19">
        <f t="shared" si="7"/>
        <v>2.6802502018257849E-2</v>
      </c>
      <c r="V56" s="19">
        <f t="shared" si="7"/>
        <v>0</v>
      </c>
      <c r="W56" s="19">
        <f t="shared" si="7"/>
        <v>2.6802502018257849E-2</v>
      </c>
      <c r="X56" s="19">
        <f t="shared" si="7"/>
        <v>0</v>
      </c>
      <c r="Y56" s="19">
        <f t="shared" si="7"/>
        <v>2.6802502018257849E-2</v>
      </c>
      <c r="Z56" s="19">
        <f t="shared" si="8"/>
        <v>0</v>
      </c>
      <c r="AA56" s="19">
        <f t="shared" si="8"/>
        <v>2.6802502018257849E-2</v>
      </c>
      <c r="AB56" s="19">
        <f t="shared" si="8"/>
        <v>0</v>
      </c>
      <c r="AC56" s="19">
        <f t="shared" si="8"/>
        <v>2.6802502018257849E-2</v>
      </c>
      <c r="AD56" s="19">
        <f t="shared" si="8"/>
        <v>0</v>
      </c>
      <c r="AE56" s="19">
        <f t="shared" si="8"/>
        <v>2.6802502018257849E-2</v>
      </c>
      <c r="AF56" s="19">
        <f t="shared" si="8"/>
        <v>0</v>
      </c>
      <c r="AG56" s="19">
        <f t="shared" si="1"/>
        <v>2.6802502018257852E-2</v>
      </c>
      <c r="AH56" s="19">
        <f t="shared" si="1"/>
        <v>0</v>
      </c>
      <c r="AI56" s="19">
        <f t="shared" si="1"/>
        <v>2.6802502018257856E-2</v>
      </c>
      <c r="AJ56" s="19">
        <f t="shared" si="1"/>
        <v>0</v>
      </c>
    </row>
    <row r="57" spans="1:36">
      <c r="H57" s="19"/>
      <c r="I57" s="19"/>
      <c r="J57" s="19"/>
      <c r="K57" s="19"/>
      <c r="L57" s="19"/>
      <c r="M57" s="19"/>
      <c r="N57" s="19">
        <f t="shared" si="7"/>
        <v>2.2839585623612772E-2</v>
      </c>
      <c r="O57" s="19">
        <f t="shared" si="7"/>
        <v>0</v>
      </c>
      <c r="P57" s="19">
        <f t="shared" si="7"/>
        <v>2.2839585623612772E-2</v>
      </c>
      <c r="Q57" s="19">
        <f t="shared" si="7"/>
        <v>0</v>
      </c>
      <c r="R57" s="19">
        <f t="shared" si="7"/>
        <v>2.2839585623612772E-2</v>
      </c>
      <c r="S57" s="19">
        <f t="shared" si="7"/>
        <v>0</v>
      </c>
      <c r="T57" s="19">
        <f t="shared" si="7"/>
        <v>2.2839585623612772E-2</v>
      </c>
      <c r="U57" s="19">
        <f t="shared" si="7"/>
        <v>0</v>
      </c>
      <c r="V57" s="19">
        <f t="shared" si="7"/>
        <v>2.2839585623612772E-2</v>
      </c>
      <c r="W57" s="19">
        <f t="shared" si="7"/>
        <v>0</v>
      </c>
      <c r="X57" s="19">
        <f t="shared" si="7"/>
        <v>2.2839585623612772E-2</v>
      </c>
      <c r="Y57" s="19">
        <f t="shared" si="7"/>
        <v>0</v>
      </c>
      <c r="Z57" s="19">
        <f t="shared" si="8"/>
        <v>2.2839585623612772E-2</v>
      </c>
      <c r="AA57" s="19">
        <f t="shared" si="8"/>
        <v>0</v>
      </c>
      <c r="AB57" s="19">
        <f t="shared" si="8"/>
        <v>2.2839585623612772E-2</v>
      </c>
      <c r="AC57" s="19">
        <f t="shared" si="8"/>
        <v>0</v>
      </c>
      <c r="AD57" s="19">
        <f t="shared" si="8"/>
        <v>2.2839585623612772E-2</v>
      </c>
      <c r="AE57" s="19">
        <f t="shared" si="8"/>
        <v>0</v>
      </c>
      <c r="AF57" s="19">
        <f t="shared" si="8"/>
        <v>2.2839585623612772E-2</v>
      </c>
      <c r="AG57" s="19">
        <f t="shared" si="1"/>
        <v>0</v>
      </c>
      <c r="AH57" s="19">
        <f t="shared" si="1"/>
        <v>2.2839585623612775E-2</v>
      </c>
      <c r="AI57" s="19">
        <f t="shared" si="1"/>
        <v>0</v>
      </c>
      <c r="AJ57" s="19">
        <f t="shared" si="1"/>
        <v>2.2839585623612775E-2</v>
      </c>
    </row>
    <row r="58" spans="1:36">
      <c r="H58" s="19"/>
      <c r="I58" s="19"/>
      <c r="J58" s="19"/>
      <c r="K58" s="19"/>
      <c r="L58" s="19"/>
      <c r="M58" s="19"/>
      <c r="N58" s="19"/>
      <c r="O58" s="19">
        <f t="shared" si="7"/>
        <v>1.9462611031723597E-2</v>
      </c>
      <c r="P58" s="19">
        <f t="shared" si="7"/>
        <v>0</v>
      </c>
      <c r="Q58" s="19">
        <f t="shared" si="7"/>
        <v>1.9462611031723597E-2</v>
      </c>
      <c r="R58" s="19">
        <f t="shared" si="7"/>
        <v>0</v>
      </c>
      <c r="S58" s="19">
        <f t="shared" si="7"/>
        <v>1.9462611031723597E-2</v>
      </c>
      <c r="T58" s="19">
        <f t="shared" si="7"/>
        <v>0</v>
      </c>
      <c r="U58" s="19">
        <f t="shared" si="7"/>
        <v>1.9462611031723597E-2</v>
      </c>
      <c r="V58" s="19">
        <f t="shared" si="7"/>
        <v>0</v>
      </c>
      <c r="W58" s="19">
        <f t="shared" si="7"/>
        <v>1.9462611031723597E-2</v>
      </c>
      <c r="X58" s="19">
        <f t="shared" si="7"/>
        <v>0</v>
      </c>
      <c r="Y58" s="19">
        <f t="shared" si="7"/>
        <v>1.9462611031723597E-2</v>
      </c>
      <c r="Z58" s="19">
        <f t="shared" si="8"/>
        <v>0</v>
      </c>
      <c r="AA58" s="19">
        <f t="shared" si="8"/>
        <v>1.9462611031723597E-2</v>
      </c>
      <c r="AB58" s="19">
        <f t="shared" si="8"/>
        <v>0</v>
      </c>
      <c r="AC58" s="19">
        <f t="shared" si="8"/>
        <v>1.9462611031723597E-2</v>
      </c>
      <c r="AD58" s="19">
        <f t="shared" si="8"/>
        <v>0</v>
      </c>
      <c r="AE58" s="19">
        <f t="shared" si="8"/>
        <v>1.9462611031723597E-2</v>
      </c>
      <c r="AF58" s="19">
        <f t="shared" si="8"/>
        <v>0</v>
      </c>
      <c r="AG58" s="19">
        <f t="shared" si="1"/>
        <v>1.9462611031723597E-2</v>
      </c>
      <c r="AH58" s="19">
        <f t="shared" si="1"/>
        <v>0</v>
      </c>
      <c r="AI58" s="19">
        <f t="shared" si="1"/>
        <v>1.9462611031723597E-2</v>
      </c>
      <c r="AJ58" s="19">
        <f t="shared" si="1"/>
        <v>0</v>
      </c>
    </row>
    <row r="59" spans="1:36">
      <c r="H59" s="19"/>
      <c r="I59" s="19"/>
      <c r="J59" s="19"/>
      <c r="K59" s="19"/>
      <c r="L59" s="19"/>
      <c r="M59" s="19"/>
      <c r="N59" s="19"/>
      <c r="O59" s="19"/>
      <c r="P59" s="19">
        <f t="shared" si="7"/>
        <v>1.658494310774853E-2</v>
      </c>
      <c r="Q59" s="19">
        <f t="shared" si="7"/>
        <v>0</v>
      </c>
      <c r="R59" s="19">
        <f t="shared" si="7"/>
        <v>1.658494310774853E-2</v>
      </c>
      <c r="S59" s="19">
        <f t="shared" si="7"/>
        <v>0</v>
      </c>
      <c r="T59" s="19">
        <f t="shared" si="7"/>
        <v>1.658494310774853E-2</v>
      </c>
      <c r="U59" s="19">
        <f t="shared" si="7"/>
        <v>0</v>
      </c>
      <c r="V59" s="19">
        <f t="shared" si="7"/>
        <v>1.658494310774853E-2</v>
      </c>
      <c r="W59" s="19">
        <f t="shared" si="7"/>
        <v>0</v>
      </c>
      <c r="X59" s="19">
        <f t="shared" si="7"/>
        <v>1.658494310774853E-2</v>
      </c>
      <c r="Y59" s="19">
        <f t="shared" si="7"/>
        <v>0</v>
      </c>
      <c r="Z59" s="19">
        <f t="shared" si="8"/>
        <v>1.658494310774853E-2</v>
      </c>
      <c r="AA59" s="19">
        <f t="shared" si="8"/>
        <v>0</v>
      </c>
      <c r="AB59" s="19">
        <f t="shared" si="8"/>
        <v>1.658494310774853E-2</v>
      </c>
      <c r="AC59" s="19">
        <f t="shared" si="8"/>
        <v>0</v>
      </c>
      <c r="AD59" s="19">
        <f t="shared" si="8"/>
        <v>1.658494310774853E-2</v>
      </c>
      <c r="AE59" s="19">
        <f t="shared" si="8"/>
        <v>0</v>
      </c>
      <c r="AF59" s="19">
        <f t="shared" si="8"/>
        <v>1.658494310774853E-2</v>
      </c>
      <c r="AG59" s="19">
        <f t="shared" si="8"/>
        <v>0</v>
      </c>
      <c r="AH59" s="19">
        <f t="shared" si="8"/>
        <v>1.658494310774853E-2</v>
      </c>
      <c r="AI59" s="19">
        <f t="shared" si="1"/>
        <v>0</v>
      </c>
      <c r="AJ59" s="19">
        <f t="shared" si="1"/>
        <v>1.658494310774853E-2</v>
      </c>
    </row>
    <row r="60" spans="1:36">
      <c r="H60" s="19"/>
      <c r="I60" s="19"/>
      <c r="J60" s="19"/>
      <c r="K60" s="19"/>
      <c r="L60" s="19"/>
      <c r="M60" s="19"/>
      <c r="N60" s="19"/>
      <c r="O60" s="19"/>
      <c r="P60" s="19"/>
      <c r="Q60" s="19">
        <f t="shared" si="7"/>
        <v>1.4132756259625885E-2</v>
      </c>
      <c r="R60" s="19">
        <f t="shared" si="7"/>
        <v>0</v>
      </c>
      <c r="S60" s="19">
        <f t="shared" si="7"/>
        <v>1.4132756259625885E-2</v>
      </c>
      <c r="T60" s="19">
        <f t="shared" si="7"/>
        <v>0</v>
      </c>
      <c r="U60" s="19">
        <f t="shared" si="7"/>
        <v>1.4132756259625885E-2</v>
      </c>
      <c r="V60" s="19">
        <f t="shared" si="7"/>
        <v>0</v>
      </c>
      <c r="W60" s="19">
        <f t="shared" si="7"/>
        <v>1.4132756259625885E-2</v>
      </c>
      <c r="X60" s="19">
        <f t="shared" si="7"/>
        <v>0</v>
      </c>
      <c r="Y60" s="19">
        <f t="shared" si="7"/>
        <v>1.4132756259625885E-2</v>
      </c>
      <c r="Z60" s="19">
        <f t="shared" si="8"/>
        <v>0</v>
      </c>
      <c r="AA60" s="19">
        <f t="shared" si="8"/>
        <v>1.4132756259625885E-2</v>
      </c>
      <c r="AB60" s="19">
        <f t="shared" si="8"/>
        <v>0</v>
      </c>
      <c r="AC60" s="19">
        <f t="shared" si="8"/>
        <v>1.4132756259625885E-2</v>
      </c>
      <c r="AD60" s="19">
        <f t="shared" si="8"/>
        <v>0</v>
      </c>
      <c r="AE60" s="19">
        <f t="shared" si="8"/>
        <v>1.4132756259625885E-2</v>
      </c>
      <c r="AF60" s="19">
        <f t="shared" si="8"/>
        <v>0</v>
      </c>
      <c r="AG60" s="19">
        <f t="shared" si="8"/>
        <v>1.4132756259625885E-2</v>
      </c>
      <c r="AH60" s="19">
        <f t="shared" si="8"/>
        <v>0</v>
      </c>
      <c r="AI60" s="19">
        <f t="shared" si="1"/>
        <v>1.4132756259625885E-2</v>
      </c>
      <c r="AJ60" s="19">
        <f t="shared" si="1"/>
        <v>0</v>
      </c>
    </row>
    <row r="61" spans="1:36"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>
        <f t="shared" si="7"/>
        <v>1.2043140467613542E-2</v>
      </c>
      <c r="S61" s="19">
        <f t="shared" si="7"/>
        <v>0</v>
      </c>
      <c r="T61" s="19">
        <f t="shared" si="7"/>
        <v>1.2043140467613542E-2</v>
      </c>
      <c r="U61" s="19">
        <f t="shared" si="7"/>
        <v>0</v>
      </c>
      <c r="V61" s="19">
        <f t="shared" si="7"/>
        <v>1.2043140467613542E-2</v>
      </c>
      <c r="W61" s="19">
        <f t="shared" si="7"/>
        <v>0</v>
      </c>
      <c r="X61" s="19">
        <f t="shared" si="7"/>
        <v>1.2043140467613542E-2</v>
      </c>
      <c r="Y61" s="19">
        <f t="shared" si="7"/>
        <v>0</v>
      </c>
      <c r="Z61" s="19">
        <f t="shared" si="8"/>
        <v>1.2043140467613542E-2</v>
      </c>
      <c r="AA61" s="19">
        <f t="shared" si="8"/>
        <v>0</v>
      </c>
      <c r="AB61" s="19">
        <f t="shared" si="8"/>
        <v>1.2043140467613542E-2</v>
      </c>
      <c r="AC61" s="19">
        <f t="shared" si="8"/>
        <v>0</v>
      </c>
      <c r="AD61" s="19">
        <f t="shared" si="8"/>
        <v>1.2043140467613542E-2</v>
      </c>
      <c r="AE61" s="19">
        <f t="shared" si="8"/>
        <v>0</v>
      </c>
      <c r="AF61" s="19">
        <f t="shared" si="8"/>
        <v>1.2043140467613542E-2</v>
      </c>
      <c r="AG61" s="19">
        <f t="shared" si="8"/>
        <v>0</v>
      </c>
      <c r="AH61" s="19">
        <f t="shared" si="8"/>
        <v>1.2043140467613542E-2</v>
      </c>
      <c r="AI61" s="19">
        <f t="shared" si="1"/>
        <v>0</v>
      </c>
      <c r="AJ61" s="19">
        <f t="shared" si="1"/>
        <v>1.2043140467613546E-2</v>
      </c>
    </row>
    <row r="62" spans="1:36"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>
        <f t="shared" si="7"/>
        <v>1.0262487349124515E-2</v>
      </c>
      <c r="T62" s="19">
        <f t="shared" si="7"/>
        <v>0</v>
      </c>
      <c r="U62" s="19">
        <f t="shared" si="7"/>
        <v>1.0262487349124515E-2</v>
      </c>
      <c r="V62" s="19">
        <f t="shared" si="7"/>
        <v>0</v>
      </c>
      <c r="W62" s="19">
        <f t="shared" si="7"/>
        <v>1.0262487349124515E-2</v>
      </c>
      <c r="X62" s="19">
        <f t="shared" si="7"/>
        <v>0</v>
      </c>
      <c r="Y62" s="19">
        <f t="shared" si="7"/>
        <v>1.0262487349124515E-2</v>
      </c>
      <c r="Z62" s="19">
        <f t="shared" si="8"/>
        <v>0</v>
      </c>
      <c r="AA62" s="19">
        <f t="shared" si="8"/>
        <v>1.0262487349124515E-2</v>
      </c>
      <c r="AB62" s="19">
        <f t="shared" si="8"/>
        <v>0</v>
      </c>
      <c r="AC62" s="19">
        <f t="shared" si="8"/>
        <v>1.0262487349124515E-2</v>
      </c>
      <c r="AD62" s="19">
        <f t="shared" si="8"/>
        <v>0</v>
      </c>
      <c r="AE62" s="19">
        <f t="shared" si="8"/>
        <v>1.0262487349124515E-2</v>
      </c>
      <c r="AF62" s="19">
        <f t="shared" si="8"/>
        <v>0</v>
      </c>
      <c r="AG62" s="19">
        <f t="shared" si="8"/>
        <v>1.0262487349124515E-2</v>
      </c>
      <c r="AH62" s="19">
        <f t="shared" si="8"/>
        <v>0</v>
      </c>
      <c r="AI62" s="19">
        <f t="shared" si="1"/>
        <v>1.0262487349124516E-2</v>
      </c>
      <c r="AJ62" s="19">
        <f t="shared" si="1"/>
        <v>0</v>
      </c>
    </row>
    <row r="63" spans="1:36"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>
        <f t="shared" si="7"/>
        <v>8.7451148539007748E-3</v>
      </c>
      <c r="U63" s="19">
        <f t="shared" si="7"/>
        <v>0</v>
      </c>
      <c r="V63" s="19">
        <f t="shared" si="7"/>
        <v>8.7451148539007748E-3</v>
      </c>
      <c r="W63" s="19">
        <f t="shared" si="7"/>
        <v>0</v>
      </c>
      <c r="X63" s="19">
        <f t="shared" si="7"/>
        <v>8.7451148539007748E-3</v>
      </c>
      <c r="Y63" s="19">
        <f t="shared" si="7"/>
        <v>0</v>
      </c>
      <c r="Z63" s="19">
        <f t="shared" si="8"/>
        <v>8.7451148539007748E-3</v>
      </c>
      <c r="AA63" s="19">
        <f t="shared" si="8"/>
        <v>0</v>
      </c>
      <c r="AB63" s="19">
        <f t="shared" si="8"/>
        <v>8.7451148539007748E-3</v>
      </c>
      <c r="AC63" s="19">
        <f t="shared" si="8"/>
        <v>0</v>
      </c>
      <c r="AD63" s="19">
        <f t="shared" si="8"/>
        <v>8.7451148539007748E-3</v>
      </c>
      <c r="AE63" s="19">
        <f t="shared" si="8"/>
        <v>0</v>
      </c>
      <c r="AF63" s="19">
        <f t="shared" si="8"/>
        <v>8.7451148539007748E-3</v>
      </c>
      <c r="AG63" s="19">
        <f t="shared" si="8"/>
        <v>0</v>
      </c>
      <c r="AH63" s="19">
        <f t="shared" si="8"/>
        <v>8.7451148539007748E-3</v>
      </c>
      <c r="AI63" s="19">
        <f t="shared" si="1"/>
        <v>0</v>
      </c>
      <c r="AJ63" s="19">
        <f t="shared" si="1"/>
        <v>8.7451148539007748E-3</v>
      </c>
    </row>
    <row r="64" spans="1:36"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>
        <f t="shared" si="7"/>
        <v>7.4520953065477019E-3</v>
      </c>
      <c r="V64" s="19">
        <f t="shared" si="7"/>
        <v>0</v>
      </c>
      <c r="W64" s="19">
        <f t="shared" si="7"/>
        <v>7.4520953065477019E-3</v>
      </c>
      <c r="X64" s="19">
        <f t="shared" si="7"/>
        <v>0</v>
      </c>
      <c r="Y64" s="19">
        <f t="shared" si="7"/>
        <v>7.4520953065477019E-3</v>
      </c>
      <c r="Z64" s="19">
        <f t="shared" si="8"/>
        <v>0</v>
      </c>
      <c r="AA64" s="19">
        <f t="shared" si="8"/>
        <v>7.4520953065477019E-3</v>
      </c>
      <c r="AB64" s="19">
        <f t="shared" si="8"/>
        <v>0</v>
      </c>
      <c r="AC64" s="19">
        <f t="shared" si="8"/>
        <v>7.4520953065477019E-3</v>
      </c>
      <c r="AD64" s="19">
        <f t="shared" si="8"/>
        <v>0</v>
      </c>
      <c r="AE64" s="19">
        <f t="shared" si="8"/>
        <v>7.4520953065477019E-3</v>
      </c>
      <c r="AF64" s="19">
        <f t="shared" si="8"/>
        <v>0</v>
      </c>
      <c r="AG64" s="19">
        <f t="shared" si="8"/>
        <v>7.4520953065477019E-3</v>
      </c>
      <c r="AH64" s="19">
        <f t="shared" si="8"/>
        <v>0</v>
      </c>
      <c r="AI64" s="19">
        <f t="shared" si="1"/>
        <v>7.4520953065477019E-3</v>
      </c>
      <c r="AJ64" s="19">
        <f t="shared" si="1"/>
        <v>0</v>
      </c>
    </row>
    <row r="65" spans="8:36"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>
        <f t="shared" si="7"/>
        <v>6.3502567302588788E-3</v>
      </c>
      <c r="W65" s="19">
        <f t="shared" si="7"/>
        <v>0</v>
      </c>
      <c r="X65" s="19">
        <f t="shared" si="7"/>
        <v>6.3502567302588788E-3</v>
      </c>
      <c r="Y65" s="19">
        <f t="shared" si="7"/>
        <v>0</v>
      </c>
      <c r="Z65" s="19">
        <f t="shared" si="8"/>
        <v>6.3502567302588788E-3</v>
      </c>
      <c r="AA65" s="19">
        <f t="shared" si="8"/>
        <v>0</v>
      </c>
      <c r="AB65" s="19">
        <f t="shared" si="8"/>
        <v>6.3502567302588788E-3</v>
      </c>
      <c r="AC65" s="19">
        <f t="shared" si="8"/>
        <v>0</v>
      </c>
      <c r="AD65" s="19">
        <f t="shared" si="8"/>
        <v>6.3502567302588788E-3</v>
      </c>
      <c r="AE65" s="19">
        <f t="shared" si="8"/>
        <v>0</v>
      </c>
      <c r="AF65" s="19">
        <f t="shared" si="8"/>
        <v>6.3502567302588788E-3</v>
      </c>
      <c r="AG65" s="19">
        <f t="shared" si="8"/>
        <v>0</v>
      </c>
      <c r="AH65" s="19">
        <f t="shared" si="8"/>
        <v>6.3502567302588788E-3</v>
      </c>
      <c r="AI65" s="19">
        <f t="shared" si="1"/>
        <v>0</v>
      </c>
      <c r="AJ65" s="19">
        <f t="shared" si="1"/>
        <v>6.3502567302588797E-3</v>
      </c>
    </row>
    <row r="66" spans="8:36"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>
        <f t="shared" si="7"/>
        <v>5.4113318310309855E-3</v>
      </c>
      <c r="X66" s="19">
        <f t="shared" si="7"/>
        <v>0</v>
      </c>
      <c r="Y66" s="19">
        <f t="shared" si="7"/>
        <v>5.4113318310309855E-3</v>
      </c>
      <c r="Z66" s="19">
        <f t="shared" si="8"/>
        <v>0</v>
      </c>
      <c r="AA66" s="19">
        <f t="shared" si="8"/>
        <v>5.4113318310309855E-3</v>
      </c>
      <c r="AB66" s="19">
        <f t="shared" si="8"/>
        <v>0</v>
      </c>
      <c r="AC66" s="19">
        <f t="shared" si="8"/>
        <v>5.4113318310309855E-3</v>
      </c>
      <c r="AD66" s="19">
        <f t="shared" si="8"/>
        <v>0</v>
      </c>
      <c r="AE66" s="19">
        <f t="shared" si="8"/>
        <v>5.4113318310309855E-3</v>
      </c>
      <c r="AF66" s="19">
        <f t="shared" si="8"/>
        <v>0</v>
      </c>
      <c r="AG66" s="19">
        <f t="shared" si="8"/>
        <v>5.4113318310309855E-3</v>
      </c>
      <c r="AH66" s="19">
        <f t="shared" si="8"/>
        <v>0</v>
      </c>
      <c r="AI66" s="19">
        <f t="shared" si="1"/>
        <v>5.4113318310309855E-3</v>
      </c>
      <c r="AJ66" s="19">
        <f t="shared" si="1"/>
        <v>0</v>
      </c>
    </row>
    <row r="67" spans="8:36"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>
        <f t="shared" si="7"/>
        <v>4.61123280984821E-3</v>
      </c>
      <c r="Y67" s="19">
        <f t="shared" ref="Y67:AJ79" si="9">X66*$B$10</f>
        <v>0</v>
      </c>
      <c r="Z67" s="19">
        <f t="shared" si="8"/>
        <v>4.61123280984821E-3</v>
      </c>
      <c r="AA67" s="19">
        <f t="shared" si="8"/>
        <v>0</v>
      </c>
      <c r="AB67" s="19">
        <f t="shared" si="8"/>
        <v>4.61123280984821E-3</v>
      </c>
      <c r="AC67" s="19">
        <f t="shared" si="8"/>
        <v>0</v>
      </c>
      <c r="AD67" s="19">
        <f t="shared" si="8"/>
        <v>4.61123280984821E-3</v>
      </c>
      <c r="AE67" s="19">
        <f t="shared" si="8"/>
        <v>0</v>
      </c>
      <c r="AF67" s="19">
        <f t="shared" si="8"/>
        <v>4.61123280984821E-3</v>
      </c>
      <c r="AG67" s="19">
        <f t="shared" si="8"/>
        <v>0</v>
      </c>
      <c r="AH67" s="19">
        <f t="shared" si="8"/>
        <v>4.61123280984821E-3</v>
      </c>
      <c r="AI67" s="19">
        <f t="shared" si="1"/>
        <v>0</v>
      </c>
      <c r="AJ67" s="19">
        <f t="shared" si="1"/>
        <v>4.61123280984821E-3</v>
      </c>
    </row>
    <row r="68" spans="8:36"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>
        <f t="shared" si="9"/>
        <v>3.9294333983893627E-3</v>
      </c>
      <c r="Z68" s="19">
        <f t="shared" si="9"/>
        <v>0</v>
      </c>
      <c r="AA68" s="19">
        <f t="shared" si="9"/>
        <v>3.9294333983893627E-3</v>
      </c>
      <c r="AB68" s="19">
        <f t="shared" si="8"/>
        <v>0</v>
      </c>
      <c r="AC68" s="19">
        <f t="shared" si="8"/>
        <v>3.9294333983893627E-3</v>
      </c>
      <c r="AD68" s="19">
        <f t="shared" si="8"/>
        <v>0</v>
      </c>
      <c r="AE68" s="19">
        <f t="shared" si="8"/>
        <v>3.9294333983893627E-3</v>
      </c>
      <c r="AF68" s="19">
        <f t="shared" si="8"/>
        <v>0</v>
      </c>
      <c r="AG68" s="19">
        <f t="shared" si="8"/>
        <v>3.9294333983893627E-3</v>
      </c>
      <c r="AH68" s="19">
        <f t="shared" si="8"/>
        <v>0</v>
      </c>
      <c r="AI68" s="19">
        <f t="shared" si="1"/>
        <v>3.9294333983893627E-3</v>
      </c>
      <c r="AJ68" s="19">
        <f t="shared" si="1"/>
        <v>0</v>
      </c>
    </row>
    <row r="69" spans="8:36"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>
        <f t="shared" si="9"/>
        <v>3.3484422645938877E-3</v>
      </c>
      <c r="AA69" s="19">
        <f t="shared" si="9"/>
        <v>0</v>
      </c>
      <c r="AB69" s="19">
        <f t="shared" si="9"/>
        <v>3.3484422645938877E-3</v>
      </c>
      <c r="AC69" s="19">
        <f t="shared" si="9"/>
        <v>0</v>
      </c>
      <c r="AD69" s="19">
        <f t="shared" si="9"/>
        <v>3.3484422645938877E-3</v>
      </c>
      <c r="AE69" s="19">
        <f t="shared" si="9"/>
        <v>0</v>
      </c>
      <c r="AF69" s="19">
        <f t="shared" si="9"/>
        <v>3.3484422645938877E-3</v>
      </c>
      <c r="AG69" s="19">
        <f t="shared" ref="AG69:AH77" si="10">AF68*$B$10</f>
        <v>0</v>
      </c>
      <c r="AH69" s="19">
        <f t="shared" si="10"/>
        <v>3.3484422645938877E-3</v>
      </c>
      <c r="AI69" s="19">
        <f t="shared" si="9"/>
        <v>0</v>
      </c>
      <c r="AJ69" s="19">
        <f t="shared" si="9"/>
        <v>3.3484422645938877E-3</v>
      </c>
    </row>
    <row r="70" spans="8:36"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>
        <f t="shared" si="9"/>
        <v>2.8533542784856367E-3</v>
      </c>
      <c r="AB70" s="19">
        <f t="shared" si="9"/>
        <v>0</v>
      </c>
      <c r="AC70" s="19">
        <f t="shared" si="9"/>
        <v>2.8533542784856367E-3</v>
      </c>
      <c r="AD70" s="19">
        <f t="shared" si="9"/>
        <v>0</v>
      </c>
      <c r="AE70" s="19">
        <f t="shared" si="9"/>
        <v>2.8533542784856367E-3</v>
      </c>
      <c r="AF70" s="19">
        <f t="shared" si="9"/>
        <v>0</v>
      </c>
      <c r="AG70" s="19">
        <f t="shared" si="10"/>
        <v>2.8533542784856367E-3</v>
      </c>
      <c r="AH70" s="19">
        <f t="shared" si="10"/>
        <v>0</v>
      </c>
      <c r="AI70" s="19">
        <f t="shared" si="9"/>
        <v>2.8533542784856367E-3</v>
      </c>
      <c r="AJ70" s="19">
        <f t="shared" si="9"/>
        <v>0</v>
      </c>
    </row>
    <row r="71" spans="8:36"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>
        <f t="shared" si="9"/>
        <v>2.4314681261317006E-3</v>
      </c>
      <c r="AC71" s="19">
        <f t="shared" si="9"/>
        <v>0</v>
      </c>
      <c r="AD71" s="19">
        <f t="shared" si="9"/>
        <v>2.4314681261317006E-3</v>
      </c>
      <c r="AE71" s="19">
        <f t="shared" si="9"/>
        <v>0</v>
      </c>
      <c r="AF71" s="19">
        <f t="shared" si="9"/>
        <v>2.4314681261317006E-3</v>
      </c>
      <c r="AG71" s="19">
        <f t="shared" si="10"/>
        <v>0</v>
      </c>
      <c r="AH71" s="19">
        <f t="shared" si="10"/>
        <v>2.4314681261317006E-3</v>
      </c>
      <c r="AI71" s="19">
        <f t="shared" si="9"/>
        <v>0</v>
      </c>
      <c r="AJ71" s="19">
        <f t="shared" si="9"/>
        <v>2.4314681261317006E-3</v>
      </c>
    </row>
    <row r="72" spans="8:36"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>
        <f t="shared" si="9"/>
        <v>2.0719604617524413E-3</v>
      </c>
      <c r="AD72" s="19">
        <f t="shared" si="9"/>
        <v>0</v>
      </c>
      <c r="AE72" s="19">
        <f t="shared" si="9"/>
        <v>2.0719604617524413E-3</v>
      </c>
      <c r="AF72" s="19">
        <f t="shared" si="9"/>
        <v>0</v>
      </c>
      <c r="AG72" s="19">
        <f t="shared" si="10"/>
        <v>2.0719604617524413E-3</v>
      </c>
      <c r="AH72" s="19">
        <f t="shared" si="10"/>
        <v>0</v>
      </c>
      <c r="AI72" s="19">
        <f t="shared" si="9"/>
        <v>2.0719604617524413E-3</v>
      </c>
      <c r="AJ72" s="19">
        <f t="shared" si="9"/>
        <v>0</v>
      </c>
    </row>
    <row r="73" spans="8:36"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>
        <f t="shared" si="9"/>
        <v>1.7656082384659062E-3</v>
      </c>
      <c r="AE73" s="19">
        <f t="shared" si="9"/>
        <v>0</v>
      </c>
      <c r="AF73" s="19">
        <f t="shared" si="9"/>
        <v>1.7656082384659062E-3</v>
      </c>
      <c r="AG73" s="19">
        <f t="shared" si="10"/>
        <v>0</v>
      </c>
      <c r="AH73" s="19">
        <f t="shared" si="10"/>
        <v>1.7656082384659062E-3</v>
      </c>
      <c r="AI73" s="19">
        <f t="shared" si="9"/>
        <v>0</v>
      </c>
      <c r="AJ73" s="19">
        <f t="shared" si="9"/>
        <v>1.7656082384659062E-3</v>
      </c>
    </row>
    <row r="74" spans="8:36"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>
        <f t="shared" si="9"/>
        <v>1.5045520941562953E-3</v>
      </c>
      <c r="AF74" s="19">
        <f t="shared" si="9"/>
        <v>0</v>
      </c>
      <c r="AG74" s="19">
        <f t="shared" si="10"/>
        <v>1.5045520941562953E-3</v>
      </c>
      <c r="AH74" s="19">
        <f t="shared" si="10"/>
        <v>0</v>
      </c>
      <c r="AI74" s="19">
        <f t="shared" si="9"/>
        <v>1.5045520941562953E-3</v>
      </c>
      <c r="AJ74" s="19">
        <f t="shared" si="9"/>
        <v>0</v>
      </c>
    </row>
    <row r="75" spans="8:36"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>
        <f t="shared" si="9"/>
        <v>1.2820947222113935E-3</v>
      </c>
      <c r="AG75" s="19">
        <f t="shared" si="10"/>
        <v>0</v>
      </c>
      <c r="AH75" s="19">
        <f t="shared" si="10"/>
        <v>1.2820947222113935E-3</v>
      </c>
      <c r="AI75" s="19">
        <f t="shared" si="9"/>
        <v>0</v>
      </c>
      <c r="AJ75" s="19">
        <f t="shared" si="9"/>
        <v>1.2820947222113935E-3</v>
      </c>
    </row>
    <row r="76" spans="8:36"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>
        <f t="shared" si="10"/>
        <v>1.0925290543987991E-3</v>
      </c>
      <c r="AH76" s="19">
        <f t="shared" si="10"/>
        <v>0</v>
      </c>
      <c r="AI76" s="19">
        <f t="shared" si="9"/>
        <v>1.0925290543987991E-3</v>
      </c>
      <c r="AJ76" s="19">
        <f t="shared" si="9"/>
        <v>0</v>
      </c>
    </row>
    <row r="77" spans="8:36"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>
        <f t="shared" si="10"/>
        <v>9.3099184797106472E-4</v>
      </c>
      <c r="AI77" s="19">
        <f t="shared" si="9"/>
        <v>0</v>
      </c>
      <c r="AJ77" s="19">
        <f t="shared" si="9"/>
        <v>9.3099184797106472E-4</v>
      </c>
    </row>
    <row r="78" spans="8:36"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>
        <f t="shared" si="9"/>
        <v>7.9333892082671814E-4</v>
      </c>
      <c r="AJ78" s="19">
        <f t="shared" si="9"/>
        <v>0</v>
      </c>
    </row>
    <row r="79" spans="8:36"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>
        <f t="shared" si="9"/>
        <v>6.7603883392764472E-4</v>
      </c>
    </row>
    <row r="80" spans="8:36"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</row>
    <row r="81" spans="9:36"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9:36"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</row>
    <row r="83" spans="9:36"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</row>
    <row r="84" spans="9:36"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9:36"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</row>
    <row r="86" spans="9:36"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</row>
    <row r="87" spans="9:36"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9:36"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9:36"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</row>
    <row r="90" spans="9:36"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9:36"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</row>
    <row r="92" spans="9:36"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</row>
    <row r="93" spans="9:36"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9:36"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</row>
    <row r="95" spans="9:36"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</row>
    <row r="96" spans="9:36"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</row>
    <row r="97" spans="1:36"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</row>
    <row r="98" spans="1:36"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</row>
    <row r="100" spans="1:36"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</row>
    <row r="102" spans="1:36"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</row>
    <row r="103" spans="1:36"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 spans="1:36"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</row>
    <row r="106" spans="1:36"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 spans="1:36"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</row>
    <row r="108" spans="1:36"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</row>
    <row r="109" spans="1:36"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</row>
    <row r="110" spans="1:36"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  <row r="111" spans="1:36">
      <c r="A111" s="17"/>
      <c r="B111" s="17"/>
      <c r="C111" s="17"/>
      <c r="D111" s="17"/>
      <c r="E111" s="17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>
        <v>109</v>
      </c>
    </row>
    <row r="112" spans="1:36">
      <c r="A112" s="17"/>
      <c r="B112" s="17"/>
      <c r="C112" s="17"/>
      <c r="D112" s="17"/>
      <c r="E112" s="17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>
        <f t="shared" ref="AI112" si="11">(1/(1+AI22))*(0.5*($B$4*$B$5+AJ111)+0.5*($B$4*$B$5+AJ113))</f>
        <v>16.442722620131498</v>
      </c>
      <c r="AJ112" s="19">
        <v>109</v>
      </c>
    </row>
    <row r="113" spans="1:36">
      <c r="A113" s="17"/>
      <c r="B113" s="17"/>
      <c r="C113" s="17"/>
      <c r="D113" s="17"/>
      <c r="E113" s="17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>
        <f t="shared" ref="AH113" si="12">(1/(1+AH23))*(0.5*($B$4*$B$5+AI112)+0.5*($B$4*$B$5+AI114))</f>
        <v>4.4670359488501488</v>
      </c>
      <c r="AI113" s="19"/>
      <c r="AJ113" s="19">
        <v>109</v>
      </c>
    </row>
    <row r="114" spans="1:36">
      <c r="A114" s="17"/>
      <c r="B114" s="17"/>
      <c r="C114" s="17"/>
      <c r="D114" s="17"/>
      <c r="E114" s="17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>
        <f t="shared" ref="AG114" si="13">(1/(1+AG24))*(0.5*($B$4*$B$5+AH113)+0.5*($B$4*$B$5+AH115))</f>
        <v>2.6835679672249091</v>
      </c>
      <c r="AH114" s="19"/>
      <c r="AI114" s="19">
        <f t="shared" ref="AI114" si="14">(1/(1+AI24))*(0.5*($B$4*$B$5+AJ113)+0.5*($B$4*$B$5+AJ115))</f>
        <v>21.513192051096663</v>
      </c>
      <c r="AJ114" s="19">
        <v>109</v>
      </c>
    </row>
    <row r="115" spans="1:36">
      <c r="A115" s="17"/>
      <c r="B115" s="17"/>
      <c r="C115" s="17"/>
      <c r="D115" s="17"/>
      <c r="E115" s="17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>
        <f t="shared" ref="AF115" si="15">(1/(1+AF25))*(0.5*($B$4*$B$5+AG114)+0.5*($B$4*$B$5+AG116))</f>
        <v>2.5792401718014526</v>
      </c>
      <c r="AG115" s="19"/>
      <c r="AH115" s="19">
        <f t="shared" ref="AH115" si="16">(1/(1+AH25))*(0.5*($B$4*$B$5+AI114)+0.5*($B$4*$B$5+AI116))</f>
        <v>6.9717399780720521</v>
      </c>
      <c r="AI115" s="19"/>
      <c r="AJ115" s="19">
        <v>109</v>
      </c>
    </row>
    <row r="116" spans="1:36">
      <c r="A116" s="17"/>
      <c r="B116" s="17"/>
      <c r="C116" s="17"/>
      <c r="D116" s="17"/>
      <c r="E116" s="17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>
        <f t="shared" ref="AE116" si="17">(1/(1+AE26))*(0.5*($B$4*$B$5+AF115)+0.5*($B$4*$B$5+AF117))</f>
        <v>2.8657574246235531</v>
      </c>
      <c r="AF116" s="19"/>
      <c r="AG116" s="19">
        <f t="shared" ref="AG116" si="18">(1/(1+AG26))*(0.5*($B$4*$B$5+AH115)+0.5*($B$4*$B$5+AH117))</f>
        <v>4.1899562383920088</v>
      </c>
      <c r="AH116" s="19"/>
      <c r="AI116" s="19">
        <f>(1/(1+AI26))*(0.5*($B$4*$B$5+AJ115)+0.5*($B$4*$B$5+AJ117))</f>
        <v>27.720462649126198</v>
      </c>
      <c r="AJ116" s="19">
        <v>109</v>
      </c>
    </row>
    <row r="117" spans="1:36">
      <c r="A117" s="17"/>
      <c r="B117" s="17"/>
      <c r="C117" s="17"/>
      <c r="D117" s="17"/>
      <c r="E117" s="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>
        <f t="shared" ref="AD117" si="19">(1/(1+AD27))*(0.5*($B$4*$B$5+AE116)+0.5*($B$4*$B$5+AE118))</f>
        <v>3.3076025591479006</v>
      </c>
      <c r="AE117" s="19"/>
      <c r="AF117" s="19">
        <f t="shared" ref="AF117" si="20">(1/(1+AF27))*(0.5*($B$4*$B$5+AG116)+0.5*($B$4*$B$5+AG118))</f>
        <v>3.8185760108399807</v>
      </c>
      <c r="AG117" s="19"/>
      <c r="AH117" s="19">
        <f>(1/(1+AH27))*(0.5*($B$4*$B$5+AI116)+0.5*($B$4*$B$5+AI118))</f>
        <v>10.699730760951994</v>
      </c>
      <c r="AI117" s="19"/>
      <c r="AJ117" s="19">
        <v>109</v>
      </c>
    </row>
    <row r="118" spans="1:36">
      <c r="A118" s="17"/>
      <c r="B118" s="17"/>
      <c r="C118" s="17"/>
      <c r="D118" s="17"/>
      <c r="E118" s="17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>
        <f t="shared" ref="AC118" si="21">(1/(1+AC28))*(0.5*($B$4*$B$5+AD117)+0.5*($B$4*$B$5+AD119))</f>
        <v>3.8601775746990499</v>
      </c>
      <c r="AD118" s="19"/>
      <c r="AE118" s="19">
        <f t="shared" ref="AE118" si="22">(1/(1+AE28))*(0.5*($B$4*$B$5+AF117)+0.5*($B$4*$B$5+AF119))</f>
        <v>4.1082797230320942</v>
      </c>
      <c r="AF118" s="19"/>
      <c r="AG118" s="19">
        <f>(1/(1+AG28))*(0.5*($B$4*$B$5+AH117)+0.5*($B$4*$B$5+AH119))</f>
        <v>6.6421834883447577</v>
      </c>
      <c r="AH118" s="19"/>
      <c r="AI118" s="19">
        <f>(1/(1+AI28))*(0.5*($B$4*$B$5+AJ117)+0.5*($B$4*$B$5+AJ119))</f>
        <v>35.067802783456038</v>
      </c>
      <c r="AJ118" s="19">
        <v>109</v>
      </c>
    </row>
    <row r="119" spans="1:36">
      <c r="A119" s="17"/>
      <c r="B119" s="17"/>
      <c r="C119" s="17"/>
      <c r="D119" s="17"/>
      <c r="E119" s="17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>
        <f t="shared" ref="AB119" si="23">(1/(1+AB29))*(0.5*($B$4*$B$5+AC118)+0.5*($B$4*$B$5+AC120))</f>
        <v>4.5226225771399751</v>
      </c>
      <c r="AC119" s="19"/>
      <c r="AD119" s="19">
        <f t="shared" ref="AD119" si="24">(1/(1+AD29))*(0.5*($B$4*$B$5+AE118)+0.5*($B$4*$B$5+AE120))</f>
        <v>4.67069762847491</v>
      </c>
      <c r="AE119" s="19"/>
      <c r="AF119" s="19">
        <f>(1/(1+AF29))*(0.5*($B$4*$B$5+AG118)+0.5*($B$4*$B$5+AG120))</f>
        <v>5.8294069729408431</v>
      </c>
      <c r="AG119" s="19"/>
      <c r="AH119" s="19">
        <f>(1/(1+AH29))*(0.5*($B$4*$B$5+AI118)+0.5*($B$4*$B$5+AI120))</f>
        <v>16.000968422542027</v>
      </c>
      <c r="AI119" s="19"/>
      <c r="AJ119" s="19">
        <v>109</v>
      </c>
    </row>
    <row r="120" spans="1:36">
      <c r="A120" s="17"/>
      <c r="B120" s="17"/>
      <c r="C120" s="17"/>
      <c r="D120" s="17"/>
      <c r="E120" s="17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>
        <f t="shared" ref="AA120" si="25">(1/(1+AA30))*(0.5*($B$4*$B$5+AB119)+0.5*($B$4*$B$5+AB121))</f>
        <v>5.3077797522255077</v>
      </c>
      <c r="AB120" s="19"/>
      <c r="AC120" s="19">
        <f t="shared" ref="AC120" si="26">(1/(1+AC30))*(0.5*($B$4*$B$5+AD119)+0.5*($B$4*$B$5+AD121))</f>
        <v>5.4134378303086477</v>
      </c>
      <c r="AD120" s="19"/>
      <c r="AE120" s="19">
        <f>(1/(1+AE30))*(0.5*($B$4*$B$5+AF119)+0.5*($B$4*$B$5+AF121))</f>
        <v>6.0583003130723885</v>
      </c>
      <c r="AF120" s="19"/>
      <c r="AG120" s="19">
        <f>(1/(1+AG30))*(0.5*($B$4*$B$5+AH119)+0.5*($B$4*$B$5+AH121))</f>
        <v>10.511977865486461</v>
      </c>
      <c r="AH120" s="19"/>
      <c r="AI120" s="19">
        <f>(1/(1+AI30))*(0.5*($B$4*$B$5+AJ119)+0.5*($B$4*$B$5+AJ121))</f>
        <v>43.425824845329679</v>
      </c>
      <c r="AJ120" s="19">
        <v>109</v>
      </c>
    </row>
    <row r="121" spans="1:36">
      <c r="A121" s="17"/>
      <c r="B121" s="17"/>
      <c r="C121" s="17"/>
      <c r="D121" s="17"/>
      <c r="E121" s="17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>
        <f t="shared" ref="Z121" si="27">(1/(1+Z31))*(0.5*($B$4*$B$5+AA120)+0.5*($B$4*$B$5+AA122))</f>
        <v>6.2352987550983316</v>
      </c>
      <c r="AA121" s="19"/>
      <c r="AB121" s="19">
        <f t="shared" ref="AB121" si="28">(1/(1+AB31))*(0.5*($B$4*$B$5+AC120)+0.5*($B$4*$B$5+AC122))</f>
        <v>6.3227943144619614</v>
      </c>
      <c r="AC121" s="19"/>
      <c r="AD121" s="19">
        <f>(1/(1+AD31))*(0.5*($B$4*$B$5+AE120)+0.5*($B$4*$B$5+AE122))</f>
        <v>6.7489238180533482</v>
      </c>
      <c r="AE121" s="19"/>
      <c r="AF121" s="19">
        <f>(1/(1+AF31))*(0.5*($B$4*$B$5+AG120)+0.5*($B$4*$B$5+AG122))</f>
        <v>9.0947546055087116</v>
      </c>
      <c r="AG121" s="19"/>
      <c r="AH121" s="19">
        <f>(1/(1+AH31))*(0.5*($B$4*$B$5+AI120)+0.5*($B$4*$B$5+AI122))</f>
        <v>23.126945326725782</v>
      </c>
      <c r="AI121" s="19"/>
      <c r="AJ121" s="19">
        <v>109</v>
      </c>
    </row>
    <row r="122" spans="1:36">
      <c r="A122" s="17"/>
      <c r="B122" s="17"/>
      <c r="C122" s="17"/>
      <c r="D122" s="17"/>
      <c r="E122" s="17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>
        <f t="shared" ref="Y122" si="29">(1/(1+Y32))*(0.5*($B$4*$B$5+Z121)+0.5*($B$4*$B$5+Z123))</f>
        <v>7.3302353698326295</v>
      </c>
      <c r="Z122" s="19"/>
      <c r="AA122" s="19">
        <f t="shared" ref="AA122" si="30">(1/(1+AA32))*(0.5*($B$4*$B$5+AB121)+0.5*($B$4*$B$5+AB123))</f>
        <v>7.4118789546034112</v>
      </c>
      <c r="AB122" s="19"/>
      <c r="AC122" s="19">
        <f>(1/(1+AC32))*(0.5*($B$4*$B$5+AD121)+0.5*($B$4*$B$5+AD123))</f>
        <v>7.7372882283157338</v>
      </c>
      <c r="AD122" s="19"/>
      <c r="AE122" s="19">
        <f>(1/(1+AE32))*(0.5*($B$4*$B$5+AF121)+0.5*($B$4*$B$5+AF123))</f>
        <v>9.1918524818465848</v>
      </c>
      <c r="AF122" s="19"/>
      <c r="AG122" s="19">
        <f>(1/(1+AG32))*(0.5*($B$4*$B$5+AH121)+0.5*($B$4*$B$5+AH123))</f>
        <v>16.295459352360545</v>
      </c>
      <c r="AH122" s="19"/>
      <c r="AI122" s="19">
        <f>(1/(1+AI32))*(0.5*($B$4*$B$5+AJ121)+0.5*($B$4*$B$5+AJ123))</f>
        <v>52.514484235707144</v>
      </c>
      <c r="AJ122" s="19">
        <v>109</v>
      </c>
    </row>
    <row r="123" spans="1:36">
      <c r="A123" s="17"/>
      <c r="B123" s="17"/>
      <c r="C123" s="17"/>
      <c r="D123" s="17"/>
      <c r="E123" s="17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>
        <f t="shared" ref="X123" si="31">(1/(1+X33))*(0.5*($B$4*$B$5+Y122)+0.5*($B$4*$B$5+Y124))</f>
        <v>8.6232584780849333</v>
      </c>
      <c r="Y123" s="19"/>
      <c r="Z123" s="19">
        <f t="shared" ref="Z123" si="32">(1/(1+Z33))*(0.5*($B$4*$B$5+AA122)+0.5*($B$4*$B$5+AA124))</f>
        <v>8.7067661334345274</v>
      </c>
      <c r="AA123" s="19"/>
      <c r="AB123" s="19">
        <f>(1/(1+AB33))*(0.5*($B$4*$B$5+AC122)+0.5*($B$4*$B$5+AC124))</f>
        <v>8.9861767007581896</v>
      </c>
      <c r="AC123" s="19"/>
      <c r="AD123" s="19">
        <f>(1/(1+AD33))*(0.5*($B$4*$B$5+AE122)+0.5*($B$4*$B$5+AE124))</f>
        <v>10.022435902184123</v>
      </c>
      <c r="AE123" s="19"/>
      <c r="AF123" s="19">
        <f>(1/(1+AF33))*(0.5*($B$4*$B$5+AG122)+0.5*($B$4*$B$5+AG124))</f>
        <v>14.213414317548086</v>
      </c>
      <c r="AG123" s="19"/>
      <c r="AH123" s="19">
        <f t="shared" ref="AH123" si="33">(1/(1+AH33))*(0.5*($B$4*$B$5+AI122)+0.5*($B$4*$B$5+AI124))</f>
        <v>32.104820406625763</v>
      </c>
      <c r="AI123" s="19"/>
      <c r="AJ123" s="19">
        <v>109</v>
      </c>
    </row>
    <row r="124" spans="1:36">
      <c r="A124" s="17"/>
      <c r="B124" s="17"/>
      <c r="C124" s="17"/>
      <c r="D124" s="17"/>
      <c r="E124" s="17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>
        <f t="shared" ref="W124" si="34">(1/(1+W34))*(0.5*($B$4*$B$5+X123)+0.5*($B$4*$B$5+X125))</f>
        <v>10.151474905345413</v>
      </c>
      <c r="X124" s="19"/>
      <c r="Y124" s="19">
        <f t="shared" ref="Y124" si="35">(1/(1+Y34))*(0.5*($B$4*$B$5+Z123)+0.5*($B$4*$B$5+Z125))</f>
        <v>10.242819536177658</v>
      </c>
      <c r="Z124" s="19"/>
      <c r="AA124" s="19">
        <f>(1/(1+AA34))*(0.5*($B$4*$B$5+AB123)+0.5*($B$4*$B$5+AB125))</f>
        <v>10.5056654986439</v>
      </c>
      <c r="AB124" s="19"/>
      <c r="AC124" s="19">
        <f>(1/(1+AC34))*(0.5*($B$4*$B$5+AD123)+0.5*($B$4*$B$5+AD125))</f>
        <v>11.332893302665497</v>
      </c>
      <c r="AD124" s="19"/>
      <c r="AE124" s="19">
        <f>(1/(1+AE34))*(0.5*($B$4*$B$5+AF123)+0.5*($B$4*$B$5+AF125))</f>
        <v>14.153152256958718</v>
      </c>
      <c r="AF124" s="19"/>
      <c r="AG124" s="19">
        <f t="shared" ref="AG124" si="36">(1/(1+AG34))*(0.5*($B$4*$B$5+AH123)+0.5*($B$4*$B$5+AH125))</f>
        <v>24.338358618534659</v>
      </c>
      <c r="AH124" s="19"/>
      <c r="AI124" s="19">
        <f>(1/(1+AI34))*(0.5*($B$4*$B$5+AJ123)+0.5*($B$4*$B$5+AJ125))</f>
        <v>61.925769291997582</v>
      </c>
      <c r="AJ124" s="19">
        <v>109</v>
      </c>
    </row>
    <row r="125" spans="1:36">
      <c r="A125" s="17"/>
      <c r="B125" s="17"/>
      <c r="C125" s="17"/>
      <c r="D125" s="17"/>
      <c r="E125" s="17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>
        <f t="shared" ref="V125" si="37">(1/(1+V35))*(0.5*($B$4*$B$5+W124)+0.5*($B$4*$B$5+W126))</f>
        <v>11.959559887909696</v>
      </c>
      <c r="W125" s="19"/>
      <c r="X125" s="19">
        <f t="shared" ref="X125" si="38">(1/(1+X35))*(0.5*($B$4*$B$5+Y124)+0.5*($B$4*$B$5+Y126))</f>
        <v>12.06415881284746</v>
      </c>
      <c r="Y125" s="19"/>
      <c r="Z125" s="19">
        <f>(1/(1+Z35))*(0.5*($B$4*$B$5+AA124)+0.5*($B$4*$B$5+AA126))</f>
        <v>12.328766863170586</v>
      </c>
      <c r="AA125" s="19"/>
      <c r="AB125" s="19">
        <f>(1/(1+AB35))*(0.5*($B$4*$B$5+AC124)+0.5*($B$4*$B$5+AC126))</f>
        <v>13.051066050142198</v>
      </c>
      <c r="AC125" s="19"/>
      <c r="AD125" s="19">
        <f>(1/(1+AD35))*(0.5*($B$4*$B$5+AE124)+0.5*($B$4*$B$5+AE126))</f>
        <v>15.167383941922042</v>
      </c>
      <c r="AE125" s="19"/>
      <c r="AF125" s="19">
        <f t="shared" ref="AF125" si="39">(1/(1+AF35))*(0.5*($B$4*$B$5+AG124)+0.5*($B$4*$B$5+AG126))</f>
        <v>21.724453081281158</v>
      </c>
      <c r="AG125" s="19"/>
      <c r="AH125" s="19">
        <f t="shared" ref="AH125" si="40">(1/(1+AH35))*(0.5*($B$4*$B$5+AI124)+0.5*($B$4*$B$5+AI126))</f>
        <v>42.649015349378871</v>
      </c>
      <c r="AI125" s="19"/>
      <c r="AJ125" s="19">
        <v>109</v>
      </c>
    </row>
    <row r="126" spans="1:36">
      <c r="A126" s="17"/>
      <c r="B126" s="17"/>
      <c r="C126" s="17"/>
      <c r="D126" s="17"/>
      <c r="E126" s="17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>
        <f t="shared" ref="U126" si="41">(1/(1+U36))*(0.5*($B$4*$B$5+V125)+0.5*($B$4*$B$5+V127))</f>
        <v>14.101024501453306</v>
      </c>
      <c r="V126" s="19"/>
      <c r="W126" s="19">
        <f t="shared" ref="W126" si="42">(1/(1+W36))*(0.5*($B$4*$B$5+X125)+0.5*($B$4*$B$5+X127))</f>
        <v>14.224172201572483</v>
      </c>
      <c r="X126" s="19"/>
      <c r="Y126" s="19">
        <f>(1/(1+Y36))*(0.5*($B$4*$B$5+Z125)+0.5*($B$4*$B$5+Z127))</f>
        <v>14.503447156449788</v>
      </c>
      <c r="Z126" s="19"/>
      <c r="AA126" s="19">
        <f>(1/(1+AA36))*(0.5*($B$4*$B$5+AB125)+0.5*($B$4*$B$5+AB127))</f>
        <v>15.178172264092733</v>
      </c>
      <c r="AB126" s="19"/>
      <c r="AC126" s="19">
        <f>(1/(1+AC36))*(0.5*($B$4*$B$5+AD125)+0.5*($B$4*$B$5+AD127))</f>
        <v>16.910227221275854</v>
      </c>
      <c r="AD126" s="19"/>
      <c r="AE126" s="19">
        <f t="shared" ref="AE126" si="43">(1/(1+AE36))*(0.5*($B$4*$B$5+AF125)+0.5*($B$4*$B$5+AF127))</f>
        <v>21.588600406345872</v>
      </c>
      <c r="AF126" s="19"/>
      <c r="AG126" s="19">
        <f t="shared" ref="AG126" si="44">(1/(1+AG36))*(0.5*($B$4*$B$5+AH125)+0.5*($B$4*$B$5+AH127))</f>
        <v>34.636694476338612</v>
      </c>
      <c r="AH126" s="19"/>
      <c r="AI126" s="19">
        <f>(1/(1+AI36))*(0.5*($B$4*$B$5+AJ125)+0.5*($B$4*$B$5+AJ127))</f>
        <v>71.190128018725417</v>
      </c>
      <c r="AJ126" s="19">
        <v>109</v>
      </c>
    </row>
    <row r="127" spans="1:36">
      <c r="A127" s="17"/>
      <c r="B127" s="17"/>
      <c r="C127" s="17"/>
      <c r="D127" s="17"/>
      <c r="E127" s="17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>
        <f t="shared" ref="T127" si="45">(1/(1+T37))*(0.5*($B$4*$B$5+U126)+0.5*($B$4*$B$5+U128))</f>
        <v>16.639437533853492</v>
      </c>
      <c r="U127" s="19"/>
      <c r="V127" s="19">
        <f t="shared" ref="V127" si="46">(1/(1+V37))*(0.5*($B$4*$B$5+W126)+0.5*($B$4*$B$5+W128))</f>
        <v>16.786272363826729</v>
      </c>
      <c r="W127" s="19"/>
      <c r="X127" s="19">
        <f>(1/(1+X37))*(0.5*($B$4*$B$5+Y126)+0.5*($B$4*$B$5+Y128))</f>
        <v>17.089916239358175</v>
      </c>
      <c r="Y127" s="19"/>
      <c r="Z127" s="19">
        <f>(1/(1+Z37))*(0.5*($B$4*$B$5+AA126)+0.5*($B$4*$B$5+AA128))</f>
        <v>17.751123202792407</v>
      </c>
      <c r="AA127" s="19"/>
      <c r="AB127" s="19">
        <f>(1/(1+AB37))*(0.5*($B$4*$B$5+AC126)+0.5*($B$4*$B$5+AC128))</f>
        <v>19.265582536073083</v>
      </c>
      <c r="AC127" s="19"/>
      <c r="AD127" s="19">
        <f t="shared" ref="AD127" si="47">(1/(1+AD37))*(0.5*($B$4*$B$5+AE126)+0.5*($B$4*$B$5+AE128))</f>
        <v>22.891141801582485</v>
      </c>
      <c r="AE127" s="19"/>
      <c r="AF127" s="19">
        <f t="shared" ref="AF127" si="48">(1/(1+AF37))*(0.5*($B$4*$B$5+AG126)+0.5*($B$4*$B$5+AG128))</f>
        <v>31.843190322274619</v>
      </c>
      <c r="AG127" s="19"/>
      <c r="AH127" s="19">
        <f>(1/(1+AH37))*(0.5*($B$4*$B$5+AI126)+0.5*($B$4*$B$5+AI128))</f>
        <v>54.173926031844708</v>
      </c>
      <c r="AI127" s="19"/>
      <c r="AJ127" s="19">
        <v>109</v>
      </c>
    </row>
    <row r="128" spans="1:36">
      <c r="A128" s="17"/>
      <c r="B128" s="17"/>
      <c r="C128" s="17"/>
      <c r="D128" s="17"/>
      <c r="E128" s="17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>
        <f>(1/(1+S38))*(0.5*($B$4*$B$5+T127)+0.5*($B$4*$B$5+T129))</f>
        <v>19.64935278831793</v>
      </c>
      <c r="T128" s="19"/>
      <c r="U128" s="19">
        <f t="shared" ref="U128" si="49">(1/(1+U38))*(0.5*($B$4*$B$5+V127)+0.5*($B$4*$B$5+V129))</f>
        <v>19.824431035008562</v>
      </c>
      <c r="V128" s="19"/>
      <c r="W128" s="19">
        <f>(1/(1+W38))*(0.5*($B$4*$B$5+X127)+0.5*($B$4*$B$5+X129))</f>
        <v>20.159499871323803</v>
      </c>
      <c r="X128" s="19"/>
      <c r="Y128" s="19">
        <f>(1/(1+Y38))*(0.5*($B$4*$B$5+Z127)+0.5*($B$4*$B$5+Z129))</f>
        <v>20.827783782288503</v>
      </c>
      <c r="Z128" s="19"/>
      <c r="AA128" s="19">
        <f>(1/(1+AA38))*(0.5*($B$4*$B$5+AB127)+0.5*($B$4*$B$5+AB129))</f>
        <v>22.216438083375603</v>
      </c>
      <c r="AB128" s="19"/>
      <c r="AC128" s="19">
        <f t="shared" ref="AC128" si="50">(1/(1+AC38))*(0.5*($B$4*$B$5+AD127)+0.5*($B$4*$B$5+AD129))</f>
        <v>25.210443764483397</v>
      </c>
      <c r="AD128" s="19"/>
      <c r="AE128" s="19">
        <f t="shared" ref="AE128" si="51">(1/(1+AE38))*(0.5*($B$4*$B$5+AF127)+0.5*($B$4*$B$5+AF129))</f>
        <v>31.846083811711466</v>
      </c>
      <c r="AF128" s="19"/>
      <c r="AG128" s="19">
        <f>(1/(1+AG38))*(0.5*($B$4*$B$5+AH127)+0.5*($B$4*$B$5+AH129))</f>
        <v>46.733981957544387</v>
      </c>
      <c r="AH128" s="19"/>
      <c r="AI128" s="19">
        <f>(1/(1+AI38))*(0.5*($B$4*$B$5+AJ127)+0.5*($B$4*$B$5+AJ129))</f>
        <v>79.866415009184763</v>
      </c>
      <c r="AJ128" s="19">
        <v>109</v>
      </c>
    </row>
    <row r="129" spans="1:36">
      <c r="A129" s="17"/>
      <c r="B129" s="17"/>
      <c r="C129" s="17"/>
      <c r="D129" s="17"/>
      <c r="E129" s="17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>
        <f t="shared" ref="R129" si="52">(1/(1+R39))*(0.5*($B$4*$B$5+S128)+0.5*($B$4*$B$5+S130))</f>
        <v>23.216621676391267</v>
      </c>
      <c r="S129" s="19"/>
      <c r="T129" s="19">
        <f t="shared" ref="T129" si="53">(1/(1+T39))*(0.5*($B$4*$B$5+U128)+0.5*($B$4*$B$5+U130))</f>
        <v>23.423106747240642</v>
      </c>
      <c r="U129" s="19"/>
      <c r="V129" s="19">
        <f>(1/(1+V39))*(0.5*($B$4*$B$5+W128)+0.5*($B$4*$B$5+W130))</f>
        <v>23.793616613586092</v>
      </c>
      <c r="W129" s="19"/>
      <c r="X129" s="19">
        <f>(1/(1+X39))*(0.5*($B$4*$B$5+Y128)+0.5*($B$4*$B$5+Y130))</f>
        <v>24.480079097045508</v>
      </c>
      <c r="Y129" s="19"/>
      <c r="Z129" s="19">
        <f>(1/(1+Z39))*(0.5*($B$4*$B$5+AA128)+0.5*($B$4*$B$5+AA130))</f>
        <v>25.793607107874632</v>
      </c>
      <c r="AA129" s="19"/>
      <c r="AB129" s="19">
        <f t="shared" ref="AB129" si="54">(1/(1+AB39))*(0.5*($B$4*$B$5+AC128)+0.5*($B$4*$B$5+AC130))</f>
        <v>28.382529840996558</v>
      </c>
      <c r="AC129" s="19"/>
      <c r="AD129" s="19">
        <f t="shared" ref="AD129" si="55">(1/(1+AD39))*(0.5*($B$4*$B$5+AE128)+0.5*($B$4*$B$5+AE130))</f>
        <v>33.604060314774692</v>
      </c>
      <c r="AE129" s="19"/>
      <c r="AF129" s="19">
        <f>(1/(1+AF39))*(0.5*($B$4*$B$5+AG128)+0.5*($B$4*$B$5+AG130))</f>
        <v>44.259891413641434</v>
      </c>
      <c r="AG129" s="19"/>
      <c r="AH129" s="19">
        <f t="shared" ref="AH129" si="56">(1/(1+AH39))*(0.5*($B$4*$B$5+AI128)+0.5*($B$4*$B$5+AI130))</f>
        <v>65.921914888423188</v>
      </c>
      <c r="AI129" s="19"/>
      <c r="AJ129" s="19">
        <v>109</v>
      </c>
    </row>
    <row r="130" spans="1:36">
      <c r="A130" s="17"/>
      <c r="B130" s="17"/>
      <c r="C130" s="17"/>
      <c r="D130" s="17"/>
      <c r="E130" s="17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>
        <f t="shared" ref="Q130" si="57">(1/(1+Q40))*(0.5*($B$4*$B$5+R129)+0.5*($B$4*$B$5+R131))</f>
        <v>27.437733731450358</v>
      </c>
      <c r="R130" s="19"/>
      <c r="S130" s="19">
        <f t="shared" ref="S130" si="58">(1/(1+S40))*(0.5*($B$4*$B$5+T129)+0.5*($B$4*$B$5+T131))</f>
        <v>27.676212964962229</v>
      </c>
      <c r="T130" s="19"/>
      <c r="U130" s="19">
        <f>(1/(1+U40))*(0.5*($B$4*$B$5+V129)+0.5*($B$4*$B$5+V131))</f>
        <v>28.082130276577061</v>
      </c>
      <c r="V130" s="19"/>
      <c r="W130" s="19">
        <f>(1/(1+W40))*(0.5*($B$4*$B$5+X129)+0.5*($B$4*$B$5+X131))</f>
        <v>28.789580329252519</v>
      </c>
      <c r="X130" s="19"/>
      <c r="Y130" s="19">
        <f>(1/(1+Y40))*(0.5*($B$4*$B$5+Z129)+0.5*($B$4*$B$5+Z131))</f>
        <v>30.052824214426593</v>
      </c>
      <c r="Z130" s="19"/>
      <c r="AA130" s="19">
        <f t="shared" ref="AA130" si="59">(1/(1+AA40))*(0.5*($B$4*$B$5+AB129)+0.5*($B$4*$B$5+AB131))</f>
        <v>32.36009784102113</v>
      </c>
      <c r="AB130" s="19"/>
      <c r="AC130" s="19">
        <f t="shared" ref="AC130" si="60">(1/(1+AC40))*(0.5*($B$4*$B$5+AD129)+0.5*($B$4*$B$5+AD131))</f>
        <v>36.650650808887548</v>
      </c>
      <c r="AD130" s="19"/>
      <c r="AE130" s="19">
        <f>(1/(1+AE40))*(0.5*($B$4*$B$5+AF129)+0.5*($B$4*$B$5+AF131))</f>
        <v>44.707046366667853</v>
      </c>
      <c r="AF130" s="19"/>
      <c r="AG130" s="19">
        <f t="shared" ref="AG130" si="61">(1/(1+AG40))*(0.5*($B$4*$B$5+AH129)+0.5*($B$4*$B$5+AH131))</f>
        <v>59.801899579217164</v>
      </c>
      <c r="AH130" s="19"/>
      <c r="AI130" s="19">
        <f>(1/(1+AI40))*(0.5*($B$4*$B$5+AJ129)+0.5*($B$4*$B$5+AJ131))</f>
        <v>87.620795216795059</v>
      </c>
      <c r="AJ130" s="19">
        <v>109</v>
      </c>
    </row>
    <row r="131" spans="1:36">
      <c r="A131" s="17"/>
      <c r="B131" s="17"/>
      <c r="C131" s="17"/>
      <c r="D131" s="17"/>
      <c r="E131" s="17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>
        <f t="shared" ref="P131" si="62">(1/(1+P41))*(0.5*($B$4*$B$5+Q130)+0.5*($B$4*$B$5+Q132))</f>
        <v>32.417857935348039</v>
      </c>
      <c r="Q131" s="19"/>
      <c r="R131" s="19">
        <f t="shared" ref="R131" si="63">(1/(1+R41))*(0.5*($B$4*$B$5+S130)+0.5*($B$4*$B$5+S132))</f>
        <v>32.684843661840503</v>
      </c>
      <c r="S131" s="19"/>
      <c r="T131" s="19">
        <f>(1/(1+T41))*(0.5*($B$4*$B$5+U130)+0.5*($B$4*$B$5+U132))</f>
        <v>33.120684410672958</v>
      </c>
      <c r="U131" s="19"/>
      <c r="V131" s="19">
        <f>(1/(1+V41))*(0.5*($B$4*$B$5+W130)+0.5*($B$4*$B$5+W132))</f>
        <v>33.843482192404387</v>
      </c>
      <c r="W131" s="19"/>
      <c r="X131" s="19">
        <f>(1/(1+X41))*(0.5*($B$4*$B$5+Y130)+0.5*($B$4*$B$5+Y132))</f>
        <v>35.062483041231708</v>
      </c>
      <c r="Y131" s="19"/>
      <c r="Z131" s="19">
        <f t="shared" ref="Z131" si="64">(1/(1+Z41))*(0.5*($B$4*$B$5+AA130)+0.5*($B$4*$B$5+AA132))</f>
        <v>37.151407109996782</v>
      </c>
      <c r="AA131" s="19"/>
      <c r="AB131" s="19">
        <f t="shared" ref="AB131" si="65">(1/(1+AB41))*(0.5*($B$4*$B$5+AC130)+0.5*($B$4*$B$5+AC132))</f>
        <v>40.776951781890354</v>
      </c>
      <c r="AC131" s="19"/>
      <c r="AD131" s="19">
        <f>(1/(1+AD41))*(0.5*($B$4*$B$5+AE130)+0.5*($B$4*$B$5+AE132))</f>
        <v>47.111701959424849</v>
      </c>
      <c r="AE131" s="19"/>
      <c r="AF131" s="19">
        <f t="shared" ref="AF131" si="66">(1/(1+AF41))*(0.5*($B$4*$B$5+AG130)+0.5*($B$4*$B$5+AG132))</f>
        <v>58.155164355120128</v>
      </c>
      <c r="AG131" s="19"/>
      <c r="AH131" s="19">
        <f>(1/(1+AH41))*(0.5*($B$4*$B$5+AI130)+0.5*($B$4*$B$5+AI132))</f>
        <v>77.149988941890825</v>
      </c>
      <c r="AI131" s="19"/>
      <c r="AJ131" s="19">
        <v>109</v>
      </c>
    </row>
    <row r="132" spans="1:36">
      <c r="A132" s="17"/>
      <c r="B132" s="17"/>
      <c r="C132" s="17"/>
      <c r="D132" s="17"/>
      <c r="E132" s="17"/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f t="shared" ref="O132" si="67">(1/(1+O42))*(0.5*($B$4*$B$5+P131)+0.5*($B$4*$B$5+P133))</f>
        <v>38.267375577334043</v>
      </c>
      <c r="P132" s="19"/>
      <c r="Q132" s="19">
        <f t="shared" ref="Q132" si="68">(1/(1+Q42))*(0.5*($B$4*$B$5+R131)+0.5*($B$4*$B$5+R133))</f>
        <v>38.553610572965425</v>
      </c>
      <c r="R132" s="19"/>
      <c r="S132" s="19">
        <f t="shared" ref="S132" si="69">(1/(1+S42))*(0.5*($B$4*$B$5+T131)+0.5*($B$4*$B$5+T133))</f>
        <v>39.0068639678991</v>
      </c>
      <c r="T132" s="19"/>
      <c r="U132" s="19">
        <f>(1/(1+U42))*(0.5*($B$4*$B$5+V131)+0.5*($B$4*$B$5+V133))</f>
        <v>39.730165325515522</v>
      </c>
      <c r="V132" s="19"/>
      <c r="W132" s="19">
        <f>(1/(1+W42))*(0.5*($B$4*$B$5+X131)+0.5*($B$4*$B$5+X133))</f>
        <v>40.895410176647253</v>
      </c>
      <c r="X132" s="19"/>
      <c r="Y132" s="19">
        <f t="shared" ref="Y132" si="70">(1/(1+Y42))*(0.5*($B$4*$B$5+Z131)+0.5*($B$4*$B$5+Z133))</f>
        <v>42.790472438826349</v>
      </c>
      <c r="Z132" s="19"/>
      <c r="AA132" s="19">
        <f t="shared" ref="AA132" si="71">(1/(1+AA42))*(0.5*($B$4*$B$5+AB131)+0.5*($B$4*$B$5+AB133))</f>
        <v>45.895386780830364</v>
      </c>
      <c r="AB132" s="19"/>
      <c r="AC132" s="19">
        <f>(1/(1+AC42))*(0.5*($B$4*$B$5+AD131)+0.5*($B$4*$B$5+AD133))</f>
        <v>50.998248129090442</v>
      </c>
      <c r="AD132" s="19"/>
      <c r="AE132" s="19">
        <f t="shared" ref="AE132" si="72">(1/(1+AE42))*(0.5*($B$4*$B$5+AF131)+0.5*($B$4*$B$5+AF133))</f>
        <v>59.354540427024467</v>
      </c>
      <c r="AF132" s="19"/>
      <c r="AG132" s="19">
        <f>(1/(1+AG42))*(0.5*($B$4*$B$5+AH131)+0.5*($B$4*$B$5+AH133))</f>
        <v>72.872165381279501</v>
      </c>
      <c r="AH132" s="19"/>
      <c r="AI132" s="19">
        <f>(1/(1+AI42))*(0.5*($B$4*$B$5+AJ131)+0.5*($B$4*$B$5+AJ133))</f>
        <v>94.266911652158257</v>
      </c>
      <c r="AJ132" s="19">
        <v>109</v>
      </c>
    </row>
    <row r="133" spans="1:36">
      <c r="A133" s="17"/>
      <c r="B133" s="17"/>
      <c r="C133" s="17"/>
      <c r="D133" s="17"/>
      <c r="E133" s="17"/>
      <c r="F133" s="19"/>
      <c r="G133" s="19"/>
      <c r="H133" s="19"/>
      <c r="I133" s="19"/>
      <c r="J133" s="19"/>
      <c r="K133" s="19"/>
      <c r="L133" s="19"/>
      <c r="M133" s="19"/>
      <c r="N133" s="19">
        <f t="shared" ref="N133" si="73">(1/(1+N43))*(0.5*($B$4*$B$5+O132)+0.5*($B$4*$B$5+O134))</f>
        <v>45.096897274517254</v>
      </c>
      <c r="O133" s="19"/>
      <c r="P133" s="19">
        <f t="shared" ref="P133" si="74">(1/(1+P43))*(0.5*($B$4*$B$5+Q132)+0.5*($B$4*$B$5+Q134))</f>
        <v>45.385648066580757</v>
      </c>
      <c r="Q133" s="19"/>
      <c r="R133" s="19">
        <f>(1/(1+R43))*(0.5*($B$4*$B$5+S132)+0.5*($B$4*$B$5+S134))</f>
        <v>45.83526011321009</v>
      </c>
      <c r="S133" s="19"/>
      <c r="T133" s="19">
        <f>(1/(1+T43))*(0.5*($B$4*$B$5+U132)+0.5*($B$4*$B$5+U134))</f>
        <v>46.534152637480453</v>
      </c>
      <c r="U133" s="19"/>
      <c r="V133" s="19">
        <f>(1/(1+V43))*(0.5*($B$4*$B$5+W132)+0.5*($B$4*$B$5+W134))</f>
        <v>47.622161186472454</v>
      </c>
      <c r="W133" s="19"/>
      <c r="X133" s="19">
        <f t="shared" ref="X133" si="75">(1/(1+X43))*(0.5*($B$4*$B$5+Y132)+0.5*($B$4*$B$5+Y134))</f>
        <v>49.320385268931965</v>
      </c>
      <c r="Y133" s="19"/>
      <c r="Z133" s="19">
        <f t="shared" ref="Z133" si="76">(1/(1+Z43))*(0.5*($B$4*$B$5+AA132)+0.5*($B$4*$B$5+AA134))</f>
        <v>51.975805594566346</v>
      </c>
      <c r="AA133" s="19"/>
      <c r="AB133" s="19">
        <f>(1/(1+AB43))*(0.5*($B$4*$B$5+AC132)+0.5*($B$4*$B$5+AC134))</f>
        <v>56.123505764052609</v>
      </c>
      <c r="AC133" s="19"/>
      <c r="AD133" s="19">
        <f t="shared" ref="AD133" si="77">(1/(1+AD43))*(0.5*($B$4*$B$5+AE132)+0.5*($B$4*$B$5+AE134))</f>
        <v>62.563919820529662</v>
      </c>
      <c r="AE133" s="19"/>
      <c r="AF133" s="19">
        <f>(1/(1+AF43))*(0.5*($B$4*$B$5+AG132)+0.5*($B$4*$B$5+AG134))</f>
        <v>72.440682217912993</v>
      </c>
      <c r="AG133" s="19"/>
      <c r="AH133" s="19">
        <f>(1/(1+AH43))*(0.5*($B$4*$B$5+AI132)+0.5*($B$4*$B$5+AI134))</f>
        <v>87.287631306467219</v>
      </c>
      <c r="AI133" s="19"/>
      <c r="AJ133" s="19">
        <v>109</v>
      </c>
    </row>
    <row r="134" spans="1:36">
      <c r="A134" s="17"/>
      <c r="B134" s="17"/>
      <c r="C134" s="17"/>
      <c r="D134" s="17"/>
      <c r="E134" s="17"/>
      <c r="F134" s="19"/>
      <c r="G134" s="19"/>
      <c r="H134" s="19"/>
      <c r="I134" s="19"/>
      <c r="J134" s="19"/>
      <c r="K134" s="19"/>
      <c r="L134" s="19"/>
      <c r="M134" s="19">
        <f t="shared" ref="M134" si="78">(1/(1+M44))*(0.5*($B$4*$B$5+N133)+0.5*($B$4*$B$5+N135))</f>
        <v>53.011011748235752</v>
      </c>
      <c r="N134" s="19"/>
      <c r="O134" s="19">
        <f t="shared" ref="O134" si="79">(1/(1+O44))*(0.5*($B$4*$B$5+P133)+0.5*($B$4*$B$5+P135))</f>
        <v>53.276577095119237</v>
      </c>
      <c r="P134" s="19"/>
      <c r="Q134" s="19">
        <f>(1/(1+Q44))*(0.5*($B$4*$B$5+R133)+0.5*($B$4*$B$5+R135))</f>
        <v>53.691740754641273</v>
      </c>
      <c r="R134" s="19"/>
      <c r="S134" s="19">
        <f>(1/(1+S44))*(0.5*($B$4*$B$5+T133)+0.5*($B$4*$B$5+T135))</f>
        <v>54.330630804901105</v>
      </c>
      <c r="T134" s="19"/>
      <c r="U134" s="19">
        <f>(1/(1+U44))*(0.5*($B$4*$B$5+V133)+0.5*($B$4*$B$5+V135))</f>
        <v>55.304995012517807</v>
      </c>
      <c r="V134" s="19"/>
      <c r="W134" s="19">
        <f t="shared" ref="W134" si="80">(1/(1+W44))*(0.5*($B$4*$B$5+X133)+0.5*($B$4*$B$5+X135))</f>
        <v>56.78260951981364</v>
      </c>
      <c r="X134" s="19"/>
      <c r="Y134" s="19">
        <f t="shared" ref="Y134" si="81">(1/(1+Y44))*(0.5*($B$4*$B$5+Z133)+0.5*($B$4*$B$5+Z135))</f>
        <v>59.012668712969891</v>
      </c>
      <c r="Z134" s="19"/>
      <c r="AA134" s="19">
        <f>(1/(1+AA44))*(0.5*($B$4*$B$5+AB133)+0.5*($B$4*$B$5+AB135))</f>
        <v>62.357981682748857</v>
      </c>
      <c r="AB134" s="19"/>
      <c r="AC134" s="19">
        <f t="shared" ref="AC134" si="82">(1/(1+AC44))*(0.5*($B$4*$B$5+AD133)+0.5*($B$4*$B$5+AD135))</f>
        <v>67.330214155244178</v>
      </c>
      <c r="AD134" s="19"/>
      <c r="AE134" s="19">
        <f>(1/(1+AE44))*(0.5*($B$4*$B$5+AF133)+0.5*($B$4*$B$5+AF135))</f>
        <v>74.618200183136025</v>
      </c>
      <c r="AF134" s="19"/>
      <c r="AG134" s="19">
        <f>(1/(1+AG44))*(0.5*($B$4*$B$5+AH133)+0.5*($B$4*$B$5+AH135))</f>
        <v>85.092017168444173</v>
      </c>
      <c r="AH134" s="19"/>
      <c r="AI134" s="19">
        <f>(1/(1+AI44))*(0.5*($B$4*$B$5+AJ133)+0.5*($B$4*$B$5+AJ135))</f>
        <v>99.761691879492403</v>
      </c>
      <c r="AJ134" s="19">
        <v>109</v>
      </c>
    </row>
    <row r="135" spans="1:36">
      <c r="A135" s="17"/>
      <c r="B135" s="17"/>
      <c r="C135" s="17"/>
      <c r="D135" s="17"/>
      <c r="E135" s="17"/>
      <c r="F135" s="19"/>
      <c r="G135" s="19"/>
      <c r="H135" s="19"/>
      <c r="I135" s="19"/>
      <c r="J135" s="19"/>
      <c r="K135" s="19"/>
      <c r="L135" s="19">
        <f t="shared" ref="L135" si="83">(1/(1+L45))*(0.5*($B$4*$B$5+M134)+0.5*($B$4*$B$5+M136))</f>
        <v>62.10126922967504</v>
      </c>
      <c r="M135" s="19"/>
      <c r="N135" s="19">
        <f t="shared" ref="N135" si="84">(1/(1+N45))*(0.5*($B$4*$B$5+O134)+0.5*($B$4*$B$5+O136))</f>
        <v>62.307940362918494</v>
      </c>
      <c r="O135" s="19"/>
      <c r="P135" s="19">
        <f>(1/(1+P45))*(0.5*($B$4*$B$5+Q134)+0.5*($B$4*$B$5+Q136))</f>
        <v>62.647420915810613</v>
      </c>
      <c r="Q135" s="19"/>
      <c r="R135" s="19">
        <f>(1/(1+R45))*(0.5*($B$4*$B$5+S134)+0.5*($B$4*$B$5+S136))</f>
        <v>63.179935593390745</v>
      </c>
      <c r="S135" s="19"/>
      <c r="T135" s="19">
        <f t="shared" ref="T135:U136" si="85">(1/(1+T45))*(0.5*($B$4*$B$5+U134)+0.5*($B$4*$B$5+U136))</f>
        <v>63.992425334403698</v>
      </c>
      <c r="U135" s="19"/>
      <c r="V135" s="19">
        <f t="shared" ref="V135" si="86">(1/(1+V45))*(0.5*($B$4*$B$5+W134)+0.5*($B$4*$B$5+W136))</f>
        <v>65.209409299725777</v>
      </c>
      <c r="W135" s="19"/>
      <c r="X135" s="19">
        <f t="shared" ref="X135" si="87">(1/(1+X45))*(0.5*($B$4*$B$5+Y134)+0.5*($B$4*$B$5+Y136))</f>
        <v>67.00668551554763</v>
      </c>
      <c r="Y135" s="19"/>
      <c r="Z135" s="19">
        <f>(1/(1+Z45))*(0.5*($B$4*$B$5+AA134)+0.5*($B$4*$B$5+AA136))</f>
        <v>69.626776858466485</v>
      </c>
      <c r="AA135" s="19"/>
      <c r="AB135" s="19">
        <f t="shared" ref="AB135" si="88">(1/(1+AB45))*(0.5*($B$4*$B$5+AC134)+0.5*($B$4*$B$5+AC136))</f>
        <v>73.392874520531706</v>
      </c>
      <c r="AC135" s="19"/>
      <c r="AD135" s="19">
        <f>(1/(1+AD45))*(0.5*($B$4*$B$5+AE134)+0.5*($B$4*$B$5+AE136))</f>
        <v>78.714960090929139</v>
      </c>
      <c r="AE135" s="19"/>
      <c r="AF135" s="19">
        <f>(1/(1+AF45))*(0.5*($B$4*$B$5+AG134)+0.5*($B$4*$B$5+AG136))</f>
        <v>86.078930786365802</v>
      </c>
      <c r="AG135" s="19"/>
      <c r="AH135" s="19">
        <f>(1/(1+AH45))*(0.5*($B$4*$B$5+AI134)+0.5*($B$4*$B$5+AI136))</f>
        <v>96.009235992161038</v>
      </c>
      <c r="AI135" s="19"/>
      <c r="AJ135" s="19">
        <v>109</v>
      </c>
    </row>
    <row r="136" spans="1:36">
      <c r="A136" s="17"/>
      <c r="B136" s="17"/>
      <c r="C136" s="17"/>
      <c r="D136" s="17"/>
      <c r="E136" s="17"/>
      <c r="F136" s="19"/>
      <c r="G136" s="19"/>
      <c r="H136" s="19"/>
      <c r="I136" s="19"/>
      <c r="J136" s="19"/>
      <c r="K136" s="19">
        <f t="shared" ref="K136" si="89">(1/(1+K46))*(0.5*($B$4*$B$5+L135)+0.5*($B$4*$B$5+L137))</f>
        <v>72.439098100539979</v>
      </c>
      <c r="L136" s="19"/>
      <c r="M136" s="19">
        <f t="shared" ref="M136" si="90">(1/(1+M46))*(0.5*($B$4*$B$5+N135)+0.5*($B$4*$B$5+N137))</f>
        <v>72.540775004590387</v>
      </c>
      <c r="N136" s="19"/>
      <c r="O136" s="19">
        <f>(1/(1+O46))*(0.5*($B$4*$B$5+P135)+0.5*($B$4*$B$5+P137))</f>
        <v>72.752945633401779</v>
      </c>
      <c r="P136" s="19"/>
      <c r="Q136" s="19">
        <f>(1/(1+Q46))*(0.5*($B$4*$B$5+R135)+0.5*($B$4*$B$5+R137))</f>
        <v>73.122516980748415</v>
      </c>
      <c r="R136" s="19"/>
      <c r="S136" s="19">
        <f t="shared" ref="S136" si="91">(1/(1+S46))*(0.5*($B$4*$B$5+T135)+0.5*($B$4*$B$5+T137))</f>
        <v>73.71457493504569</v>
      </c>
      <c r="T136" s="19"/>
      <c r="U136" s="19">
        <f t="shared" si="85"/>
        <v>74.618342293619548</v>
      </c>
      <c r="V136" s="19"/>
      <c r="W136" s="19">
        <f t="shared" ref="W136" si="92">(1/(1+W46))*(0.5*($B$4*$B$5+X135)+0.5*($B$4*$B$5+X137))</f>
        <v>75.953878384347917</v>
      </c>
      <c r="X136" s="19"/>
      <c r="Y136" s="19">
        <f>(1/(1+Y46))*(0.5*($B$4*$B$5+Z135)+0.5*($B$4*$B$5+Z137))</f>
        <v>77.878359271771842</v>
      </c>
      <c r="Z136" s="19"/>
      <c r="AA136" s="19">
        <f t="shared" ref="AA136" si="93">(1/(1+AA46))*(0.5*($B$4*$B$5+AB135)+0.5*($B$4*$B$5+AB137))</f>
        <v>80.589585860638238</v>
      </c>
      <c r="AB136" s="19"/>
      <c r="AC136" s="19">
        <f>(1/(1+AC46))*(0.5*($B$4*$B$5+AD135)+0.5*($B$4*$B$5+AD137))</f>
        <v>84.322973340540983</v>
      </c>
      <c r="AD136" s="19"/>
      <c r="AE136" s="19">
        <f>(1/(1+AE46))*(0.5*($B$4*$B$5+AF135)+0.5*($B$4*$B$5+AF137))</f>
        <v>89.33739115010421</v>
      </c>
      <c r="AF136" s="19"/>
      <c r="AG136" s="19">
        <f>(1/(1+AG46))*(0.5*($B$4*$B$5+AH135)+0.5*($B$4*$B$5+AH137))</f>
        <v>95.885950100717295</v>
      </c>
      <c r="AH136" s="19"/>
      <c r="AI136" s="19">
        <f>(1/(1+AI46))*(0.5*($B$4*$B$5+AJ135)+0.5*($B$4*$B$5+AJ137))</f>
        <v>104.1709278947682</v>
      </c>
      <c r="AJ136" s="19">
        <v>109</v>
      </c>
    </row>
    <row r="137" spans="1:36">
      <c r="A137" s="17"/>
      <c r="B137" s="17"/>
      <c r="C137" s="17"/>
      <c r="D137" s="17"/>
      <c r="E137" s="17"/>
      <c r="F137" s="19"/>
      <c r="G137" s="19"/>
      <c r="H137" s="19"/>
      <c r="I137" s="19"/>
      <c r="J137" s="19">
        <f>(1/(1+J47))*(0.5*($B$4*$B$5+K136)+0.5*($B$4*$B$5+K138))</f>
        <v>84.069440623404006</v>
      </c>
      <c r="K137" s="19"/>
      <c r="L137" s="19">
        <f t="shared" ref="L137" si="94">(1/(1+L47))*(0.5*($B$4*$B$5+M136)+0.5*($B$4*$B$5+M138))</f>
        <v>84.010037996052674</v>
      </c>
      <c r="M137" s="19"/>
      <c r="N137" s="19">
        <f>(1/(1+N47))*(0.5*($B$4*$B$5+O136)+0.5*($B$4*$B$5+O138))</f>
        <v>84.03371663352587</v>
      </c>
      <c r="O137" s="19"/>
      <c r="P137" s="19">
        <f>(1/(1+P47))*(0.5*($B$4*$B$5+Q136)+0.5*($B$4*$B$5+Q138))</f>
        <v>84.174910193953238</v>
      </c>
      <c r="Q137" s="19"/>
      <c r="R137" s="19">
        <f t="shared" ref="R137" si="95">(1/(1+R47))*(0.5*($B$4*$B$5+S136)+0.5*($B$4*$B$5+S138))</f>
        <v>84.479662110195861</v>
      </c>
      <c r="S137" s="19"/>
      <c r="T137" s="19">
        <f t="shared" ref="T137:U138" si="96">(1/(1+T47))*(0.5*($B$4*$B$5+U136)+0.5*($B$4*$B$5+U138))</f>
        <v>85.008484000344566</v>
      </c>
      <c r="U137" s="19"/>
      <c r="V137" s="19">
        <f t="shared" ref="V137" si="97">(1/(1+V47))*(0.5*($B$4*$B$5+W136)+0.5*($B$4*$B$5+W138))</f>
        <v>85.83899160425274</v>
      </c>
      <c r="W137" s="19"/>
      <c r="X137" s="19">
        <f>(1/(1+X47))*(0.5*($B$4*$B$5+Y136)+0.5*($B$4*$B$5+Y138))</f>
        <v>87.067382182243961</v>
      </c>
      <c r="Y137" s="19"/>
      <c r="Z137" s="19">
        <f t="shared" ref="Z137" si="98">(1/(1+Z47))*(0.5*($B$4*$B$5+AA136)+0.5*($B$4*$B$5+AA138))</f>
        <v>88.807216382955176</v>
      </c>
      <c r="AA137" s="19"/>
      <c r="AB137" s="19">
        <f>(1/(1+AB47))*(0.5*($B$4*$B$5+AC136)+0.5*($B$4*$B$5+AC138))</f>
        <v>91.183422412557533</v>
      </c>
      <c r="AC137" s="19"/>
      <c r="AD137" s="19">
        <f>(1/(1+AD47))*(0.5*($B$4*$B$5+AE136)+0.5*($B$4*$B$5+AE138))</f>
        <v>94.319353517859653</v>
      </c>
      <c r="AE137" s="19"/>
      <c r="AF137" s="19">
        <f>(1/(1+AF47))*(0.5*($B$4*$B$5+AG136)+0.5*($B$4*$B$5+AG138))</f>
        <v>98.31558309108506</v>
      </c>
      <c r="AG137" s="19"/>
      <c r="AH137" s="19">
        <f t="shared" ref="AH137" si="99">(1/(1+AH47))*(0.5*($B$4*$B$5+AI136)+0.5*($B$4*$B$5+AI138))</f>
        <v>103.22108614367345</v>
      </c>
      <c r="AI137" s="19"/>
      <c r="AJ137" s="19">
        <v>109</v>
      </c>
    </row>
    <row r="138" spans="1:36">
      <c r="A138" s="17"/>
      <c r="B138" s="17"/>
      <c r="C138" s="17"/>
      <c r="D138" s="17"/>
      <c r="E138" s="17"/>
      <c r="F138" s="19"/>
      <c r="G138" s="19"/>
      <c r="H138" s="19"/>
      <c r="I138" s="19">
        <f t="shared" ref="H138:I139" si="100">(1/(1+I48))*(0.5*($B$4*$B$5+J137)+0.5*($B$4*$B$5+J139))</f>
        <v>97.005848988479357</v>
      </c>
      <c r="J138" s="19"/>
      <c r="K138" s="19">
        <f t="shared" ref="K138" si="101">(1/(1+K48))*(0.5*($B$4*$B$5+L137)+0.5*($B$4*$B$5+L139))</f>
        <v>96.720529086010259</v>
      </c>
      <c r="L138" s="19"/>
      <c r="M138" s="19">
        <f>(1/(1+M48))*(0.5*($B$4*$B$5+N137)+0.5*($B$4*$B$5+N139))</f>
        <v>96.48660705808922</v>
      </c>
      <c r="N138" s="19"/>
      <c r="O138" s="19">
        <f t="shared" ref="O138:P139" si="102">(1/(1+O48))*(0.5*($B$4*$B$5+P137)+0.5*($B$4*$B$5+P139))</f>
        <v>96.327151005810094</v>
      </c>
      <c r="P138" s="19"/>
      <c r="Q138" s="19">
        <f t="shared" ref="Q138" si="103">(1/(1+Q48))*(0.5*($B$4*$B$5+R137)+0.5*($B$4*$B$5+R139))</f>
        <v>96.271911881144746</v>
      </c>
      <c r="R138" s="19"/>
      <c r="S138" s="19">
        <f>(1/(1+S48))*(0.5*($B$4*$B$5+T137)+0.5*($B$4*$B$5+T139))</f>
        <v>96.358308007252973</v>
      </c>
      <c r="T138" s="19"/>
      <c r="U138" s="19">
        <f t="shared" si="96"/>
        <v>96.631830601774951</v>
      </c>
      <c r="V138" s="19"/>
      <c r="W138" s="19">
        <f>(1/(1+W48))*(0.5*($B$4*$B$5+X137)+0.5*($B$4*$B$5+X139))</f>
        <v>97.145212409993249</v>
      </c>
      <c r="X138" s="19"/>
      <c r="Y138" s="19">
        <f t="shared" ref="Y138" si="104">(1/(1+Y48))*(0.5*($B$4*$B$5+Z137)+0.5*($B$4*$B$5+Z139))</f>
        <v>97.955436558209882</v>
      </c>
      <c r="Z138" s="19"/>
      <c r="AA138" s="19">
        <f>(1/(1+AA48))*(0.5*($B$4*$B$5+AB137)+0.5*($B$4*$B$5+AB139))</f>
        <v>99.11751658298202</v>
      </c>
      <c r="AB138" s="19"/>
      <c r="AC138" s="19">
        <f>(1/(1+AC48))*(0.5*($B$4*$B$5+AD137)+0.5*($B$4*$B$5+AD139))</f>
        <v>100.67415876571276</v>
      </c>
      <c r="AD138" s="19"/>
      <c r="AE138" s="19">
        <f>(1/(1+AE48))*(0.5*($B$4*$B$5+AF137)+0.5*($B$4*$B$5+AF139))</f>
        <v>102.64110888483843</v>
      </c>
      <c r="AF138" s="19"/>
      <c r="AG138" s="19">
        <f t="shared" ref="AG138" si="105">(1/(1+AG48))*(0.5*($B$4*$B$5+AH137)+0.5*($B$4*$B$5+AH139))</f>
        <v>104.98915768527679</v>
      </c>
      <c r="AH138" s="19"/>
      <c r="AI138" s="19">
        <f>(1/(1+AI48))*(0.5*($B$4*$B$5+AJ137)+0.5*($B$4*$B$5+AJ139))</f>
        <v>107.62505810424604</v>
      </c>
      <c r="AJ138" s="19">
        <v>109</v>
      </c>
    </row>
    <row r="139" spans="1:36">
      <c r="A139" s="17"/>
      <c r="B139" s="17"/>
      <c r="C139" s="17"/>
      <c r="D139" s="17"/>
      <c r="E139" s="17"/>
      <c r="F139" s="19"/>
      <c r="G139" s="19"/>
      <c r="H139" s="19">
        <f t="shared" si="100"/>
        <v>111.22761457436651</v>
      </c>
      <c r="I139" s="19"/>
      <c r="J139" s="19">
        <f t="shared" ref="J139" si="106">(1/(1+J49))*(0.5*($B$4*$B$5+K138)+0.5*($B$4*$B$5+K140))</f>
        <v>110.64478006585695</v>
      </c>
      <c r="K139" s="19"/>
      <c r="L139" s="19">
        <f>(1/(1+L49))*(0.5*($B$4*$B$5+M138)+0.5*($B$4*$B$5+M140))</f>
        <v>110.07853381395302</v>
      </c>
      <c r="M139" s="19"/>
      <c r="N139" s="19">
        <f t="shared" ref="N139" si="107">(1/(1+N49))*(0.5*($B$4*$B$5+O138)+0.5*($B$4*$B$5+O140))</f>
        <v>109.54191144793018</v>
      </c>
      <c r="O139" s="19"/>
      <c r="P139" s="19">
        <f t="shared" si="102"/>
        <v>109.05106299299467</v>
      </c>
      <c r="Q139" s="19"/>
      <c r="R139" s="19">
        <f t="shared" ref="R139" si="108">(1/(1+R49))*(0.5*($B$4*$B$5+S138)+0.5*($B$4*$B$5+S140))</f>
        <v>108.62518284090574</v>
      </c>
      <c r="S139" s="19"/>
      <c r="T139" s="19">
        <f>(1/(1+T49))*(0.5*($B$4*$B$5+U138)+0.5*($B$4*$B$5+U140))</f>
        <v>108.28581019353273</v>
      </c>
      <c r="U139" s="19"/>
      <c r="V139" s="19">
        <f>(1/(1+V49))*(0.5*($B$4*$B$5+W138)+0.5*($B$4*$B$5+W140))</f>
        <v>108.05508235694106</v>
      </c>
      <c r="W139" s="19"/>
      <c r="X139" s="19">
        <f t="shared" ref="X139" si="109">(1/(1+X49))*(0.5*($B$4*$B$5+Y138)+0.5*($B$4*$B$5+Y140))</f>
        <v>107.95243432323876</v>
      </c>
      <c r="Y139" s="19"/>
      <c r="Z139" s="19">
        <f>(1/(1+Z49))*(0.5*($B$4*$B$5+AA138)+0.5*($B$4*$B$5+AA140))</f>
        <v>107.98925792273907</v>
      </c>
      <c r="AA139" s="19"/>
      <c r="AB139" s="19">
        <f>(1/(1+AB49))*(0.5*($B$4*$B$5+AC138)+0.5*($B$4*$B$5+AC140))</f>
        <v>108.16125851599008</v>
      </c>
      <c r="AC139" s="19"/>
      <c r="AD139" s="19">
        <f>(1/(1+AD49))*(0.5*($B$4*$B$5+AE138)+0.5*($B$4*$B$5+AE140))</f>
        <v>108.43872909980597</v>
      </c>
      <c r="AE139" s="19"/>
      <c r="AF139" s="19">
        <f t="shared" ref="AF139" si="110">(1/(1+AF49))*(0.5*($B$4*$B$5+AG138)+0.5*($B$4*$B$5+AG140))</f>
        <v>108.75562359164759</v>
      </c>
      <c r="AG139" s="19"/>
      <c r="AH139" s="19">
        <f t="shared" ref="AH139" si="111">(1/(1+AH49))*(0.5*($B$4*$B$5+AI138)+0.5*($B$4*$B$5+AI140))</f>
        <v>108.99891698724984</v>
      </c>
      <c r="AI139" s="19"/>
      <c r="AJ139" s="19">
        <v>109</v>
      </c>
    </row>
    <row r="140" spans="1:36">
      <c r="A140" s="17" t="s">
        <v>17</v>
      </c>
      <c r="B140" s="17"/>
      <c r="C140" s="17"/>
      <c r="D140" s="17"/>
      <c r="E140" s="17"/>
      <c r="F140" s="19"/>
      <c r="G140" s="19">
        <f>(1/(1+G50))*(0.5*($B$4*$B$5+H139)+0.5*($B$4*$B$5+H141))</f>
        <v>126.67924707503286</v>
      </c>
      <c r="H140" s="19"/>
      <c r="I140" s="19">
        <f t="shared" ref="I140" si="112">(1/(1+I50))*(0.5*($B$4*$B$5+J139)+0.5*($B$4*$B$5+J141))</f>
        <v>125.72313424030456</v>
      </c>
      <c r="J140" s="19"/>
      <c r="K140" s="19">
        <f>(1/(1+K50))*(0.5*($B$4*$B$5+L139)+0.5*($B$4*$B$5+L141))</f>
        <v>124.74703035731299</v>
      </c>
      <c r="L140" s="19"/>
      <c r="M140" s="19">
        <f>(1/(1+M50))*(0.5*($B$4*$B$5+N139)+0.5*($B$4*$B$5+N141))</f>
        <v>123.7554304229087</v>
      </c>
      <c r="N140" s="19"/>
      <c r="O140" s="19">
        <f t="shared" ref="O140:P141" si="113">(1/(1+O50))*(0.5*($B$4*$B$5+P139)+0.5*($B$4*$B$5+P141))</f>
        <v>122.75347923792182</v>
      </c>
      <c r="P140" s="19"/>
      <c r="Q140" s="19">
        <f t="shared" ref="Q140" si="114">(1/(1+Q50))*(0.5*($B$4*$B$5+R139)+0.5*($B$4*$B$5+R141))</f>
        <v>121.7463792130135</v>
      </c>
      <c r="R140" s="19"/>
      <c r="S140" s="19">
        <f>(1/(1+S50))*(0.5*($B$4*$B$5+T139)+0.5*($B$4*$B$5+T141))</f>
        <v>120.73825428437715</v>
      </c>
      <c r="T140" s="19"/>
      <c r="U140" s="19">
        <f>(1/(1+U50))*(0.5*($B$4*$B$5+V139)+0.5*($B$4*$B$5+V141))</f>
        <v>119.73023034636779</v>
      </c>
      <c r="V140" s="19"/>
      <c r="W140" s="19">
        <f t="shared" ref="W140" si="115">(1/(1+W50))*(0.5*($B$4*$B$5+X139)+0.5*($B$4*$B$5+X141))</f>
        <v>118.71748623753888</v>
      </c>
      <c r="X140" s="19"/>
      <c r="Y140" s="19">
        <f>(1/(1+Y50))*(0.5*($B$4*$B$5+Z139)+0.5*($B$4*$B$5+Z141))</f>
        <v>117.68510182023664</v>
      </c>
      <c r="Z140" s="19"/>
      <c r="AA140" s="19">
        <f>(1/(1+AA50))*(0.5*($B$4*$B$5+AB139)+0.5*($B$4*$B$5+AB141))</f>
        <v>116.60271879967031</v>
      </c>
      <c r="AB140" s="19"/>
      <c r="AC140" s="19">
        <f>(1/(1+AC50))*(0.5*($B$4*$B$5+AD139)+0.5*($B$4*$B$5+AD141))</f>
        <v>115.41833604268118</v>
      </c>
      <c r="AD140" s="19"/>
      <c r="AE140" s="19">
        <f t="shared" ref="AE140" si="116">(1/(1+AE50))*(0.5*($B$4*$B$5+AF139)+0.5*($B$4*$B$5+AF141))</f>
        <v>114.05191315569569</v>
      </c>
      <c r="AF140" s="19"/>
      <c r="AG140" s="19">
        <f t="shared" ref="AG140" si="117">(1/(1+AG50))*(0.5*($B$4*$B$5+AH139)+0.5*($B$4*$B$5+AH141))</f>
        <v>112.38971641729925</v>
      </c>
      <c r="AH140" s="19"/>
      <c r="AI140" s="19">
        <f>(1/(1+AI50))*(0.5*($B$4*$B$5+AJ139)+0.5*($B$4*$B$5+AJ141))</f>
        <v>110.28037383177571</v>
      </c>
      <c r="AJ140" s="19">
        <v>109</v>
      </c>
    </row>
    <row r="141" spans="1:36">
      <c r="A141" s="17"/>
      <c r="B141" s="17"/>
      <c r="C141" s="17"/>
      <c r="D141" s="17"/>
      <c r="E141" s="17"/>
      <c r="F141" s="19"/>
      <c r="G141" s="19"/>
      <c r="H141" s="19">
        <f>(1/(1+H51))*(0.5*($B$4*$B$5+I140)+0.5*($B$4*$B$5+I142))</f>
        <v>141.86597416620381</v>
      </c>
      <c r="I141" s="19"/>
      <c r="J141" s="19">
        <f>(1/(1+J51))*(0.5*($B$4*$B$5+K140)+0.5*($B$4*$B$5+K142))</f>
        <v>140.40272720839482</v>
      </c>
      <c r="K141" s="19"/>
      <c r="L141" s="19">
        <f t="shared" ref="L141:M142" si="118">(1/(1+L51))*(0.5*($B$4*$B$5+M140)+0.5*($B$4*$B$5+M142))</f>
        <v>138.88011115069682</v>
      </c>
      <c r="M141" s="19"/>
      <c r="N141" s="19">
        <f>(1/(1+N51))*(0.5*($B$4*$B$5+O140)+0.5*($B$4*$B$5+O142))</f>
        <v>137.29470965709442</v>
      </c>
      <c r="O141" s="19"/>
      <c r="P141" s="19">
        <f t="shared" si="113"/>
        <v>135.64138257615801</v>
      </c>
      <c r="Q141" s="19"/>
      <c r="R141" s="19">
        <f>(1/(1+R51))*(0.5*($B$4*$B$5+S140)+0.5*($B$4*$B$5+S142))</f>
        <v>133.91206867494316</v>
      </c>
      <c r="S141" s="19"/>
      <c r="T141" s="19">
        <f t="shared" ref="T141:U142" si="119">(1/(1+T51))*(0.5*($B$4*$B$5+U140)+0.5*($B$4*$B$5+U142))</f>
        <v>132.0940539750344</v>
      </c>
      <c r="U141" s="19"/>
      <c r="V141" s="19">
        <f t="shared" ref="V141" si="120">(1/(1+V51))*(0.5*($B$4*$B$5+W140)+0.5*($B$4*$B$5+W142))</f>
        <v>130.16761058428602</v>
      </c>
      <c r="W141" s="19"/>
      <c r="X141" s="19">
        <f>(1/(1+X51))*(0.5*($B$4*$B$5+Y140)+0.5*($B$4*$B$5+Y142))</f>
        <v>128.10298622509444</v>
      </c>
      <c r="Y141" s="19"/>
      <c r="Z141" s="19">
        <f>(1/(1+Z51))*(0.5*($B$4*$B$5+AA140)+0.5*($B$4*$B$5+AA142))</f>
        <v>125.85685997256734</v>
      </c>
      <c r="AA141" s="19"/>
      <c r="AB141" s="19">
        <f>(1/(1+AB51))*(0.5*($B$4*$B$5+AC140)+0.5*($B$4*$B$5+AC142))</f>
        <v>123.36855971530439</v>
      </c>
      <c r="AC141" s="19"/>
      <c r="AD141" s="19">
        <f t="shared" ref="AD141" si="121">(1/(1+AD51))*(0.5*($B$4*$B$5+AE140)+0.5*($B$4*$B$5+AE142))</f>
        <v>120.55651003153173</v>
      </c>
      <c r="AE141" s="19"/>
      <c r="AF141" s="19">
        <f t="shared" ref="AF141" si="122">(1/(1+AF51))*(0.5*($B$4*$B$5+AG140)+0.5*($B$4*$B$5+AG142))</f>
        <v>117.31547056154116</v>
      </c>
      <c r="AG141" s="19"/>
      <c r="AH141" s="19">
        <f>(1/(1+AH51))*(0.5*($B$4*$B$5+AI140)+0.5*($B$4*$B$5+AI142))</f>
        <v>113.51507614577054</v>
      </c>
      <c r="AI141" s="19"/>
      <c r="AJ141" s="19">
        <v>109</v>
      </c>
    </row>
    <row r="142" spans="1:36">
      <c r="A142" s="17"/>
      <c r="B142" s="17"/>
      <c r="C142" s="17"/>
      <c r="D142" s="17"/>
      <c r="E142" s="17"/>
      <c r="F142" s="19"/>
      <c r="G142" s="19"/>
      <c r="H142" s="19"/>
      <c r="I142" s="19">
        <f>(1/(1+I52))*(0.5*($B$4*$B$5+J141)+0.5*($B$4*$B$5+J143))</f>
        <v>156.93344331729517</v>
      </c>
      <c r="J142" s="19"/>
      <c r="K142" s="19">
        <f t="shared" ref="K142" si="123">(1/(1+K52))*(0.5*($B$4*$B$5+L141)+0.5*($B$4*$B$5+L143))</f>
        <v>154.80848773171377</v>
      </c>
      <c r="L142" s="19"/>
      <c r="M142" s="19">
        <f t="shared" si="118"/>
        <v>152.5732072564054</v>
      </c>
      <c r="N142" s="19"/>
      <c r="O142" s="19">
        <f>(1/(1+O52))*(0.5*($B$4*$B$5+P141)+0.5*($B$4*$B$5+P143))</f>
        <v>150.21521684917673</v>
      </c>
      <c r="P142" s="19"/>
      <c r="Q142" s="19">
        <f>(1/(1+Q52))*(0.5*($B$4*$B$5+R141)+0.5*($B$4*$B$5+R143))</f>
        <v>147.71842057577135</v>
      </c>
      <c r="R142" s="19"/>
      <c r="S142" s="19">
        <f>(1/(1+S52))*(0.5*($B$4*$B$5+T141)+0.5*($B$4*$B$5+T143))</f>
        <v>145.06161032796487</v>
      </c>
      <c r="T142" s="19"/>
      <c r="U142" s="19">
        <f t="shared" si="119"/>
        <v>142.21671547528805</v>
      </c>
      <c r="V142" s="19"/>
      <c r="W142" s="19">
        <f>(1/(1+W52))*(0.5*($B$4*$B$5+X141)+0.5*($B$4*$B$5+X143))</f>
        <v>139.14674785478923</v>
      </c>
      <c r="X142" s="19"/>
      <c r="Y142" s="19">
        <f>(1/(1+Y52))*(0.5*($B$4*$B$5+Z141)+0.5*($B$4*$B$5+Z143))</f>
        <v>135.80357359831561</v>
      </c>
      <c r="Z142" s="19"/>
      <c r="AA142" s="19">
        <f>(1/(1+AA52))*(0.5*($B$4*$B$5+AB141)+0.5*($B$4*$B$5+AB143))</f>
        <v>132.12574095888223</v>
      </c>
      <c r="AB142" s="19"/>
      <c r="AC142" s="19">
        <f t="shared" ref="AC142" si="124">(1/(1+AC52))*(0.5*($B$4*$B$5+AD141)+0.5*($B$4*$B$5+AD143))</f>
        <v>128.03666865604214</v>
      </c>
      <c r="AD142" s="19"/>
      <c r="AE142" s="19">
        <f t="shared" ref="AE142" si="125">(1/(1+AE52))*(0.5*($B$4*$B$5+AF141)+0.5*($B$4*$B$5+AF143))</f>
        <v>123.44351428136157</v>
      </c>
      <c r="AF142" s="19"/>
      <c r="AG142" s="19">
        <f>(1/(1+AG52))*(0.5*($B$4*$B$5+AH141)+0.5*($B$4*$B$5+AH143))</f>
        <v>118.23697564819629</v>
      </c>
      <c r="AH142" s="19"/>
      <c r="AI142" s="19">
        <f>(1/(1+AI52))*(0.5*($B$4*$B$5+AJ141)+0.5*($B$4*$B$5+AJ143))</f>
        <v>112.29214185259568</v>
      </c>
      <c r="AJ142" s="19">
        <v>109</v>
      </c>
    </row>
    <row r="143" spans="1:36">
      <c r="A143" s="17"/>
      <c r="B143" s="17"/>
      <c r="C143" s="17"/>
      <c r="D143" s="17"/>
      <c r="E143" s="17"/>
      <c r="F143" s="19"/>
      <c r="G143" s="19"/>
      <c r="H143" s="19"/>
      <c r="I143" s="19"/>
      <c r="J143" s="19">
        <f>(1/(1+J53))*(0.5*($B$4*$B$5+K142)+0.5*($B$4*$B$5+K144))</f>
        <v>171.41814905112727</v>
      </c>
      <c r="K143" s="19"/>
      <c r="L143" s="19">
        <f>(1/(1+L53))*(0.5*($B$4*$B$5+M142)+0.5*($B$4*$B$5+M144))</f>
        <v>168.47482911434122</v>
      </c>
      <c r="M143" s="19"/>
      <c r="N143" s="19">
        <f>(1/(1+N53))*(0.5*($B$4*$B$5+O142)+0.5*($B$4*$B$5+O144))</f>
        <v>165.36242911026406</v>
      </c>
      <c r="O143" s="19"/>
      <c r="P143" s="19">
        <f>(1/(1+P53))*(0.5*($B$4*$B$5+Q142)+0.5*($B$4*$B$5+Q144))</f>
        <v>162.06006003183376</v>
      </c>
      <c r="Q143" s="19"/>
      <c r="R143" s="19">
        <f t="shared" ref="R143" si="126">(1/(1+R53))*(0.5*($B$4*$B$5+S142)+0.5*($B$4*$B$5+S144))</f>
        <v>158.54195491687946</v>
      </c>
      <c r="S143" s="19"/>
      <c r="T143" s="19">
        <f>(1/(1+T53))*(0.5*($B$4*$B$5+U142)+0.5*($B$4*$B$5+U144))</f>
        <v>154.77625549273679</v>
      </c>
      <c r="U143" s="19"/>
      <c r="V143" s="19">
        <f>(1/(1+V53))*(0.5*($B$4*$B$5+W142)+0.5*($B$4*$B$5+W144))</f>
        <v>150.723694706033</v>
      </c>
      <c r="W143" s="19"/>
      <c r="X143" s="19">
        <f>(1/(1+X53))*(0.5*($B$4*$B$5+Y142)+0.5*($B$4*$B$5+Y144))</f>
        <v>146.33628825982072</v>
      </c>
      <c r="Y143" s="19"/>
      <c r="Z143" s="19">
        <f>(1/(1+Z53))*(0.5*($B$4*$B$5+AA142)+0.5*($B$4*$B$5+AA144))</f>
        <v>141.55619601200542</v>
      </c>
      <c r="AA143" s="19"/>
      <c r="AB143" s="19">
        <f t="shared" ref="AB143" si="127">(1/(1+AB53))*(0.5*($B$4*$B$5+AC142)+0.5*($B$4*$B$5+AC144))</f>
        <v>136.31493934225171</v>
      </c>
      <c r="AC143" s="19"/>
      <c r="AD143" s="19">
        <f t="shared" ref="AD143" si="128">(1/(1+AD53))*(0.5*($B$4*$B$5+AE142)+0.5*($B$4*$B$5+AE144))</f>
        <v>130.53314579221168</v>
      </c>
      <c r="AE143" s="19"/>
      <c r="AF143" s="19">
        <f>(1/(1+AF53))*(0.5*($B$4*$B$5+AG142)+0.5*($B$4*$B$5+AG144))</f>
        <v>124.1209324651584</v>
      </c>
      <c r="AG143" s="19"/>
      <c r="AH143" s="19">
        <f>(1/(1+AH53))*(0.5*($B$4*$B$5+AI142)+0.5*($B$4*$B$5+AI144))</f>
        <v>116.97894839250409</v>
      </c>
      <c r="AI143" s="19"/>
      <c r="AJ143" s="19">
        <v>109</v>
      </c>
    </row>
    <row r="144" spans="1:36">
      <c r="A144" s="17"/>
      <c r="B144" s="17"/>
      <c r="C144" s="17"/>
      <c r="D144" s="17"/>
      <c r="E144" s="17"/>
      <c r="F144" s="19"/>
      <c r="G144" s="19"/>
      <c r="H144" s="19"/>
      <c r="I144" s="19"/>
      <c r="J144" s="19"/>
      <c r="K144" s="19">
        <f>(1/(1+K54))*(0.5*($B$4*$B$5+L143)+0.5*($B$4*$B$5+L145))</f>
        <v>184.87770888671898</v>
      </c>
      <c r="L144" s="19"/>
      <c r="M144" s="19">
        <f>(1/(1+M54))*(0.5*($B$4*$B$5+N143)+0.5*($B$4*$B$5+N145))</f>
        <v>180.97137063934349</v>
      </c>
      <c r="N144" s="19"/>
      <c r="O144" s="19">
        <f t="shared" ref="O144:P145" si="129">(1/(1+O54))*(0.5*($B$4*$B$5+P143)+0.5*($B$4*$B$5+P145))</f>
        <v>176.83493483805262</v>
      </c>
      <c r="P144" s="19"/>
      <c r="Q144" s="19">
        <f t="shared" ref="Q144" si="130">(1/(1+Q54))*(0.5*($B$4*$B$5+R143)+0.5*($B$4*$B$5+R145))</f>
        <v>172.44090979508886</v>
      </c>
      <c r="R144" s="19"/>
      <c r="S144" s="19">
        <f t="shared" ref="S144" si="131">(1/(1+S54))*(0.5*($B$4*$B$5+T143)+0.5*($B$4*$B$5+T145))</f>
        <v>167.75673751078008</v>
      </c>
      <c r="T144" s="19"/>
      <c r="U144" s="19">
        <f>(1/(1+U54))*(0.5*($B$4*$B$5+V143)+0.5*($B$4*$B$5+V145))</f>
        <v>162.74401219846445</v>
      </c>
      <c r="V144" s="19"/>
      <c r="W144" s="19">
        <f>(1/(1+W54))*(0.5*($B$4*$B$5+X143)+0.5*($B$4*$B$5+X145))</f>
        <v>157.3577862222821</v>
      </c>
      <c r="X144" s="19"/>
      <c r="Y144" s="19">
        <f>(1/(1+Y54))*(0.5*($B$4*$B$5+Z143)+0.5*($B$4*$B$5+Z145))</f>
        <v>151.54606799244846</v>
      </c>
      <c r="Z144" s="19"/>
      <c r="AA144" s="19">
        <f t="shared" ref="AA144" si="132">(1/(1+AA54))*(0.5*($B$4*$B$5+AB143)+0.5*($B$4*$B$5+AB145))</f>
        <v>145.24961829905632</v>
      </c>
      <c r="AB144" s="19"/>
      <c r="AC144" s="19">
        <f t="shared" ref="AC144" si="133">(1/(1+AC54))*(0.5*($B$4*$B$5+AD143)+0.5*($B$4*$B$5+AD145))</f>
        <v>138.40212890126779</v>
      </c>
      <c r="AD144" s="19"/>
      <c r="AE144" s="19">
        <f>(1/(1+AE54))*(0.5*($B$4*$B$5+AF143)+0.5*($B$4*$B$5+AF145))</f>
        <v>130.93082128056204</v>
      </c>
      <c r="AF144" s="19"/>
      <c r="AG144" s="19">
        <f>(1/(1+AG54))*(0.5*($B$4*$B$5+AH143)+0.5*($B$4*$B$5+AH145))</f>
        <v>122.75744530401093</v>
      </c>
      <c r="AH144" s="19"/>
      <c r="AI144" s="19">
        <f>(1/(1+AI54))*(0.5*($B$4*$B$5+AJ143)+0.5*($B$4*$B$5+AJ145))</f>
        <v>113.79960319628458</v>
      </c>
      <c r="AJ144" s="19">
        <v>109</v>
      </c>
    </row>
    <row r="145" spans="1:36">
      <c r="A145" s="17"/>
      <c r="B145" s="17"/>
      <c r="C145" s="17"/>
      <c r="D145" s="17"/>
      <c r="E145" s="17"/>
      <c r="F145" s="19"/>
      <c r="G145" s="19"/>
      <c r="H145" s="19"/>
      <c r="I145" s="19"/>
      <c r="J145" s="19"/>
      <c r="K145" s="19"/>
      <c r="L145" s="19">
        <f t="shared" ref="L145:M146" si="134">(1/(1+L55))*(0.5*($B$4*$B$5+M144)+0.5*($B$4*$B$5+M146))</f>
        <v>196.92843479695316</v>
      </c>
      <c r="M145" s="19"/>
      <c r="N145" s="19">
        <f t="shared" ref="N145" si="135">(1/(1+N55))*(0.5*($B$4*$B$5+O144)+0.5*($B$4*$B$5+O146))</f>
        <v>191.93978874737661</v>
      </c>
      <c r="O145" s="19"/>
      <c r="P145" s="19">
        <f t="shared" si="129"/>
        <v>186.66393064674668</v>
      </c>
      <c r="Q145" s="19"/>
      <c r="R145" s="19">
        <f>(1/(1+R55))*(0.5*($B$4*$B$5+S144)+0.5*($B$4*$B$5+S146))</f>
        <v>181.06961461950399</v>
      </c>
      <c r="S145" s="19"/>
      <c r="T145" s="19">
        <f>(1/(1+T55))*(0.5*($B$4*$B$5+U144)+0.5*($B$4*$B$5+U146))</f>
        <v>175.12117947684916</v>
      </c>
      <c r="U145" s="19"/>
      <c r="V145" s="19">
        <f>(1/(1+V55))*(0.5*($B$4*$B$5+W144)+0.5*($B$4*$B$5+W146))</f>
        <v>168.77824554758269</v>
      </c>
      <c r="W145" s="19"/>
      <c r="X145" s="19">
        <f>(1/(1+X55))*(0.5*($B$4*$B$5+Y144)+0.5*($B$4*$B$5+Y146))</f>
        <v>161.99558378023082</v>
      </c>
      <c r="Y145" s="19"/>
      <c r="Z145" s="19">
        <f t="shared" ref="Z145" si="136">(1/(1+Z55))*(0.5*($B$4*$B$5+AA144)+0.5*($B$4*$B$5+AA146))</f>
        <v>154.72321306932182</v>
      </c>
      <c r="AA145" s="19"/>
      <c r="AB145" s="19">
        <f t="shared" ref="AB145" si="137">(1/(1+AB55))*(0.5*($B$4*$B$5+AC144)+0.5*($B$4*$B$5+AC146))</f>
        <v>146.90676052125409</v>
      </c>
      <c r="AC145" s="19"/>
      <c r="AD145" s="19">
        <f>(1/(1+AD55))*(0.5*($B$4*$B$5+AE144)+0.5*($B$4*$B$5+AE146))</f>
        <v>138.48808717607335</v>
      </c>
      <c r="AE145" s="19"/>
      <c r="AF145" s="19">
        <f>(1/(1+AF55))*(0.5*($B$4*$B$5+AG144)+0.5*($B$4*$B$5+AG146))</f>
        <v>129.40614631486213</v>
      </c>
      <c r="AG145" s="19"/>
      <c r="AH145" s="19">
        <f t="shared" ref="AH145" si="138">(1/(1+AH55))*(0.5*($B$4*$B$5+AI144)+0.5*($B$4*$B$5+AI146))</f>
        <v>119.59801214203351</v>
      </c>
      <c r="AI145" s="19"/>
      <c r="AJ145" s="19">
        <v>109</v>
      </c>
    </row>
    <row r="146" spans="1:36">
      <c r="A146" s="17"/>
      <c r="B146" s="17"/>
      <c r="C146" s="17"/>
      <c r="D146" s="17"/>
      <c r="E146" s="17"/>
      <c r="F146" s="19"/>
      <c r="G146" s="19"/>
      <c r="H146" s="19"/>
      <c r="I146" s="19"/>
      <c r="J146" s="19"/>
      <c r="K146" s="19"/>
      <c r="L146" s="19"/>
      <c r="M146" s="19">
        <f t="shared" si="134"/>
        <v>207.27348990031851</v>
      </c>
      <c r="N146" s="19"/>
      <c r="O146" s="19">
        <f>(1/(1+O56))*(0.5*($B$4*$B$5+P145)+0.5*($B$4*$B$5+P147))</f>
        <v>201.11881755980377</v>
      </c>
      <c r="P146" s="19"/>
      <c r="Q146" s="19">
        <f>(1/(1+Q56))*(0.5*($B$4*$B$5+R145)+0.5*($B$4*$B$5+R147))</f>
        <v>194.62924298178172</v>
      </c>
      <c r="R146" s="19"/>
      <c r="S146" s="19">
        <f t="shared" ref="S146" si="139">(1/(1+S56))*(0.5*($B$4*$B$5+T145)+0.5*($B$4*$B$5+T147))</f>
        <v>187.77286686003998</v>
      </c>
      <c r="T146" s="19"/>
      <c r="U146" s="19">
        <f>(1/(1+U56))*(0.5*($B$4*$B$5+V145)+0.5*($B$4*$B$5+V147))</f>
        <v>180.5145292989385</v>
      </c>
      <c r="V146" s="19"/>
      <c r="W146" s="19">
        <f>(1/(1+W56))*(0.5*($B$4*$B$5+X145)+0.5*($B$4*$B$5+X147))</f>
        <v>172.81587846612169</v>
      </c>
      <c r="X146" s="19"/>
      <c r="Y146" s="19">
        <f t="shared" ref="Y146" si="140">(1/(1+Y56))*(0.5*($B$4*$B$5+Z145)+0.5*($B$4*$B$5+Z147))</f>
        <v>164.63560266722817</v>
      </c>
      <c r="Z146" s="19"/>
      <c r="AA146" s="19">
        <f t="shared" ref="AA146" si="141">(1/(1+AA56))*(0.5*($B$4*$B$5+AB145)+0.5*($B$4*$B$5+AB147))</f>
        <v>155.92983478705301</v>
      </c>
      <c r="AB146" s="19"/>
      <c r="AC146" s="19">
        <f>(1/(1+AC56))*(0.5*($B$4*$B$5+AD145)+0.5*($B$4*$B$5+AD147))</f>
        <v>146.65271689499681</v>
      </c>
      <c r="AD146" s="19"/>
      <c r="AE146" s="19">
        <f>(1/(1+AE56))*(0.5*($B$4*$B$5+AF145)+0.5*($B$4*$B$5+AF147))</f>
        <v>136.75709229706075</v>
      </c>
      <c r="AF146" s="19"/>
      <c r="AG146" s="19">
        <f t="shared" ref="AG146" si="142">(1/(1+AG56))*(0.5*($B$4*$B$5+AH145)+0.5*($B$4*$B$5+AH147))</f>
        <v>126.19527748008147</v>
      </c>
      <c r="AH146" s="19"/>
      <c r="AI146" s="19">
        <f>(1/(1+AI56))*(0.5*($B$4*$B$5+AJ145)+0.5*($B$4*$B$5+AJ147))</f>
        <v>114.9198602146587</v>
      </c>
      <c r="AJ146" s="19">
        <v>109</v>
      </c>
    </row>
    <row r="147" spans="1:36">
      <c r="A147" s="17"/>
      <c r="B147" s="17"/>
      <c r="C147" s="17"/>
      <c r="D147" s="17"/>
      <c r="E147" s="17"/>
      <c r="F147" s="19"/>
      <c r="G147" s="19"/>
      <c r="H147" s="19"/>
      <c r="I147" s="19"/>
      <c r="J147" s="19"/>
      <c r="K147" s="19"/>
      <c r="L147" s="19"/>
      <c r="M147" s="19"/>
      <c r="N147" s="19">
        <f>(1/(1+N57))*(0.5*($B$4*$B$5+O146)+0.5*($B$4*$B$5+O148))</f>
        <v>215.71808731602974</v>
      </c>
      <c r="O147" s="19"/>
      <c r="P147" s="19">
        <f>(1/(1+P57))*(0.5*($B$4*$B$5+Q146)+0.5*($B$4*$B$5+Q148))</f>
        <v>208.3546794999734</v>
      </c>
      <c r="Q147" s="19"/>
      <c r="R147" s="19">
        <f>(1/(1+R57))*(0.5*($B$4*$B$5+S146)+0.5*($B$4*$B$5+S148))</f>
        <v>200.62197269972188</v>
      </c>
      <c r="S147" s="19"/>
      <c r="T147" s="19">
        <f>(1/(1+T57))*(0.5*($B$4*$B$5+U146)+0.5*($B$4*$B$5+U148))</f>
        <v>192.49011952921143</v>
      </c>
      <c r="U147" s="19"/>
      <c r="V147" s="19">
        <f>(1/(1+V57))*(0.5*($B$4*$B$5+W146)+0.5*($B$4*$B$5+W148))</f>
        <v>183.92729512201367</v>
      </c>
      <c r="W147" s="19"/>
      <c r="X147" s="19">
        <f t="shared" ref="X147" si="143">(1/(1+X57))*(0.5*($B$4*$B$5+Y146)+0.5*($B$4*$B$5+Y148))</f>
        <v>174.899969014763</v>
      </c>
      <c r="Y147" s="19"/>
      <c r="Z147" s="19">
        <f t="shared" ref="Z147" si="144">(1/(1+Z57))*(0.5*($B$4*$B$5+AA146)+0.5*($B$4*$B$5+AA148))</f>
        <v>165.37328441066546</v>
      </c>
      <c r="AA147" s="19"/>
      <c r="AB147" s="19">
        <f>(1/(1+AB57))*(0.5*($B$4*$B$5+AC146)+0.5*($B$4*$B$5+AC148))</f>
        <v>155.31152847602513</v>
      </c>
      <c r="AC147" s="19"/>
      <c r="AD147" s="19">
        <f>(1/(1+AD57))*(0.5*($B$4*$B$5+AE146)+0.5*($B$4*$B$5+AE148))</f>
        <v>144.67866609504259</v>
      </c>
      <c r="AE147" s="19"/>
      <c r="AF147" s="19">
        <f t="shared" ref="AF147" si="145">(1/(1+AF57))*(0.5*($B$4*$B$5+AG146)+0.5*($B$4*$B$5+AG148))</f>
        <v>133.43890276386549</v>
      </c>
      <c r="AG147" s="19"/>
      <c r="AH147" s="19">
        <f t="shared" ref="AH147" si="146">(1/(1+AH57))*(0.5*($B$4*$B$5+AI146)+0.5*($B$4*$B$5+AI148))</f>
        <v>121.55724117683843</v>
      </c>
      <c r="AI147" s="19"/>
      <c r="AJ147" s="19">
        <v>109</v>
      </c>
    </row>
    <row r="148" spans="1:36">
      <c r="A148" s="17"/>
      <c r="B148" s="17"/>
      <c r="C148" s="17"/>
      <c r="D148" s="17"/>
      <c r="E148" s="17"/>
      <c r="F148" s="19"/>
      <c r="G148" s="19"/>
      <c r="H148" s="19"/>
      <c r="I148" s="19"/>
      <c r="J148" s="19"/>
      <c r="K148" s="19"/>
      <c r="L148" s="19"/>
      <c r="M148" s="19"/>
      <c r="N148" s="19"/>
      <c r="O148" s="19">
        <f>(1/(1+O58))*(0.5*($B$4*$B$5+P147)+0.5*($B$4*$B$5+P149))</f>
        <v>222.17118052388861</v>
      </c>
      <c r="P148" s="19"/>
      <c r="Q148" s="19">
        <f>(1/(1+Q58))*(0.5*($B$4*$B$5+R147)+0.5*($B$4*$B$5+R149))</f>
        <v>213.59758510320515</v>
      </c>
      <c r="R148" s="19"/>
      <c r="S148" s="19">
        <f>(1/(1+S58))*(0.5*($B$4*$B$5+T147)+0.5*($B$4*$B$5+T149))</f>
        <v>204.63532398631054</v>
      </c>
      <c r="T148" s="19"/>
      <c r="U148" s="19">
        <f>(1/(1+U58))*(0.5*($B$4*$B$5+V147)+0.5*($B$4*$B$5+V149))</f>
        <v>195.25849889285809</v>
      </c>
      <c r="V148" s="19"/>
      <c r="W148" s="19">
        <f t="shared" ref="W148" si="147">(1/(1+W58))*(0.5*($B$4*$B$5+X147)+0.5*($B$4*$B$5+X149))</f>
        <v>185.44035818882313</v>
      </c>
      <c r="X148" s="19"/>
      <c r="Y148" s="19">
        <f t="shared" ref="Y148" si="148">(1/(1+Y58))*(0.5*($B$4*$B$5+Z147)+0.5*($B$4*$B$5+Z149))</f>
        <v>175.15362099805768</v>
      </c>
      <c r="Z148" s="19"/>
      <c r="AA148" s="19">
        <f>(1/(1+AA58))*(0.5*($B$4*$B$5+AB147)+0.5*($B$4*$B$5+AB149))</f>
        <v>164.37084861258884</v>
      </c>
      <c r="AB148" s="19"/>
      <c r="AC148" s="19">
        <f>(1/(1+AC58))*(0.5*($B$4*$B$5+AD147)+0.5*($B$4*$B$5+AD149))</f>
        <v>153.06484196297814</v>
      </c>
      <c r="AD148" s="19"/>
      <c r="AE148" s="19">
        <f t="shared" ref="AE148" si="149">(1/(1+AE58))*(0.5*($B$4*$B$5+AF147)+0.5*($B$4*$B$5+AF149))</f>
        <v>141.20904145739999</v>
      </c>
      <c r="AF148" s="19"/>
      <c r="AG148" s="19">
        <f t="shared" ref="AG148" si="150">(1/(1+AG58))*(0.5*($B$4*$B$5+AH147)+0.5*($B$4*$B$5+AH149))</f>
        <v>128.777906538042</v>
      </c>
      <c r="AH148" s="19"/>
      <c r="AI148" s="19">
        <f>(1/(1+AI58))*(0.5*($B$4*$B$5+AJ147)+0.5*($B$4*$B$5+AJ149))</f>
        <v>115.74725617507525</v>
      </c>
      <c r="AJ148" s="19">
        <v>109</v>
      </c>
    </row>
    <row r="149" spans="1:36">
      <c r="A149" s="17"/>
      <c r="B149" s="17"/>
      <c r="C149" s="17"/>
      <c r="D149" s="17"/>
      <c r="E149" s="1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>
        <f>(1/(1+P59))*(0.5*($B$4*$B$5+Q148)+0.5*($B$4*$B$5+Q150))</f>
        <v>226.63574408579433</v>
      </c>
      <c r="Q149" s="19"/>
      <c r="R149" s="19">
        <f>(1/(1+R59))*(0.5*($B$4*$B$5+S148)+0.5*($B$4*$B$5+S150))</f>
        <v>216.88753093904674</v>
      </c>
      <c r="S149" s="19"/>
      <c r="T149" s="19">
        <f t="shared" ref="T149:U150" si="151">(1/(1+T59))*(0.5*($B$4*$B$5+U148)+0.5*($B$4*$B$5+U150))</f>
        <v>206.74600387160226</v>
      </c>
      <c r="U149" s="19"/>
      <c r="V149" s="19">
        <f t="shared" ref="V149" si="152">(1/(1+V59))*(0.5*($B$4*$B$5+W148)+0.5*($B$4*$B$5+W150))</f>
        <v>196.19018309288234</v>
      </c>
      <c r="W149" s="19"/>
      <c r="X149" s="19">
        <f t="shared" ref="X149" si="153">(1/(1+X59))*(0.5*($B$4*$B$5+Y148)+0.5*($B$4*$B$5+Y150))</f>
        <v>185.19905448490834</v>
      </c>
      <c r="Y149" s="19"/>
      <c r="Z149" s="19">
        <f>(1/(1+Z59))*(0.5*($B$4*$B$5+AA148)+0.5*($B$4*$B$5+AA150))</f>
        <v>173.75185117801615</v>
      </c>
      <c r="AA149" s="19"/>
      <c r="AB149" s="19">
        <f>(1/(1+AB59))*(0.5*($B$4*$B$5+AC148)+0.5*($B$4*$B$5+AC150))</f>
        <v>161.82834053215478</v>
      </c>
      <c r="AC149" s="19"/>
      <c r="AD149" s="19">
        <f t="shared" ref="AD149" si="154">(1/(1+AD59))*(0.5*($B$4*$B$5+AE148)+0.5*($B$4*$B$5+AE150))</f>
        <v>149.40910079442898</v>
      </c>
      <c r="AE149" s="19"/>
      <c r="AF149" s="19">
        <f t="shared" ref="AF149" si="155">(1/(1+AF59))*(0.5*($B$4*$B$5+AG148)+0.5*($B$4*$B$5+AG150))</f>
        <v>136.47577344703032</v>
      </c>
      <c r="AG149" s="19"/>
      <c r="AH149" s="19">
        <f>(1/(1+AH59))*(0.5*($B$4*$B$5+AI148)+0.5*($B$4*$B$5+AI150))</f>
        <v>123.01128050810468</v>
      </c>
      <c r="AI149" s="19"/>
      <c r="AJ149" s="19">
        <v>109</v>
      </c>
    </row>
    <row r="150" spans="1:36">
      <c r="A150" s="17"/>
      <c r="B150" s="17"/>
      <c r="C150" s="17"/>
      <c r="D150" s="17"/>
      <c r="E150" s="17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>
        <f>(1/(1+Q60))*(0.5*($B$4*$B$5+R149)+0.5*($B$4*$B$5+R151))</f>
        <v>229.1913849120738</v>
      </c>
      <c r="R150" s="19"/>
      <c r="S150" s="19">
        <f t="shared" ref="S150" si="156">(1/(1+S60))*(0.5*($B$4*$B$5+T149)+0.5*($B$4*$B$5+T151))</f>
        <v>218.3338726145912</v>
      </c>
      <c r="T150" s="19"/>
      <c r="U150" s="19">
        <f t="shared" si="151"/>
        <v>207.09125027427615</v>
      </c>
      <c r="V150" s="19"/>
      <c r="W150" s="19">
        <f t="shared" ref="W150" si="157">(1/(1+W60))*(0.5*($B$4*$B$5+X149)+0.5*($B$4*$B$5+X151))</f>
        <v>195.44761404672994</v>
      </c>
      <c r="X150" s="19"/>
      <c r="Y150" s="19">
        <f>(1/(1+Y60))*(0.5*($B$4*$B$5+Z149)+0.5*($B$4*$B$5+Z151))</f>
        <v>183.38751953624106</v>
      </c>
      <c r="Z150" s="19"/>
      <c r="AA150" s="19">
        <f>(1/(1+AA60))*(0.5*($B$4*$B$5+AB149)+0.5*($B$4*$B$5+AB151))</f>
        <v>170.89618287675017</v>
      </c>
      <c r="AB150" s="19"/>
      <c r="AC150" s="19">
        <f t="shared" ref="AC150" si="158">(1/(1+AC60))*(0.5*($B$4*$B$5+AD149)+0.5*($B$4*$B$5+AD151))</f>
        <v>157.95966674322568</v>
      </c>
      <c r="AD150" s="19"/>
      <c r="AE150" s="19">
        <f t="shared" ref="AE150" si="159">(1/(1+AE60))*(0.5*($B$4*$B$5+AF149)+0.5*($B$4*$B$5+AF151))</f>
        <v>144.56504300436887</v>
      </c>
      <c r="AF150" s="19"/>
      <c r="AG150" s="19">
        <f>(1/(1+AG60))*(0.5*($B$4*$B$5+AH149)+0.5*($B$4*$B$5+AH151))</f>
        <v>130.70052623242859</v>
      </c>
      <c r="AH150" s="19"/>
      <c r="AI150" s="19">
        <f>(1/(1+AI60))*(0.5*($B$4*$B$5+AJ149)+0.5*($B$4*$B$5+AJ151))</f>
        <v>116.35557501881054</v>
      </c>
      <c r="AJ150" s="19">
        <v>109</v>
      </c>
    </row>
    <row r="151" spans="1:36">
      <c r="A151" s="17"/>
      <c r="B151" s="17"/>
      <c r="C151" s="17"/>
      <c r="D151" s="17"/>
      <c r="E151" s="17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f>(1/(1+R61))*(0.5*($B$4*$B$5+S150)+0.5*($B$4*$B$5+S152))</f>
        <v>229.97345084463771</v>
      </c>
      <c r="S151" s="19"/>
      <c r="T151" s="19">
        <f t="shared" ref="T151:U152" si="160">(1/(1+T61))*(0.5*($B$4*$B$5+U150)+0.5*($B$4*$B$5+U152))</f>
        <v>218.09306016734462</v>
      </c>
      <c r="U151" s="19"/>
      <c r="V151" s="19">
        <f t="shared" ref="V151" si="161">(1/(1+V61))*(0.5*($B$4*$B$5+W150)+0.5*($B$4*$B$5+W152))</f>
        <v>205.84585778292498</v>
      </c>
      <c r="W151" s="19"/>
      <c r="X151" s="19">
        <f>(1/(1+X61))*(0.5*($B$4*$B$5+Y150)+0.5*($B$4*$B$5+Y152))</f>
        <v>193.22060059024727</v>
      </c>
      <c r="Y151" s="19"/>
      <c r="Z151" s="19">
        <f>(1/(1+Z61))*(0.5*($B$4*$B$5+AA150)+0.5*($B$4*$B$5+AA152))</f>
        <v>180.20673012379208</v>
      </c>
      <c r="AA151" s="19"/>
      <c r="AB151" s="19">
        <f t="shared" ref="AB151" si="162">(1/(1+AB61))*(0.5*($B$4*$B$5+AC150)+0.5*($B$4*$B$5+AC152))</f>
        <v>166.79449341794071</v>
      </c>
      <c r="AC151" s="19"/>
      <c r="AD151" s="19">
        <f t="shared" ref="AD151" si="163">(1/(1+AD61))*(0.5*($B$4*$B$5+AE150)+0.5*($B$4*$B$5+AE152))</f>
        <v>152.97504362988983</v>
      </c>
      <c r="AE151" s="19"/>
      <c r="AF151" s="19">
        <f>(1/(1+AF61))*(0.5*($B$4*$B$5+AG150)+0.5*($B$4*$B$5+AG152))</f>
        <v>138.74051759459357</v>
      </c>
      <c r="AG151" s="19"/>
      <c r="AH151" s="19">
        <f t="shared" ref="AH151" si="164">(1/(1+AH61))*(0.5*($B$4*$B$5+AI150)+0.5*($B$4*$B$5+AI152))</f>
        <v>124.08408931724802</v>
      </c>
      <c r="AI151" s="19"/>
      <c r="AJ151" s="19">
        <v>109</v>
      </c>
    </row>
    <row r="152" spans="1:36">
      <c r="A152" s="17"/>
      <c r="B152" s="17"/>
      <c r="C152" s="17"/>
      <c r="D152" s="17"/>
      <c r="E152" s="17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>
        <f>(1/(1+S62))*(0.5*($B$4*$B$5+T151)+0.5*($B$4*$B$5+T153))</f>
        <v>229.15223421937179</v>
      </c>
      <c r="T152" s="19"/>
      <c r="U152" s="19">
        <f t="shared" si="160"/>
        <v>216.34792077762717</v>
      </c>
      <c r="V152" s="19"/>
      <c r="W152" s="19">
        <f>(1/(1+W62))*(0.5*($B$4*$B$5+X151)+0.5*($B$4*$B$5+X153))</f>
        <v>203.2021626790324</v>
      </c>
      <c r="X152" s="19"/>
      <c r="Y152" s="19">
        <f>(1/(1+Y62))*(0.5*($B$4*$B$5+Z151)+0.5*($B$4*$B$5+Z153))</f>
        <v>189.70764731254351</v>
      </c>
      <c r="Z152" s="19"/>
      <c r="AA152" s="19">
        <f t="shared" ref="AA152" si="165">(1/(1+AA62))*(0.5*($B$4*$B$5+AB151)+0.5*($B$4*$B$5+AB153))</f>
        <v>175.85778729901429</v>
      </c>
      <c r="AB152" s="19"/>
      <c r="AC152" s="19">
        <f t="shared" ref="AC152" si="166">(1/(1+AC62))*(0.5*($B$4*$B$5+AD151)+0.5*($B$4*$B$5+AD153))</f>
        <v>161.64677911956915</v>
      </c>
      <c r="AD152" s="19"/>
      <c r="AE152" s="19">
        <f>(1/(1+AE62))*(0.5*($B$4*$B$5+AF151)+0.5*($B$4*$B$5+AF153))</f>
        <v>147.06964413235892</v>
      </c>
      <c r="AF152" s="19"/>
      <c r="AG152" s="19">
        <f t="shared" ref="AG152" si="167">(1/(1+AG62))*(0.5*($B$4*$B$5+AH151)+0.5*($B$4*$B$5+AH153))</f>
        <v>132.12225204064075</v>
      </c>
      <c r="AH152" s="19"/>
      <c r="AI152" s="19">
        <f>(1/(1+AI62))*(0.5*($B$4*$B$5+AJ151)+0.5*($B$4*$B$5+AJ153))</f>
        <v>116.80132785057255</v>
      </c>
      <c r="AJ152" s="19">
        <v>109</v>
      </c>
    </row>
    <row r="153" spans="1:36">
      <c r="A153" s="17"/>
      <c r="B153" s="17"/>
      <c r="C153" s="17"/>
      <c r="D153" s="17"/>
      <c r="E153" s="17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>
        <f>(1/(1+T63))*(0.5*($B$4*$B$5+U152)+0.5*($B$4*$B$5+U154))</f>
        <v>226.91475208079885</v>
      </c>
      <c r="U153" s="19"/>
      <c r="V153" s="19">
        <f>(1/(1+V63))*(0.5*($B$4*$B$5+W152)+0.5*($B$4*$B$5+W154))</f>
        <v>213.29051937230895</v>
      </c>
      <c r="W153" s="19"/>
      <c r="X153" s="19">
        <f>(1/(1+X63))*(0.5*($B$4*$B$5+Y152)+0.5*($B$4*$B$5+Y154))</f>
        <v>199.35444401543415</v>
      </c>
      <c r="Y153" s="19"/>
      <c r="Z153" s="19">
        <f t="shared" ref="Z153" si="168">(1/(1+Z63))*(0.5*($B$4*$B$5+AA152)+0.5*($B$4*$B$5+AA154))</f>
        <v>185.1023091624493</v>
      </c>
      <c r="AA153" s="19"/>
      <c r="AB153" s="19">
        <f t="shared" ref="AB153" si="169">(1/(1+AB63))*(0.5*($B$4*$B$5+AC152)+0.5*($B$4*$B$5+AC154))</f>
        <v>170.53055781489024</v>
      </c>
      <c r="AC153" s="19"/>
      <c r="AD153" s="19">
        <f>(1/(1+AD63))*(0.5*($B$4*$B$5+AE152)+0.5*($B$4*$B$5+AE154))</f>
        <v>155.63631066073108</v>
      </c>
      <c r="AE153" s="19"/>
      <c r="AF153" s="19">
        <f t="shared" ref="AF153" si="170">(1/(1+AF63))*(0.5*($B$4*$B$5+AG152)+0.5*($B$4*$B$5+AG154))</f>
        <v>140.41737139482149</v>
      </c>
      <c r="AG153" s="19"/>
      <c r="AH153" s="19">
        <f>(1/(1+AH63))*(0.5*($B$4*$B$5+AI152)+0.5*($B$4*$B$5+AI154))</f>
        <v>124.87222064424333</v>
      </c>
      <c r="AI153" s="19"/>
      <c r="AJ153" s="19">
        <v>109</v>
      </c>
    </row>
    <row r="154" spans="1:36">
      <c r="A154" s="17"/>
      <c r="B154" s="17"/>
      <c r="C154" s="17"/>
      <c r="D154" s="17"/>
      <c r="E154" s="17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>
        <f>(1/(1+U64))*(0.5*($B$4*$B$5+V153)+0.5*($B$4*$B$5+V155))</f>
        <v>223.45037452195263</v>
      </c>
      <c r="V154" s="19"/>
      <c r="W154" s="19">
        <f>(1/(1+W64))*(0.5*($B$4*$B$5+X153)+0.5*($B$4*$B$5+X155))</f>
        <v>209.10937624390351</v>
      </c>
      <c r="X154" s="19"/>
      <c r="Y154" s="19">
        <f t="shared" ref="Y154" si="171">(1/(1+Y64))*(0.5*($B$4*$B$5+Z153)+0.5*($B$4*$B$5+Z155))</f>
        <v>194.48799573742588</v>
      </c>
      <c r="Z154" s="19"/>
      <c r="AA154" s="19">
        <f t="shared" ref="AA154" si="172">(1/(1+AA64))*(0.5*($B$4*$B$5+AB153)+0.5*($B$4*$B$5+AB155))</f>
        <v>179.58431293258008</v>
      </c>
      <c r="AB154" s="19"/>
      <c r="AC154" s="19">
        <f>(1/(1+AC64))*(0.5*($B$4*$B$5+AD153)+0.5*($B$4*$B$5+AD155))</f>
        <v>164.39695513859334</v>
      </c>
      <c r="AD154" s="19"/>
      <c r="AE154" s="19">
        <f t="shared" ref="AE154" si="173">(1/(1+AE64))*(0.5*($B$4*$B$5+AF153)+0.5*($B$4*$B$5+AF155))</f>
        <v>148.92509201343418</v>
      </c>
      <c r="AF154" s="19"/>
      <c r="AG154" s="19">
        <f>(1/(1+AG64))*(0.5*($B$4*$B$5+AH153)+0.5*($B$4*$B$5+AH155))</f>
        <v>133.16842282966334</v>
      </c>
      <c r="AH154" s="19"/>
      <c r="AI154" s="19">
        <f>(1/(1+AI64))*(0.5*($B$4*$B$5+AJ153)+0.5*($B$4*$B$5+AJ155))</f>
        <v>117.12715726110522</v>
      </c>
      <c r="AJ154" s="19">
        <v>109</v>
      </c>
    </row>
    <row r="155" spans="1:36">
      <c r="A155" s="17"/>
      <c r="B155" s="17"/>
      <c r="C155" s="17"/>
      <c r="D155" s="17"/>
      <c r="E155" s="17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>
        <f>(1/(1+V65))*(0.5*($B$4*$B$5+W154)+0.5*($B$4*$B$5+W156))</f>
        <v>218.94057664603903</v>
      </c>
      <c r="W155" s="19"/>
      <c r="X155" s="19">
        <f t="shared" ref="X155" si="174">(1/(1+X65))*(0.5*($B$4*$B$5+Y154)+0.5*($B$4*$B$5+Y156))</f>
        <v>203.98091447489753</v>
      </c>
      <c r="Y155" s="19"/>
      <c r="Z155" s="19">
        <f t="shared" ref="Z155" si="175">(1/(1+Z65))*(0.5*($B$4*$B$5+AA154)+0.5*($B$4*$B$5+AA156))</f>
        <v>188.77236847283197</v>
      </c>
      <c r="AA155" s="19"/>
      <c r="AB155" s="19">
        <f>(1/(1+AB65))*(0.5*($B$4*$B$5+AC154)+0.5*($B$4*$B$5+AC156))</f>
        <v>173.31462688133888</v>
      </c>
      <c r="AC155" s="19"/>
      <c r="AD155" s="19">
        <f t="shared" ref="AD155" si="176">(1/(1+AD65))*(0.5*($B$4*$B$5+AE154)+0.5*($B$4*$B$5+AE156))</f>
        <v>157.60780317205374</v>
      </c>
      <c r="AE155" s="19"/>
      <c r="AF155" s="19">
        <f>(1/(1+AF65))*(0.5*($B$4*$B$5+AG154)+0.5*($B$4*$B$5+AG156))</f>
        <v>141.65242059048791</v>
      </c>
      <c r="AG155" s="19"/>
      <c r="AH155" s="19">
        <f>(1/(1+AH65))*(0.5*($B$4*$B$5+AI154)+0.5*($B$4*$B$5+AI156))</f>
        <v>125.44939257258196</v>
      </c>
      <c r="AI155" s="19"/>
      <c r="AJ155" s="19">
        <v>109</v>
      </c>
    </row>
    <row r="156" spans="1:36">
      <c r="A156" s="17"/>
      <c r="B156" s="17"/>
      <c r="C156" s="17"/>
      <c r="D156" s="17"/>
      <c r="E156" s="17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>
        <f t="shared" ref="W156" si="177">(1/(1+W66))*(0.5*($B$4*$B$5+X155)+0.5*($B$4*$B$5+X157))</f>
        <v>213.55243478892112</v>
      </c>
      <c r="X156" s="19"/>
      <c r="Y156" s="19">
        <f t="shared" ref="Y156" si="178">(1/(1+Y66))*(0.5*($B$4*$B$5+Z155)+0.5*($B$4*$B$5+Z157))</f>
        <v>198.06449556234634</v>
      </c>
      <c r="Z156" s="19"/>
      <c r="AA156" s="19">
        <f>(1/(1+AA66))*(0.5*($B$4*$B$5+AB155)+0.5*($B$4*$B$5+AB157))</f>
        <v>182.35793001984689</v>
      </c>
      <c r="AB156" s="19"/>
      <c r="AC156" s="19">
        <f t="shared" ref="AC156" si="179">(1/(1+AC66))*(0.5*($B$4*$B$5+AD155)+0.5*($B$4*$B$5+AD157))</f>
        <v>166.43348337569546</v>
      </c>
      <c r="AD156" s="19"/>
      <c r="AE156" s="19">
        <f>(1/(1+AE66))*(0.5*($B$4*$B$5+AF155)+0.5*($B$4*$B$5+AF157))</f>
        <v>150.29221435634261</v>
      </c>
      <c r="AF156" s="19"/>
      <c r="AG156" s="19">
        <f>(1/(1+AG66))*(0.5*($B$4*$B$5+AH155)+0.5*($B$4*$B$5+AH157))</f>
        <v>133.93547682573691</v>
      </c>
      <c r="AH156" s="19"/>
      <c r="AI156" s="19">
        <f>(1/(1+AI66))*(0.5*($B$4*$B$5+AJ155)+0.5*($B$4*$B$5+AJ157))</f>
        <v>117.36489958304054</v>
      </c>
      <c r="AJ156" s="19">
        <v>109</v>
      </c>
    </row>
    <row r="157" spans="1:36">
      <c r="A157" s="17"/>
      <c r="B157" s="17"/>
      <c r="C157" s="17"/>
      <c r="D157" s="17"/>
      <c r="E157" s="17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>
        <f t="shared" ref="X157" si="180">(1/(1+X67))*(0.5*($B$4*$B$5+Y156)+0.5*($B$4*$B$5+Y158))</f>
        <v>207.4351612788796</v>
      </c>
      <c r="Y157" s="19"/>
      <c r="Z157" s="19">
        <f>(1/(1+Z67))*(0.5*($B$4*$B$5+AA156)+0.5*($B$4*$B$5+AA158))</f>
        <v>191.50020807072789</v>
      </c>
      <c r="AA157" s="19"/>
      <c r="AB157" s="19">
        <f t="shared" ref="AB157" si="181">(1/(1+AB67))*(0.5*($B$4*$B$5+AC156)+0.5*($B$4*$B$5+AC158))</f>
        <v>175.3748317010695</v>
      </c>
      <c r="AC157" s="19"/>
      <c r="AD157" s="19">
        <f>(1/(1+AD67))*(0.5*($B$4*$B$5+AE156)+0.5*($B$4*$B$5+AE158))</f>
        <v>159.0604171920177</v>
      </c>
      <c r="AE157" s="19"/>
      <c r="AF157" s="19">
        <f>(1/(1+AF67))*(0.5*($B$4*$B$5+AG156)+0.5*($B$4*$B$5+AG158))</f>
        <v>142.55857020920251</v>
      </c>
      <c r="AG157" s="19"/>
      <c r="AH157" s="19">
        <f>(1/(1+AH67))*(0.5*($B$4*$B$5+AI156)+0.5*($B$4*$B$5+AI158))</f>
        <v>125.87109969699469</v>
      </c>
      <c r="AI157" s="19"/>
      <c r="AJ157" s="19">
        <v>109</v>
      </c>
    </row>
    <row r="158" spans="1:36">
      <c r="A158" s="17"/>
      <c r="B158" s="17"/>
      <c r="C158" s="17"/>
      <c r="D158" s="17"/>
      <c r="E158" s="17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>
        <f>(1/(1+Y68))*(0.5*($B$4*$B$5+Z157)+0.5*($B$4*$B$5+Z159))</f>
        <v>200.71889063862349</v>
      </c>
      <c r="Z158" s="19"/>
      <c r="AA158" s="19">
        <f t="shared" ref="AA158" si="182">(1/(1+AA68))*(0.5*($B$4*$B$5+AB157)+0.5*($B$4*$B$5+AB159))</f>
        <v>184.4085902067059</v>
      </c>
      <c r="AB158" s="19"/>
      <c r="AC158" s="19">
        <f>(1/(1+AC68))*(0.5*($B$4*$B$5+AD157)+0.5*($B$4*$B$5+AD159))</f>
        <v>167.93356838236667</v>
      </c>
      <c r="AD158" s="19"/>
      <c r="AE158" s="19">
        <f>(1/(1+AE68))*(0.5*($B$4*$B$5+AF157)+0.5*($B$4*$B$5+AF159))</f>
        <v>151.29554925670075</v>
      </c>
      <c r="AF158" s="19"/>
      <c r="AG158" s="19">
        <f>(1/(1+AG68))*(0.5*($B$4*$B$5+AH157)+0.5*($B$4*$B$5+AH159))</f>
        <v>134.49640510521562</v>
      </c>
      <c r="AH158" s="19"/>
      <c r="AI158" s="19">
        <f>(1/(1+AI68))*(0.5*($B$4*$B$5+AJ157)+0.5*($B$4*$B$5+AJ159))</f>
        <v>117.53814170041775</v>
      </c>
      <c r="AJ158" s="19">
        <v>109</v>
      </c>
    </row>
    <row r="159" spans="1:36">
      <c r="A159" s="17"/>
      <c r="B159" s="17"/>
      <c r="C159" s="17"/>
      <c r="D159" s="17"/>
      <c r="E159" s="17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>
        <f t="shared" ref="Z159" si="183">(1/(1+Z69))*(0.5*($B$4*$B$5+AA158)+0.5*($B$4*$B$5+AA160))</f>
        <v>193.51499623164523</v>
      </c>
      <c r="AA159" s="19"/>
      <c r="AB159" s="19">
        <f>(1/(1+AB69))*(0.5*($B$4*$B$5+AC158)+0.5*($B$4*$B$5+AC160))</f>
        <v>176.89159125895861</v>
      </c>
      <c r="AC159" s="19"/>
      <c r="AD159" s="19">
        <f>(1/(1+AD69))*(0.5*($B$4*$B$5+AE158)+0.5*($B$4*$B$5+AE160))</f>
        <v>160.12648711734042</v>
      </c>
      <c r="AE159" s="19"/>
      <c r="AF159" s="19">
        <f>(1/(1+AF69))*(0.5*($B$4*$B$5+AG158)+0.5*($B$4*$B$5+AG160))</f>
        <v>143.22153987275291</v>
      </c>
      <c r="AG159" s="19"/>
      <c r="AH159" s="19">
        <f t="shared" ref="AH159" si="184">(1/(1+AH69))*(0.5*($B$4*$B$5+AI158)+0.5*($B$4*$B$5+AI160))</f>
        <v>126.17869984580402</v>
      </c>
      <c r="AI159" s="19"/>
      <c r="AJ159" s="19">
        <v>109</v>
      </c>
    </row>
    <row r="160" spans="1:36">
      <c r="A160" s="17"/>
      <c r="B160" s="17"/>
      <c r="C160" s="17"/>
      <c r="D160" s="17"/>
      <c r="E160" s="17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>
        <f>(1/(1+AA70))*(0.5*($B$4*$B$5+AB159)+0.5*($B$4*$B$5+AB161))</f>
        <v>185.91734984101413</v>
      </c>
      <c r="AB160" s="19"/>
      <c r="AC160" s="19">
        <f>(1/(1+AC70))*(0.5*($B$4*$B$5+AD159)+0.5*($B$4*$B$5+AD161))</f>
        <v>169.03423669639616</v>
      </c>
      <c r="AD160" s="19"/>
      <c r="AE160" s="19">
        <f>(1/(1+AE70))*(0.5*($B$4*$B$5+AF159)+0.5*($B$4*$B$5+AF161))</f>
        <v>152.02977357226942</v>
      </c>
      <c r="AF160" s="19"/>
      <c r="AG160" s="19">
        <f t="shared" ref="AG160" si="185">(1/(1+AG70))*(0.5*($B$4*$B$5+AH159)+0.5*($B$4*$B$5+AH161))</f>
        <v>134.90581275491053</v>
      </c>
      <c r="AH160" s="19"/>
      <c r="AI160" s="19">
        <f>(1/(1+AI70))*(0.5*($B$4*$B$5+AJ159)+0.5*($B$4*$B$5+AJ161))</f>
        <v>117.66426217410067</v>
      </c>
      <c r="AJ160" s="19">
        <v>109</v>
      </c>
    </row>
    <row r="161" spans="1:36">
      <c r="A161" s="17"/>
      <c r="B161" s="17"/>
      <c r="C161" s="17"/>
      <c r="D161" s="17"/>
      <c r="E161" s="17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>
        <f>(1/(1+AB71))*(0.5*($B$4*$B$5+AC160)+0.5*($B$4*$B$5+AC162))</f>
        <v>178.00408455429675</v>
      </c>
      <c r="AC161" s="19"/>
      <c r="AD161" s="19">
        <f>(1/(1+AD71))*(0.5*($B$4*$B$5+AE160)+0.5*($B$4*$B$5+AE162))</f>
        <v>160.90661540042828</v>
      </c>
      <c r="AE161" s="19"/>
      <c r="AF161" s="19">
        <f t="shared" ref="AF161" si="186">(1/(1+AF71))*(0.5*($B$4*$B$5+AG160)+0.5*($B$4*$B$5+AG162))</f>
        <v>143.70559688154518</v>
      </c>
      <c r="AG161" s="19"/>
      <c r="AH161" s="19">
        <f t="shared" ref="AH161" si="187">(1/(1+AH71))*(0.5*($B$4*$B$5+AI160)+0.5*($B$4*$B$5+AI162))</f>
        <v>126.40279382005063</v>
      </c>
      <c r="AI161" s="19"/>
      <c r="AJ161" s="19">
        <v>109</v>
      </c>
    </row>
    <row r="162" spans="1:36">
      <c r="A162" s="17"/>
      <c r="B162" s="17"/>
      <c r="C162" s="17"/>
      <c r="D162" s="17"/>
      <c r="E162" s="17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>
        <f>(1/(1+AC72))*(0.5*($B$4*$B$5+AD161)+0.5*($B$4*$B$5+AD163))</f>
        <v>169.83955492802744</v>
      </c>
      <c r="AD162" s="19"/>
      <c r="AE162" s="19">
        <f t="shared" ref="AE162" si="188">(1/(1+AE72))*(0.5*($B$4*$B$5+AF161)+0.5*($B$4*$B$5+AF163))</f>
        <v>152.56593584184685</v>
      </c>
      <c r="AF162" s="19"/>
      <c r="AG162" s="19">
        <f t="shared" ref="AG162" si="189">(1/(1+AG72))*(0.5*($B$4*$B$5+AH161)+0.5*($B$4*$B$5+AH163))</f>
        <v>135.20421216490823</v>
      </c>
      <c r="AH162" s="19"/>
      <c r="AI162" s="19">
        <f>(1/(1+AI72))*(0.5*($B$4*$B$5+AJ161)+0.5*($B$4*$B$5+AJ163))</f>
        <v>117.75601419445553</v>
      </c>
      <c r="AJ162" s="19">
        <v>109</v>
      </c>
    </row>
    <row r="163" spans="1:36">
      <c r="A163" s="17"/>
      <c r="B163" s="17"/>
      <c r="C163" s="17"/>
      <c r="D163" s="17"/>
      <c r="E163" s="17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>
        <f t="shared" ref="AD163" si="190">(1/(1+AD73))*(0.5*($B$4*$B$5+AE162)+0.5*($B$4*$B$5+AE164))</f>
        <v>161.47629614093159</v>
      </c>
      <c r="AE163" s="19"/>
      <c r="AF163" s="19">
        <f>(1/(1+AF73))*(0.5*($B$4*$B$5+AG162)+0.5*($B$4*$B$5+AG164))</f>
        <v>144.05849597589767</v>
      </c>
      <c r="AG163" s="19"/>
      <c r="AH163" s="19">
        <f>(1/(1+AH73))*(0.5*($B$4*$B$5+AI162)+0.5*($B$4*$B$5+AI164))</f>
        <v>126.56590607350201</v>
      </c>
      <c r="AI163" s="19"/>
      <c r="AJ163" s="19">
        <v>109</v>
      </c>
    </row>
    <row r="164" spans="1:36">
      <c r="A164" s="17"/>
      <c r="B164" s="17"/>
      <c r="C164" s="17"/>
      <c r="D164" s="17"/>
      <c r="E164" s="17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>
        <f t="shared" ref="AE164" si="191">(1/(1+AE74))*(0.5*($B$4*$B$5+AF163)+0.5*($B$4*$B$5+AF165))</f>
        <v>152.95686419758309</v>
      </c>
      <c r="AF164" s="19"/>
      <c r="AG164" s="19">
        <f>(1/(1+AG74))*(0.5*($B$4*$B$5+AH163)+0.5*($B$4*$B$5+AH165))</f>
        <v>135.42148152151918</v>
      </c>
      <c r="AH164" s="19"/>
      <c r="AI164" s="19">
        <f>(1/(1+AI74))*(0.5*($B$4*$B$5+AJ163)+0.5*($B$4*$B$5+AJ165))</f>
        <v>117.82272956549302</v>
      </c>
      <c r="AJ164" s="19">
        <v>109</v>
      </c>
    </row>
    <row r="165" spans="1:36">
      <c r="A165" s="17"/>
      <c r="B165" s="17"/>
      <c r="C165" s="17"/>
      <c r="D165" s="17"/>
      <c r="E165" s="1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>
        <f t="shared" ref="AF165" si="192">(1/(1+AF75))*(0.5*($B$4*$B$5+AG164)+0.5*($B$4*$B$5+AG166))</f>
        <v>144.31549555995667</v>
      </c>
      <c r="AG165" s="19"/>
      <c r="AH165" s="19">
        <f>(1/(1+AH75))*(0.5*($B$4*$B$5+AI164)+0.5*($B$4*$B$5+AI166))</f>
        <v>126.68455431677027</v>
      </c>
      <c r="AI165" s="19"/>
      <c r="AJ165" s="19">
        <v>109</v>
      </c>
    </row>
    <row r="166" spans="1:36">
      <c r="A166" s="17"/>
      <c r="B166" s="17"/>
      <c r="C166" s="17"/>
      <c r="D166" s="17"/>
      <c r="E166" s="17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>
        <f t="shared" ref="AG166" si="193">(1/(1+AG76))*(0.5*($B$4*$B$5+AH165)+0.5*($B$4*$B$5+AH167))</f>
        <v>135.57956186877567</v>
      </c>
      <c r="AH166" s="19"/>
      <c r="AI166" s="19">
        <f>(1/(1+AI76))*(0.5*($B$4*$B$5+AJ165)+0.5*($B$4*$B$5+AJ167))</f>
        <v>117.87122226499798</v>
      </c>
      <c r="AJ166" s="19">
        <v>109</v>
      </c>
    </row>
    <row r="167" spans="1:36">
      <c r="A167" s="17"/>
      <c r="B167" s="17"/>
      <c r="C167" s="17"/>
      <c r="D167" s="17"/>
      <c r="E167" s="17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>
        <f t="shared" ref="AH167" si="194">(1/(1+AH77))*(0.5*($B$4*$B$5+AI166)+0.5*($B$4*$B$5+AI168))</f>
        <v>126.77081864182966</v>
      </c>
      <c r="AI167" s="19"/>
      <c r="AJ167" s="19">
        <v>109</v>
      </c>
    </row>
    <row r="168" spans="1:36">
      <c r="A168" s="17"/>
      <c r="B168" s="17"/>
      <c r="C168" s="17"/>
      <c r="D168" s="17"/>
      <c r="E168" s="17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>
        <f t="shared" ref="AI168" si="195">(1/(1+AI78))*(0.5*($B$4*$B$5+AJ167)+0.5*($B$4*$B$5+AJ169))</f>
        <v>117.90646021609366</v>
      </c>
      <c r="AJ168" s="19">
        <v>109</v>
      </c>
    </row>
    <row r="169" spans="1:36">
      <c r="A169" s="17"/>
      <c r="B169" s="17"/>
      <c r="C169" s="17"/>
      <c r="D169" s="17"/>
      <c r="E169" s="17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>
        <v>109</v>
      </c>
    </row>
    <row r="170" spans="1:36">
      <c r="A170" s="17"/>
      <c r="B170" s="17"/>
      <c r="C170" s="17"/>
      <c r="D170" s="17"/>
      <c r="E170" s="17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</row>
    <row r="171" spans="1:36">
      <c r="A171" s="17"/>
      <c r="B171" s="17"/>
      <c r="C171" s="17"/>
      <c r="D171" s="17"/>
      <c r="E171" s="1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>
        <v>109</v>
      </c>
    </row>
    <row r="172" spans="1:36">
      <c r="A172" s="17"/>
      <c r="B172" s="17"/>
      <c r="C172" s="17"/>
      <c r="D172" s="17"/>
      <c r="E172" s="17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>
        <f>MIN(AI112,$B$5)</f>
        <v>16.442722620131498</v>
      </c>
      <c r="AJ172" s="19">
        <v>109</v>
      </c>
    </row>
    <row r="173" spans="1:36">
      <c r="A173" s="17"/>
      <c r="B173" s="17"/>
      <c r="C173" s="17"/>
      <c r="D173" s="17"/>
      <c r="E173" s="17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>
        <f>MIN(AH113,$B$5)</f>
        <v>4.4670359488501488</v>
      </c>
      <c r="AI173" s="19"/>
      <c r="AJ173" s="19">
        <v>109</v>
      </c>
    </row>
    <row r="174" spans="1:36">
      <c r="A174" s="17"/>
      <c r="B174" s="17"/>
      <c r="C174" s="17"/>
      <c r="D174" s="17"/>
      <c r="E174" s="17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>
        <f>MIN(AG114,$B$5)</f>
        <v>2.6835679672249091</v>
      </c>
      <c r="AH174" s="19"/>
      <c r="AI174" s="19">
        <f>MIN(AI114,$B$5)</f>
        <v>21.513192051096663</v>
      </c>
      <c r="AJ174" s="19">
        <v>109</v>
      </c>
    </row>
    <row r="175" spans="1:36">
      <c r="A175" s="17"/>
      <c r="B175" s="17"/>
      <c r="C175" s="17"/>
      <c r="D175" s="17"/>
      <c r="E175" s="17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>
        <f>MIN(AF115,$B$5)</f>
        <v>2.5792401718014526</v>
      </c>
      <c r="AG175" s="19"/>
      <c r="AH175" s="19">
        <f>MIN(AH115,$B$5)</f>
        <v>6.9717399780720521</v>
      </c>
      <c r="AI175" s="19"/>
      <c r="AJ175" s="19">
        <v>109</v>
      </c>
    </row>
    <row r="176" spans="1:36">
      <c r="A176" s="17"/>
      <c r="B176" s="17"/>
      <c r="C176" s="17"/>
      <c r="D176" s="17"/>
      <c r="E176" s="17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>
        <f>MIN(AE116,$B$5)</f>
        <v>2.8657574246235531</v>
      </c>
      <c r="AF176" s="19"/>
      <c r="AG176" s="19">
        <f>MIN(AG116,$B$5)</f>
        <v>4.1899562383920088</v>
      </c>
      <c r="AH176" s="19"/>
      <c r="AI176" s="19">
        <f>MIN(AI116,$B$5)</f>
        <v>27.720462649126198</v>
      </c>
      <c r="AJ176" s="19">
        <v>109</v>
      </c>
    </row>
    <row r="177" spans="1:36">
      <c r="A177" s="17"/>
      <c r="B177" s="17"/>
      <c r="C177" s="17"/>
      <c r="D177" s="17"/>
      <c r="E177" s="17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>
        <f>MIN(AD117,$B$5)</f>
        <v>3.3076025591479006</v>
      </c>
      <c r="AE177" s="19"/>
      <c r="AF177" s="19">
        <f>MIN(AF117,$B$5)</f>
        <v>3.8185760108399807</v>
      </c>
      <c r="AG177" s="19"/>
      <c r="AH177" s="19">
        <f>MIN(AH117,$B$5)</f>
        <v>10.699730760951994</v>
      </c>
      <c r="AI177" s="19"/>
      <c r="AJ177" s="19">
        <v>109</v>
      </c>
    </row>
    <row r="178" spans="1:36">
      <c r="A178" s="17"/>
      <c r="B178" s="17"/>
      <c r="C178" s="17"/>
      <c r="D178" s="17"/>
      <c r="E178" s="17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>
        <f>MIN(AC118,$B$5)</f>
        <v>3.8601775746990499</v>
      </c>
      <c r="AD178" s="19"/>
      <c r="AE178" s="19">
        <f>MIN(AE118,$B$5)</f>
        <v>4.1082797230320942</v>
      </c>
      <c r="AF178" s="19"/>
      <c r="AG178" s="19">
        <f>MIN(AG118,$B$5)</f>
        <v>6.6421834883447577</v>
      </c>
      <c r="AH178" s="19"/>
      <c r="AI178" s="19">
        <f>MIN(AI118,$B$5)</f>
        <v>35.067802783456038</v>
      </c>
      <c r="AJ178" s="19">
        <v>109</v>
      </c>
    </row>
    <row r="179" spans="1:36">
      <c r="A179" s="17"/>
      <c r="B179" s="17"/>
      <c r="C179" s="17"/>
      <c r="D179" s="17"/>
      <c r="E179" s="17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>
        <f>MIN(AB119,$B$5)</f>
        <v>4.5226225771399751</v>
      </c>
      <c r="AC179" s="19"/>
      <c r="AD179" s="19">
        <f>MIN(AD119,$B$5)</f>
        <v>4.67069762847491</v>
      </c>
      <c r="AE179" s="19"/>
      <c r="AF179" s="19">
        <f>MIN(AF119,$B$5)</f>
        <v>5.8294069729408431</v>
      </c>
      <c r="AG179" s="19"/>
      <c r="AH179" s="19">
        <f>MIN(AH119,$B$5)</f>
        <v>16.000968422542027</v>
      </c>
      <c r="AI179" s="19"/>
      <c r="AJ179" s="19">
        <v>109</v>
      </c>
    </row>
    <row r="180" spans="1:36">
      <c r="A180" s="17"/>
      <c r="B180" s="17"/>
      <c r="C180" s="17"/>
      <c r="D180" s="17"/>
      <c r="E180" s="17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>
        <f>MIN(AA120,$B$5)</f>
        <v>5.3077797522255077</v>
      </c>
      <c r="AB180" s="19"/>
      <c r="AC180" s="19">
        <f>MIN(AC120,$B$5)</f>
        <v>5.4134378303086477</v>
      </c>
      <c r="AD180" s="19"/>
      <c r="AE180" s="19">
        <f>MIN(AE120,$B$5)</f>
        <v>6.0583003130723885</v>
      </c>
      <c r="AF180" s="19"/>
      <c r="AG180" s="19">
        <f>MIN(AG120,$B$5)</f>
        <v>10.511977865486461</v>
      </c>
      <c r="AH180" s="19"/>
      <c r="AI180" s="19">
        <f>MIN(AI120,$B$5)</f>
        <v>43.425824845329679</v>
      </c>
      <c r="AJ180" s="19">
        <v>109</v>
      </c>
    </row>
    <row r="181" spans="1:36">
      <c r="A181" s="17"/>
      <c r="B181" s="17"/>
      <c r="C181" s="17"/>
      <c r="D181" s="17"/>
      <c r="E181" s="17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>
        <f>MIN(Z121,$B$5)</f>
        <v>6.2352987550983316</v>
      </c>
      <c r="AA181" s="19"/>
      <c r="AB181" s="19">
        <f>MIN(AB121,$B$5)</f>
        <v>6.3227943144619614</v>
      </c>
      <c r="AC181" s="19"/>
      <c r="AD181" s="19">
        <f>MIN(AD121,$B$5)</f>
        <v>6.7489238180533482</v>
      </c>
      <c r="AE181" s="19"/>
      <c r="AF181" s="19">
        <f>MIN(AF121,$B$5)</f>
        <v>9.0947546055087116</v>
      </c>
      <c r="AG181" s="19"/>
      <c r="AH181" s="19">
        <f>MIN(AH121,$B$5)</f>
        <v>23.126945326725782</v>
      </c>
      <c r="AI181" s="19"/>
      <c r="AJ181" s="19">
        <v>109</v>
      </c>
    </row>
    <row r="182" spans="1:36">
      <c r="A182" s="17"/>
      <c r="B182" s="17"/>
      <c r="C182" s="17"/>
      <c r="D182" s="17"/>
      <c r="E182" s="1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>
        <f>MIN(Y122,$B$5)</f>
        <v>7.3302353698326295</v>
      </c>
      <c r="Z182" s="19"/>
      <c r="AA182" s="19">
        <f>MIN(AA122,$B$5)</f>
        <v>7.4118789546034112</v>
      </c>
      <c r="AB182" s="19"/>
      <c r="AC182" s="19">
        <f>MIN(AC122,$B$5)</f>
        <v>7.7372882283157338</v>
      </c>
      <c r="AD182" s="19"/>
      <c r="AE182" s="19">
        <f>MIN(AE122,$B$5)</f>
        <v>9.1918524818465848</v>
      </c>
      <c r="AF182" s="19"/>
      <c r="AG182" s="19">
        <f>MIN(AG122,$B$5)</f>
        <v>16.295459352360545</v>
      </c>
      <c r="AH182" s="19"/>
      <c r="AI182" s="19">
        <f>MIN(AI122,$B$5)</f>
        <v>52.514484235707144</v>
      </c>
      <c r="AJ182" s="19">
        <v>109</v>
      </c>
    </row>
    <row r="183" spans="1:36">
      <c r="A183" s="17"/>
      <c r="B183" s="17"/>
      <c r="C183" s="17"/>
      <c r="D183" s="17"/>
      <c r="E183" s="17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>
        <f>MIN(X123,$B$5)</f>
        <v>8.6232584780849333</v>
      </c>
      <c r="Y183" s="19"/>
      <c r="Z183" s="19">
        <f>MIN(Z123,$B$5)</f>
        <v>8.7067661334345274</v>
      </c>
      <c r="AA183" s="19"/>
      <c r="AB183" s="19">
        <f>MIN(AB123,$B$5)</f>
        <v>8.9861767007581896</v>
      </c>
      <c r="AC183" s="19"/>
      <c r="AD183" s="19">
        <f>MIN(AD123,$B$5)</f>
        <v>10.022435902184123</v>
      </c>
      <c r="AE183" s="19"/>
      <c r="AF183" s="19">
        <f>MIN(AF123,$B$5)</f>
        <v>14.213414317548086</v>
      </c>
      <c r="AG183" s="19"/>
      <c r="AH183" s="19">
        <f>MIN(AH123,$B$5)</f>
        <v>32.104820406625763</v>
      </c>
      <c r="AI183" s="19"/>
      <c r="AJ183" s="19">
        <v>109</v>
      </c>
    </row>
    <row r="184" spans="1:36">
      <c r="A184" s="17"/>
      <c r="B184" s="17"/>
      <c r="C184" s="17"/>
      <c r="D184" s="17"/>
      <c r="E184" s="17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>
        <f>MIN(W124,$B$5)</f>
        <v>10.151474905345413</v>
      </c>
      <c r="X184" s="19"/>
      <c r="Y184" s="19">
        <f>MIN(Y124,$B$5)</f>
        <v>10.242819536177658</v>
      </c>
      <c r="Z184" s="19"/>
      <c r="AA184" s="19">
        <f>MIN(AA124,$B$5)</f>
        <v>10.5056654986439</v>
      </c>
      <c r="AB184" s="19"/>
      <c r="AC184" s="19">
        <f>MIN(AC124,$B$5)</f>
        <v>11.332893302665497</v>
      </c>
      <c r="AD184" s="19"/>
      <c r="AE184" s="19">
        <f>MIN(AE124,$B$5)</f>
        <v>14.153152256958718</v>
      </c>
      <c r="AF184" s="19"/>
      <c r="AG184" s="19">
        <f>MIN(AG124,$B$5)</f>
        <v>24.338358618534659</v>
      </c>
      <c r="AH184" s="19"/>
      <c r="AI184" s="19">
        <f>MIN(AI124,$B$5)</f>
        <v>61.925769291997582</v>
      </c>
      <c r="AJ184" s="19">
        <v>109</v>
      </c>
    </row>
    <row r="185" spans="1:36">
      <c r="A185" s="17"/>
      <c r="B185" s="17"/>
      <c r="C185" s="17"/>
      <c r="D185" s="17"/>
      <c r="E185" s="17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>
        <f>MIN(V125,$B$5)</f>
        <v>11.959559887909696</v>
      </c>
      <c r="W185" s="19"/>
      <c r="X185" s="19">
        <f>MIN(X125,$B$5)</f>
        <v>12.06415881284746</v>
      </c>
      <c r="Y185" s="19"/>
      <c r="Z185" s="19">
        <f>MIN(Z125,$B$5)</f>
        <v>12.328766863170586</v>
      </c>
      <c r="AA185" s="19"/>
      <c r="AB185" s="19">
        <f>MIN(AB125,$B$5)</f>
        <v>13.051066050142198</v>
      </c>
      <c r="AC185" s="19"/>
      <c r="AD185" s="19">
        <f>MIN(AD125,$B$5)</f>
        <v>15.167383941922042</v>
      </c>
      <c r="AE185" s="19"/>
      <c r="AF185" s="19">
        <f>MIN(AF125,$B$5)</f>
        <v>21.724453081281158</v>
      </c>
      <c r="AG185" s="19"/>
      <c r="AH185" s="19">
        <f>MIN(AH125,$B$5)</f>
        <v>42.649015349378871</v>
      </c>
      <c r="AI185" s="19"/>
      <c r="AJ185" s="19">
        <v>109</v>
      </c>
    </row>
    <row r="186" spans="1:36">
      <c r="A186" s="17"/>
      <c r="B186" s="17"/>
      <c r="C186" s="17"/>
      <c r="D186" s="17"/>
      <c r="E186" s="17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>
        <f>MIN(U126,$B$5)</f>
        <v>14.101024501453306</v>
      </c>
      <c r="V186" s="19"/>
      <c r="W186" s="19">
        <f>MIN(W126,$B$5)</f>
        <v>14.224172201572483</v>
      </c>
      <c r="X186" s="19"/>
      <c r="Y186" s="19">
        <f>MIN(Y126,$B$5)</f>
        <v>14.503447156449788</v>
      </c>
      <c r="Z186" s="19"/>
      <c r="AA186" s="19">
        <f>MIN(AA126,$B$5)</f>
        <v>15.178172264092733</v>
      </c>
      <c r="AB186" s="19"/>
      <c r="AC186" s="19">
        <f>MIN(AC126,$B$5)</f>
        <v>16.910227221275854</v>
      </c>
      <c r="AD186" s="19"/>
      <c r="AE186" s="19">
        <f>MIN(AE126,$B$5)</f>
        <v>21.588600406345872</v>
      </c>
      <c r="AF186" s="19"/>
      <c r="AG186" s="19">
        <f>MIN(AG126,$B$5)</f>
        <v>34.636694476338612</v>
      </c>
      <c r="AH186" s="19"/>
      <c r="AI186" s="19">
        <f>MIN(AI126,$B$5)</f>
        <v>71.190128018725417</v>
      </c>
      <c r="AJ186" s="19">
        <v>109</v>
      </c>
    </row>
    <row r="187" spans="1:36">
      <c r="A187" s="17"/>
      <c r="B187" s="17"/>
      <c r="C187" s="17"/>
      <c r="D187" s="17"/>
      <c r="E187" s="17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>
        <f>MIN(T127,$B$5)</f>
        <v>16.639437533853492</v>
      </c>
      <c r="U187" s="19"/>
      <c r="V187" s="19">
        <f>MIN(V127,$B$5)</f>
        <v>16.786272363826729</v>
      </c>
      <c r="W187" s="19"/>
      <c r="X187" s="19">
        <f>MIN(X127,$B$5)</f>
        <v>17.089916239358175</v>
      </c>
      <c r="Y187" s="19"/>
      <c r="Z187" s="19">
        <f>MIN(Z127,$B$5)</f>
        <v>17.751123202792407</v>
      </c>
      <c r="AA187" s="19"/>
      <c r="AB187" s="19">
        <f>MIN(AB127,$B$5)</f>
        <v>19.265582536073083</v>
      </c>
      <c r="AC187" s="19"/>
      <c r="AD187" s="19">
        <f>MIN(AD127,$B$5)</f>
        <v>22.891141801582485</v>
      </c>
      <c r="AE187" s="19"/>
      <c r="AF187" s="19">
        <f>MIN(AF127,$B$5)</f>
        <v>31.843190322274619</v>
      </c>
      <c r="AG187" s="19"/>
      <c r="AH187" s="19">
        <f>MIN(AH127,$B$5)</f>
        <v>54.173926031844708</v>
      </c>
      <c r="AI187" s="19"/>
      <c r="AJ187" s="19">
        <v>109</v>
      </c>
    </row>
    <row r="188" spans="1:36">
      <c r="A188" s="17"/>
      <c r="B188" s="17"/>
      <c r="C188" s="17"/>
      <c r="D188" s="17"/>
      <c r="E188" s="1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>
        <f>MIN(S128,$B$5)</f>
        <v>19.64935278831793</v>
      </c>
      <c r="T188" s="19"/>
      <c r="U188" s="19">
        <f>MIN(U128,$B$5)</f>
        <v>19.824431035008562</v>
      </c>
      <c r="V188" s="19"/>
      <c r="W188" s="19">
        <f>MIN(W128,$B$5)</f>
        <v>20.159499871323803</v>
      </c>
      <c r="X188" s="19"/>
      <c r="Y188" s="19">
        <f>MIN(Y128,$B$5)</f>
        <v>20.827783782288503</v>
      </c>
      <c r="Z188" s="19"/>
      <c r="AA188" s="19">
        <f>MIN(AA128,$B$5)</f>
        <v>22.216438083375603</v>
      </c>
      <c r="AB188" s="19"/>
      <c r="AC188" s="19">
        <f>MIN(AC128,$B$5)</f>
        <v>25.210443764483397</v>
      </c>
      <c r="AD188" s="19"/>
      <c r="AE188" s="19">
        <f>MIN(AE128,$B$5)</f>
        <v>31.846083811711466</v>
      </c>
      <c r="AF188" s="19"/>
      <c r="AG188" s="19">
        <f>MIN(AG128,$B$5)</f>
        <v>46.733981957544387</v>
      </c>
      <c r="AH188" s="19"/>
      <c r="AI188" s="19">
        <f>MIN(AI128,$B$5)</f>
        <v>79.866415009184763</v>
      </c>
      <c r="AJ188" s="19">
        <v>109</v>
      </c>
    </row>
    <row r="189" spans="1:36">
      <c r="A189" s="17"/>
      <c r="B189" s="17"/>
      <c r="C189" s="17"/>
      <c r="D189" s="17"/>
      <c r="E189" s="17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>
        <f>MIN(R129,$B$5)</f>
        <v>23.216621676391267</v>
      </c>
      <c r="S189" s="19"/>
      <c r="T189" s="19">
        <f>MIN(T129,$B$5)</f>
        <v>23.423106747240642</v>
      </c>
      <c r="U189" s="19"/>
      <c r="V189" s="19">
        <f>MIN(V129,$B$5)</f>
        <v>23.793616613586092</v>
      </c>
      <c r="W189" s="19"/>
      <c r="X189" s="19">
        <f>MIN(X129,$B$5)</f>
        <v>24.480079097045508</v>
      </c>
      <c r="Y189" s="19"/>
      <c r="Z189" s="19">
        <f>MIN(Z129,$B$5)</f>
        <v>25.793607107874632</v>
      </c>
      <c r="AA189" s="19"/>
      <c r="AB189" s="19">
        <f>MIN(AB129,$B$5)</f>
        <v>28.382529840996558</v>
      </c>
      <c r="AC189" s="19"/>
      <c r="AD189" s="19">
        <f>MIN(AD129,$B$5)</f>
        <v>33.604060314774692</v>
      </c>
      <c r="AE189" s="19"/>
      <c r="AF189" s="19">
        <f>MIN(AF129,$B$5)</f>
        <v>44.259891413641434</v>
      </c>
      <c r="AG189" s="19"/>
      <c r="AH189" s="19">
        <f>MIN(AH129,$B$5)</f>
        <v>65.921914888423188</v>
      </c>
      <c r="AI189" s="19"/>
      <c r="AJ189" s="19">
        <v>109</v>
      </c>
    </row>
    <row r="190" spans="1:36">
      <c r="A190" s="17"/>
      <c r="B190" s="17"/>
      <c r="C190" s="17"/>
      <c r="D190" s="17"/>
      <c r="E190" s="17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>
        <f>MIN(Q130,$B$5)</f>
        <v>27.437733731450358</v>
      </c>
      <c r="R190" s="19"/>
      <c r="S190" s="19">
        <f>MIN(S130,$B$5)</f>
        <v>27.676212964962229</v>
      </c>
      <c r="T190" s="19"/>
      <c r="U190" s="19">
        <f>MIN(U130,$B$5)</f>
        <v>28.082130276577061</v>
      </c>
      <c r="V190" s="19"/>
      <c r="W190" s="19">
        <f>MIN(W130,$B$5)</f>
        <v>28.789580329252519</v>
      </c>
      <c r="X190" s="19"/>
      <c r="Y190" s="19">
        <f>MIN(Y130,$B$5)</f>
        <v>30.052824214426593</v>
      </c>
      <c r="Z190" s="19"/>
      <c r="AA190" s="19">
        <f>MIN(AA130,$B$5)</f>
        <v>32.36009784102113</v>
      </c>
      <c r="AB190" s="19"/>
      <c r="AC190" s="19">
        <f>MIN(AC130,$B$5)</f>
        <v>36.650650808887548</v>
      </c>
      <c r="AD190" s="19"/>
      <c r="AE190" s="19">
        <f>MIN(AE130,$B$5)</f>
        <v>44.707046366667853</v>
      </c>
      <c r="AF190" s="19"/>
      <c r="AG190" s="19">
        <f>MIN(AG130,$B$5)</f>
        <v>59.801899579217164</v>
      </c>
      <c r="AH190" s="19"/>
      <c r="AI190" s="19">
        <f>MIN(AI130,$B$5)</f>
        <v>87.620795216795059</v>
      </c>
      <c r="AJ190" s="19">
        <v>109</v>
      </c>
    </row>
    <row r="191" spans="1:36">
      <c r="A191" s="17"/>
      <c r="B191" s="17"/>
      <c r="C191" s="17"/>
      <c r="D191" s="17"/>
      <c r="E191" s="1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>
        <f>MIN(P131,$B$5)</f>
        <v>32.417857935348039</v>
      </c>
      <c r="Q191" s="19"/>
      <c r="R191" s="19">
        <f>MIN(R131,$B$5)</f>
        <v>32.684843661840503</v>
      </c>
      <c r="S191" s="19"/>
      <c r="T191" s="19">
        <f>MIN(T131,$B$5)</f>
        <v>33.120684410672958</v>
      </c>
      <c r="U191" s="19"/>
      <c r="V191" s="19">
        <f>MIN(V131,$B$5)</f>
        <v>33.843482192404387</v>
      </c>
      <c r="W191" s="19"/>
      <c r="X191" s="19">
        <f>MIN(X131,$B$5)</f>
        <v>35.062483041231708</v>
      </c>
      <c r="Y191" s="19"/>
      <c r="Z191" s="19">
        <f>MIN(Z131,$B$5)</f>
        <v>37.151407109996782</v>
      </c>
      <c r="AA191" s="19"/>
      <c r="AB191" s="19">
        <f>MIN(AB131,$B$5)</f>
        <v>40.776951781890354</v>
      </c>
      <c r="AC191" s="19"/>
      <c r="AD191" s="19">
        <f>MIN(AD131,$B$5)</f>
        <v>47.111701959424849</v>
      </c>
      <c r="AE191" s="19"/>
      <c r="AF191" s="19">
        <f>MIN(AF131,$B$5)</f>
        <v>58.155164355120128</v>
      </c>
      <c r="AG191" s="19"/>
      <c r="AH191" s="19">
        <f>MIN(AH131,$B$5)</f>
        <v>77.149988941890825</v>
      </c>
      <c r="AI191" s="19"/>
      <c r="AJ191" s="19">
        <v>109</v>
      </c>
    </row>
    <row r="192" spans="1:36">
      <c r="A192" s="17"/>
      <c r="B192" s="17"/>
      <c r="C192" s="17"/>
      <c r="D192" s="17"/>
      <c r="E192" s="17"/>
      <c r="F192" s="19"/>
      <c r="G192" s="19"/>
      <c r="H192" s="19"/>
      <c r="I192" s="19"/>
      <c r="J192" s="19"/>
      <c r="K192" s="19"/>
      <c r="L192" s="19"/>
      <c r="M192" s="19"/>
      <c r="N192" s="19"/>
      <c r="O192" s="19">
        <f>MIN(O132,$B$5)</f>
        <v>38.267375577334043</v>
      </c>
      <c r="P192" s="19"/>
      <c r="Q192" s="19">
        <f>MIN(Q132,$B$5)</f>
        <v>38.553610572965425</v>
      </c>
      <c r="R192" s="19"/>
      <c r="S192" s="19">
        <f>MIN(S132,$B$5)</f>
        <v>39.0068639678991</v>
      </c>
      <c r="T192" s="19"/>
      <c r="U192" s="19">
        <f>MIN(U132,$B$5)</f>
        <v>39.730165325515522</v>
      </c>
      <c r="V192" s="19"/>
      <c r="W192" s="19">
        <f>MIN(W132,$B$5)</f>
        <v>40.895410176647253</v>
      </c>
      <c r="X192" s="19"/>
      <c r="Y192" s="19">
        <f>MIN(Y132,$B$5)</f>
        <v>42.790472438826349</v>
      </c>
      <c r="Z192" s="19"/>
      <c r="AA192" s="19">
        <f>MIN(AA132,$B$5)</f>
        <v>45.895386780830364</v>
      </c>
      <c r="AB192" s="19"/>
      <c r="AC192" s="19">
        <f>MIN(AC132,$B$5)</f>
        <v>50.998248129090442</v>
      </c>
      <c r="AD192" s="19"/>
      <c r="AE192" s="19">
        <f>MIN(AE132,$B$5)</f>
        <v>59.354540427024467</v>
      </c>
      <c r="AF192" s="19"/>
      <c r="AG192" s="19">
        <f>MIN(AG132,$B$5)</f>
        <v>72.872165381279501</v>
      </c>
      <c r="AH192" s="19"/>
      <c r="AI192" s="19">
        <f>MIN(AI132,$B$5)</f>
        <v>94.266911652158257</v>
      </c>
      <c r="AJ192" s="19">
        <v>109</v>
      </c>
    </row>
    <row r="193" spans="1:36">
      <c r="A193" s="17"/>
      <c r="B193" s="17"/>
      <c r="C193" s="17"/>
      <c r="D193" s="17"/>
      <c r="E193" s="17"/>
      <c r="F193" s="19"/>
      <c r="G193" s="19"/>
      <c r="H193" s="19"/>
      <c r="I193" s="19"/>
      <c r="J193" s="19"/>
      <c r="K193" s="19"/>
      <c r="L193" s="19"/>
      <c r="M193" s="19"/>
      <c r="N193" s="19">
        <f>MIN(N133,$B$5)</f>
        <v>45.096897274517254</v>
      </c>
      <c r="O193" s="19"/>
      <c r="P193" s="19">
        <f>MIN(P133,$B$5)</f>
        <v>45.385648066580757</v>
      </c>
      <c r="Q193" s="19"/>
      <c r="R193" s="19">
        <f>MIN(R133,$B$5)</f>
        <v>45.83526011321009</v>
      </c>
      <c r="S193" s="19"/>
      <c r="T193" s="19">
        <f>MIN(T133,$B$5)</f>
        <v>46.534152637480453</v>
      </c>
      <c r="U193" s="19"/>
      <c r="V193" s="19">
        <f>MIN(V133,$B$5)</f>
        <v>47.622161186472454</v>
      </c>
      <c r="W193" s="19"/>
      <c r="X193" s="19">
        <f>MIN(X133,$B$5)</f>
        <v>49.320385268931965</v>
      </c>
      <c r="Y193" s="19"/>
      <c r="Z193" s="19">
        <f>MIN(Z133,$B$5)</f>
        <v>51.975805594566346</v>
      </c>
      <c r="AA193" s="19"/>
      <c r="AB193" s="19">
        <f>MIN(AB133,$B$5)</f>
        <v>56.123505764052609</v>
      </c>
      <c r="AC193" s="19"/>
      <c r="AD193" s="19">
        <f>MIN(AD133,$B$5)</f>
        <v>62.563919820529662</v>
      </c>
      <c r="AE193" s="19"/>
      <c r="AF193" s="19">
        <f>MIN(AF133,$B$5)</f>
        <v>72.440682217912993</v>
      </c>
      <c r="AG193" s="19"/>
      <c r="AH193" s="19">
        <f>MIN(AH133,$B$5)</f>
        <v>87.287631306467219</v>
      </c>
      <c r="AI193" s="19"/>
      <c r="AJ193" s="19">
        <v>109</v>
      </c>
    </row>
    <row r="194" spans="1:36">
      <c r="A194" s="17"/>
      <c r="B194" s="17"/>
      <c r="C194" s="17"/>
      <c r="D194" s="17"/>
      <c r="E194" s="17"/>
      <c r="F194" s="19"/>
      <c r="G194" s="19"/>
      <c r="H194" s="19"/>
      <c r="I194" s="19"/>
      <c r="J194" s="19"/>
      <c r="K194" s="19"/>
      <c r="L194" s="19"/>
      <c r="M194" s="19">
        <f>MIN(M134,$B$5)</f>
        <v>53.011011748235752</v>
      </c>
      <c r="N194" s="19"/>
      <c r="O194" s="19">
        <f>MIN(O134,$B$5)</f>
        <v>53.276577095119237</v>
      </c>
      <c r="P194" s="19"/>
      <c r="Q194" s="19">
        <f>MIN(Q134,$B$5)</f>
        <v>53.691740754641273</v>
      </c>
      <c r="R194" s="19"/>
      <c r="S194" s="19">
        <f>MIN(S134,$B$5)</f>
        <v>54.330630804901105</v>
      </c>
      <c r="T194" s="19"/>
      <c r="U194" s="19">
        <f>MIN(U134,$B$5)</f>
        <v>55.304995012517807</v>
      </c>
      <c r="V194" s="19"/>
      <c r="W194" s="19">
        <f>MIN(W134,$B$5)</f>
        <v>56.78260951981364</v>
      </c>
      <c r="X194" s="19"/>
      <c r="Y194" s="19">
        <f>MIN(Y134,$B$5)</f>
        <v>59.012668712969891</v>
      </c>
      <c r="Z194" s="19"/>
      <c r="AA194" s="19">
        <f>MIN(AA134,$B$5)</f>
        <v>62.357981682748857</v>
      </c>
      <c r="AB194" s="19"/>
      <c r="AC194" s="19">
        <f>MIN(AC134,$B$5)</f>
        <v>67.330214155244178</v>
      </c>
      <c r="AD194" s="19"/>
      <c r="AE194" s="19">
        <f>MIN(AE134,$B$5)</f>
        <v>74.618200183136025</v>
      </c>
      <c r="AF194" s="19"/>
      <c r="AG194" s="19">
        <f>MIN(AG134,$B$5)</f>
        <v>85.092017168444173</v>
      </c>
      <c r="AH194" s="19"/>
      <c r="AI194" s="19">
        <f>MIN(AI134,$B$5)</f>
        <v>99.761691879492403</v>
      </c>
      <c r="AJ194" s="19">
        <v>109</v>
      </c>
    </row>
    <row r="195" spans="1:36">
      <c r="A195" s="17"/>
      <c r="B195" s="17"/>
      <c r="C195" s="17"/>
      <c r="D195" s="17"/>
      <c r="E195" s="17"/>
      <c r="F195" s="19"/>
      <c r="G195" s="19"/>
      <c r="H195" s="19"/>
      <c r="I195" s="19"/>
      <c r="J195" s="19"/>
      <c r="K195" s="19"/>
      <c r="L195" s="19">
        <f>MIN(L135,$B$5)</f>
        <v>62.10126922967504</v>
      </c>
      <c r="M195" s="19"/>
      <c r="N195" s="19">
        <f>MIN(N135,$B$5)</f>
        <v>62.307940362918494</v>
      </c>
      <c r="O195" s="19"/>
      <c r="P195" s="19">
        <f>MIN(P135,$B$5)</f>
        <v>62.647420915810613</v>
      </c>
      <c r="Q195" s="19"/>
      <c r="R195" s="19">
        <f>MIN(R135,$B$5)</f>
        <v>63.179935593390745</v>
      </c>
      <c r="S195" s="19"/>
      <c r="T195" s="19">
        <f>MIN(T135,$B$5)</f>
        <v>63.992425334403698</v>
      </c>
      <c r="U195" s="19"/>
      <c r="V195" s="19">
        <f>MIN(V135,$B$5)</f>
        <v>65.209409299725777</v>
      </c>
      <c r="W195" s="19"/>
      <c r="X195" s="19">
        <f>MIN(X135,$B$5)</f>
        <v>67.00668551554763</v>
      </c>
      <c r="Y195" s="19"/>
      <c r="Z195" s="19">
        <f>MIN(Z135,$B$5)</f>
        <v>69.626776858466485</v>
      </c>
      <c r="AA195" s="19"/>
      <c r="AB195" s="19">
        <f>MIN(AB135,$B$5)</f>
        <v>73.392874520531706</v>
      </c>
      <c r="AC195" s="19"/>
      <c r="AD195" s="19">
        <f>MIN(AD135,$B$5)</f>
        <v>78.714960090929139</v>
      </c>
      <c r="AE195" s="19"/>
      <c r="AF195" s="19">
        <f>MIN(AF135,$B$5)</f>
        <v>86.078930786365802</v>
      </c>
      <c r="AG195" s="19"/>
      <c r="AH195" s="19">
        <f>MIN(AH135,$B$5)</f>
        <v>96.009235992161038</v>
      </c>
      <c r="AI195" s="19"/>
      <c r="AJ195" s="19">
        <v>109</v>
      </c>
    </row>
    <row r="196" spans="1:36">
      <c r="A196" s="17"/>
      <c r="B196" s="17"/>
      <c r="C196" s="17"/>
      <c r="D196" s="17"/>
      <c r="E196" s="17"/>
      <c r="F196" s="19"/>
      <c r="G196" s="19"/>
      <c r="H196" s="19"/>
      <c r="I196" s="19"/>
      <c r="J196" s="19"/>
      <c r="K196" s="19">
        <f>MIN(K136,$B$5)</f>
        <v>72.439098100539979</v>
      </c>
      <c r="L196" s="19"/>
      <c r="M196" s="19">
        <f>MIN(M136,$B$5)</f>
        <v>72.540775004590387</v>
      </c>
      <c r="N196" s="19"/>
      <c r="O196" s="19">
        <f>MIN(O136,$B$5)</f>
        <v>72.752945633401779</v>
      </c>
      <c r="P196" s="19"/>
      <c r="Q196" s="19">
        <f>MIN(Q136,$B$5)</f>
        <v>73.122516980748415</v>
      </c>
      <c r="R196" s="19"/>
      <c r="S196" s="19">
        <f>MIN(S136,$B$5)</f>
        <v>73.71457493504569</v>
      </c>
      <c r="T196" s="19"/>
      <c r="U196" s="19">
        <f>MIN(U136,$B$5)</f>
        <v>74.618342293619548</v>
      </c>
      <c r="V196" s="19"/>
      <c r="W196" s="19">
        <f>MIN(W136,$B$5)</f>
        <v>75.953878384347917</v>
      </c>
      <c r="X196" s="19"/>
      <c r="Y196" s="19">
        <f>MIN(Y136,$B$5)</f>
        <v>77.878359271771842</v>
      </c>
      <c r="Z196" s="19"/>
      <c r="AA196" s="19">
        <f>MIN(AA136,$B$5)</f>
        <v>80.589585860638238</v>
      </c>
      <c r="AB196" s="19"/>
      <c r="AC196" s="19">
        <f>MIN(AC136,$B$5)</f>
        <v>84.322973340540983</v>
      </c>
      <c r="AD196" s="19"/>
      <c r="AE196" s="19">
        <f>MIN(AE136,$B$5)</f>
        <v>89.33739115010421</v>
      </c>
      <c r="AF196" s="19"/>
      <c r="AG196" s="19">
        <f>MIN(AG136,$B$5)</f>
        <v>95.885950100717295</v>
      </c>
      <c r="AH196" s="19"/>
      <c r="AI196" s="19">
        <f>MIN(AI136,$B$5)</f>
        <v>100</v>
      </c>
      <c r="AJ196" s="19">
        <v>109</v>
      </c>
    </row>
    <row r="197" spans="1:36">
      <c r="A197" s="17"/>
      <c r="B197" s="17"/>
      <c r="C197" s="17"/>
      <c r="D197" s="17"/>
      <c r="E197" s="17"/>
      <c r="F197" s="19"/>
      <c r="G197" s="19"/>
      <c r="H197" s="19"/>
      <c r="I197" s="19"/>
      <c r="J197" s="19">
        <f>MIN(J137,$B$5)</f>
        <v>84.069440623404006</v>
      </c>
      <c r="K197" s="19"/>
      <c r="L197" s="19">
        <f>MIN(L137,$B$5)</f>
        <v>84.010037996052674</v>
      </c>
      <c r="M197" s="19"/>
      <c r="N197" s="19">
        <f>MIN(N137,$B$5)</f>
        <v>84.03371663352587</v>
      </c>
      <c r="O197" s="19"/>
      <c r="P197" s="19">
        <f>MIN(P137,$B$5)</f>
        <v>84.174910193953238</v>
      </c>
      <c r="Q197" s="19"/>
      <c r="R197" s="19">
        <f>MIN(R137,$B$5)</f>
        <v>84.479662110195861</v>
      </c>
      <c r="S197" s="19"/>
      <c r="T197" s="19">
        <f>MIN(T137,$B$5)</f>
        <v>85.008484000344566</v>
      </c>
      <c r="U197" s="19"/>
      <c r="V197" s="19">
        <f>MIN(V137,$B$5)</f>
        <v>85.83899160425274</v>
      </c>
      <c r="W197" s="19"/>
      <c r="X197" s="19">
        <f>MIN(X137,$B$5)</f>
        <v>87.067382182243961</v>
      </c>
      <c r="Y197" s="19"/>
      <c r="Z197" s="19">
        <f>MIN(Z137,$B$5)</f>
        <v>88.807216382955176</v>
      </c>
      <c r="AA197" s="19"/>
      <c r="AB197" s="19">
        <f>MIN(AB137,$B$5)</f>
        <v>91.183422412557533</v>
      </c>
      <c r="AC197" s="19"/>
      <c r="AD197" s="19">
        <f>MIN(AD137,$B$5)</f>
        <v>94.319353517859653</v>
      </c>
      <c r="AE197" s="19"/>
      <c r="AF197" s="19">
        <f>MIN(AF137,$B$5)</f>
        <v>98.31558309108506</v>
      </c>
      <c r="AG197" s="19"/>
      <c r="AH197" s="19">
        <f>MIN(AH137,$B$5)</f>
        <v>100</v>
      </c>
      <c r="AI197" s="19"/>
      <c r="AJ197" s="19">
        <v>109</v>
      </c>
    </row>
    <row r="198" spans="1:36">
      <c r="A198" s="17"/>
      <c r="B198" s="17"/>
      <c r="C198" s="17"/>
      <c r="D198" s="17"/>
      <c r="E198" s="17"/>
      <c r="F198" s="19"/>
      <c r="G198" s="19"/>
      <c r="H198" s="19"/>
      <c r="I198" s="19">
        <f>MIN(I138,$B$5)</f>
        <v>97.005848988479357</v>
      </c>
      <c r="J198" s="19"/>
      <c r="K198" s="19">
        <f>MIN(K138,$B$5)</f>
        <v>96.720529086010259</v>
      </c>
      <c r="L198" s="19"/>
      <c r="M198" s="19">
        <f>MIN(M138,$B$5)</f>
        <v>96.48660705808922</v>
      </c>
      <c r="N198" s="19"/>
      <c r="O198" s="19">
        <f>MIN(O138,$B$5)</f>
        <v>96.327151005810094</v>
      </c>
      <c r="P198" s="19"/>
      <c r="Q198" s="19">
        <f>MIN(Q138,$B$5)</f>
        <v>96.271911881144746</v>
      </c>
      <c r="R198" s="19"/>
      <c r="S198" s="19">
        <f>MIN(S138,$B$5)</f>
        <v>96.358308007252973</v>
      </c>
      <c r="T198" s="19"/>
      <c r="U198" s="19">
        <f>MIN(U138,$B$5)</f>
        <v>96.631830601774951</v>
      </c>
      <c r="V198" s="19"/>
      <c r="W198" s="19">
        <f>MIN(W138,$B$5)</f>
        <v>97.145212409993249</v>
      </c>
      <c r="X198" s="19"/>
      <c r="Y198" s="19">
        <f>MIN(Y138,$B$5)</f>
        <v>97.955436558209882</v>
      </c>
      <c r="Z198" s="19"/>
      <c r="AA198" s="19">
        <f>MIN(AA138,$B$5)</f>
        <v>99.11751658298202</v>
      </c>
      <c r="AB198" s="19"/>
      <c r="AC198" s="19">
        <f>MIN(AC138,$B$5)</f>
        <v>100</v>
      </c>
      <c r="AD198" s="19"/>
      <c r="AE198" s="19">
        <f>MIN(AE138,$B$5)</f>
        <v>100</v>
      </c>
      <c r="AF198" s="19"/>
      <c r="AG198" s="19">
        <f>MIN(AG138,$B$5)</f>
        <v>100</v>
      </c>
      <c r="AH198" s="19"/>
      <c r="AI198" s="19">
        <f>MIN(AI138,$B$5)</f>
        <v>100</v>
      </c>
      <c r="AJ198" s="19">
        <v>109</v>
      </c>
    </row>
    <row r="199" spans="1:36">
      <c r="A199" s="17"/>
      <c r="B199" s="17"/>
      <c r="C199" s="17"/>
      <c r="D199" s="17"/>
      <c r="E199" s="17"/>
      <c r="F199" s="19"/>
      <c r="G199" s="19"/>
      <c r="H199" s="19">
        <f>MIN(H139,$B$5)</f>
        <v>100</v>
      </c>
      <c r="I199" s="19"/>
      <c r="J199" s="19">
        <f>MIN(J139,$B$5)</f>
        <v>100</v>
      </c>
      <c r="K199" s="19"/>
      <c r="L199" s="19">
        <f>MIN(L139,$B$5)</f>
        <v>100</v>
      </c>
      <c r="M199" s="19"/>
      <c r="N199" s="19">
        <f>MIN(N139,$B$5)</f>
        <v>100</v>
      </c>
      <c r="O199" s="19"/>
      <c r="P199" s="19">
        <f>MIN(P139,$B$5)</f>
        <v>100</v>
      </c>
      <c r="Q199" s="19"/>
      <c r="R199" s="19">
        <f>MIN(R139,$B$5)</f>
        <v>100</v>
      </c>
      <c r="S199" s="19"/>
      <c r="T199" s="19">
        <f>MIN(T139,$B$5)</f>
        <v>100</v>
      </c>
      <c r="U199" s="19"/>
      <c r="V199" s="19">
        <f>MIN(V139,$B$5)</f>
        <v>100</v>
      </c>
      <c r="W199" s="19"/>
      <c r="X199" s="19">
        <f>MIN(X139,$B$5)</f>
        <v>100</v>
      </c>
      <c r="Y199" s="19"/>
      <c r="Z199" s="19">
        <f>MIN(Z139,$B$5)</f>
        <v>100</v>
      </c>
      <c r="AA199" s="19"/>
      <c r="AB199" s="19">
        <f>MIN(AB139,$B$5)</f>
        <v>100</v>
      </c>
      <c r="AC199" s="19"/>
      <c r="AD199" s="19">
        <f>MIN(AD139,$B$5)</f>
        <v>100</v>
      </c>
      <c r="AE199" s="19"/>
      <c r="AF199" s="19">
        <f>MIN(AF139,$B$5)</f>
        <v>100</v>
      </c>
      <c r="AG199" s="19"/>
      <c r="AH199" s="19">
        <f>MIN(AH139,$B$5)</f>
        <v>100</v>
      </c>
      <c r="AI199" s="19"/>
      <c r="AJ199" s="19">
        <v>109</v>
      </c>
    </row>
    <row r="200" spans="1:36">
      <c r="A200" s="17" t="s">
        <v>20</v>
      </c>
      <c r="B200" s="17"/>
      <c r="C200" s="17"/>
      <c r="D200" s="17"/>
      <c r="E200" s="17"/>
      <c r="F200" s="19"/>
      <c r="G200" s="19">
        <f>MIN(G140,$B$5)</f>
        <v>100</v>
      </c>
      <c r="H200" s="19"/>
      <c r="I200" s="19">
        <f>MIN(I140,$B$5)</f>
        <v>100</v>
      </c>
      <c r="J200" s="19"/>
      <c r="K200" s="19">
        <f>MIN(K140,$B$5)</f>
        <v>100</v>
      </c>
      <c r="L200" s="19"/>
      <c r="M200" s="18">
        <f>MIN(M140,$B$5)</f>
        <v>100</v>
      </c>
      <c r="N200" s="19"/>
      <c r="O200" s="19">
        <f>MIN(O140,$B$5)</f>
        <v>100</v>
      </c>
      <c r="P200" s="19"/>
      <c r="Q200" s="19">
        <f>MIN(Q140,$B$5)</f>
        <v>100</v>
      </c>
      <c r="R200" s="19"/>
      <c r="S200" s="19">
        <f>MIN(S140,$B$5)</f>
        <v>100</v>
      </c>
      <c r="T200" s="19"/>
      <c r="U200" s="19">
        <f>MIN(U140,$B$5)</f>
        <v>100</v>
      </c>
      <c r="V200" s="19"/>
      <c r="W200" s="19">
        <f>MIN(W140,$B$5)</f>
        <v>100</v>
      </c>
      <c r="X200" s="19"/>
      <c r="Y200" s="19">
        <f>MIN(Y140,$B$5)</f>
        <v>100</v>
      </c>
      <c r="Z200" s="19"/>
      <c r="AA200" s="19">
        <f>MIN(AA140,$B$5)</f>
        <v>100</v>
      </c>
      <c r="AB200" s="19"/>
      <c r="AC200" s="19">
        <f>MIN(AC140,$B$5)</f>
        <v>100</v>
      </c>
      <c r="AD200" s="19"/>
      <c r="AE200" s="19">
        <f>MIN(AE140,$B$5)</f>
        <v>100</v>
      </c>
      <c r="AF200" s="19"/>
      <c r="AG200" s="19">
        <f>MIN(AG140,$B$5)</f>
        <v>100</v>
      </c>
      <c r="AH200" s="19"/>
      <c r="AI200" s="19">
        <f>MIN(AI140,$B$5)</f>
        <v>100</v>
      </c>
      <c r="AJ200" s="19">
        <v>109</v>
      </c>
    </row>
    <row r="201" spans="1:36">
      <c r="A201" s="17"/>
      <c r="B201" s="17"/>
      <c r="C201" s="17"/>
      <c r="D201" s="17"/>
      <c r="E201" s="17"/>
      <c r="F201" s="19"/>
      <c r="G201" s="19"/>
      <c r="H201" s="19">
        <f>MIN(H141,$B$5)</f>
        <v>100</v>
      </c>
      <c r="I201" s="19"/>
      <c r="J201" s="19">
        <f>MIN(J141,$B$5)</f>
        <v>100</v>
      </c>
      <c r="K201" s="19"/>
      <c r="L201" s="19">
        <f>MIN(L141,$B$5)</f>
        <v>100</v>
      </c>
      <c r="M201" s="19"/>
      <c r="N201" s="19">
        <f>MIN(N141,$B$5)</f>
        <v>100</v>
      </c>
      <c r="O201" s="19"/>
      <c r="P201" s="19">
        <f>MIN(P141,$B$5)</f>
        <v>100</v>
      </c>
      <c r="Q201" s="19"/>
      <c r="R201" s="19">
        <f>MIN(R141,$B$5)</f>
        <v>100</v>
      </c>
      <c r="S201" s="19"/>
      <c r="T201" s="19">
        <f>MIN(T141,$B$5)</f>
        <v>100</v>
      </c>
      <c r="U201" s="19"/>
      <c r="V201" s="19">
        <f>MIN(V141,$B$5)</f>
        <v>100</v>
      </c>
      <c r="W201" s="19"/>
      <c r="X201" s="19">
        <f>MIN(X141,$B$5)</f>
        <v>100</v>
      </c>
      <c r="Y201" s="19"/>
      <c r="Z201" s="19">
        <f>MIN(Z141,$B$5)</f>
        <v>100</v>
      </c>
      <c r="AA201" s="19"/>
      <c r="AB201" s="19">
        <f>MIN(AB141,$B$5)</f>
        <v>100</v>
      </c>
      <c r="AC201" s="19"/>
      <c r="AD201" s="19">
        <f>MIN(AD141,$B$5)</f>
        <v>100</v>
      </c>
      <c r="AE201" s="19"/>
      <c r="AF201" s="19">
        <f>MIN(AF141,$B$5)</f>
        <v>100</v>
      </c>
      <c r="AG201" s="19"/>
      <c r="AH201" s="19">
        <f>MIN(AH141,$B$5)</f>
        <v>100</v>
      </c>
      <c r="AI201" s="19"/>
      <c r="AJ201" s="19">
        <v>109</v>
      </c>
    </row>
    <row r="202" spans="1:36">
      <c r="A202" s="17"/>
      <c r="B202" s="17"/>
      <c r="C202" s="17"/>
      <c r="D202" s="17"/>
      <c r="E202" s="17"/>
      <c r="F202" s="19"/>
      <c r="G202" s="19"/>
      <c r="H202" s="19"/>
      <c r="I202" s="19">
        <f>MIN(I142,$B$5)</f>
        <v>100</v>
      </c>
      <c r="J202" s="19"/>
      <c r="K202" s="19">
        <f>MIN(K142,$B$5)</f>
        <v>100</v>
      </c>
      <c r="L202" s="19"/>
      <c r="M202" s="19">
        <f>MIN(M142,$B$5)</f>
        <v>100</v>
      </c>
      <c r="N202" s="19"/>
      <c r="O202" s="19">
        <f>MIN(O142,$B$5)</f>
        <v>100</v>
      </c>
      <c r="P202" s="19"/>
      <c r="Q202" s="19">
        <f>MIN(Q142,$B$5)</f>
        <v>100</v>
      </c>
      <c r="R202" s="19"/>
      <c r="S202" s="19">
        <f>MIN(S142,$B$5)</f>
        <v>100</v>
      </c>
      <c r="T202" s="19"/>
      <c r="U202" s="19">
        <f>MIN(U142,$B$5)</f>
        <v>100</v>
      </c>
      <c r="V202" s="19"/>
      <c r="W202" s="19">
        <f>MIN(W142,$B$5)</f>
        <v>100</v>
      </c>
      <c r="X202" s="19"/>
      <c r="Y202" s="19">
        <f>MIN(Y142,$B$5)</f>
        <v>100</v>
      </c>
      <c r="Z202" s="19"/>
      <c r="AA202" s="19">
        <f>MIN(AA142,$B$5)</f>
        <v>100</v>
      </c>
      <c r="AB202" s="19"/>
      <c r="AC202" s="19">
        <f>MIN(AC142,$B$5)</f>
        <v>100</v>
      </c>
      <c r="AD202" s="19"/>
      <c r="AE202" s="19">
        <f>MIN(AE142,$B$5)</f>
        <v>100</v>
      </c>
      <c r="AF202" s="19"/>
      <c r="AG202" s="19">
        <f>MIN(AG142,$B$5)</f>
        <v>100</v>
      </c>
      <c r="AH202" s="19"/>
      <c r="AI202" s="19">
        <f>MIN(AI142,$B$5)</f>
        <v>100</v>
      </c>
      <c r="AJ202" s="19">
        <v>109</v>
      </c>
    </row>
    <row r="203" spans="1:36">
      <c r="A203" s="17"/>
      <c r="B203" s="17"/>
      <c r="C203" s="17"/>
      <c r="D203" s="17"/>
      <c r="E203" s="17"/>
      <c r="F203" s="19"/>
      <c r="G203" s="19"/>
      <c r="H203" s="19"/>
      <c r="I203" s="19"/>
      <c r="J203" s="19">
        <f>MIN(J143,$B$5)</f>
        <v>100</v>
      </c>
      <c r="K203" s="19"/>
      <c r="L203" s="19">
        <f>MIN(L143,$B$5)</f>
        <v>100</v>
      </c>
      <c r="M203" s="19"/>
      <c r="N203" s="19">
        <f>MIN(N143,$B$5)</f>
        <v>100</v>
      </c>
      <c r="O203" s="19"/>
      <c r="P203" s="19">
        <f>MIN(P143,$B$5)</f>
        <v>100</v>
      </c>
      <c r="Q203" s="19"/>
      <c r="R203" s="19">
        <f>MIN(R143,$B$5)</f>
        <v>100</v>
      </c>
      <c r="S203" s="19"/>
      <c r="T203" s="19">
        <f>MIN(T143,$B$5)</f>
        <v>100</v>
      </c>
      <c r="U203" s="19"/>
      <c r="V203" s="19">
        <f>MIN(V143,$B$5)</f>
        <v>100</v>
      </c>
      <c r="W203" s="19"/>
      <c r="X203" s="19">
        <f>MIN(X143,$B$5)</f>
        <v>100</v>
      </c>
      <c r="Y203" s="19"/>
      <c r="Z203" s="19">
        <f>MIN(Z143,$B$5)</f>
        <v>100</v>
      </c>
      <c r="AA203" s="19"/>
      <c r="AB203" s="19">
        <f>MIN(AB143,$B$5)</f>
        <v>100</v>
      </c>
      <c r="AC203" s="19"/>
      <c r="AD203" s="19">
        <f>MIN(AD143,$B$5)</f>
        <v>100</v>
      </c>
      <c r="AE203" s="19"/>
      <c r="AF203" s="19">
        <f>MIN(AF143,$B$5)</f>
        <v>100</v>
      </c>
      <c r="AG203" s="19"/>
      <c r="AH203" s="19">
        <f>MIN(AH143,$B$5)</f>
        <v>100</v>
      </c>
      <c r="AI203" s="19"/>
      <c r="AJ203" s="19">
        <v>109</v>
      </c>
    </row>
    <row r="204" spans="1:36">
      <c r="A204" s="17"/>
      <c r="B204" s="17"/>
      <c r="C204" s="17"/>
      <c r="D204" s="17"/>
      <c r="E204" s="17"/>
      <c r="F204" s="19"/>
      <c r="G204" s="19"/>
      <c r="H204" s="19"/>
      <c r="I204" s="19"/>
      <c r="J204" s="19"/>
      <c r="K204" s="19">
        <f>MIN(K144,$B$5)</f>
        <v>100</v>
      </c>
      <c r="L204" s="19"/>
      <c r="M204" s="19">
        <f>MIN(M144,$B$5)</f>
        <v>100</v>
      </c>
      <c r="N204" s="19"/>
      <c r="O204" s="19">
        <f>MIN(O144,$B$5)</f>
        <v>100</v>
      </c>
      <c r="P204" s="19"/>
      <c r="Q204" s="19">
        <f>MIN(Q144,$B$5)</f>
        <v>100</v>
      </c>
      <c r="R204" s="19"/>
      <c r="S204" s="19">
        <f>MIN(S144,$B$5)</f>
        <v>100</v>
      </c>
      <c r="T204" s="19"/>
      <c r="U204" s="19">
        <f>MIN(U144,$B$5)</f>
        <v>100</v>
      </c>
      <c r="V204" s="19"/>
      <c r="W204" s="19">
        <f>MIN(W144,$B$5)</f>
        <v>100</v>
      </c>
      <c r="X204" s="19"/>
      <c r="Y204" s="19">
        <f>MIN(Y144,$B$5)</f>
        <v>100</v>
      </c>
      <c r="Z204" s="19"/>
      <c r="AA204" s="19">
        <f>MIN(AA144,$B$5)</f>
        <v>100</v>
      </c>
      <c r="AB204" s="19"/>
      <c r="AC204" s="19">
        <f>MIN(AC144,$B$5)</f>
        <v>100</v>
      </c>
      <c r="AD204" s="19"/>
      <c r="AE204" s="19">
        <f>MIN(AE144,$B$5)</f>
        <v>100</v>
      </c>
      <c r="AF204" s="19"/>
      <c r="AG204" s="19">
        <f>MIN(AG144,$B$5)</f>
        <v>100</v>
      </c>
      <c r="AH204" s="19"/>
      <c r="AI204" s="19">
        <f>MIN(AI144,$B$5)</f>
        <v>100</v>
      </c>
      <c r="AJ204" s="19">
        <v>109</v>
      </c>
    </row>
    <row r="205" spans="1:36">
      <c r="A205" s="17"/>
      <c r="B205" s="17"/>
      <c r="C205" s="17"/>
      <c r="D205" s="17"/>
      <c r="E205" s="17"/>
      <c r="F205" s="19"/>
      <c r="G205" s="19"/>
      <c r="H205" s="19"/>
      <c r="I205" s="19"/>
      <c r="J205" s="19"/>
      <c r="K205" s="19"/>
      <c r="L205" s="19">
        <f>MIN(L145,$B$5)</f>
        <v>100</v>
      </c>
      <c r="M205" s="19"/>
      <c r="N205" s="19">
        <f>MIN(N145,$B$5)</f>
        <v>100</v>
      </c>
      <c r="O205" s="19"/>
      <c r="P205" s="19">
        <f>MIN(P145,$B$5)</f>
        <v>100</v>
      </c>
      <c r="Q205" s="19"/>
      <c r="R205" s="19">
        <f>MIN(R145,$B$5)</f>
        <v>100</v>
      </c>
      <c r="S205" s="19"/>
      <c r="T205" s="19">
        <f>MIN(T145,$B$5)</f>
        <v>100</v>
      </c>
      <c r="U205" s="19"/>
      <c r="V205" s="19">
        <f>MIN(V145,$B$5)</f>
        <v>100</v>
      </c>
      <c r="W205" s="19"/>
      <c r="X205" s="19">
        <f>MIN(X145,$B$5)</f>
        <v>100</v>
      </c>
      <c r="Y205" s="19"/>
      <c r="Z205" s="19">
        <f>MIN(Z145,$B$5)</f>
        <v>100</v>
      </c>
      <c r="AA205" s="19"/>
      <c r="AB205" s="19">
        <f>MIN(AB145,$B$5)</f>
        <v>100</v>
      </c>
      <c r="AC205" s="19"/>
      <c r="AD205" s="19">
        <f t="shared" ref="AD205" si="196">(1/(1+AD115))*(0.5*($B$4*$B$5+AE204)+0.5*($B$4*$B$5+AE206))</f>
        <v>109</v>
      </c>
      <c r="AE205" s="19"/>
      <c r="AF205" s="19">
        <f>MIN(AF145,$B$5)</f>
        <v>100</v>
      </c>
      <c r="AG205" s="19"/>
      <c r="AH205" s="19">
        <f>MIN(AH145,$B$5)</f>
        <v>100</v>
      </c>
      <c r="AI205" s="19"/>
      <c r="AJ205" s="19">
        <v>109</v>
      </c>
    </row>
    <row r="206" spans="1:36">
      <c r="A206" s="17"/>
      <c r="B206" s="17"/>
      <c r="C206" s="17"/>
      <c r="D206" s="17"/>
      <c r="E206" s="17"/>
      <c r="F206" s="19"/>
      <c r="G206" s="19"/>
      <c r="H206" s="19"/>
      <c r="I206" s="19"/>
      <c r="J206" s="19"/>
      <c r="K206" s="19"/>
      <c r="L206" s="19"/>
      <c r="M206" s="19">
        <f>MIN(M146,$B$5)</f>
        <v>100</v>
      </c>
      <c r="N206" s="19"/>
      <c r="O206" s="19">
        <f>MIN(O146,$B$5)</f>
        <v>100</v>
      </c>
      <c r="P206" s="19"/>
      <c r="Q206" s="19">
        <f>MIN(Q146,$B$5)</f>
        <v>100</v>
      </c>
      <c r="R206" s="19"/>
      <c r="S206" s="19">
        <f>MIN(S146,$B$5)</f>
        <v>100</v>
      </c>
      <c r="T206" s="19"/>
      <c r="U206" s="19">
        <f>MIN(U146,$B$5)</f>
        <v>100</v>
      </c>
      <c r="V206" s="19"/>
      <c r="W206" s="19">
        <f>MIN(W146,$B$5)</f>
        <v>100</v>
      </c>
      <c r="X206" s="19"/>
      <c r="Y206" s="19">
        <f>MIN(Y146,$B$5)</f>
        <v>100</v>
      </c>
      <c r="Z206" s="19"/>
      <c r="AA206" s="19">
        <f>MIN(AA146,$B$5)</f>
        <v>100</v>
      </c>
      <c r="AB206" s="19"/>
      <c r="AC206" s="19">
        <f>MIN(AC146,$B$5)</f>
        <v>100</v>
      </c>
      <c r="AD206" s="19"/>
      <c r="AE206" s="19">
        <f>MIN(AE146,$B$5)</f>
        <v>100</v>
      </c>
      <c r="AF206" s="19"/>
      <c r="AG206" s="19">
        <f>MIN(AG146,$B$5)</f>
        <v>100</v>
      </c>
      <c r="AH206" s="19"/>
      <c r="AI206" s="19">
        <f>MIN(AI146,$B$5)</f>
        <v>100</v>
      </c>
      <c r="AJ206" s="19">
        <v>109</v>
      </c>
    </row>
    <row r="207" spans="1:36">
      <c r="A207" s="17"/>
      <c r="B207" s="17"/>
      <c r="C207" s="17"/>
      <c r="D207" s="17"/>
      <c r="E207" s="17"/>
      <c r="F207" s="19"/>
      <c r="G207" s="19"/>
      <c r="H207" s="19"/>
      <c r="I207" s="19"/>
      <c r="J207" s="19"/>
      <c r="K207" s="19"/>
      <c r="L207" s="19"/>
      <c r="M207" s="19"/>
      <c r="N207" s="19">
        <f>MIN(N147,$B$5)</f>
        <v>100</v>
      </c>
      <c r="O207" s="19"/>
      <c r="P207" s="19">
        <f>MIN(P147,$B$5)</f>
        <v>100</v>
      </c>
      <c r="Q207" s="19"/>
      <c r="R207" s="19">
        <f>MIN(R147,$B$5)</f>
        <v>100</v>
      </c>
      <c r="S207" s="19"/>
      <c r="T207" s="19">
        <f>MIN(T147,$B$5)</f>
        <v>100</v>
      </c>
      <c r="U207" s="19"/>
      <c r="V207" s="19">
        <f>MIN(V147,$B$5)</f>
        <v>100</v>
      </c>
      <c r="W207" s="19"/>
      <c r="X207" s="19">
        <f>MIN(X147,$B$5)</f>
        <v>100</v>
      </c>
      <c r="Y207" s="19"/>
      <c r="Z207" s="19">
        <f>MIN(Z147,$B$5)</f>
        <v>100</v>
      </c>
      <c r="AA207" s="19"/>
      <c r="AB207" s="19">
        <f>MIN(AB147,$B$5)</f>
        <v>100</v>
      </c>
      <c r="AC207" s="19"/>
      <c r="AD207" s="19">
        <f>MIN(AD147,$B$5)</f>
        <v>100</v>
      </c>
      <c r="AE207" s="19"/>
      <c r="AF207" s="19">
        <f>MIN(AF147,$B$5)</f>
        <v>100</v>
      </c>
      <c r="AG207" s="19"/>
      <c r="AH207" s="19">
        <f>MIN(AH147,$B$5)</f>
        <v>100</v>
      </c>
      <c r="AI207" s="19"/>
      <c r="AJ207" s="19">
        <v>109</v>
      </c>
    </row>
    <row r="208" spans="1:36">
      <c r="A208" s="17"/>
      <c r="B208" s="17"/>
      <c r="C208" s="17"/>
      <c r="D208" s="17"/>
      <c r="E208" s="17"/>
      <c r="F208" s="19"/>
      <c r="G208" s="19"/>
      <c r="H208" s="19"/>
      <c r="I208" s="19"/>
      <c r="J208" s="19"/>
      <c r="K208" s="19"/>
      <c r="L208" s="19"/>
      <c r="M208" s="19"/>
      <c r="N208" s="19"/>
      <c r="O208" s="19">
        <f>MIN(O148,$B$5)</f>
        <v>100</v>
      </c>
      <c r="P208" s="19"/>
      <c r="Q208" s="19">
        <f>MIN(Q148,$B$5)</f>
        <v>100</v>
      </c>
      <c r="R208" s="19"/>
      <c r="S208" s="19">
        <f>MIN(S148,$B$5)</f>
        <v>100</v>
      </c>
      <c r="T208" s="19"/>
      <c r="U208" s="19">
        <f>MIN(U148,$B$5)</f>
        <v>100</v>
      </c>
      <c r="V208" s="19"/>
      <c r="W208" s="19">
        <f>MIN(W148,$B$5)</f>
        <v>100</v>
      </c>
      <c r="X208" s="19"/>
      <c r="Y208" s="19">
        <f>MIN(Y148,$B$5)</f>
        <v>100</v>
      </c>
      <c r="Z208" s="19"/>
      <c r="AA208" s="19">
        <f>MIN(AA148,$B$5)</f>
        <v>100</v>
      </c>
      <c r="AB208" s="19"/>
      <c r="AC208" s="19">
        <f>MIN(AC148,$B$5)</f>
        <v>100</v>
      </c>
      <c r="AD208" s="19"/>
      <c r="AE208" s="19">
        <f>MIN(AE148,$B$5)</f>
        <v>100</v>
      </c>
      <c r="AF208" s="19"/>
      <c r="AG208" s="19">
        <f>MIN(AG148,$B$5)</f>
        <v>100</v>
      </c>
      <c r="AH208" s="19"/>
      <c r="AI208" s="19">
        <f>MIN(AI148,$B$5)</f>
        <v>100</v>
      </c>
      <c r="AJ208" s="19">
        <v>109</v>
      </c>
    </row>
    <row r="209" spans="1:36">
      <c r="A209" s="17"/>
      <c r="B209" s="17"/>
      <c r="C209" s="17"/>
      <c r="D209" s="17"/>
      <c r="E209" s="17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>
        <f>MIN(P149,$B$5)</f>
        <v>100</v>
      </c>
      <c r="Q209" s="19"/>
      <c r="R209" s="19">
        <f>MIN(R149,$B$5)</f>
        <v>100</v>
      </c>
      <c r="S209" s="19"/>
      <c r="T209" s="19">
        <f>MIN(T149,$B$5)</f>
        <v>100</v>
      </c>
      <c r="U209" s="19"/>
      <c r="V209" s="19">
        <f>MIN(V149,$B$5)</f>
        <v>100</v>
      </c>
      <c r="W209" s="19"/>
      <c r="X209" s="19">
        <f>MIN(X149,$B$5)</f>
        <v>100</v>
      </c>
      <c r="Y209" s="19"/>
      <c r="Z209" s="19">
        <f>MIN(Z149,$B$5)</f>
        <v>100</v>
      </c>
      <c r="AA209" s="19"/>
      <c r="AB209" s="19">
        <f>MIN(AB149,$B$5)</f>
        <v>100</v>
      </c>
      <c r="AC209" s="19"/>
      <c r="AD209" s="19">
        <f>MIN(AD149,$B$5)</f>
        <v>100</v>
      </c>
      <c r="AE209" s="19"/>
      <c r="AF209" s="19">
        <f>MIN(AF149,$B$5)</f>
        <v>100</v>
      </c>
      <c r="AG209" s="19"/>
      <c r="AH209" s="19">
        <f>MIN(AH149,$B$5)</f>
        <v>100</v>
      </c>
      <c r="AI209" s="19"/>
      <c r="AJ209" s="19">
        <v>109</v>
      </c>
    </row>
    <row r="210" spans="1:36">
      <c r="A210" s="17"/>
      <c r="B210" s="17"/>
      <c r="C210" s="17"/>
      <c r="D210" s="17"/>
      <c r="E210" s="17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>
        <f>MIN(Q150,$B$5)</f>
        <v>100</v>
      </c>
      <c r="R210" s="19"/>
      <c r="S210" s="19">
        <f>MIN(S150,$B$5)</f>
        <v>100</v>
      </c>
      <c r="T210" s="19"/>
      <c r="U210" s="19">
        <f>MIN(U150,$B$5)</f>
        <v>100</v>
      </c>
      <c r="V210" s="19"/>
      <c r="W210" s="19">
        <f>MIN(W150,$B$5)</f>
        <v>100</v>
      </c>
      <c r="X210" s="19"/>
      <c r="Y210" s="19">
        <f>MIN(Y150,$B$5)</f>
        <v>100</v>
      </c>
      <c r="Z210" s="19"/>
      <c r="AA210" s="19">
        <f>MIN(AA150,$B$5)</f>
        <v>100</v>
      </c>
      <c r="AB210" s="19"/>
      <c r="AC210" s="19">
        <f>MIN(AC150,$B$5)</f>
        <v>100</v>
      </c>
      <c r="AD210" s="19"/>
      <c r="AE210" s="19">
        <f>MIN(AE150,$B$5)</f>
        <v>100</v>
      </c>
      <c r="AF210" s="19"/>
      <c r="AG210" s="19">
        <f>MIN(AG150,$B$5)</f>
        <v>100</v>
      </c>
      <c r="AH210" s="19"/>
      <c r="AI210" s="19">
        <f>MIN(AI150,$B$5)</f>
        <v>100</v>
      </c>
      <c r="AJ210" s="19">
        <v>109</v>
      </c>
    </row>
    <row r="211" spans="1:36">
      <c r="A211" s="17"/>
      <c r="B211" s="17"/>
      <c r="C211" s="17"/>
      <c r="D211" s="17"/>
      <c r="E211" s="17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>
        <f>MIN(R151,$B$5)</f>
        <v>100</v>
      </c>
      <c r="S211" s="19"/>
      <c r="T211" s="19">
        <f>MIN(T151,$B$5)</f>
        <v>100</v>
      </c>
      <c r="U211" s="19"/>
      <c r="V211" s="19">
        <f>MIN(V151,$B$5)</f>
        <v>100</v>
      </c>
      <c r="W211" s="19"/>
      <c r="X211" s="19">
        <f>MIN(X151,$B$5)</f>
        <v>100</v>
      </c>
      <c r="Y211" s="19"/>
      <c r="Z211" s="19">
        <f>MIN(Z151,$B$5)</f>
        <v>100</v>
      </c>
      <c r="AA211" s="19"/>
      <c r="AB211" s="19">
        <f>MIN(AB151,$B$5)</f>
        <v>100</v>
      </c>
      <c r="AC211" s="19"/>
      <c r="AD211" s="19">
        <f>MIN(AD151,$B$5)</f>
        <v>100</v>
      </c>
      <c r="AE211" s="19"/>
      <c r="AF211" s="19">
        <f>MIN(AF151,$B$5)</f>
        <v>100</v>
      </c>
      <c r="AG211" s="19"/>
      <c r="AH211" s="19">
        <f>MIN(AH151,$B$5)</f>
        <v>100</v>
      </c>
      <c r="AI211" s="19"/>
      <c r="AJ211" s="19">
        <v>109</v>
      </c>
    </row>
    <row r="212" spans="1:36">
      <c r="A212" s="17"/>
      <c r="B212" s="17"/>
      <c r="C212" s="17"/>
      <c r="D212" s="17"/>
      <c r="E212" s="17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>
        <f>MIN(S152,$B$5)</f>
        <v>100</v>
      </c>
      <c r="T212" s="19"/>
      <c r="U212" s="19">
        <f>MIN(U152,$B$5)</f>
        <v>100</v>
      </c>
      <c r="V212" s="19"/>
      <c r="W212" s="19">
        <f>MIN(W152,$B$5)</f>
        <v>100</v>
      </c>
      <c r="X212" s="19"/>
      <c r="Y212" s="19">
        <f>MIN(Y152,$B$5)</f>
        <v>100</v>
      </c>
      <c r="Z212" s="19"/>
      <c r="AA212" s="19">
        <f>MIN(AA152,$B$5)</f>
        <v>100</v>
      </c>
      <c r="AB212" s="19"/>
      <c r="AC212" s="19">
        <f>MIN(AC152,$B$5)</f>
        <v>100</v>
      </c>
      <c r="AD212" s="19"/>
      <c r="AE212" s="19">
        <f>MIN(AE152,$B$5)</f>
        <v>100</v>
      </c>
      <c r="AF212" s="19"/>
      <c r="AG212" s="19">
        <f>MIN(AG152,$B$5)</f>
        <v>100</v>
      </c>
      <c r="AH212" s="19"/>
      <c r="AI212" s="19">
        <f>MIN(AI152,$B$5)</f>
        <v>100</v>
      </c>
      <c r="AJ212" s="19">
        <v>109</v>
      </c>
    </row>
    <row r="213" spans="1:36">
      <c r="A213" s="17"/>
      <c r="B213" s="17"/>
      <c r="C213" s="17"/>
      <c r="D213" s="17"/>
      <c r="E213" s="17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>
        <f>MIN(T153,$B$5)</f>
        <v>100</v>
      </c>
      <c r="U213" s="19"/>
      <c r="V213" s="19">
        <f>MIN(V153,$B$5)</f>
        <v>100</v>
      </c>
      <c r="W213" s="19"/>
      <c r="X213" s="19">
        <f>MIN(X153,$B$5)</f>
        <v>100</v>
      </c>
      <c r="Y213" s="19"/>
      <c r="Z213" s="19">
        <f>MIN(Z153,$B$5)</f>
        <v>100</v>
      </c>
      <c r="AA213" s="19"/>
      <c r="AB213" s="19">
        <f>MIN(AB153,$B$5)</f>
        <v>100</v>
      </c>
      <c r="AC213" s="19"/>
      <c r="AD213" s="19">
        <f>MIN(AD153,$B$5)</f>
        <v>100</v>
      </c>
      <c r="AE213" s="19"/>
      <c r="AF213" s="19">
        <f>MIN(AF153,$B$5)</f>
        <v>100</v>
      </c>
      <c r="AG213" s="19"/>
      <c r="AH213" s="19">
        <f>MIN(AH153,$B$5)</f>
        <v>100</v>
      </c>
      <c r="AI213" s="19"/>
      <c r="AJ213" s="19">
        <v>109</v>
      </c>
    </row>
    <row r="214" spans="1:36">
      <c r="A214" s="17"/>
      <c r="B214" s="17"/>
      <c r="C214" s="17"/>
      <c r="D214" s="17"/>
      <c r="E214" s="17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>
        <f>MIN(U154,$B$5)</f>
        <v>100</v>
      </c>
      <c r="V214" s="19"/>
      <c r="W214" s="19">
        <f>MIN(W154,$B$5)</f>
        <v>100</v>
      </c>
      <c r="X214" s="19"/>
      <c r="Y214" s="19">
        <f>MIN(Y154,$B$5)</f>
        <v>100</v>
      </c>
      <c r="Z214" s="19"/>
      <c r="AA214" s="19">
        <f>MIN(AA154,$B$5)</f>
        <v>100</v>
      </c>
      <c r="AB214" s="19"/>
      <c r="AC214" s="19">
        <f>MIN(AC154,$B$5)</f>
        <v>100</v>
      </c>
      <c r="AD214" s="19"/>
      <c r="AE214" s="19">
        <f>MIN(AE154,$B$5)</f>
        <v>100</v>
      </c>
      <c r="AF214" s="19"/>
      <c r="AG214" s="19">
        <f>MIN(AG154,$B$5)</f>
        <v>100</v>
      </c>
      <c r="AH214" s="19"/>
      <c r="AI214" s="19">
        <f>MIN(AI154,$B$5)</f>
        <v>100</v>
      </c>
      <c r="AJ214" s="19">
        <v>109</v>
      </c>
    </row>
    <row r="215" spans="1:36">
      <c r="A215" s="17"/>
      <c r="B215" s="17"/>
      <c r="C215" s="17"/>
      <c r="D215" s="17"/>
      <c r="E215" s="17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>
        <f>MIN(V155,$B$5)</f>
        <v>100</v>
      </c>
      <c r="W215" s="19"/>
      <c r="X215" s="19">
        <f>MIN(X155,$B$5)</f>
        <v>100</v>
      </c>
      <c r="Y215" s="19"/>
      <c r="Z215" s="19">
        <f>MIN(Z155,$B$5)</f>
        <v>100</v>
      </c>
      <c r="AA215" s="19"/>
      <c r="AB215" s="19">
        <f>MIN(AB155,$B$5)</f>
        <v>100</v>
      </c>
      <c r="AC215" s="19"/>
      <c r="AD215" s="19">
        <f>MIN(AD155,$B$5)</f>
        <v>100</v>
      </c>
      <c r="AE215" s="19"/>
      <c r="AF215" s="19">
        <f>MIN(AF155,$B$5)</f>
        <v>100</v>
      </c>
      <c r="AG215" s="19"/>
      <c r="AH215" s="19">
        <f>MIN(AH155,$B$5)</f>
        <v>100</v>
      </c>
      <c r="AI215" s="19"/>
      <c r="AJ215" s="19">
        <v>109</v>
      </c>
    </row>
    <row r="216" spans="1:36">
      <c r="A216" s="17"/>
      <c r="B216" s="17"/>
      <c r="C216" s="17"/>
      <c r="D216" s="17"/>
      <c r="E216" s="17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>
        <f>MIN(W156,$B$5)</f>
        <v>100</v>
      </c>
      <c r="X216" s="19"/>
      <c r="Y216" s="19">
        <f>MIN(Y156,$B$5)</f>
        <v>100</v>
      </c>
      <c r="Z216" s="19"/>
      <c r="AA216" s="19">
        <f>MIN(AA156,$B$5)</f>
        <v>100</v>
      </c>
      <c r="AB216" s="19"/>
      <c r="AC216" s="19">
        <f>MIN(AC156,$B$5)</f>
        <v>100</v>
      </c>
      <c r="AD216" s="19"/>
      <c r="AE216" s="19">
        <f>MIN(AE156,$B$5)</f>
        <v>100</v>
      </c>
      <c r="AF216" s="19"/>
      <c r="AG216" s="19">
        <f>MIN(AG156,$B$5)</f>
        <v>100</v>
      </c>
      <c r="AH216" s="19"/>
      <c r="AI216" s="19">
        <f>MIN(AI156,$B$5)</f>
        <v>100</v>
      </c>
      <c r="AJ216" s="19">
        <v>109</v>
      </c>
    </row>
    <row r="217" spans="1:36">
      <c r="A217" s="17"/>
      <c r="B217" s="17"/>
      <c r="C217" s="17"/>
      <c r="D217" s="17"/>
      <c r="E217" s="17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>
        <f>MIN(X157,$B$5)</f>
        <v>100</v>
      </c>
      <c r="Y217" s="19"/>
      <c r="Z217" s="19">
        <f>MIN(Z157,$B$5)</f>
        <v>100</v>
      </c>
      <c r="AA217" s="19"/>
      <c r="AB217" s="19">
        <f>MIN(AB157,$B$5)</f>
        <v>100</v>
      </c>
      <c r="AC217" s="19"/>
      <c r="AD217" s="19">
        <f>MIN(AD157,$B$5)</f>
        <v>100</v>
      </c>
      <c r="AE217" s="19"/>
      <c r="AF217" s="19">
        <f>MIN(AF157,$B$5)</f>
        <v>100</v>
      </c>
      <c r="AG217" s="19"/>
      <c r="AH217" s="19">
        <f>MIN(AH157,$B$5)</f>
        <v>100</v>
      </c>
      <c r="AI217" s="19"/>
      <c r="AJ217" s="19">
        <v>109</v>
      </c>
    </row>
    <row r="218" spans="1:36">
      <c r="A218" s="17"/>
      <c r="B218" s="17"/>
      <c r="C218" s="17"/>
      <c r="D218" s="17"/>
      <c r="E218" s="17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>
        <f>MIN(Y158,$B$5)</f>
        <v>100</v>
      </c>
      <c r="Z218" s="19"/>
      <c r="AA218" s="19">
        <f>MIN(AA158,$B$5)</f>
        <v>100</v>
      </c>
      <c r="AB218" s="19"/>
      <c r="AC218" s="19">
        <f>MIN(AC158,$B$5)</f>
        <v>100</v>
      </c>
      <c r="AD218" s="19"/>
      <c r="AE218" s="19">
        <f>MIN(AE158,$B$5)</f>
        <v>100</v>
      </c>
      <c r="AF218" s="19"/>
      <c r="AG218" s="19">
        <f>MIN(AG158,$B$5)</f>
        <v>100</v>
      </c>
      <c r="AH218" s="19"/>
      <c r="AI218" s="19">
        <f>MIN(AI158,$B$5)</f>
        <v>100</v>
      </c>
      <c r="AJ218" s="19">
        <v>109</v>
      </c>
    </row>
    <row r="219" spans="1:36">
      <c r="A219" s="17"/>
      <c r="B219" s="17"/>
      <c r="C219" s="17"/>
      <c r="D219" s="17"/>
      <c r="E219" s="17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>
        <f>MIN(Z159,$B$5)</f>
        <v>100</v>
      </c>
      <c r="AA219" s="19"/>
      <c r="AB219" s="19">
        <f>MIN(AB159,$B$5)</f>
        <v>100</v>
      </c>
      <c r="AC219" s="19"/>
      <c r="AD219" s="19">
        <f>MIN(AD159,$B$5)</f>
        <v>100</v>
      </c>
      <c r="AE219" s="19"/>
      <c r="AF219" s="19">
        <f>MIN(AF159,$B$5)</f>
        <v>100</v>
      </c>
      <c r="AG219" s="19"/>
      <c r="AH219" s="19">
        <f>MIN(AH159,$B$5)</f>
        <v>100</v>
      </c>
      <c r="AI219" s="19"/>
      <c r="AJ219" s="19">
        <v>109</v>
      </c>
    </row>
    <row r="220" spans="1:36">
      <c r="A220" s="17"/>
      <c r="B220" s="17"/>
      <c r="C220" s="17"/>
      <c r="D220" s="17"/>
      <c r="E220" s="17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>
        <f>MIN(AA160,$B$5)</f>
        <v>100</v>
      </c>
      <c r="AB220" s="19"/>
      <c r="AC220" s="19">
        <f>MIN(AC160,$B$5)</f>
        <v>100</v>
      </c>
      <c r="AD220" s="19"/>
      <c r="AE220" s="19">
        <f>MIN(AE160,$B$5)</f>
        <v>100</v>
      </c>
      <c r="AF220" s="19"/>
      <c r="AG220" s="19">
        <f>MIN(AG160,$B$5)</f>
        <v>100</v>
      </c>
      <c r="AH220" s="19"/>
      <c r="AI220" s="19">
        <f>MIN(AI160,$B$5)</f>
        <v>100</v>
      </c>
      <c r="AJ220" s="19">
        <v>109</v>
      </c>
    </row>
    <row r="221" spans="1:36">
      <c r="A221" s="17"/>
      <c r="B221" s="17"/>
      <c r="C221" s="17"/>
      <c r="D221" s="17"/>
      <c r="E221" s="17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>
        <f>MIN(AB161,$B$5)</f>
        <v>100</v>
      </c>
      <c r="AC221" s="19"/>
      <c r="AD221" s="19">
        <f>MIN(AD161,$B$5)</f>
        <v>100</v>
      </c>
      <c r="AE221" s="19"/>
      <c r="AF221" s="19">
        <f>MIN(AF161,$B$5)</f>
        <v>100</v>
      </c>
      <c r="AG221" s="19"/>
      <c r="AH221" s="19">
        <f>MIN(AH161,$B$5)</f>
        <v>100</v>
      </c>
      <c r="AI221" s="19"/>
      <c r="AJ221" s="19">
        <v>109</v>
      </c>
    </row>
    <row r="222" spans="1:36">
      <c r="A222" s="17"/>
      <c r="B222" s="17"/>
      <c r="C222" s="17"/>
      <c r="D222" s="17"/>
      <c r="E222" s="17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>
        <f>MIN(AC162,$B$5)</f>
        <v>100</v>
      </c>
      <c r="AD222" s="19"/>
      <c r="AE222" s="19">
        <f>MIN(AE162,$B$5)</f>
        <v>100</v>
      </c>
      <c r="AF222" s="19"/>
      <c r="AG222" s="19">
        <f>MIN(AG162,$B$5)</f>
        <v>100</v>
      </c>
      <c r="AH222" s="19"/>
      <c r="AI222" s="19">
        <f>MIN(AI162,$B$5)</f>
        <v>100</v>
      </c>
      <c r="AJ222" s="19">
        <v>109</v>
      </c>
    </row>
    <row r="223" spans="1:36">
      <c r="A223" s="17"/>
      <c r="B223" s="17"/>
      <c r="C223" s="17"/>
      <c r="D223" s="17"/>
      <c r="E223" s="17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>
        <f>MIN(AD163,$B$5)</f>
        <v>100</v>
      </c>
      <c r="AE223" s="19"/>
      <c r="AF223" s="19">
        <f>MIN(AF163,$B$5)</f>
        <v>100</v>
      </c>
      <c r="AG223" s="19"/>
      <c r="AH223" s="19">
        <f>MIN(AH163,$B$5)</f>
        <v>100</v>
      </c>
      <c r="AI223" s="19"/>
      <c r="AJ223" s="19">
        <v>109</v>
      </c>
    </row>
    <row r="224" spans="1:36">
      <c r="A224" s="17"/>
      <c r="B224" s="17"/>
      <c r="C224" s="17"/>
      <c r="D224" s="17"/>
      <c r="E224" s="17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>
        <f>MIN(AE164,$B$5)</f>
        <v>100</v>
      </c>
      <c r="AF224" s="19"/>
      <c r="AG224" s="19">
        <f>MIN(AG164,$B$5)</f>
        <v>100</v>
      </c>
      <c r="AH224" s="19"/>
      <c r="AI224" s="19">
        <f>MIN(AI164,$B$5)</f>
        <v>100</v>
      </c>
      <c r="AJ224" s="19">
        <v>109</v>
      </c>
    </row>
    <row r="225" spans="1:36">
      <c r="A225" s="17"/>
      <c r="B225" s="17"/>
      <c r="C225" s="17"/>
      <c r="D225" s="17"/>
      <c r="E225" s="17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>
        <f>MIN(AF165,$B$5)</f>
        <v>100</v>
      </c>
      <c r="AG225" s="19"/>
      <c r="AH225" s="19">
        <f>MIN(AH165,$B$5)</f>
        <v>100</v>
      </c>
      <c r="AI225" s="19"/>
      <c r="AJ225" s="19">
        <v>109</v>
      </c>
    </row>
    <row r="226" spans="1:36">
      <c r="A226" s="17"/>
      <c r="B226" s="17"/>
      <c r="C226" s="17"/>
      <c r="D226" s="17"/>
      <c r="E226" s="17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>
        <f>MIN(AG166,$B$5)</f>
        <v>100</v>
      </c>
      <c r="AH226" s="19"/>
      <c r="AI226" s="19">
        <f>MIN(AI166,$B$5)</f>
        <v>100</v>
      </c>
      <c r="AJ226" s="19">
        <v>109</v>
      </c>
    </row>
    <row r="227" spans="1:36">
      <c r="A227" s="17"/>
      <c r="B227" s="17"/>
      <c r="C227" s="17"/>
      <c r="D227" s="17"/>
      <c r="E227" s="17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>
        <f>MIN(AH167,$B$5)</f>
        <v>100</v>
      </c>
      <c r="AI227" s="19"/>
      <c r="AJ227" s="19">
        <v>109</v>
      </c>
    </row>
    <row r="228" spans="1:36">
      <c r="A228" s="17"/>
      <c r="B228" s="17"/>
      <c r="C228" s="17"/>
      <c r="D228" s="17"/>
      <c r="E228" s="17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>
        <f>MIN(AI168,$B$5)</f>
        <v>100</v>
      </c>
      <c r="AJ228" s="19">
        <v>109</v>
      </c>
    </row>
    <row r="229" spans="1:36">
      <c r="A229" s="17"/>
      <c r="B229" s="17"/>
      <c r="C229" s="17"/>
      <c r="D229" s="17"/>
      <c r="E229" s="17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>
        <v>109</v>
      </c>
    </row>
    <row r="230" spans="1:36">
      <c r="AB230" s="19"/>
      <c r="AC230" s="19"/>
      <c r="AF230" s="19"/>
      <c r="AG230" s="19"/>
      <c r="AH230" s="19"/>
      <c r="AI230" s="19"/>
    </row>
    <row r="231" spans="1:36">
      <c r="AB231" s="19"/>
      <c r="AC231" s="19"/>
      <c r="AF231" s="19"/>
      <c r="AH231" s="19"/>
      <c r="AI231" s="19"/>
    </row>
    <row r="232" spans="1:36">
      <c r="AB232" s="19"/>
      <c r="AC232" s="19"/>
      <c r="AH232" s="19"/>
      <c r="AI232" s="19"/>
    </row>
    <row r="233" spans="1:36">
      <c r="AB233" s="19"/>
      <c r="AC233" s="19"/>
      <c r="AH233" s="19"/>
      <c r="AI233" s="19"/>
    </row>
    <row r="234" spans="1:36">
      <c r="AC234" s="19"/>
      <c r="AH234" s="19"/>
      <c r="AI234" s="19"/>
    </row>
    <row r="235" spans="1:36">
      <c r="AH235" s="19"/>
      <c r="AI235" s="19"/>
    </row>
    <row r="236" spans="1:36">
      <c r="AH236" s="19"/>
      <c r="AI236" s="19"/>
    </row>
    <row r="237" spans="1:36">
      <c r="AH237" s="19"/>
      <c r="AI237" s="19"/>
    </row>
    <row r="238" spans="1:36">
      <c r="AH238" s="19"/>
      <c r="AI238" s="19"/>
    </row>
    <row r="239" spans="1:36">
      <c r="AH239" s="19"/>
      <c r="AI239" s="19"/>
    </row>
    <row r="240" spans="1:36">
      <c r="AH240" s="19"/>
      <c r="AI240" s="19"/>
    </row>
    <row r="241" spans="34:34">
      <c r="AH24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zoomScale="90" zoomScaleNormal="90" workbookViewId="0">
      <pane ySplit="1" topLeftCell="A2" activePane="bottomLeft" state="frozen"/>
      <selection pane="bottomLeft" activeCell="B8" sqref="B8:B9"/>
    </sheetView>
  </sheetViews>
  <sheetFormatPr defaultRowHeight="16.5"/>
  <cols>
    <col min="1" max="1" width="3.875" bestFit="1" customWidth="1"/>
    <col min="2" max="2" width="25.625" bestFit="1" customWidth="1"/>
    <col min="3" max="3" width="9.25" bestFit="1" customWidth="1"/>
    <col min="4" max="4" width="9.5" bestFit="1" customWidth="1"/>
    <col min="5" max="7" width="8.25" bestFit="1" customWidth="1"/>
    <col min="8" max="17" width="7" bestFit="1" customWidth="1"/>
    <col min="18" max="33" width="8" bestFit="1" customWidth="1"/>
    <col min="34" max="34" width="8.125" bestFit="1" customWidth="1"/>
  </cols>
  <sheetData>
    <row r="1" spans="1:34" s="1" customFormat="1">
      <c r="C1" s="21" t="s">
        <v>21</v>
      </c>
      <c r="D1" s="21">
        <v>0</v>
      </c>
      <c r="E1" s="21">
        <v>1</v>
      </c>
      <c r="F1" s="21">
        <v>2</v>
      </c>
      <c r="G1" s="21">
        <v>3</v>
      </c>
      <c r="H1" s="21">
        <v>4</v>
      </c>
      <c r="I1" s="21">
        <v>5</v>
      </c>
      <c r="J1" s="21">
        <v>6</v>
      </c>
      <c r="K1" s="21">
        <v>7</v>
      </c>
      <c r="L1" s="21">
        <v>8</v>
      </c>
      <c r="M1" s="21">
        <v>9</v>
      </c>
      <c r="N1" s="21">
        <v>10</v>
      </c>
      <c r="O1" s="21">
        <v>11</v>
      </c>
      <c r="P1" s="21">
        <v>12</v>
      </c>
      <c r="Q1" s="21">
        <v>13</v>
      </c>
      <c r="R1" s="21">
        <v>14</v>
      </c>
      <c r="S1" s="21">
        <v>15</v>
      </c>
      <c r="T1" s="21">
        <v>16</v>
      </c>
      <c r="U1" s="21">
        <v>17</v>
      </c>
      <c r="V1" s="21">
        <v>18</v>
      </c>
      <c r="W1" s="21">
        <v>19</v>
      </c>
      <c r="X1" s="21">
        <v>20</v>
      </c>
      <c r="Y1" s="21">
        <v>21</v>
      </c>
      <c r="Z1" s="21">
        <v>22</v>
      </c>
      <c r="AA1" s="21">
        <v>23</v>
      </c>
      <c r="AB1" s="21">
        <v>24</v>
      </c>
      <c r="AC1" s="21">
        <v>25</v>
      </c>
      <c r="AD1" s="21">
        <v>26</v>
      </c>
      <c r="AE1" s="21">
        <v>27</v>
      </c>
      <c r="AF1" s="21">
        <v>28</v>
      </c>
      <c r="AG1" s="21">
        <v>29</v>
      </c>
      <c r="AH1" s="21">
        <v>30</v>
      </c>
    </row>
    <row r="2" spans="1:34" s="3" customFormat="1">
      <c r="C2" s="3" t="s">
        <v>22</v>
      </c>
      <c r="E2" s="3">
        <f>1/(1+$C$6)^E1</f>
        <v>0.94339622641509424</v>
      </c>
      <c r="F2" s="3">
        <f t="shared" ref="F2:AH2" si="0">1/(1+$C$5)^F1</f>
        <v>0.87343872827321156</v>
      </c>
      <c r="G2" s="3">
        <f t="shared" si="0"/>
        <v>0.81629787689085187</v>
      </c>
      <c r="H2" s="3">
        <f t="shared" si="0"/>
        <v>0.7628952120475252</v>
      </c>
      <c r="I2" s="3">
        <f t="shared" si="0"/>
        <v>0.71298617948366838</v>
      </c>
      <c r="J2" s="3">
        <f t="shared" si="0"/>
        <v>0.66634222381651254</v>
      </c>
      <c r="K2" s="3">
        <f t="shared" si="0"/>
        <v>0.62274974188459109</v>
      </c>
      <c r="L2" s="3">
        <f t="shared" si="0"/>
        <v>0.5820091045650384</v>
      </c>
      <c r="M2" s="3">
        <f t="shared" si="0"/>
        <v>0.54393374258414806</v>
      </c>
      <c r="N2" s="3">
        <f t="shared" si="0"/>
        <v>0.5083492921347178</v>
      </c>
      <c r="O2" s="3">
        <f t="shared" si="0"/>
        <v>0.47509279638758667</v>
      </c>
      <c r="P2" s="3">
        <f t="shared" si="0"/>
        <v>0.44401195924073528</v>
      </c>
      <c r="Q2" s="3">
        <f t="shared" si="0"/>
        <v>0.41496444788853759</v>
      </c>
      <c r="R2" s="3">
        <f t="shared" si="0"/>
        <v>0.3878172410173249</v>
      </c>
      <c r="S2" s="3">
        <f t="shared" si="0"/>
        <v>0.36244601964235967</v>
      </c>
      <c r="T2" s="3">
        <f t="shared" si="0"/>
        <v>0.33873459779659787</v>
      </c>
      <c r="U2" s="3">
        <f t="shared" si="0"/>
        <v>0.31657439046411018</v>
      </c>
      <c r="V2" s="3">
        <f t="shared" si="0"/>
        <v>0.29586391632159825</v>
      </c>
      <c r="W2" s="3">
        <f t="shared" si="0"/>
        <v>0.27650833301083949</v>
      </c>
      <c r="X2" s="3">
        <f t="shared" si="0"/>
        <v>0.2584190028138687</v>
      </c>
      <c r="Y2" s="3">
        <f t="shared" si="0"/>
        <v>0.24151308674193336</v>
      </c>
      <c r="Z2" s="3">
        <f t="shared" si="0"/>
        <v>0.22571316517937698</v>
      </c>
      <c r="AA2" s="3">
        <f t="shared" si="0"/>
        <v>0.21094688334521211</v>
      </c>
      <c r="AB2" s="3">
        <f t="shared" si="0"/>
        <v>0.19714661994879637</v>
      </c>
      <c r="AC2" s="3">
        <f t="shared" si="0"/>
        <v>0.18424917752223957</v>
      </c>
      <c r="AD2" s="3">
        <f t="shared" si="0"/>
        <v>0.17219549301143888</v>
      </c>
      <c r="AE2" s="3">
        <f t="shared" si="0"/>
        <v>0.16093036730041013</v>
      </c>
      <c r="AF2" s="3">
        <f t="shared" si="0"/>
        <v>0.15040221243028987</v>
      </c>
      <c r="AG2" s="3">
        <f t="shared" si="0"/>
        <v>0.1405628153554111</v>
      </c>
      <c r="AH2" s="3">
        <f t="shared" si="0"/>
        <v>0.13136711715458982</v>
      </c>
    </row>
    <row r="3" spans="1:34" s="3" customFormat="1">
      <c r="A3" s="3" t="s">
        <v>54</v>
      </c>
      <c r="B3" s="22" t="s">
        <v>66</v>
      </c>
      <c r="C3" s="19">
        <v>8.0500000000000007</v>
      </c>
      <c r="E3" s="12">
        <f>$C$3*E2</f>
        <v>7.5943396226415096</v>
      </c>
      <c r="F3" s="24">
        <f>$C$3*F2</f>
        <v>7.0311817625993536</v>
      </c>
      <c r="G3" s="24">
        <f t="shared" ref="G3:AG3" si="1">$C$3*G2</f>
        <v>6.5711979089713584</v>
      </c>
      <c r="H3" s="24">
        <f t="shared" si="1"/>
        <v>6.1413064569825782</v>
      </c>
      <c r="I3" s="24">
        <f t="shared" si="1"/>
        <v>5.7395387448435313</v>
      </c>
      <c r="J3" s="24">
        <f t="shared" si="1"/>
        <v>5.364054901722926</v>
      </c>
      <c r="K3" s="24">
        <f t="shared" si="1"/>
        <v>5.0131354221709588</v>
      </c>
      <c r="L3" s="24">
        <f t="shared" si="1"/>
        <v>4.6851732917485593</v>
      </c>
      <c r="M3" s="24">
        <f t="shared" si="1"/>
        <v>4.3786666278023922</v>
      </c>
      <c r="N3" s="24">
        <f t="shared" si="1"/>
        <v>4.0922118016844786</v>
      </c>
      <c r="O3" s="24">
        <f t="shared" si="1"/>
        <v>3.8244970109200729</v>
      </c>
      <c r="P3" s="24">
        <f t="shared" si="1"/>
        <v>3.5742962718879192</v>
      </c>
      <c r="Q3" s="24">
        <f t="shared" si="1"/>
        <v>3.3404638055027278</v>
      </c>
      <c r="R3" s="24">
        <f t="shared" si="1"/>
        <v>3.1219287901894659</v>
      </c>
      <c r="S3" s="24">
        <f t="shared" si="1"/>
        <v>2.9176904581209957</v>
      </c>
      <c r="T3" s="24">
        <f t="shared" si="1"/>
        <v>2.7268135122626131</v>
      </c>
      <c r="U3" s="24">
        <f t="shared" si="1"/>
        <v>2.5484238432360873</v>
      </c>
      <c r="V3" s="24">
        <f t="shared" si="1"/>
        <v>2.3817045263888663</v>
      </c>
      <c r="W3" s="24">
        <f t="shared" si="1"/>
        <v>2.2258920807372582</v>
      </c>
      <c r="X3" s="24">
        <f t="shared" si="1"/>
        <v>2.0802729726516431</v>
      </c>
      <c r="Y3" s="24">
        <f t="shared" si="1"/>
        <v>1.9441803482725637</v>
      </c>
      <c r="Z3" s="24">
        <f t="shared" si="1"/>
        <v>1.8169909796939849</v>
      </c>
      <c r="AA3" s="24">
        <f t="shared" si="1"/>
        <v>1.6981224109289577</v>
      </c>
      <c r="AB3" s="24">
        <f t="shared" si="1"/>
        <v>1.5870302905878109</v>
      </c>
      <c r="AC3" s="24">
        <f t="shared" si="1"/>
        <v>1.4832058790540288</v>
      </c>
      <c r="AD3" s="24">
        <f t="shared" si="1"/>
        <v>1.3861737187420831</v>
      </c>
      <c r="AE3" s="24">
        <f t="shared" si="1"/>
        <v>1.2954894567683017</v>
      </c>
      <c r="AF3" s="24">
        <f t="shared" si="1"/>
        <v>1.2107378100638335</v>
      </c>
      <c r="AG3" s="24">
        <f t="shared" si="1"/>
        <v>1.1315306636110594</v>
      </c>
      <c r="AH3" s="24">
        <f>$C$3*AH2</f>
        <v>1.0575052930944482</v>
      </c>
    </row>
    <row r="4" spans="1:34" s="26" customFormat="1">
      <c r="B4" s="38" t="s">
        <v>59</v>
      </c>
      <c r="C4" s="39">
        <f>100</f>
        <v>100</v>
      </c>
    </row>
    <row r="5" spans="1:34" s="3" customFormat="1">
      <c r="A5" s="3" t="s">
        <v>61</v>
      </c>
      <c r="B5" s="27" t="s">
        <v>67</v>
      </c>
      <c r="C5" s="19">
        <v>7.0000000000000007E-2</v>
      </c>
    </row>
    <row r="6" spans="1:34" s="17" customFormat="1">
      <c r="B6" s="40" t="s">
        <v>55</v>
      </c>
      <c r="C6" s="19">
        <v>0.06</v>
      </c>
    </row>
    <row r="7" spans="1:34" s="3" customFormat="1">
      <c r="B7" s="27" t="s">
        <v>58</v>
      </c>
      <c r="C7" s="19"/>
      <c r="D7" s="19">
        <f>$C$4</f>
        <v>100</v>
      </c>
      <c r="E7" s="3">
        <f>D9+$C$4*$C$5-$C$3</f>
        <v>98.95</v>
      </c>
      <c r="F7" s="3">
        <f>E9*(1+$C$5)-$C$3</f>
        <v>90.78527623412775</v>
      </c>
      <c r="G7" s="3">
        <f t="shared" ref="G7:AH7" si="2">F9*(1+$C$5)-$C$3</f>
        <v>83.261911748146431</v>
      </c>
      <c r="H7" s="3">
        <f t="shared" si="2"/>
        <v>76.230729985547086</v>
      </c>
      <c r="I7" s="3">
        <f t="shared" si="2"/>
        <v>69.659532076575715</v>
      </c>
      <c r="J7" s="3">
        <f t="shared" si="2"/>
        <v>63.518225619593139</v>
      </c>
      <c r="K7" s="3">
        <f t="shared" si="2"/>
        <v>57.778686874749596</v>
      </c>
      <c r="L7" s="3">
        <f t="shared" si="2"/>
        <v>52.414631973026673</v>
      </c>
      <c r="M7" s="3">
        <f t="shared" si="2"/>
        <v>47.401496550855697</v>
      </c>
      <c r="N7" s="3">
        <f t="shared" si="2"/>
        <v>42.716323259107142</v>
      </c>
      <c r="O7" s="3">
        <f t="shared" si="2"/>
        <v>38.337656631304753</v>
      </c>
      <c r="P7" s="3">
        <f t="shared" si="2"/>
        <v>34.245444829620268</v>
      </c>
      <c r="Q7" s="3">
        <f t="shared" si="2"/>
        <v>30.420947818700203</v>
      </c>
      <c r="R7" s="3">
        <f t="shared" si="2"/>
        <v>26.846651546812286</v>
      </c>
      <c r="S7" s="3">
        <f t="shared" si="2"/>
        <v>23.506187741309546</v>
      </c>
      <c r="T7" s="3">
        <f t="shared" si="2"/>
        <v>20.384258951120088</v>
      </c>
      <c r="U7" s="3">
        <f t="shared" si="2"/>
        <v>17.466568492999091</v>
      </c>
      <c r="V7" s="3">
        <f t="shared" si="2"/>
        <v>14.739754980736478</v>
      </c>
      <c r="W7" s="3">
        <f t="shared" si="2"/>
        <v>12.191331137500388</v>
      </c>
      <c r="X7" s="3">
        <f t="shared" si="2"/>
        <v>9.809626611111522</v>
      </c>
      <c r="Y7" s="3">
        <f t="shared" si="2"/>
        <v>7.5837345303742669</v>
      </c>
      <c r="Z7" s="3">
        <f t="shared" si="2"/>
        <v>5.5034615577226234</v>
      </c>
      <c r="AA7" s="3">
        <f t="shared" si="2"/>
        <v>3.5592812094500577</v>
      </c>
      <c r="AB7" s="3">
        <f t="shared" si="2"/>
        <v>1.7422902297560778</v>
      </c>
      <c r="AC7" s="3">
        <f t="shared" si="2"/>
        <v>4.4167818827116179E-2</v>
      </c>
      <c r="AD7" s="3">
        <f t="shared" si="2"/>
        <v>-1.542862471760694</v>
      </c>
      <c r="AE7" s="3">
        <f t="shared" si="2"/>
        <v>-3.0260683508147235</v>
      </c>
      <c r="AF7" s="3">
        <f t="shared" si="2"/>
        <v>-4.4122420695568056</v>
      </c>
      <c r="AG7" s="3">
        <f t="shared" si="2"/>
        <v>-5.7077315263251078</v>
      </c>
      <c r="AH7" s="3">
        <f t="shared" si="2"/>
        <v>-6.9184693363889416</v>
      </c>
    </row>
    <row r="8" spans="1:34">
      <c r="A8" s="32"/>
      <c r="B8" s="241" t="s">
        <v>60</v>
      </c>
      <c r="C8" s="32"/>
      <c r="D8" s="33" t="s">
        <v>24</v>
      </c>
      <c r="E8" s="33" t="s">
        <v>25</v>
      </c>
      <c r="F8" s="33" t="s">
        <v>23</v>
      </c>
      <c r="G8" s="33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3" t="s">
        <v>38</v>
      </c>
      <c r="T8" s="33" t="s">
        <v>39</v>
      </c>
      <c r="U8" s="33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33" t="s">
        <v>48</v>
      </c>
      <c r="AD8" s="33" t="s">
        <v>49</v>
      </c>
      <c r="AE8" s="33" t="s">
        <v>50</v>
      </c>
      <c r="AF8" s="33" t="s">
        <v>51</v>
      </c>
      <c r="AG8" s="33" t="s">
        <v>52</v>
      </c>
      <c r="AH8" s="33" t="s">
        <v>53</v>
      </c>
    </row>
    <row r="9" spans="1:34" s="3" customFormat="1">
      <c r="A9" s="34" t="s">
        <v>62</v>
      </c>
      <c r="B9" s="242"/>
      <c r="C9" s="34"/>
      <c r="D9" s="44">
        <v>100</v>
      </c>
      <c r="E9" s="35">
        <f t="shared" ref="E9:AH9" si="3">SUM(F3:AI3)</f>
        <v>92.369417041240879</v>
      </c>
      <c r="F9" s="34">
        <f t="shared" si="3"/>
        <v>85.33823527864152</v>
      </c>
      <c r="G9" s="34">
        <f t="shared" si="3"/>
        <v>78.767037369670163</v>
      </c>
      <c r="H9" s="34">
        <f t="shared" si="3"/>
        <v>72.625730912687573</v>
      </c>
      <c r="I9" s="34">
        <f t="shared" si="3"/>
        <v>66.886192167844044</v>
      </c>
      <c r="J9" s="34">
        <f t="shared" si="3"/>
        <v>61.522137266121113</v>
      </c>
      <c r="K9" s="34">
        <f t="shared" si="3"/>
        <v>56.509001843950152</v>
      </c>
      <c r="L9" s="34">
        <f t="shared" si="3"/>
        <v>51.82382855220159</v>
      </c>
      <c r="M9" s="34">
        <f t="shared" si="3"/>
        <v>47.445161924399194</v>
      </c>
      <c r="N9" s="34">
        <f t="shared" si="3"/>
        <v>43.352950122714724</v>
      </c>
      <c r="O9" s="34">
        <f t="shared" si="3"/>
        <v>39.528453111794647</v>
      </c>
      <c r="P9" s="34">
        <f t="shared" si="3"/>
        <v>35.95415683990673</v>
      </c>
      <c r="Q9" s="34">
        <f t="shared" si="3"/>
        <v>32.613693034404001</v>
      </c>
      <c r="R9" s="34">
        <f t="shared" si="3"/>
        <v>29.491764244214529</v>
      </c>
      <c r="S9" s="34">
        <f t="shared" si="3"/>
        <v>26.574073786093539</v>
      </c>
      <c r="T9" s="34">
        <f t="shared" si="3"/>
        <v>23.847260273830926</v>
      </c>
      <c r="U9" s="34">
        <f t="shared" si="3"/>
        <v>21.298836430594839</v>
      </c>
      <c r="V9" s="34">
        <f t="shared" si="3"/>
        <v>18.91713190420597</v>
      </c>
      <c r="W9" s="34">
        <f t="shared" si="3"/>
        <v>16.691239823468713</v>
      </c>
      <c r="X9" s="34">
        <f t="shared" si="3"/>
        <v>14.610966850817071</v>
      </c>
      <c r="Y9" s="34">
        <f t="shared" si="3"/>
        <v>12.666786502544507</v>
      </c>
      <c r="Z9" s="34">
        <f t="shared" si="3"/>
        <v>10.849795522850521</v>
      </c>
      <c r="AA9" s="34">
        <f t="shared" si="3"/>
        <v>9.1516731119215677</v>
      </c>
      <c r="AB9" s="34">
        <f t="shared" si="3"/>
        <v>7.564642821333754</v>
      </c>
      <c r="AC9" s="34">
        <f t="shared" si="3"/>
        <v>6.0814369422797254</v>
      </c>
      <c r="AD9" s="34">
        <f t="shared" si="3"/>
        <v>4.6952632235376424</v>
      </c>
      <c r="AE9" s="34">
        <f t="shared" si="3"/>
        <v>3.3997737667693411</v>
      </c>
      <c r="AF9" s="34">
        <f t="shared" si="3"/>
        <v>2.1890359567055073</v>
      </c>
      <c r="AG9" s="34">
        <f t="shared" si="3"/>
        <v>1.0575052930944482</v>
      </c>
      <c r="AH9" s="34">
        <f t="shared" si="3"/>
        <v>0</v>
      </c>
    </row>
    <row r="10" spans="1:34" s="42" customFormat="1">
      <c r="A10" s="41"/>
      <c r="B10" s="43" t="s">
        <v>65</v>
      </c>
      <c r="C10" s="41"/>
      <c r="D10" s="41"/>
      <c r="E10" s="41">
        <f>LN(E9/D9)</f>
        <v>-7.9374246530034678E-2</v>
      </c>
      <c r="F10" s="41">
        <f>LN(F9/E9)</f>
        <v>-7.9173340624905636E-2</v>
      </c>
      <c r="G10" s="41">
        <f t="shared" ref="G10:AH10" si="4">LN(G9/F9)</f>
        <v>-8.0127996975798157E-2</v>
      </c>
      <c r="H10" s="41">
        <f t="shared" si="4"/>
        <v>-8.1175322533682967E-2</v>
      </c>
      <c r="I10" s="41">
        <f t="shared" si="4"/>
        <v>-8.2326728591378115E-2</v>
      </c>
      <c r="J10" s="41">
        <f t="shared" si="4"/>
        <v>-8.3595485141590681E-2</v>
      </c>
      <c r="K10" s="41">
        <f t="shared" si="4"/>
        <v>-8.4997115457449354E-2</v>
      </c>
      <c r="L10" s="41">
        <f t="shared" si="4"/>
        <v>-8.6549895980019428E-2</v>
      </c>
      <c r="M10" s="41">
        <f t="shared" si="4"/>
        <v>-8.8275495846851224E-2</v>
      </c>
      <c r="N10" s="41">
        <f t="shared" si="4"/>
        <v>-9.019980381486907E-2</v>
      </c>
      <c r="O10" s="41">
        <f t="shared" si="4"/>
        <v>-9.2354009954801655E-2</v>
      </c>
      <c r="P10" s="41">
        <f t="shared" si="4"/>
        <v>-9.4776038683954011E-2</v>
      </c>
      <c r="Q10" s="41">
        <f t="shared" si="4"/>
        <v>-9.7512473938543731E-2</v>
      </c>
      <c r="R10" s="41">
        <f t="shared" si="4"/>
        <v>-0.10062118570813559</v>
      </c>
      <c r="S10" s="41">
        <f t="shared" si="4"/>
        <v>-0.10417497541352819</v>
      </c>
      <c r="T10" s="41">
        <f t="shared" si="4"/>
        <v>-0.10826673327126785</v>
      </c>
      <c r="U10" s="41">
        <f t="shared" si="4"/>
        <v>-0.11301689396965095</v>
      </c>
      <c r="V10" s="41">
        <f t="shared" si="4"/>
        <v>-0.1185844821057154</v>
      </c>
      <c r="W10" s="41">
        <f t="shared" si="4"/>
        <v>-0.12518394112264453</v>
      </c>
      <c r="X10" s="41">
        <f t="shared" si="4"/>
        <v>-0.13311161941852109</v>
      </c>
      <c r="Y10" s="41">
        <f t="shared" si="4"/>
        <v>-0.14278906916402745</v>
      </c>
      <c r="Z10" s="41">
        <f t="shared" si="4"/>
        <v>-0.15483709775206625</v>
      </c>
      <c r="AA10" s="41">
        <f t="shared" si="4"/>
        <v>-0.17020951765501682</v>
      </c>
      <c r="AB10" s="41">
        <f t="shared" si="4"/>
        <v>-0.19045158483668215</v>
      </c>
      <c r="AC10" s="41">
        <f t="shared" si="4"/>
        <v>-0.21824412425184334</v>
      </c>
      <c r="AD10" s="41">
        <f t="shared" si="4"/>
        <v>-0.25868683150519556</v>
      </c>
      <c r="AE10" s="41">
        <f t="shared" si="4"/>
        <v>-0.3228452855171195</v>
      </c>
      <c r="AF10" s="41">
        <f t="shared" si="4"/>
        <v>-0.44024764572949249</v>
      </c>
      <c r="AG10" s="41">
        <f t="shared" si="4"/>
        <v>-0.72754860727727755</v>
      </c>
      <c r="AH10" s="41" t="e">
        <f t="shared" si="4"/>
        <v>#NUM!</v>
      </c>
    </row>
    <row r="11" spans="1:34">
      <c r="A11" s="3" t="s">
        <v>63</v>
      </c>
      <c r="B11" s="27" t="s">
        <v>64</v>
      </c>
      <c r="C11" s="23"/>
      <c r="D11" s="4">
        <f t="shared" ref="D11:AH11" si="5">D9*$C$5</f>
        <v>7.0000000000000009</v>
      </c>
      <c r="E11" s="4">
        <f t="shared" si="5"/>
        <v>6.4658591928868621</v>
      </c>
      <c r="F11" s="4">
        <f t="shared" si="5"/>
        <v>5.9736764695049072</v>
      </c>
      <c r="G11" s="4">
        <f t="shared" si="5"/>
        <v>5.513692615876912</v>
      </c>
      <c r="H11" s="4">
        <f t="shared" si="5"/>
        <v>5.0838011638881309</v>
      </c>
      <c r="I11" s="4">
        <f t="shared" si="5"/>
        <v>4.6820334517490831</v>
      </c>
      <c r="J11" s="4">
        <f t="shared" si="5"/>
        <v>4.3065496086284787</v>
      </c>
      <c r="K11" s="4">
        <f t="shared" si="5"/>
        <v>3.955630129076511</v>
      </c>
      <c r="L11" s="4">
        <f t="shared" si="5"/>
        <v>3.6276679986541116</v>
      </c>
      <c r="M11" s="4">
        <f t="shared" si="5"/>
        <v>3.3211613347079441</v>
      </c>
      <c r="N11" s="4">
        <f t="shared" si="5"/>
        <v>3.0347065085900309</v>
      </c>
      <c r="O11" s="4">
        <f t="shared" si="5"/>
        <v>2.7669917178256256</v>
      </c>
      <c r="P11" s="4">
        <f t="shared" si="5"/>
        <v>2.5167909787934715</v>
      </c>
      <c r="Q11" s="4">
        <f t="shared" si="5"/>
        <v>2.2829585124082801</v>
      </c>
      <c r="R11" s="4">
        <f t="shared" si="5"/>
        <v>2.0644234970950173</v>
      </c>
      <c r="S11" s="4">
        <f t="shared" si="5"/>
        <v>1.860185165026548</v>
      </c>
      <c r="T11" s="4">
        <f t="shared" si="5"/>
        <v>1.669308219168165</v>
      </c>
      <c r="U11" s="4">
        <f t="shared" si="5"/>
        <v>1.4909185501416389</v>
      </c>
      <c r="V11" s="4">
        <f t="shared" si="5"/>
        <v>1.3241992332944181</v>
      </c>
      <c r="W11" s="4">
        <f t="shared" si="5"/>
        <v>1.16838678764281</v>
      </c>
      <c r="X11" s="4">
        <f t="shared" si="5"/>
        <v>1.0227676795571952</v>
      </c>
      <c r="Y11" s="4">
        <f t="shared" si="5"/>
        <v>0.88667505517811562</v>
      </c>
      <c r="Z11" s="4">
        <f t="shared" si="5"/>
        <v>0.75948568659953652</v>
      </c>
      <c r="AA11" s="4">
        <f t="shared" si="5"/>
        <v>0.64061711783450981</v>
      </c>
      <c r="AB11" s="4">
        <f t="shared" si="5"/>
        <v>0.52952499749336279</v>
      </c>
      <c r="AC11" s="4">
        <f t="shared" si="5"/>
        <v>0.42570058595958082</v>
      </c>
      <c r="AD11" s="4">
        <f t="shared" si="5"/>
        <v>0.32866842564763499</v>
      </c>
      <c r="AE11" s="4">
        <f t="shared" si="5"/>
        <v>0.23798416367385389</v>
      </c>
      <c r="AF11" s="4">
        <f t="shared" si="5"/>
        <v>0.15323251696938553</v>
      </c>
      <c r="AG11" s="4">
        <f t="shared" si="5"/>
        <v>7.4025370516611386E-2</v>
      </c>
      <c r="AH11" s="4">
        <f t="shared" si="5"/>
        <v>0</v>
      </c>
    </row>
    <row r="12" spans="1:34" s="21" customFormat="1">
      <c r="B12" s="30" t="s">
        <v>56</v>
      </c>
      <c r="D12" s="31">
        <f>$C$3-D$11</f>
        <v>1.0499999999999998</v>
      </c>
      <c r="E12" s="31">
        <f>$C$3-E$11</f>
        <v>1.5841408071131386</v>
      </c>
      <c r="F12" s="31">
        <f t="shared" ref="F12:AH12" si="6">$C$3-F$11</f>
        <v>2.0763235304950936</v>
      </c>
      <c r="G12" s="31">
        <f t="shared" si="6"/>
        <v>2.5363073841230888</v>
      </c>
      <c r="H12" s="31">
        <f t="shared" si="6"/>
        <v>2.9661988361118699</v>
      </c>
      <c r="I12" s="31">
        <f t="shared" si="6"/>
        <v>3.3679665482509176</v>
      </c>
      <c r="J12" s="31">
        <f t="shared" si="6"/>
        <v>3.743450391371522</v>
      </c>
      <c r="K12" s="31">
        <f t="shared" si="6"/>
        <v>4.0943698709234901</v>
      </c>
      <c r="L12" s="31">
        <f t="shared" si="6"/>
        <v>4.4223320013458896</v>
      </c>
      <c r="M12" s="31">
        <f t="shared" si="6"/>
        <v>4.7288386652920567</v>
      </c>
      <c r="N12" s="31">
        <f t="shared" si="6"/>
        <v>5.0152934914099703</v>
      </c>
      <c r="O12" s="31">
        <f t="shared" si="6"/>
        <v>5.2830082821743751</v>
      </c>
      <c r="P12" s="31">
        <f t="shared" si="6"/>
        <v>5.5332090212065292</v>
      </c>
      <c r="Q12" s="31">
        <f t="shared" si="6"/>
        <v>5.7670414875917206</v>
      </c>
      <c r="R12" s="31">
        <f t="shared" si="6"/>
        <v>5.9855765029049834</v>
      </c>
      <c r="S12" s="31">
        <f t="shared" si="6"/>
        <v>6.1898148349734523</v>
      </c>
      <c r="T12" s="31">
        <f t="shared" si="6"/>
        <v>6.3806917808318353</v>
      </c>
      <c r="U12" s="31">
        <f t="shared" si="6"/>
        <v>6.5590814498583621</v>
      </c>
      <c r="V12" s="31">
        <f t="shared" si="6"/>
        <v>6.7258007667055821</v>
      </c>
      <c r="W12" s="31">
        <f t="shared" si="6"/>
        <v>6.8816132123571911</v>
      </c>
      <c r="X12" s="31">
        <f t="shared" si="6"/>
        <v>7.0272323204428053</v>
      </c>
      <c r="Y12" s="31">
        <f t="shared" si="6"/>
        <v>7.163324944821885</v>
      </c>
      <c r="Z12" s="31">
        <f t="shared" si="6"/>
        <v>7.2905143134004646</v>
      </c>
      <c r="AA12" s="31">
        <f t="shared" si="6"/>
        <v>7.4093828821654908</v>
      </c>
      <c r="AB12" s="31">
        <f t="shared" si="6"/>
        <v>7.5204750025066378</v>
      </c>
      <c r="AC12" s="31">
        <f t="shared" si="6"/>
        <v>7.6242994140404203</v>
      </c>
      <c r="AD12" s="31">
        <f t="shared" si="6"/>
        <v>7.7213315743523658</v>
      </c>
      <c r="AE12" s="31">
        <f t="shared" si="6"/>
        <v>7.8120158363261467</v>
      </c>
      <c r="AF12" s="31">
        <f t="shared" si="6"/>
        <v>7.8967674830306152</v>
      </c>
      <c r="AG12" s="31">
        <f t="shared" si="6"/>
        <v>7.9759746294833898</v>
      </c>
      <c r="AH12" s="31">
        <f t="shared" si="6"/>
        <v>8.0500000000000007</v>
      </c>
    </row>
    <row r="13" spans="1:34" s="21" customFormat="1">
      <c r="B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>
      <c r="A14" s="3"/>
      <c r="B14" s="37" t="s">
        <v>57</v>
      </c>
      <c r="C14" s="23"/>
      <c r="D14" s="36">
        <f>D9-E9</f>
        <v>7.6305829587591205</v>
      </c>
      <c r="E14" s="4">
        <f t="shared" ref="E14:AH14" si="7">E9-F9</f>
        <v>7.0311817625993598</v>
      </c>
      <c r="F14" s="4">
        <f t="shared" si="7"/>
        <v>6.5711979089713566</v>
      </c>
      <c r="G14" s="4">
        <f t="shared" si="7"/>
        <v>6.1413064569825906</v>
      </c>
      <c r="H14" s="4">
        <f t="shared" si="7"/>
        <v>5.7395387448435287</v>
      </c>
      <c r="I14" s="4">
        <f t="shared" si="7"/>
        <v>5.3640549017229304</v>
      </c>
      <c r="J14" s="4">
        <f t="shared" si="7"/>
        <v>5.0131354221709614</v>
      </c>
      <c r="K14" s="4">
        <f t="shared" si="7"/>
        <v>4.685173291748562</v>
      </c>
      <c r="L14" s="4">
        <f t="shared" si="7"/>
        <v>4.3786666278023958</v>
      </c>
      <c r="M14" s="4">
        <f t="shared" si="7"/>
        <v>4.0922118016844706</v>
      </c>
      <c r="N14" s="4">
        <f t="shared" si="7"/>
        <v>3.8244970109200764</v>
      </c>
      <c r="O14" s="4">
        <f t="shared" si="7"/>
        <v>3.574296271887917</v>
      </c>
      <c r="P14" s="4">
        <f t="shared" si="7"/>
        <v>3.3404638055027291</v>
      </c>
      <c r="Q14" s="4">
        <f t="shared" si="7"/>
        <v>3.1219287901894717</v>
      </c>
      <c r="R14" s="4">
        <f t="shared" si="7"/>
        <v>2.9176904581209904</v>
      </c>
      <c r="S14" s="4">
        <f t="shared" si="7"/>
        <v>2.7268135122626127</v>
      </c>
      <c r="T14" s="4">
        <f t="shared" si="7"/>
        <v>2.5484238432360868</v>
      </c>
      <c r="U14" s="4">
        <f t="shared" si="7"/>
        <v>2.3817045263888694</v>
      </c>
      <c r="V14" s="4">
        <f t="shared" si="7"/>
        <v>2.2258920807372569</v>
      </c>
      <c r="W14" s="4">
        <f t="shared" si="7"/>
        <v>2.0802729726516418</v>
      </c>
      <c r="X14" s="4">
        <f t="shared" si="7"/>
        <v>1.9441803482725639</v>
      </c>
      <c r="Y14" s="4">
        <f t="shared" si="7"/>
        <v>1.8169909796939869</v>
      </c>
      <c r="Z14" s="4">
        <f t="shared" si="7"/>
        <v>1.6981224109289528</v>
      </c>
      <c r="AA14" s="4">
        <f t="shared" si="7"/>
        <v>1.5870302905878138</v>
      </c>
      <c r="AB14" s="4">
        <f t="shared" si="7"/>
        <v>1.4832058790540286</v>
      </c>
      <c r="AC14" s="4">
        <f t="shared" si="7"/>
        <v>1.3861737187420831</v>
      </c>
      <c r="AD14" s="4">
        <f t="shared" si="7"/>
        <v>1.2954894567683013</v>
      </c>
      <c r="AE14" s="4">
        <f t="shared" si="7"/>
        <v>1.2107378100638337</v>
      </c>
      <c r="AF14" s="4">
        <f t="shared" si="7"/>
        <v>1.1315306636110591</v>
      </c>
      <c r="AG14" s="4">
        <f t="shared" si="7"/>
        <v>1.0575052930944482</v>
      </c>
      <c r="AH14" s="4">
        <f t="shared" si="7"/>
        <v>0</v>
      </c>
    </row>
    <row r="15" spans="1:34">
      <c r="A15" s="3"/>
      <c r="B15" s="27"/>
      <c r="C15" s="2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s="4" customFormat="1">
      <c r="B16" s="28" t="s">
        <v>68</v>
      </c>
    </row>
    <row r="17" spans="2:34" s="25" customFormat="1">
      <c r="B17" s="29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2:34">
      <c r="B18" s="2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2:34">
      <c r="C19" s="20"/>
    </row>
  </sheetData>
  <mergeCells count="1">
    <mergeCell ref="B8:B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workbookViewId="0">
      <selection activeCell="L9" sqref="L9"/>
    </sheetView>
  </sheetViews>
  <sheetFormatPr defaultRowHeight="16.5"/>
  <cols>
    <col min="2" max="2" width="24.875" bestFit="1" customWidth="1"/>
    <col min="3" max="3" width="11.625" bestFit="1" customWidth="1"/>
    <col min="4" max="4" width="13" bestFit="1" customWidth="1"/>
    <col min="5" max="7" width="10.5" bestFit="1" customWidth="1"/>
    <col min="8" max="8" width="1.375" customWidth="1"/>
    <col min="11" max="11" width="10.5" bestFit="1" customWidth="1"/>
    <col min="12" max="12" width="13" bestFit="1" customWidth="1"/>
    <col min="13" max="13" width="5.5" bestFit="1" customWidth="1"/>
    <col min="14" max="14" width="5.25" bestFit="1" customWidth="1"/>
    <col min="15" max="15" width="4.875" bestFit="1" customWidth="1"/>
    <col min="16" max="16" width="4.5" bestFit="1" customWidth="1"/>
    <col min="17" max="17" width="7" bestFit="1" customWidth="1"/>
    <col min="18" max="18" width="2.875" bestFit="1" customWidth="1"/>
  </cols>
  <sheetData>
    <row r="1" spans="1:13">
      <c r="B1" t="s">
        <v>73</v>
      </c>
    </row>
    <row r="2" spans="1:13">
      <c r="A2" t="s">
        <v>107</v>
      </c>
      <c r="B2" s="45" t="s">
        <v>81</v>
      </c>
      <c r="C2">
        <v>5050000</v>
      </c>
    </row>
    <row r="3" spans="1:13">
      <c r="B3" t="s">
        <v>74</v>
      </c>
      <c r="C3" s="46">
        <v>0.04</v>
      </c>
      <c r="D3" t="s">
        <v>85</v>
      </c>
      <c r="E3" s="47">
        <f>C3/4</f>
        <v>0.01</v>
      </c>
    </row>
    <row r="4" spans="1:13">
      <c r="B4" t="s">
        <v>75</v>
      </c>
      <c r="C4" s="46">
        <v>0.01</v>
      </c>
      <c r="D4" t="s">
        <v>85</v>
      </c>
      <c r="E4" s="47">
        <f>C4/4</f>
        <v>2.5000000000000001E-3</v>
      </c>
    </row>
    <row r="5" spans="1:13">
      <c r="B5" t="s">
        <v>76</v>
      </c>
      <c r="C5" s="69">
        <v>3</v>
      </c>
    </row>
    <row r="6" spans="1:13">
      <c r="A6" t="s">
        <v>106</v>
      </c>
      <c r="B6" t="s">
        <v>79</v>
      </c>
      <c r="C6">
        <v>250</v>
      </c>
      <c r="D6" t="s">
        <v>78</v>
      </c>
    </row>
    <row r="7" spans="1:13">
      <c r="B7" s="1" t="s">
        <v>80</v>
      </c>
      <c r="C7">
        <f>C14*C6</f>
        <v>252500</v>
      </c>
    </row>
    <row r="8" spans="1:13" ht="6" customHeight="1" thickBot="1">
      <c r="B8" s="1"/>
    </row>
    <row r="9" spans="1:13">
      <c r="B9" s="50"/>
      <c r="C9" s="64">
        <v>0</v>
      </c>
      <c r="D9" s="64">
        <v>1</v>
      </c>
      <c r="E9" s="64">
        <v>2</v>
      </c>
      <c r="F9" s="64">
        <v>3</v>
      </c>
      <c r="G9" s="65">
        <v>4</v>
      </c>
    </row>
    <row r="10" spans="1:13">
      <c r="B10" s="51" t="s">
        <v>88</v>
      </c>
      <c r="C10" s="32">
        <f>$C$5*($C$2/$C$7)</f>
        <v>60</v>
      </c>
      <c r="D10" s="32">
        <f>$C$5*($C$2/$C$7)</f>
        <v>60</v>
      </c>
      <c r="E10" s="32">
        <f>$C$5*($C$2/$C$7)</f>
        <v>60</v>
      </c>
      <c r="F10" s="32">
        <f>$C$5*($C$2/$C$7)</f>
        <v>60</v>
      </c>
      <c r="G10" s="52">
        <f>$C$5*($C$2/$C$7)</f>
        <v>60</v>
      </c>
      <c r="H10" s="68"/>
    </row>
    <row r="11" spans="1:13">
      <c r="B11" s="53" t="s">
        <v>82</v>
      </c>
      <c r="C11" s="48">
        <v>1000</v>
      </c>
      <c r="D11" s="48"/>
      <c r="E11" s="48"/>
      <c r="F11" s="48"/>
      <c r="G11" s="54"/>
      <c r="I11" t="s">
        <v>91</v>
      </c>
      <c r="J11" t="s">
        <v>90</v>
      </c>
      <c r="K11" s="5">
        <v>20000</v>
      </c>
      <c r="L11" t="s">
        <v>89</v>
      </c>
      <c r="M11" t="s">
        <v>94</v>
      </c>
    </row>
    <row r="12" spans="1:13">
      <c r="B12" s="67" t="s">
        <v>77</v>
      </c>
      <c r="C12" s="32">
        <v>900</v>
      </c>
      <c r="D12" s="32">
        <f>C12+50</f>
        <v>950</v>
      </c>
      <c r="E12" s="32">
        <f t="shared" ref="E12:G12" si="0">D12+50</f>
        <v>1000</v>
      </c>
      <c r="F12" s="32">
        <f>E12+50</f>
        <v>1050</v>
      </c>
      <c r="G12" s="52">
        <f t="shared" si="0"/>
        <v>1100</v>
      </c>
      <c r="J12" t="s">
        <v>92</v>
      </c>
      <c r="K12">
        <v>90</v>
      </c>
    </row>
    <row r="13" spans="1:13">
      <c r="B13" s="55" t="s">
        <v>83</v>
      </c>
      <c r="C13" s="49">
        <f>(C12-$C$11)/$C$11</f>
        <v>-0.1</v>
      </c>
      <c r="D13" s="49">
        <f>(D12-$C$11)/$C$11</f>
        <v>-0.05</v>
      </c>
      <c r="E13" s="49">
        <f>(E12-$C$11)/$C$11</f>
        <v>0</v>
      </c>
      <c r="F13" s="49">
        <f>(F12-$C$11)/$C$11</f>
        <v>0.05</v>
      </c>
      <c r="G13" s="56">
        <f>(G12-$C$11)/$C$11</f>
        <v>0.1</v>
      </c>
      <c r="J13" t="s">
        <v>101</v>
      </c>
      <c r="K13" s="5">
        <f>K11*K12</f>
        <v>1800000</v>
      </c>
    </row>
    <row r="14" spans="1:13">
      <c r="B14" s="57" t="s">
        <v>72</v>
      </c>
      <c r="C14" s="32">
        <v>1010</v>
      </c>
      <c r="D14" s="32">
        <v>1010</v>
      </c>
      <c r="E14" s="32">
        <v>1010</v>
      </c>
      <c r="F14" s="32">
        <v>1010</v>
      </c>
      <c r="G14" s="52">
        <v>1010</v>
      </c>
      <c r="J14" t="s">
        <v>93</v>
      </c>
      <c r="K14">
        <v>1.1000000000000001</v>
      </c>
    </row>
    <row r="15" spans="1:13">
      <c r="B15" s="57" t="s">
        <v>71</v>
      </c>
      <c r="C15" s="32">
        <v>902</v>
      </c>
      <c r="D15" s="32">
        <f>C15+50</f>
        <v>952</v>
      </c>
      <c r="E15" s="32">
        <f>953+50</f>
        <v>1003</v>
      </c>
      <c r="F15" s="32">
        <f t="shared" ref="F15:G15" si="1">E15+50</f>
        <v>1053</v>
      </c>
      <c r="G15" s="52">
        <f t="shared" si="1"/>
        <v>1103</v>
      </c>
      <c r="J15" t="s">
        <v>102</v>
      </c>
      <c r="K15" s="5">
        <f>Q19*K16</f>
        <v>105000</v>
      </c>
    </row>
    <row r="16" spans="1:13">
      <c r="B16" s="51" t="s">
        <v>84</v>
      </c>
      <c r="C16" s="58">
        <f>C10*(C14-C15)*$C$6</f>
        <v>1620000</v>
      </c>
      <c r="D16" s="58">
        <f>D10*(D14-D15)*$C$6</f>
        <v>870000</v>
      </c>
      <c r="E16" s="58">
        <f>E10*(E14-E15)*$C$6</f>
        <v>105000</v>
      </c>
      <c r="F16" s="58">
        <f>F10*(F14-F15)*$C$6</f>
        <v>-645000</v>
      </c>
      <c r="G16" s="59">
        <f>G10*(G14-G15)*$C$6</f>
        <v>-1395000</v>
      </c>
      <c r="H16" s="68"/>
      <c r="J16" t="s">
        <v>100</v>
      </c>
      <c r="K16">
        <v>50</v>
      </c>
      <c r="L16" t="s">
        <v>99</v>
      </c>
    </row>
    <row r="17" spans="2:18">
      <c r="B17" s="51" t="s">
        <v>69</v>
      </c>
      <c r="C17" s="60">
        <f>$E$4+C13</f>
        <v>-9.7500000000000003E-2</v>
      </c>
      <c r="D17" s="60">
        <f>$E$4+D13</f>
        <v>-4.7500000000000001E-2</v>
      </c>
      <c r="E17" s="60">
        <f>$E$4+E13</f>
        <v>2.5000000000000001E-3</v>
      </c>
      <c r="F17" s="60">
        <f>$E$4+F13</f>
        <v>5.2500000000000005E-2</v>
      </c>
      <c r="G17" s="61">
        <f>$E$4+G13</f>
        <v>0.10250000000000001</v>
      </c>
      <c r="I17" t="s">
        <v>104</v>
      </c>
      <c r="J17" t="s">
        <v>103</v>
      </c>
      <c r="K17" s="3">
        <f>K14*(K13/K15)</f>
        <v>18.857142857142858</v>
      </c>
    </row>
    <row r="18" spans="2:18">
      <c r="B18" s="51" t="s">
        <v>86</v>
      </c>
      <c r="C18" s="60">
        <f>$E$3+$C$5*(C17-$E$3)</f>
        <v>-0.3125</v>
      </c>
      <c r="D18" s="60">
        <f t="shared" ref="D18:G18" si="2">$E$3+$C$5*(D17-$E$3)</f>
        <v>-0.16250000000000001</v>
      </c>
      <c r="E18" s="60">
        <f t="shared" si="2"/>
        <v>-1.2499999999999999E-2</v>
      </c>
      <c r="F18" s="60">
        <f t="shared" si="2"/>
        <v>0.13750000000000001</v>
      </c>
      <c r="G18" s="61">
        <f t="shared" si="2"/>
        <v>0.28750000000000003</v>
      </c>
      <c r="N18" t="s">
        <v>95</v>
      </c>
      <c r="O18" t="s">
        <v>96</v>
      </c>
      <c r="P18" t="s">
        <v>97</v>
      </c>
      <c r="Q18" t="s">
        <v>98</v>
      </c>
      <c r="R18" t="s">
        <v>108</v>
      </c>
    </row>
    <row r="19" spans="2:18">
      <c r="B19" s="51" t="s">
        <v>87</v>
      </c>
      <c r="C19" s="58">
        <f>$C$2*(1+C18)</f>
        <v>3471875</v>
      </c>
      <c r="D19" s="58">
        <f t="shared" ref="D19:G19" si="3">$C$2*(1+D18)</f>
        <v>4229375</v>
      </c>
      <c r="E19" s="58">
        <f t="shared" si="3"/>
        <v>4986875</v>
      </c>
      <c r="F19" s="58">
        <f t="shared" si="3"/>
        <v>5744375</v>
      </c>
      <c r="G19" s="59">
        <f t="shared" si="3"/>
        <v>6501875</v>
      </c>
      <c r="H19" s="68"/>
      <c r="J19" t="s">
        <v>105</v>
      </c>
      <c r="Q19">
        <v>2100</v>
      </c>
    </row>
    <row r="20" spans="2:18" ht="17.25" thickBot="1">
      <c r="B20" s="66" t="s">
        <v>70</v>
      </c>
      <c r="C20" s="62">
        <f>C19+C16</f>
        <v>5091875</v>
      </c>
      <c r="D20" s="62">
        <f t="shared" ref="D20:G20" si="4">D19+D16</f>
        <v>5099375</v>
      </c>
      <c r="E20" s="62">
        <f t="shared" si="4"/>
        <v>5091875</v>
      </c>
      <c r="F20" s="62">
        <f t="shared" si="4"/>
        <v>5099375</v>
      </c>
      <c r="G20" s="63">
        <f t="shared" si="4"/>
        <v>5106875</v>
      </c>
      <c r="H20" s="68"/>
    </row>
    <row r="21" spans="2:18">
      <c r="D21" s="47">
        <f>LN(D20/$C$20)</f>
        <v>1.471851118158435E-3</v>
      </c>
      <c r="E21" s="47">
        <f>LN(E20/$C$20)</f>
        <v>0</v>
      </c>
      <c r="F21" s="47">
        <f>LN(F20/$C$20)</f>
        <v>1.471851118158435E-3</v>
      </c>
      <c r="G21" s="47">
        <f>LN(G20/$C$20)</f>
        <v>2.9415390740656845E-3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6" sqref="C6"/>
    </sheetView>
  </sheetViews>
  <sheetFormatPr defaultRowHeight="16.5"/>
  <cols>
    <col min="1" max="1" width="35.375" bestFit="1" customWidth="1"/>
    <col min="2" max="3" width="11.625" bestFit="1" customWidth="1"/>
    <col min="4" max="4" width="13.125" bestFit="1" customWidth="1"/>
    <col min="5" max="5" width="10.5" bestFit="1" customWidth="1"/>
    <col min="6" max="6" width="11.375" bestFit="1" customWidth="1"/>
  </cols>
  <sheetData>
    <row r="1" spans="1:6">
      <c r="A1" s="270" t="s">
        <v>369</v>
      </c>
      <c r="B1" s="271">
        <v>2018</v>
      </c>
      <c r="C1" s="271">
        <v>2019</v>
      </c>
      <c r="D1" s="271" t="s">
        <v>365</v>
      </c>
      <c r="E1" s="271">
        <v>2021</v>
      </c>
      <c r="F1" s="272">
        <v>2022</v>
      </c>
    </row>
    <row r="2" spans="1:6">
      <c r="A2" s="265" t="s">
        <v>368</v>
      </c>
      <c r="B2" s="58"/>
      <c r="C2" s="58"/>
      <c r="D2" s="58">
        <v>2500000</v>
      </c>
      <c r="E2" s="58">
        <v>1500000</v>
      </c>
      <c r="F2" s="257">
        <v>1500000</v>
      </c>
    </row>
    <row r="3" spans="1:6">
      <c r="A3" s="265"/>
      <c r="B3" s="58"/>
      <c r="C3" s="258"/>
      <c r="D3" s="58"/>
      <c r="E3" s="58"/>
      <c r="F3" s="150"/>
    </row>
    <row r="4" spans="1:6">
      <c r="A4" s="266" t="s">
        <v>359</v>
      </c>
      <c r="B4" s="58">
        <v>135068</v>
      </c>
      <c r="C4" s="58">
        <v>16025</v>
      </c>
      <c r="D4" s="58">
        <v>8389</v>
      </c>
      <c r="E4" s="58">
        <f>D4*1.12</f>
        <v>9395.68</v>
      </c>
      <c r="F4" s="150">
        <f>E4*1.12</f>
        <v>10523.161600000001</v>
      </c>
    </row>
    <row r="5" spans="1:6">
      <c r="A5" s="265" t="s">
        <v>360</v>
      </c>
      <c r="B5" s="58">
        <v>-454082</v>
      </c>
      <c r="C5" s="58">
        <v>-130413</v>
      </c>
      <c r="D5" s="58">
        <v>-115137</v>
      </c>
      <c r="E5" s="58">
        <f>D5*0.8</f>
        <v>-92109.6</v>
      </c>
      <c r="F5" s="150">
        <f>E5*0.8</f>
        <v>-73687.680000000008</v>
      </c>
    </row>
    <row r="6" spans="1:6">
      <c r="A6" s="265" t="s">
        <v>361</v>
      </c>
      <c r="B6" s="58">
        <v>-94252</v>
      </c>
      <c r="C6" s="58">
        <v>-27253</v>
      </c>
      <c r="D6" s="58">
        <v>-24114</v>
      </c>
      <c r="E6" s="58">
        <f>D6*0.8</f>
        <v>-19291.2</v>
      </c>
      <c r="F6" s="150">
        <f>E6*0.8</f>
        <v>-15432.960000000001</v>
      </c>
    </row>
    <row r="7" spans="1:6">
      <c r="A7" s="265" t="s">
        <v>362</v>
      </c>
      <c r="B7" s="58">
        <v>27023</v>
      </c>
      <c r="C7" s="58">
        <v>10972</v>
      </c>
      <c r="D7" s="58">
        <v>7852</v>
      </c>
      <c r="E7" s="58">
        <f>D7*0.7</f>
        <v>5496.4</v>
      </c>
      <c r="F7" s="150">
        <f>E7*0.8</f>
        <v>4397.12</v>
      </c>
    </row>
    <row r="8" spans="1:6">
      <c r="A8" s="266" t="s">
        <v>366</v>
      </c>
      <c r="B8" s="58">
        <v>-384734</v>
      </c>
      <c r="C8" s="58">
        <v>-132576</v>
      </c>
      <c r="D8" s="58">
        <v>-124230</v>
      </c>
      <c r="E8" s="149">
        <f>SUM(E4:E7)</f>
        <v>-96508.720000000016</v>
      </c>
      <c r="F8" s="150">
        <f>SUM(F4:F7)</f>
        <v>-74200.358400000012</v>
      </c>
    </row>
    <row r="9" spans="1:6" ht="33">
      <c r="A9" s="267" t="s">
        <v>363</v>
      </c>
      <c r="B9" s="260">
        <v>-330865</v>
      </c>
      <c r="C9" s="260">
        <v>-144268</v>
      </c>
      <c r="D9" s="260">
        <v>-106191</v>
      </c>
      <c r="E9" s="48"/>
      <c r="F9" s="54"/>
    </row>
    <row r="10" spans="1:6" ht="33">
      <c r="A10" s="268" t="s">
        <v>364</v>
      </c>
      <c r="B10" s="259">
        <v>-105766</v>
      </c>
      <c r="C10" s="259">
        <v>-7595</v>
      </c>
      <c r="D10" s="259">
        <v>-6223</v>
      </c>
      <c r="E10" s="32"/>
      <c r="F10" s="52"/>
    </row>
    <row r="11" spans="1:6" ht="17.25" thickBot="1">
      <c r="A11" s="269"/>
      <c r="B11" s="261"/>
      <c r="C11" s="262" t="s">
        <v>367</v>
      </c>
      <c r="D11" s="263">
        <f>(E8+E2)/1.0025+(F8+F2)/(1.0025)^2+D8</f>
        <v>2694458.5900460817</v>
      </c>
      <c r="E11" s="261"/>
      <c r="F11" s="26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0"/>
  <sheetViews>
    <sheetView workbookViewId="0">
      <selection activeCell="F31" sqref="F31"/>
    </sheetView>
  </sheetViews>
  <sheetFormatPr defaultRowHeight="16.5"/>
  <cols>
    <col min="1" max="1" width="2.25" customWidth="1"/>
    <col min="2" max="2" width="5.25" bestFit="1" customWidth="1"/>
    <col min="3" max="3" width="14.125" customWidth="1"/>
    <col min="4" max="4" width="13" bestFit="1" customWidth="1"/>
    <col min="5" max="5" width="21.25" bestFit="1" customWidth="1"/>
    <col min="6" max="6" width="9" customWidth="1"/>
    <col min="8" max="8" width="12.625" customWidth="1"/>
  </cols>
  <sheetData>
    <row r="1" spans="2:7">
      <c r="C1" t="s">
        <v>109</v>
      </c>
    </row>
    <row r="2" spans="2:7" ht="17.25" thickBot="1"/>
    <row r="3" spans="2:7">
      <c r="B3" s="71"/>
      <c r="C3" s="72" t="s">
        <v>110</v>
      </c>
      <c r="D3" s="72" t="s">
        <v>114</v>
      </c>
      <c r="E3" s="72" t="s">
        <v>111</v>
      </c>
      <c r="F3" s="72" t="s">
        <v>112</v>
      </c>
      <c r="G3" s="73" t="s">
        <v>113</v>
      </c>
    </row>
    <row r="4" spans="2:7">
      <c r="B4" s="51" t="s">
        <v>115</v>
      </c>
      <c r="C4" s="32">
        <v>100</v>
      </c>
      <c r="D4" s="32">
        <v>0.25</v>
      </c>
      <c r="E4" s="32">
        <v>0</v>
      </c>
      <c r="F4" s="32">
        <v>99.6</v>
      </c>
      <c r="G4" s="61">
        <f>LN(C4/F4)/D4</f>
        <v>1.6032085590155471E-2</v>
      </c>
    </row>
    <row r="5" spans="2:7">
      <c r="B5" s="51" t="s">
        <v>116</v>
      </c>
      <c r="C5" s="32">
        <v>100</v>
      </c>
      <c r="D5" s="32">
        <v>0.5</v>
      </c>
      <c r="E5" s="32">
        <v>0</v>
      </c>
      <c r="F5" s="32">
        <v>99</v>
      </c>
      <c r="G5" s="61">
        <f>LN(C5/F5)/D5</f>
        <v>2.0100671707003012E-2</v>
      </c>
    </row>
    <row r="6" spans="2:7">
      <c r="B6" s="51" t="s">
        <v>117</v>
      </c>
      <c r="C6" s="32">
        <v>100</v>
      </c>
      <c r="D6" s="32">
        <v>1</v>
      </c>
      <c r="E6" s="32">
        <v>0</v>
      </c>
      <c r="F6" s="32">
        <v>97.8</v>
      </c>
      <c r="G6" s="61">
        <f>LN(C6/F6)/D6</f>
        <v>2.2245608947319737E-2</v>
      </c>
    </row>
    <row r="7" spans="2:7">
      <c r="B7" s="51" t="s">
        <v>118</v>
      </c>
      <c r="C7" s="32">
        <v>100</v>
      </c>
      <c r="D7" s="32">
        <v>1.5</v>
      </c>
      <c r="E7" s="74">
        <v>4</v>
      </c>
      <c r="F7" s="32">
        <v>102.5</v>
      </c>
      <c r="G7" s="61">
        <f>-LN((F7-(2/EXP(G5*D5)+2/EXP(G6*D6)))/102)/D7</f>
        <v>2.2844486604668136E-2</v>
      </c>
    </row>
    <row r="8" spans="2:7" ht="17.25" thickBot="1">
      <c r="B8" s="75" t="s">
        <v>119</v>
      </c>
      <c r="C8" s="76">
        <v>100</v>
      </c>
      <c r="D8" s="76">
        <v>2</v>
      </c>
      <c r="E8" s="77">
        <v>5</v>
      </c>
      <c r="F8" s="76">
        <v>105</v>
      </c>
      <c r="G8" s="78">
        <f>-LN((F8-(2.5/EXP(G5*D5)+2.5/EXP(G6*D6)+2.5/EXP(G7*D7)))/102.5)/D8</f>
        <v>2.4163786953388111E-2</v>
      </c>
    </row>
    <row r="10" spans="2:7">
      <c r="D10">
        <v>1.25</v>
      </c>
      <c r="G10">
        <f>G6*0.5+G7*0.5</f>
        <v>2.2545047775993934E-2</v>
      </c>
    </row>
    <row r="12" spans="2:7" ht="17.25" thickBot="1"/>
    <row r="13" spans="2:7" ht="33">
      <c r="B13" s="71"/>
      <c r="C13" s="79" t="s">
        <v>134</v>
      </c>
      <c r="D13" s="79" t="s">
        <v>132</v>
      </c>
      <c r="E13" s="80" t="s">
        <v>133</v>
      </c>
      <c r="F13" s="70"/>
    </row>
    <row r="14" spans="2:7">
      <c r="B14" s="51" t="s">
        <v>120</v>
      </c>
      <c r="C14" s="81">
        <v>1.7999999999999999E-2</v>
      </c>
      <c r="D14" s="32" t="s">
        <v>126</v>
      </c>
      <c r="E14" s="82">
        <v>1.7987E-2</v>
      </c>
    </row>
    <row r="15" spans="2:7">
      <c r="B15" s="51" t="s">
        <v>121</v>
      </c>
      <c r="C15" s="81">
        <v>0.02</v>
      </c>
      <c r="D15" s="32" t="s">
        <v>127</v>
      </c>
      <c r="E15" s="83">
        <v>1.9949999999999999E-2</v>
      </c>
    </row>
    <row r="16" spans="2:7">
      <c r="B16" s="51" t="s">
        <v>122</v>
      </c>
      <c r="C16" s="81">
        <v>2.1999999999999999E-2</v>
      </c>
      <c r="D16" s="32" t="s">
        <v>128</v>
      </c>
      <c r="E16" s="83">
        <v>2.1888000000000001E-2</v>
      </c>
    </row>
    <row r="17" spans="2:10">
      <c r="B17" s="51" t="s">
        <v>123</v>
      </c>
      <c r="C17" s="81">
        <v>2.5000000000000001E-2</v>
      </c>
      <c r="D17" s="32" t="s">
        <v>129</v>
      </c>
      <c r="E17" s="83">
        <v>2.4693E-2</v>
      </c>
    </row>
    <row r="18" spans="2:10">
      <c r="B18" s="51" t="s">
        <v>124</v>
      </c>
      <c r="C18" s="81">
        <v>0.03</v>
      </c>
      <c r="D18" s="32" t="s">
        <v>130</v>
      </c>
      <c r="E18" s="83">
        <v>2.9994E-2</v>
      </c>
    </row>
    <row r="19" spans="2:10" ht="17.25" thickBot="1">
      <c r="B19" s="75" t="s">
        <v>125</v>
      </c>
      <c r="C19" s="84">
        <v>0.04</v>
      </c>
      <c r="D19" s="76" t="s">
        <v>131</v>
      </c>
      <c r="E19" s="85">
        <v>4.04015E-2</v>
      </c>
    </row>
    <row r="21" spans="2:10" ht="17.25" thickBot="1">
      <c r="C21" t="s">
        <v>136</v>
      </c>
    </row>
    <row r="22" spans="2:10" ht="49.5">
      <c r="B22" s="71" t="s">
        <v>135</v>
      </c>
      <c r="C22" s="79" t="s">
        <v>140</v>
      </c>
      <c r="D22" s="86" t="s">
        <v>138</v>
      </c>
      <c r="E22" s="87" t="s">
        <v>137</v>
      </c>
      <c r="F22" s="72"/>
      <c r="G22" s="72"/>
      <c r="H22" s="88" t="s">
        <v>139</v>
      </c>
    </row>
    <row r="23" spans="2:10">
      <c r="B23" s="51">
        <v>1</v>
      </c>
      <c r="C23" s="81">
        <v>0.03</v>
      </c>
      <c r="D23" s="89">
        <f>100*EXP(C23*B23)</f>
        <v>103.0454533953517</v>
      </c>
      <c r="E23" s="32"/>
      <c r="F23" s="32"/>
      <c r="G23" s="32"/>
      <c r="H23" s="52"/>
    </row>
    <row r="24" spans="2:10">
      <c r="B24" s="51">
        <v>2</v>
      </c>
      <c r="C24" s="81">
        <v>0.04</v>
      </c>
      <c r="D24" s="89">
        <f>100*EXP(C24*B24)</f>
        <v>108.32870676749586</v>
      </c>
      <c r="E24" s="89">
        <f>D23*EXP(H24*(B24-B23))</f>
        <v>108.32870676749587</v>
      </c>
      <c r="F24" s="32"/>
      <c r="G24" s="32"/>
      <c r="H24" s="90">
        <f>C24+(C24-C23)*B23/(B24-B23)</f>
        <v>0.05</v>
      </c>
    </row>
    <row r="25" spans="2:10">
      <c r="B25" s="132">
        <v>3</v>
      </c>
      <c r="C25" s="133">
        <v>4.5999999999999999E-2</v>
      </c>
      <c r="D25" s="89">
        <f t="shared" ref="D25:D26" si="0">100*EXP(C25*B25)</f>
        <v>114.79755502741786</v>
      </c>
      <c r="E25" s="89">
        <f>D24*EXP(H25*(B25-B24))</f>
        <v>114.79755502741787</v>
      </c>
      <c r="F25" s="32"/>
      <c r="G25" s="32"/>
      <c r="H25" s="90">
        <f>C25+(C25-C24)*B24/(B25-B24)</f>
        <v>5.7999999999999996E-2</v>
      </c>
    </row>
    <row r="26" spans="2:10">
      <c r="B26" s="132">
        <v>4</v>
      </c>
      <c r="C26" s="133">
        <v>0.05</v>
      </c>
      <c r="D26" s="89">
        <f t="shared" si="0"/>
        <v>122.14027581601698</v>
      </c>
      <c r="E26" s="89">
        <f>D25*EXP(H26*(B26-B25))</f>
        <v>122.14027581601698</v>
      </c>
      <c r="F26" s="32"/>
      <c r="G26" s="32"/>
      <c r="H26" s="134">
        <f>C26+(C26-C25)*B25/(B26-B25)</f>
        <v>6.2000000000000013E-2</v>
      </c>
      <c r="I26" s="134">
        <f>(C26*B26-C25*B25)/(B26-B25)</f>
        <v>6.2E-2</v>
      </c>
      <c r="J26" t="s">
        <v>178</v>
      </c>
    </row>
    <row r="27" spans="2:10" ht="17.25" thickBot="1">
      <c r="B27" s="75">
        <v>5</v>
      </c>
      <c r="C27" s="84">
        <v>5.2999999999999999E-2</v>
      </c>
      <c r="D27" s="91">
        <f>100*EXP(C27*B27)</f>
        <v>130.34309757783689</v>
      </c>
      <c r="E27" s="91">
        <f>D26*EXP(H27*(B27-B26))</f>
        <v>130.34309757783689</v>
      </c>
      <c r="F27" s="76"/>
      <c r="G27" s="76"/>
      <c r="H27" s="92">
        <f>C27+(C27-C26)*B26/(B27-B26)</f>
        <v>6.4999999999999974E-2</v>
      </c>
    </row>
    <row r="29" spans="2:10">
      <c r="C29" t="s">
        <v>179</v>
      </c>
    </row>
    <row r="30" spans="2:10">
      <c r="C30" t="s">
        <v>183</v>
      </c>
      <c r="D30" s="46">
        <v>0.05</v>
      </c>
    </row>
    <row r="31" spans="2:10">
      <c r="C31" t="s">
        <v>185</v>
      </c>
      <c r="D31" s="18">
        <v>100</v>
      </c>
    </row>
    <row r="32" spans="2:10" ht="17.25" thickBot="1">
      <c r="D32" s="18"/>
    </row>
    <row r="33" spans="2:6">
      <c r="B33" s="71" t="s">
        <v>181</v>
      </c>
      <c r="C33" s="72" t="s">
        <v>180</v>
      </c>
      <c r="D33" s="72" t="s">
        <v>182</v>
      </c>
      <c r="E33" s="93" t="s">
        <v>184</v>
      </c>
    </row>
    <row r="34" spans="2:6">
      <c r="B34" s="51">
        <v>0.5</v>
      </c>
      <c r="C34" s="112">
        <v>3.7999999999999999E-2</v>
      </c>
      <c r="D34" s="137">
        <v>0.04</v>
      </c>
      <c r="E34" s="138">
        <f>B34*(D34-D30)*D31*EXP(-C34*B34)</f>
        <v>-0.49058968112140311</v>
      </c>
    </row>
    <row r="35" spans="2:6">
      <c r="B35" s="51">
        <v>1</v>
      </c>
      <c r="C35" s="112">
        <v>4.2999999999999997E-2</v>
      </c>
      <c r="D35" s="137">
        <v>0.05</v>
      </c>
      <c r="E35" s="138">
        <f>(B35-B34)*(D35-D30)*D31*EXP(-C35*B35)</f>
        <v>0</v>
      </c>
      <c r="F35" s="136">
        <f>SUM(E34:E36)</f>
        <v>-0.25725801110185276</v>
      </c>
    </row>
    <row r="36" spans="2:6">
      <c r="B36" s="51">
        <v>1.5</v>
      </c>
      <c r="C36" s="112">
        <v>4.5999999999999999E-2</v>
      </c>
      <c r="D36" s="112">
        <v>5.5E-2</v>
      </c>
      <c r="E36" s="138">
        <f>(B36-B35)*(D36-D30)*D31*EXP(-C36*B36)</f>
        <v>0.23333167001955038</v>
      </c>
    </row>
    <row r="37" spans="2:6">
      <c r="B37" s="51">
        <v>2</v>
      </c>
      <c r="C37" s="112">
        <v>4.7500000000000001E-2</v>
      </c>
      <c r="D37" s="135">
        <f>D30+(-F35)/(B37-B36)/EXP(-C37*B37)/D31</f>
        <v>5.5657920999205635E-2</v>
      </c>
      <c r="E37" s="138">
        <f>(B37-B36)*(D37-D30)*D31*EXP(-C37*B37)</f>
        <v>0.2572580111018527</v>
      </c>
    </row>
    <row r="38" spans="2:6" ht="17.25" thickBot="1">
      <c r="B38" s="75"/>
      <c r="C38" s="76"/>
      <c r="D38" s="76"/>
      <c r="E38" s="139">
        <f>SUM(E34:E37)</f>
        <v>0</v>
      </c>
    </row>
    <row r="40" spans="2:6">
      <c r="B40" t="s">
        <v>186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9"/>
  <sheetViews>
    <sheetView workbookViewId="0">
      <selection activeCell="B17" sqref="B17"/>
    </sheetView>
  </sheetViews>
  <sheetFormatPr defaultRowHeight="16.5"/>
  <cols>
    <col min="1" max="1" width="1.5" customWidth="1"/>
    <col min="2" max="2" width="19.75" bestFit="1" customWidth="1"/>
    <col min="3" max="3" width="6.5" bestFit="1" customWidth="1"/>
    <col min="5" max="5" width="12.75" bestFit="1" customWidth="1"/>
    <col min="6" max="6" width="7.375" bestFit="1" customWidth="1"/>
    <col min="7" max="7" width="11.625" bestFit="1" customWidth="1"/>
    <col min="8" max="8" width="1.875" customWidth="1"/>
    <col min="12" max="12" width="7.25" bestFit="1" customWidth="1"/>
    <col min="14" max="14" width="10.5" bestFit="1" customWidth="1"/>
  </cols>
  <sheetData>
    <row r="1" spans="2:14">
      <c r="C1" t="s">
        <v>144</v>
      </c>
    </row>
    <row r="2" spans="2:14">
      <c r="B2" t="s">
        <v>147</v>
      </c>
      <c r="C2" s="46">
        <v>0.1</v>
      </c>
    </row>
    <row r="3" spans="2:14">
      <c r="B3" t="s">
        <v>145</v>
      </c>
      <c r="C3" s="18">
        <v>100</v>
      </c>
      <c r="E3">
        <f>EXP(12.3673%*0.5)</f>
        <v>1.0637884011049492</v>
      </c>
    </row>
    <row r="4" spans="2:14">
      <c r="B4" s="46" t="s">
        <v>148</v>
      </c>
      <c r="C4" s="46">
        <v>0.12</v>
      </c>
      <c r="D4" t="s">
        <v>151</v>
      </c>
    </row>
    <row r="5" spans="2:14" ht="17.25" thickBot="1">
      <c r="B5" s="46"/>
      <c r="C5" s="46"/>
    </row>
    <row r="6" spans="2:14">
      <c r="B6" s="71" t="s">
        <v>146</v>
      </c>
      <c r="C6" s="72" t="s">
        <v>141</v>
      </c>
      <c r="D6" s="72" t="s">
        <v>142</v>
      </c>
      <c r="E6" s="72"/>
      <c r="F6" s="72" t="s">
        <v>143</v>
      </c>
      <c r="G6" s="93" t="s">
        <v>156</v>
      </c>
      <c r="I6" s="71" t="s">
        <v>146</v>
      </c>
      <c r="J6" s="72" t="s">
        <v>141</v>
      </c>
      <c r="K6" s="72" t="s">
        <v>142</v>
      </c>
      <c r="L6" s="72"/>
      <c r="M6" s="72" t="s">
        <v>143</v>
      </c>
      <c r="N6" s="93" t="s">
        <v>156</v>
      </c>
    </row>
    <row r="7" spans="2:14">
      <c r="B7" s="51">
        <v>0.5</v>
      </c>
      <c r="C7" s="32">
        <v>5</v>
      </c>
      <c r="D7" s="102">
        <f>C7/EXP($C$4*B7)</f>
        <v>4.7088226679212433</v>
      </c>
      <c r="E7" s="110">
        <f>C7/EXP(($C$4+0.1%)*B7)</f>
        <v>4.7064688450920276</v>
      </c>
      <c r="F7" s="60">
        <f>D7/$D$13</f>
        <v>4.9980593342553482E-2</v>
      </c>
      <c r="G7" s="94">
        <f>B7*F7</f>
        <v>2.4990296671276741E-2</v>
      </c>
      <c r="I7" s="51">
        <v>0.5</v>
      </c>
      <c r="J7" s="32">
        <v>5</v>
      </c>
      <c r="K7" s="102">
        <f t="shared" ref="K7:K12" si="0">J7/(1+$C$4/2)^(I7*2)</f>
        <v>4.7169811320754711</v>
      </c>
      <c r="L7" s="102">
        <f t="shared" ref="L7:L12" si="1">J7/(1+$C$4/2)^(I7*2)</f>
        <v>4.7169811320754711</v>
      </c>
      <c r="M7" s="60">
        <f>K7/$D$13</f>
        <v>5.0067189272778284E-2</v>
      </c>
      <c r="N7" s="94">
        <f>I7*M7</f>
        <v>2.5033594636389142E-2</v>
      </c>
    </row>
    <row r="8" spans="2:14">
      <c r="B8" s="51">
        <v>1</v>
      </c>
      <c r="C8" s="32">
        <v>5</v>
      </c>
      <c r="D8" s="102">
        <f t="shared" ref="D8:D12" si="2">C8/EXP($C$4*B8)</f>
        <v>4.4346021835857874</v>
      </c>
      <c r="E8" s="110">
        <f t="shared" ref="E8:E12" si="3">C8/EXP(($C$4+0.1%)*B8)</f>
        <v>4.4301697979643784</v>
      </c>
      <c r="F8" s="60">
        <f t="shared" ref="F8:F12" si="4">D8/$D$13</f>
        <v>4.7069950177513892E-2</v>
      </c>
      <c r="G8" s="94">
        <f t="shared" ref="G8:G12" si="5">B8*F8</f>
        <v>4.7069950177513892E-2</v>
      </c>
      <c r="I8" s="51">
        <v>1</v>
      </c>
      <c r="J8" s="32">
        <v>5</v>
      </c>
      <c r="K8" s="102">
        <f t="shared" si="0"/>
        <v>4.449982200071199</v>
      </c>
      <c r="L8" s="102">
        <f t="shared" si="1"/>
        <v>4.449982200071199</v>
      </c>
      <c r="M8" s="60">
        <f t="shared" ref="M8:M12" si="6">K8/$D$13</f>
        <v>4.7233197427149327E-2</v>
      </c>
      <c r="N8" s="94">
        <f t="shared" ref="N8:N12" si="7">I8*M8</f>
        <v>4.7233197427149327E-2</v>
      </c>
    </row>
    <row r="9" spans="2:14">
      <c r="B9" s="51">
        <v>1.5</v>
      </c>
      <c r="C9" s="32">
        <v>5</v>
      </c>
      <c r="D9" s="102">
        <f t="shared" si="2"/>
        <v>4.17635105705636</v>
      </c>
      <c r="E9" s="110">
        <f t="shared" si="3"/>
        <v>4.1700912265173979</v>
      </c>
      <c r="F9" s="60">
        <f t="shared" si="4"/>
        <v>4.4328809674760196E-2</v>
      </c>
      <c r="G9" s="94">
        <f t="shared" si="5"/>
        <v>6.6493214512140297E-2</v>
      </c>
      <c r="I9" s="51">
        <v>1.5</v>
      </c>
      <c r="J9" s="32">
        <v>5</v>
      </c>
      <c r="K9" s="102">
        <f t="shared" si="0"/>
        <v>4.1980964151615083</v>
      </c>
      <c r="L9" s="102">
        <f t="shared" si="1"/>
        <v>4.1980964151615083</v>
      </c>
      <c r="M9" s="60">
        <f t="shared" si="6"/>
        <v>4.4559620214291815E-2</v>
      </c>
      <c r="N9" s="94">
        <f t="shared" si="7"/>
        <v>6.6839430321437715E-2</v>
      </c>
    </row>
    <row r="10" spans="2:14">
      <c r="B10" s="51">
        <v>2</v>
      </c>
      <c r="C10" s="32">
        <v>5</v>
      </c>
      <c r="D10" s="102">
        <f t="shared" si="2"/>
        <v>3.9331393053327668</v>
      </c>
      <c r="E10" s="110">
        <f t="shared" si="3"/>
        <v>3.9252808877591474</v>
      </c>
      <c r="F10" s="60">
        <f t="shared" si="4"/>
        <v>4.1747300767695464E-2</v>
      </c>
      <c r="G10" s="94">
        <f t="shared" si="5"/>
        <v>8.3494601535390928E-2</v>
      </c>
      <c r="I10" s="51">
        <v>2</v>
      </c>
      <c r="J10" s="32">
        <v>5</v>
      </c>
      <c r="K10" s="102">
        <f t="shared" si="0"/>
        <v>3.9604683161901022</v>
      </c>
      <c r="L10" s="102">
        <f t="shared" si="1"/>
        <v>3.9604683161901022</v>
      </c>
      <c r="M10" s="60">
        <f t="shared" si="6"/>
        <v>4.2037377560652657E-2</v>
      </c>
      <c r="N10" s="94">
        <f t="shared" si="7"/>
        <v>8.4074755121305314E-2</v>
      </c>
    </row>
    <row r="11" spans="2:14">
      <c r="B11" s="51">
        <v>2.5</v>
      </c>
      <c r="C11" s="32">
        <v>5</v>
      </c>
      <c r="D11" s="102">
        <f t="shared" si="2"/>
        <v>3.7040911034085893</v>
      </c>
      <c r="E11" s="110">
        <f t="shared" si="3"/>
        <v>3.6948424412947212</v>
      </c>
      <c r="F11" s="60">
        <f t="shared" si="4"/>
        <v>3.9316127235890071E-2</v>
      </c>
      <c r="G11" s="94">
        <f t="shared" si="5"/>
        <v>9.8290318089725173E-2</v>
      </c>
      <c r="I11" s="51">
        <v>2.5</v>
      </c>
      <c r="J11" s="32">
        <v>5</v>
      </c>
      <c r="K11" s="102">
        <f t="shared" si="0"/>
        <v>3.7362908643302846</v>
      </c>
      <c r="L11" s="102">
        <f t="shared" si="1"/>
        <v>3.7362908643302846</v>
      </c>
      <c r="M11" s="60">
        <f t="shared" si="6"/>
        <v>3.9657903359106274E-2</v>
      </c>
      <c r="N11" s="94">
        <f t="shared" si="7"/>
        <v>9.9144758397765681E-2</v>
      </c>
    </row>
    <row r="12" spans="2:14" ht="17.25" thickBot="1">
      <c r="B12" s="95">
        <v>3</v>
      </c>
      <c r="C12" s="96">
        <v>105</v>
      </c>
      <c r="D12" s="107">
        <f t="shared" si="2"/>
        <v>73.256014237458274</v>
      </c>
      <c r="E12" s="110">
        <f t="shared" si="3"/>
        <v>73.036575517404984</v>
      </c>
      <c r="F12" s="97">
        <f t="shared" si="4"/>
        <v>0.7775572188015869</v>
      </c>
      <c r="G12" s="98">
        <f t="shared" si="5"/>
        <v>2.3326716564047607</v>
      </c>
      <c r="I12" s="95">
        <v>3</v>
      </c>
      <c r="J12" s="96">
        <v>105</v>
      </c>
      <c r="K12" s="107">
        <f t="shared" si="0"/>
        <v>74.020856746166004</v>
      </c>
      <c r="L12" s="107">
        <f t="shared" si="1"/>
        <v>74.020856746166004</v>
      </c>
      <c r="M12" s="97">
        <f t="shared" si="6"/>
        <v>0.7856754439068222</v>
      </c>
      <c r="N12" s="98">
        <f t="shared" si="7"/>
        <v>2.3570263317204665</v>
      </c>
    </row>
    <row r="13" spans="2:14" ht="17.25" thickTop="1">
      <c r="B13" s="103" t="s">
        <v>149</v>
      </c>
      <c r="C13" s="32"/>
      <c r="D13" s="109">
        <f>SUM(D7:D12)</f>
        <v>94.21302055476302</v>
      </c>
      <c r="E13" s="110">
        <f>SUM(E7:E12)</f>
        <v>93.963428716032652</v>
      </c>
      <c r="F13" s="101">
        <f>SUM(F7:F12)</f>
        <v>1</v>
      </c>
      <c r="G13" s="104">
        <f>SUM(G7:G12)</f>
        <v>2.6530100373908079</v>
      </c>
      <c r="I13" s="103" t="s">
        <v>149</v>
      </c>
      <c r="J13" s="32"/>
      <c r="K13" s="109">
        <f>SUM(K7:K12)</f>
        <v>95.082675673994572</v>
      </c>
      <c r="L13" s="110">
        <f>SUM(L7:L12)</f>
        <v>95.082675673994572</v>
      </c>
      <c r="M13" s="101">
        <f>SUM(M7:M12)</f>
        <v>1.0092307317408005</v>
      </c>
      <c r="N13" s="104">
        <f>SUM(N7:N12)</f>
        <v>2.6793520676245137</v>
      </c>
    </row>
    <row r="14" spans="2:14" ht="17.25" thickBot="1">
      <c r="B14" s="75" t="s">
        <v>155</v>
      </c>
      <c r="C14" s="76"/>
      <c r="D14" s="106">
        <f>(0-D13)*G13*0.1%</f>
        <v>-0.24994808918469277</v>
      </c>
      <c r="E14" s="108">
        <f>D13+D14</f>
        <v>93.963072465578321</v>
      </c>
      <c r="F14" s="76"/>
      <c r="G14" s="105"/>
      <c r="I14" s="75" t="s">
        <v>155</v>
      </c>
      <c r="J14" s="76"/>
      <c r="K14" s="106">
        <f>(0-K13)*N13*0.1%</f>
        <v>-0.2547599636623884</v>
      </c>
      <c r="L14" s="108">
        <f>K13+K14</f>
        <v>94.827915710332178</v>
      </c>
      <c r="M14" s="76"/>
      <c r="N14" s="105"/>
    </row>
    <row r="15" spans="2:14">
      <c r="B15" t="s">
        <v>157</v>
      </c>
      <c r="D15" t="s">
        <v>158</v>
      </c>
      <c r="F15" t="s">
        <v>161</v>
      </c>
    </row>
    <row r="16" spans="2:14">
      <c r="B16" s="99" t="s">
        <v>152</v>
      </c>
      <c r="D16" s="99" t="s">
        <v>159</v>
      </c>
      <c r="I16" t="s">
        <v>162</v>
      </c>
    </row>
    <row r="17" spans="2:9">
      <c r="B17" s="45" t="s">
        <v>150</v>
      </c>
      <c r="I17" t="s">
        <v>163</v>
      </c>
    </row>
    <row r="18" spans="2:9">
      <c r="B18" s="1" t="s">
        <v>153</v>
      </c>
      <c r="D18" s="1" t="s">
        <v>160</v>
      </c>
    </row>
    <row r="19" spans="2:9">
      <c r="B19" s="100" t="s">
        <v>154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opLeftCell="A33" workbookViewId="0">
      <selection activeCell="G39" sqref="G39"/>
    </sheetView>
  </sheetViews>
  <sheetFormatPr defaultRowHeight="16.5"/>
  <cols>
    <col min="1" max="1" width="5" customWidth="1"/>
    <col min="2" max="2" width="9.5" bestFit="1" customWidth="1"/>
    <col min="3" max="3" width="12.5" customWidth="1"/>
    <col min="4" max="4" width="14.25" bestFit="1" customWidth="1"/>
    <col min="5" max="5" width="16.875" bestFit="1" customWidth="1"/>
    <col min="6" max="6" width="21.125" bestFit="1" customWidth="1"/>
    <col min="7" max="7" width="15.125" bestFit="1" customWidth="1"/>
    <col min="8" max="9" width="13.125" bestFit="1" customWidth="1"/>
    <col min="10" max="10" width="14.25" bestFit="1" customWidth="1"/>
    <col min="11" max="11" width="13.5" bestFit="1" customWidth="1"/>
  </cols>
  <sheetData>
    <row r="1" spans="3:11">
      <c r="C1" t="s">
        <v>187</v>
      </c>
    </row>
    <row r="2" spans="3:11">
      <c r="C2" s="245" t="s">
        <v>170</v>
      </c>
      <c r="D2" s="245"/>
      <c r="E2" s="245"/>
      <c r="F2" s="245"/>
      <c r="G2" s="245"/>
      <c r="H2" s="245"/>
      <c r="I2" s="245"/>
      <c r="J2" s="245"/>
      <c r="K2" s="245"/>
    </row>
    <row r="3" spans="3:11">
      <c r="C3" s="246" t="s">
        <v>175</v>
      </c>
      <c r="D3" s="246"/>
      <c r="E3" s="246"/>
      <c r="F3" s="246"/>
      <c r="G3" s="246"/>
      <c r="H3" s="246"/>
      <c r="I3" s="246"/>
      <c r="J3" s="246"/>
      <c r="K3" s="246"/>
    </row>
    <row r="4" spans="3:11">
      <c r="C4" s="246" t="s">
        <v>176</v>
      </c>
      <c r="D4" s="246"/>
      <c r="E4" s="246"/>
      <c r="F4" s="246"/>
      <c r="G4" s="246"/>
      <c r="H4" s="246"/>
      <c r="I4" s="246"/>
      <c r="J4" s="246"/>
      <c r="K4" s="120"/>
    </row>
    <row r="5" spans="3:11">
      <c r="C5" s="246" t="s">
        <v>177</v>
      </c>
      <c r="D5" s="246"/>
      <c r="E5" s="246"/>
      <c r="F5" s="246"/>
      <c r="G5" s="246"/>
      <c r="H5" s="246"/>
      <c r="I5" s="246"/>
      <c r="J5" s="246"/>
      <c r="K5" s="246"/>
    </row>
    <row r="6" spans="3:11" ht="17.25" thickBot="1"/>
    <row r="7" spans="3:11">
      <c r="C7" s="50" t="s">
        <v>164</v>
      </c>
      <c r="D7" s="118" t="s">
        <v>167</v>
      </c>
      <c r="E7" s="127" t="s">
        <v>168</v>
      </c>
      <c r="F7" s="121" t="s">
        <v>169</v>
      </c>
      <c r="G7" s="111" t="s">
        <v>165</v>
      </c>
      <c r="H7" s="118" t="s">
        <v>166</v>
      </c>
      <c r="I7" s="127" t="s">
        <v>172</v>
      </c>
      <c r="J7" s="118" t="s">
        <v>173</v>
      </c>
      <c r="K7" s="119" t="s">
        <v>174</v>
      </c>
    </row>
    <row r="8" spans="3:11">
      <c r="C8" s="51">
        <v>0.25</v>
      </c>
      <c r="D8" s="112">
        <v>2.8000000000000001E-2</v>
      </c>
      <c r="E8" s="126"/>
      <c r="F8" s="113">
        <v>2.9000000000000001E-2</v>
      </c>
      <c r="G8" s="122">
        <f>3%*0.5*100000000</f>
        <v>1500000</v>
      </c>
      <c r="H8" s="128">
        <f>F8*0.5*100000000</f>
        <v>1450000</v>
      </c>
      <c r="I8" s="114">
        <f>H8-G8</f>
        <v>-50000</v>
      </c>
      <c r="J8" s="89">
        <f>EXP(-D8*C8)</f>
        <v>0.99302444293323511</v>
      </c>
      <c r="K8" s="52">
        <f>J8*I8</f>
        <v>-49651.222146661756</v>
      </c>
    </row>
    <row r="9" spans="3:11">
      <c r="C9" s="51">
        <v>0.75</v>
      </c>
      <c r="D9" s="112">
        <v>3.2000000000000001E-2</v>
      </c>
      <c r="E9" s="125">
        <v>3.4000000000000002E-2</v>
      </c>
      <c r="F9" s="115">
        <f>2*(EXP(E9*(C9-C8))-1)</f>
        <v>3.4290644650481372E-2</v>
      </c>
      <c r="G9" s="122">
        <f t="shared" ref="G9:G10" si="0">3%*0.5*100000000</f>
        <v>1500000</v>
      </c>
      <c r="H9" s="32">
        <f>F9*0.5*100000000</f>
        <v>1714532.2325240686</v>
      </c>
      <c r="I9" s="122">
        <f>H9-G9</f>
        <v>214532.23252406856</v>
      </c>
      <c r="J9" s="89">
        <f>EXP(-D9*C9)</f>
        <v>0.97628570975790929</v>
      </c>
      <c r="K9" s="52">
        <f>J9*I9</f>
        <v>209444.7528957091</v>
      </c>
    </row>
    <row r="10" spans="3:11" ht="17.25" thickBot="1">
      <c r="C10" s="51">
        <v>1.25</v>
      </c>
      <c r="D10" s="112">
        <v>3.4000000000000002E-2</v>
      </c>
      <c r="E10" s="124">
        <v>3.6999999999999998E-2</v>
      </c>
      <c r="F10" s="123">
        <f>2*(EXP(E10*(C10-C9))-1)</f>
        <v>3.7344370339150057E-2</v>
      </c>
      <c r="G10" s="122">
        <f t="shared" si="0"/>
        <v>1500000</v>
      </c>
      <c r="H10" s="32">
        <f>F10*0.5*100000000</f>
        <v>1867218.5169575028</v>
      </c>
      <c r="I10" s="129">
        <f>H10-G10</f>
        <v>367218.51695750281</v>
      </c>
      <c r="J10" s="130">
        <f>EXP(-D10*C10)</f>
        <v>0.95839046552094698</v>
      </c>
      <c r="K10" s="131">
        <f>J10*I10</f>
        <v>351938.72541481286</v>
      </c>
    </row>
    <row r="11" spans="3:11" ht="18" thickTop="1" thickBot="1">
      <c r="C11" s="75"/>
      <c r="D11" s="76"/>
      <c r="E11" s="76"/>
      <c r="F11" s="76"/>
      <c r="G11" s="76"/>
      <c r="H11" s="76"/>
      <c r="I11" s="76"/>
      <c r="J11" s="116" t="s">
        <v>171</v>
      </c>
      <c r="K11" s="117">
        <f>SUM(K8:K10)</f>
        <v>511732.25616386021</v>
      </c>
    </row>
    <row r="13" spans="3:11">
      <c r="C13" t="s">
        <v>188</v>
      </c>
    </row>
    <row r="14" spans="3:11">
      <c r="C14" s="247" t="s">
        <v>189</v>
      </c>
      <c r="D14" s="247"/>
      <c r="E14" s="247"/>
      <c r="F14" s="247"/>
      <c r="G14" s="247"/>
      <c r="H14" s="247"/>
      <c r="I14" s="247"/>
    </row>
    <row r="15" spans="3:11">
      <c r="C15" t="s">
        <v>190</v>
      </c>
      <c r="D15" s="140">
        <v>1.4999999999999999E-2</v>
      </c>
      <c r="E15" s="141">
        <v>1200000000</v>
      </c>
    </row>
    <row r="16" spans="3:11">
      <c r="C16" t="s">
        <v>191</v>
      </c>
      <c r="D16" s="140">
        <v>2.5000000000000001E-2</v>
      </c>
      <c r="E16" s="141">
        <v>10000000</v>
      </c>
    </row>
    <row r="17" spans="3:9">
      <c r="C17" s="1" t="s">
        <v>192</v>
      </c>
      <c r="D17" s="45" t="s">
        <v>203</v>
      </c>
      <c r="E17" s="46">
        <v>0.03</v>
      </c>
      <c r="F17" s="45" t="s">
        <v>204</v>
      </c>
      <c r="G17" s="46">
        <v>0.04</v>
      </c>
    </row>
    <row r="18" spans="3:9">
      <c r="C18" t="s">
        <v>198</v>
      </c>
      <c r="D18" t="s">
        <v>193</v>
      </c>
      <c r="E18" t="s">
        <v>200</v>
      </c>
      <c r="F18" s="142">
        <f>1/110</f>
        <v>9.0909090909090905E-3</v>
      </c>
      <c r="G18" t="s">
        <v>201</v>
      </c>
    </row>
    <row r="19" spans="3:9" ht="17.25" thickBot="1"/>
    <row r="20" spans="3:9">
      <c r="C20" s="71" t="s">
        <v>194</v>
      </c>
      <c r="D20" s="72" t="s">
        <v>195</v>
      </c>
      <c r="E20" s="86" t="s">
        <v>196</v>
      </c>
      <c r="F20" s="86" t="s">
        <v>199</v>
      </c>
      <c r="G20" s="86" t="s">
        <v>211</v>
      </c>
      <c r="H20" s="72" t="s">
        <v>202</v>
      </c>
      <c r="I20" s="93" t="s">
        <v>197</v>
      </c>
    </row>
    <row r="21" spans="3:9">
      <c r="C21" s="51">
        <v>1</v>
      </c>
      <c r="D21" s="143">
        <f>-$G$17*$E$16</f>
        <v>-400000</v>
      </c>
      <c r="E21" s="58">
        <f>$E$17*$E$15</f>
        <v>36000000</v>
      </c>
      <c r="F21" s="144">
        <f>F18*EXP(D16-D15)*C21</f>
        <v>9.1822742462197085E-3</v>
      </c>
      <c r="G21" s="58">
        <f>E21*F21</f>
        <v>330561.87286390952</v>
      </c>
      <c r="H21" s="143">
        <f>G21+D21</f>
        <v>-69438.127136090479</v>
      </c>
      <c r="I21" s="145">
        <f>H21*EXP(-D16*1)</f>
        <v>-67723.693668512584</v>
      </c>
    </row>
    <row r="22" spans="3:9">
      <c r="C22" s="51">
        <v>2</v>
      </c>
      <c r="D22" s="143">
        <f>-$G$17*$E$16</f>
        <v>-400000</v>
      </c>
      <c r="E22" s="58">
        <f>$E$17*$E$15</f>
        <v>36000000</v>
      </c>
      <c r="F22" s="146">
        <f>F21*EXP(D16-D15)*(C22-C21)</f>
        <v>9.2745576366068689E-3</v>
      </c>
      <c r="G22" s="58">
        <f t="shared" ref="G22:G23" si="1">E22*F22</f>
        <v>333884.07491784729</v>
      </c>
      <c r="H22" s="143">
        <f>G22+D22</f>
        <v>-66115.925082152709</v>
      </c>
      <c r="I22" s="145">
        <f>H22*EXP(-$D$16*C22)</f>
        <v>-62891.413366228444</v>
      </c>
    </row>
    <row r="23" spans="3:9" ht="17.25" thickBot="1">
      <c r="C23" s="75">
        <v>3</v>
      </c>
      <c r="D23" s="147">
        <f>-E16-G17*E16</f>
        <v>-10400000</v>
      </c>
      <c r="E23" s="62">
        <f>E15+E15*E17</f>
        <v>1236000000</v>
      </c>
      <c r="F23" s="62">
        <f>F22*EXP(D16-D15)*(C23-C22)</f>
        <v>9.3677684904865145E-3</v>
      </c>
      <c r="G23" s="62">
        <f t="shared" si="1"/>
        <v>11578561.854241332</v>
      </c>
      <c r="H23" s="62">
        <f>G23+D23</f>
        <v>1178561.854241332</v>
      </c>
      <c r="I23" s="63">
        <f>H23*EXP(-$D$16*C23)</f>
        <v>1093403.0835076971</v>
      </c>
    </row>
    <row r="24" spans="3:9">
      <c r="D24" s="5"/>
      <c r="E24" s="5"/>
      <c r="F24" s="5"/>
      <c r="G24" s="148"/>
      <c r="H24" s="148" t="s">
        <v>205</v>
      </c>
      <c r="I24" s="148">
        <f>SUM(I21:I23)</f>
        <v>962787.97647295613</v>
      </c>
    </row>
    <row r="25" spans="3:9">
      <c r="C25" t="s">
        <v>212</v>
      </c>
    </row>
    <row r="26" spans="3:9">
      <c r="C26" t="s">
        <v>190</v>
      </c>
      <c r="D26" s="140">
        <v>1.4999999999999999E-2</v>
      </c>
      <c r="E26" s="141">
        <v>1200000000</v>
      </c>
    </row>
    <row r="27" spans="3:9">
      <c r="C27" t="s">
        <v>191</v>
      </c>
      <c r="D27" s="140">
        <v>2.5000000000000001E-2</v>
      </c>
      <c r="E27" s="141">
        <v>10000000</v>
      </c>
    </row>
    <row r="28" spans="3:9">
      <c r="C28" s="1" t="s">
        <v>192</v>
      </c>
      <c r="D28" s="45" t="s">
        <v>203</v>
      </c>
      <c r="E28" s="46">
        <v>0.03</v>
      </c>
      <c r="F28" s="45" t="s">
        <v>204</v>
      </c>
      <c r="G28" s="46">
        <v>0.04</v>
      </c>
    </row>
    <row r="29" spans="3:9" ht="17.25" thickBot="1"/>
    <row r="30" spans="3:9">
      <c r="C30" s="71" t="s">
        <v>206</v>
      </c>
      <c r="D30" s="72" t="s">
        <v>207</v>
      </c>
      <c r="E30" s="72" t="s">
        <v>210</v>
      </c>
      <c r="F30" s="72" t="s">
        <v>208</v>
      </c>
      <c r="G30" s="93" t="s">
        <v>209</v>
      </c>
    </row>
    <row r="31" spans="3:9">
      <c r="C31" s="51">
        <v>1</v>
      </c>
      <c r="D31" s="149">
        <f>-$E$27*$G$28</f>
        <v>-400000</v>
      </c>
      <c r="E31" s="149">
        <f>D31*EXP(-D27*C31)</f>
        <v>-390123.96481133305</v>
      </c>
      <c r="F31" s="149">
        <f>$E$28*$E$26</f>
        <v>36000000</v>
      </c>
      <c r="G31" s="150">
        <f>F31*EXP(-$D$26*C31)</f>
        <v>35464029.825710252</v>
      </c>
    </row>
    <row r="32" spans="3:9">
      <c r="C32" s="51">
        <v>2</v>
      </c>
      <c r="D32" s="149">
        <f>-$E$27*$G$28</f>
        <v>-400000</v>
      </c>
      <c r="E32" s="149">
        <f>D32*EXP(-D27*C32)</f>
        <v>-380491.76980028563</v>
      </c>
      <c r="F32" s="149">
        <f>$E$28*$E$26</f>
        <v>36000000</v>
      </c>
      <c r="G32" s="150">
        <f>F32*EXP(-$D$26*C32)</f>
        <v>34936039.207746297</v>
      </c>
    </row>
    <row r="33" spans="2:7" ht="17.25" thickBot="1">
      <c r="C33" s="75">
        <v>3</v>
      </c>
      <c r="D33" s="153">
        <f>-$E$27*$G$28-E27</f>
        <v>-10400000</v>
      </c>
      <c r="E33" s="153">
        <f>D33*EXP(-D27*C33)</f>
        <v>-9648532.2578169499</v>
      </c>
      <c r="F33" s="153">
        <f>$E$28*$E$26+E26</f>
        <v>1236000000</v>
      </c>
      <c r="G33" s="154">
        <f>F33*EXP(-$D$26*C33)</f>
        <v>1181612887.5457115</v>
      </c>
    </row>
    <row r="34" spans="2:7">
      <c r="C34" s="32"/>
      <c r="D34" s="32"/>
      <c r="E34" s="152">
        <f>SUM(E31:E33)</f>
        <v>-10419147.992428569</v>
      </c>
      <c r="F34" s="32"/>
      <c r="G34" s="152">
        <f>SUM(G31:G33)</f>
        <v>1252012956.5791681</v>
      </c>
    </row>
    <row r="35" spans="2:7">
      <c r="C35" s="32"/>
      <c r="D35" s="32"/>
      <c r="E35" s="32"/>
      <c r="F35" s="151" t="s">
        <v>213</v>
      </c>
      <c r="G35" s="155">
        <f>G34/110+E34</f>
        <v>962787.97647295892</v>
      </c>
    </row>
    <row r="37" spans="2:7">
      <c r="C37" t="s">
        <v>214</v>
      </c>
    </row>
    <row r="38" spans="2:7">
      <c r="B38" t="s">
        <v>219</v>
      </c>
      <c r="C38" t="s">
        <v>215</v>
      </c>
      <c r="D38" s="156" t="s">
        <v>216</v>
      </c>
      <c r="E38" t="s">
        <v>217</v>
      </c>
      <c r="F38" s="2" t="s">
        <v>218</v>
      </c>
      <c r="G38" t="s">
        <v>358</v>
      </c>
    </row>
    <row r="39" spans="2:7">
      <c r="B39">
        <v>1</v>
      </c>
      <c r="C39" s="136">
        <v>0.95240000000000002</v>
      </c>
      <c r="D39" s="157">
        <f>(1/C39)^(1/B39)-1</f>
        <v>4.9979000419991593E-2</v>
      </c>
      <c r="E39" s="136">
        <v>0.05</v>
      </c>
      <c r="F39">
        <f>E39/(1+D39)^B39+1/(1+D39)^B39</f>
        <v>1.0000200000000001</v>
      </c>
    </row>
    <row r="40" spans="2:7">
      <c r="B40">
        <v>2</v>
      </c>
      <c r="C40" s="136">
        <v>0.89</v>
      </c>
      <c r="D40" s="157">
        <f>(1/C40)^(1/B40)-1</f>
        <v>5.9997880006360083E-2</v>
      </c>
      <c r="E40" s="136">
        <v>5.9700000000000003E-2</v>
      </c>
      <c r="F40">
        <f>E40/(1+D39)^B39+E40/(1+D40)^B40+1/(1+D40)^B40</f>
        <v>0.99999127999999982</v>
      </c>
    </row>
    <row r="41" spans="2:7">
      <c r="B41">
        <v>3</v>
      </c>
      <c r="C41" s="136">
        <v>0.81630000000000003</v>
      </c>
      <c r="D41" s="157">
        <f>(1/C41)^(1/B41)-1</f>
        <v>6.9999072347275204E-2</v>
      </c>
      <c r="E41" s="136">
        <v>6.9099999999999995E-2</v>
      </c>
      <c r="F41">
        <f>E41/(1+D39)^B39+E41/(1+D40)^B40+E41/(1+D41)^B41+1/(D41+1)^3</f>
        <v>1.0000161699999999</v>
      </c>
    </row>
    <row r="42" spans="2:7">
      <c r="B42">
        <v>4</v>
      </c>
      <c r="C42" s="136">
        <v>0.73499999999999999</v>
      </c>
      <c r="D42" s="157">
        <f>(1/C42)^(1/B42)-1</f>
        <v>8.0010966166366604E-2</v>
      </c>
      <c r="E42" s="136">
        <v>7.8100000000000003E-2</v>
      </c>
      <c r="F42">
        <f>E42/(D39+1)^B39+E42/(D40+1)^B40+E42/(1+D41)^B41+E42/(1+D42)^B42+1/(1+D42)^B42</f>
        <v>1.0000479699999998</v>
      </c>
    </row>
    <row r="44" spans="2:7">
      <c r="C44" t="s">
        <v>220</v>
      </c>
    </row>
    <row r="45" spans="2:7">
      <c r="C45" t="s">
        <v>225</v>
      </c>
      <c r="D45" s="19">
        <f>(1+5/8)%</f>
        <v>1.6250000000000001E-2</v>
      </c>
      <c r="E45" t="s">
        <v>222</v>
      </c>
      <c r="F45" s="136">
        <f>2+350/360</f>
        <v>2.9722222222222223</v>
      </c>
    </row>
    <row r="46" spans="2:7" ht="17.25" thickBot="1">
      <c r="C46" t="s">
        <v>223</v>
      </c>
      <c r="D46" s="158">
        <f>D61+C61</f>
        <v>1.50425E-2</v>
      </c>
    </row>
    <row r="47" spans="2:7">
      <c r="B47" s="71"/>
      <c r="C47" s="72"/>
      <c r="D47" s="93" t="s">
        <v>226</v>
      </c>
    </row>
    <row r="48" spans="2:7">
      <c r="B48" s="51">
        <v>1</v>
      </c>
      <c r="C48" s="32"/>
      <c r="D48" s="162">
        <f>1000000*(D45/2)/(1+D46/2)^(B48-10/180)</f>
        <v>8067.7037919365157</v>
      </c>
    </row>
    <row r="49" spans="2:4">
      <c r="B49" s="51">
        <v>2</v>
      </c>
      <c r="C49" s="32"/>
      <c r="D49" s="162">
        <f>1000000*(D45/2)/(1+D46/2)^(B49-10/180)</f>
        <v>8007.4775514030262</v>
      </c>
    </row>
    <row r="50" spans="2:4">
      <c r="B50" s="51">
        <v>3</v>
      </c>
      <c r="C50" s="32"/>
      <c r="D50" s="162">
        <f>1000000*(D45/2)/(1+D46/2)^(B50-10/180)</f>
        <v>7947.700905964045</v>
      </c>
    </row>
    <row r="51" spans="2:4">
      <c r="B51" s="51">
        <v>4</v>
      </c>
      <c r="C51" s="32"/>
      <c r="D51" s="162">
        <f>1000000*($D$45/2)/(1+$D$46/2)^(B51-10/180)</f>
        <v>7888.3704993458414</v>
      </c>
    </row>
    <row r="52" spans="2:4">
      <c r="B52" s="51">
        <v>5</v>
      </c>
      <c r="C52" s="32"/>
      <c r="D52" s="162">
        <f>1000000*($D$45/2)/(1+$D$46/2)^(B52-10/180)</f>
        <v>7829.4830003296129</v>
      </c>
    </row>
    <row r="53" spans="2:4">
      <c r="B53" s="51">
        <v>6</v>
      </c>
      <c r="C53" s="32"/>
      <c r="D53" s="162">
        <f>1000000*($D$45/2)/(1+$D$46/2)^(B53-10/180)</f>
        <v>7771.0351025644504</v>
      </c>
    </row>
    <row r="54" spans="2:4" ht="17.25" thickBot="1">
      <c r="B54" s="75"/>
      <c r="C54" s="76"/>
      <c r="D54" s="163">
        <f>1000000/(1+$D$46/2)^(B53-10/180)</f>
        <v>956435.08954639384</v>
      </c>
    </row>
    <row r="55" spans="2:4">
      <c r="C55" s="160" t="s">
        <v>224</v>
      </c>
      <c r="D55" s="161">
        <f>SUM(D48:D54)</f>
        <v>1003946.8603979374</v>
      </c>
    </row>
    <row r="56" spans="2:4">
      <c r="C56" t="s">
        <v>229</v>
      </c>
      <c r="D56" s="159">
        <f>1000000*(D45/2)*(10/180)</f>
        <v>451.38888888888886</v>
      </c>
    </row>
    <row r="57" spans="2:4">
      <c r="C57" t="s">
        <v>230</v>
      </c>
      <c r="D57" s="159">
        <f>D55-D56</f>
        <v>1003495.4715090485</v>
      </c>
    </row>
    <row r="58" spans="2:4" ht="17.25" thickBot="1"/>
    <row r="59" spans="2:4">
      <c r="B59" s="71"/>
      <c r="C59" s="72" t="s">
        <v>221</v>
      </c>
      <c r="D59" s="170" t="s">
        <v>228</v>
      </c>
    </row>
    <row r="60" spans="2:4">
      <c r="B60" s="164" t="s">
        <v>227</v>
      </c>
      <c r="C60" s="165">
        <v>5.2500000000000003E-3</v>
      </c>
      <c r="D60" s="52"/>
    </row>
    <row r="61" spans="2:4">
      <c r="B61" s="166">
        <f>F45</f>
        <v>2.9722222222222223</v>
      </c>
      <c r="C61" s="167">
        <f>C60+(350/360)*(C62-C60)</f>
        <v>5.8624999999999997E-3</v>
      </c>
      <c r="D61" s="168">
        <v>9.1800000000000007E-3</v>
      </c>
    </row>
    <row r="62" spans="2:4" ht="17.25" thickBot="1">
      <c r="B62" s="75">
        <v>3</v>
      </c>
      <c r="C62" s="169">
        <v>5.8799999999999998E-3</v>
      </c>
      <c r="D62" s="105"/>
    </row>
    <row r="64" spans="2:4">
      <c r="C64" t="s">
        <v>231</v>
      </c>
    </row>
    <row r="65" spans="1:4" ht="17.25" thickBot="1">
      <c r="B65" t="s">
        <v>232</v>
      </c>
      <c r="C65">
        <f>109.6/10000</f>
        <v>1.0959999999999999E-2</v>
      </c>
    </row>
    <row r="66" spans="1:4">
      <c r="B66" s="243" t="s">
        <v>233</v>
      </c>
      <c r="C66" s="244"/>
      <c r="D66" s="93" t="s">
        <v>234</v>
      </c>
    </row>
    <row r="67" spans="1:4">
      <c r="A67">
        <v>1</v>
      </c>
      <c r="B67" s="51">
        <v>0.5</v>
      </c>
      <c r="C67" s="112">
        <v>1.6000000000000001E-3</v>
      </c>
      <c r="D67" s="171">
        <f>1000000*($D$45/2)/(1+($C67+$C$65)/2)^($A67-10/180)</f>
        <v>8077.1021482651568</v>
      </c>
    </row>
    <row r="68" spans="1:4">
      <c r="A68">
        <v>2</v>
      </c>
      <c r="B68" s="51">
        <v>1</v>
      </c>
      <c r="C68" s="112">
        <v>2.0999999999999999E-3</v>
      </c>
      <c r="D68" s="171">
        <f t="shared" ref="D68:D72" si="2">1000000*($D$45/2)/(1+($C68+$C$65)/2)^($A68-10/180)</f>
        <v>8022.8184099402533</v>
      </c>
    </row>
    <row r="69" spans="1:4">
      <c r="A69">
        <v>3</v>
      </c>
      <c r="B69" s="51">
        <v>1.5</v>
      </c>
      <c r="C69" s="112">
        <v>2.7000000000000001E-3</v>
      </c>
      <c r="D69" s="171">
        <f t="shared" si="2"/>
        <v>7963.7782286792617</v>
      </c>
    </row>
    <row r="70" spans="1:4">
      <c r="A70">
        <v>4</v>
      </c>
      <c r="B70" s="51">
        <v>2</v>
      </c>
      <c r="C70" s="112">
        <v>3.3E-3</v>
      </c>
      <c r="D70" s="171">
        <f t="shared" si="2"/>
        <v>7900.4650667391325</v>
      </c>
    </row>
    <row r="71" spans="1:4">
      <c r="A71">
        <v>5</v>
      </c>
      <c r="B71" s="51">
        <v>2.5</v>
      </c>
      <c r="C71" s="112">
        <v>3.7000000000000002E-3</v>
      </c>
      <c r="D71" s="171">
        <f t="shared" si="2"/>
        <v>7836.8356331925042</v>
      </c>
    </row>
    <row r="72" spans="1:4">
      <c r="A72">
        <v>6</v>
      </c>
      <c r="B72" s="51">
        <v>3</v>
      </c>
      <c r="C72" s="112">
        <v>4.1000000000000003E-3</v>
      </c>
      <c r="D72" s="171">
        <f t="shared" si="2"/>
        <v>7770.6339303133436</v>
      </c>
    </row>
    <row r="73" spans="1:4" ht="17.25" thickBot="1">
      <c r="B73" s="75"/>
      <c r="C73" s="76"/>
      <c r="D73" s="172">
        <f>1000000/(1+(C72+$C$65)/2)^(A72-10/180)</f>
        <v>956385.71450010373</v>
      </c>
    </row>
    <row r="74" spans="1:4">
      <c r="C74" s="160" t="s">
        <v>235</v>
      </c>
      <c r="D74" s="173">
        <f>SUM(D67:D73)</f>
        <v>1003957.3479172334</v>
      </c>
    </row>
  </sheetData>
  <mergeCells count="6">
    <mergeCell ref="B66:C66"/>
    <mergeCell ref="C2:K2"/>
    <mergeCell ref="C3:K3"/>
    <mergeCell ref="C5:K5"/>
    <mergeCell ref="C4:J4"/>
    <mergeCell ref="C14:I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opLeftCell="A5" workbookViewId="0">
      <selection activeCell="C21" sqref="C21"/>
    </sheetView>
  </sheetViews>
  <sheetFormatPr defaultRowHeight="16.5"/>
  <cols>
    <col min="1" max="1" width="16.125" customWidth="1"/>
    <col min="3" max="3" width="11.625" bestFit="1" customWidth="1"/>
    <col min="4" max="4" width="10.75" customWidth="1"/>
  </cols>
  <sheetData>
    <row r="1" spans="1:7">
      <c r="A1" s="71"/>
      <c r="B1" s="72"/>
      <c r="C1" s="72" t="s">
        <v>308</v>
      </c>
      <c r="D1" s="72" t="s">
        <v>287</v>
      </c>
      <c r="E1" s="72" t="s">
        <v>313</v>
      </c>
      <c r="F1" s="72"/>
      <c r="G1" s="93"/>
    </row>
    <row r="2" spans="1:7">
      <c r="A2" s="51" t="s">
        <v>305</v>
      </c>
      <c r="B2" s="32" t="s">
        <v>307</v>
      </c>
      <c r="C2" s="112">
        <v>1.4999999999999999E-2</v>
      </c>
      <c r="D2" s="248">
        <v>0.6</v>
      </c>
      <c r="E2" s="216">
        <f>F10*C4*SQRT(10)</f>
        <v>1.3246208816110367</v>
      </c>
      <c r="F2" s="32"/>
      <c r="G2" s="52"/>
    </row>
    <row r="3" spans="1:7">
      <c r="A3" s="51" t="s">
        <v>149</v>
      </c>
      <c r="B3" s="32" t="s">
        <v>306</v>
      </c>
      <c r="C3" s="137">
        <v>0.02</v>
      </c>
      <c r="D3" s="248"/>
      <c r="E3" s="32"/>
      <c r="F3" s="32"/>
      <c r="G3" s="52"/>
    </row>
    <row r="4" spans="1:7" ht="33">
      <c r="A4" s="217" t="s">
        <v>309</v>
      </c>
      <c r="B4" s="218" t="s">
        <v>310</v>
      </c>
      <c r="C4" s="32">
        <v>2.33</v>
      </c>
      <c r="D4" s="32"/>
      <c r="E4" s="32"/>
      <c r="F4" s="32"/>
      <c r="G4" s="52"/>
    </row>
    <row r="5" spans="1:7">
      <c r="A5" s="51"/>
      <c r="B5" s="32"/>
      <c r="C5" s="32"/>
      <c r="D5" s="32"/>
      <c r="E5" s="32"/>
      <c r="F5" s="32"/>
      <c r="G5" s="52"/>
    </row>
    <row r="6" spans="1:7">
      <c r="A6" s="51" t="s">
        <v>311</v>
      </c>
      <c r="B6" s="32"/>
      <c r="C6" s="219" t="s">
        <v>312</v>
      </c>
      <c r="D6" s="32"/>
      <c r="E6" s="32"/>
      <c r="F6" s="32"/>
      <c r="G6" s="52"/>
    </row>
    <row r="7" spans="1:7">
      <c r="A7" s="220">
        <f>C2^2</f>
        <v>2.2499999999999999E-4</v>
      </c>
      <c r="B7" s="214">
        <f>C3*C2*D2</f>
        <v>1.7999999999999998E-4</v>
      </c>
      <c r="C7" s="32">
        <v>8</v>
      </c>
      <c r="D7" s="32">
        <v>8</v>
      </c>
      <c r="E7" s="32">
        <v>4</v>
      </c>
      <c r="F7" s="32"/>
      <c r="G7" s="52"/>
    </row>
    <row r="8" spans="1:7">
      <c r="A8" s="220">
        <f>C2*C3*D2</f>
        <v>1.7999999999999998E-4</v>
      </c>
      <c r="B8" s="214">
        <f>C3^2</f>
        <v>4.0000000000000002E-4</v>
      </c>
      <c r="C8" s="32">
        <v>4</v>
      </c>
      <c r="D8" s="32"/>
      <c r="E8" s="32"/>
      <c r="F8" s="32"/>
      <c r="G8" s="52"/>
    </row>
    <row r="9" spans="1:7" ht="17.25" thickBot="1">
      <c r="A9" s="51"/>
      <c r="B9" s="32"/>
      <c r="C9" s="32"/>
      <c r="D9" s="32"/>
      <c r="E9" s="32"/>
      <c r="F9" s="32"/>
      <c r="G9" s="52"/>
    </row>
    <row r="10" spans="1:7" ht="17.25" thickBot="1">
      <c r="A10" s="51"/>
      <c r="B10" s="32"/>
      <c r="C10" s="32"/>
      <c r="D10" s="214">
        <f t="array" ref="D10:E11">MMULT(D7:E7,A7:B8)</f>
        <v>2.5199999999999997E-3</v>
      </c>
      <c r="E10" s="214">
        <v>3.0400000000000002E-3</v>
      </c>
      <c r="F10" s="215">
        <f>SQRT(MMULT(D10:E11,C7:C8))</f>
        <v>0.17977764043395386</v>
      </c>
      <c r="G10" s="221"/>
    </row>
    <row r="11" spans="1:7">
      <c r="A11" s="51"/>
      <c r="B11" s="32"/>
      <c r="C11" s="32"/>
      <c r="D11" s="214">
        <v>2.5199999999999997E-3</v>
      </c>
      <c r="E11" s="214">
        <v>3.0400000000000002E-3</v>
      </c>
      <c r="F11" s="32"/>
      <c r="G11" s="221"/>
    </row>
    <row r="12" spans="1:7">
      <c r="A12" s="51"/>
      <c r="B12" s="32"/>
      <c r="C12" s="32"/>
      <c r="D12" s="32"/>
      <c r="E12" s="32"/>
      <c r="F12" s="32"/>
      <c r="G12" s="52"/>
    </row>
    <row r="13" spans="1:7">
      <c r="A13" s="51" t="s">
        <v>314</v>
      </c>
      <c r="B13" s="32"/>
      <c r="C13" s="32"/>
      <c r="D13" s="32"/>
      <c r="E13" s="32"/>
      <c r="F13" s="32"/>
      <c r="G13" s="52"/>
    </row>
    <row r="14" spans="1:7">
      <c r="A14" s="222" t="s">
        <v>315</v>
      </c>
      <c r="B14" s="32"/>
      <c r="C14" s="32"/>
      <c r="D14" s="32"/>
      <c r="E14" s="32"/>
      <c r="F14" s="32"/>
      <c r="G14" s="52"/>
    </row>
    <row r="15" spans="1:7" ht="17.25" thickBot="1">
      <c r="A15" s="223">
        <f>E2*3*1000000</f>
        <v>3973862.6448331098</v>
      </c>
      <c r="B15" s="76"/>
      <c r="C15" s="76"/>
      <c r="D15" s="76"/>
      <c r="E15" s="76"/>
      <c r="F15" s="76"/>
      <c r="G15" s="105"/>
    </row>
    <row r="17" spans="1:6">
      <c r="A17" t="s">
        <v>188</v>
      </c>
    </row>
    <row r="18" spans="1:6">
      <c r="A18" t="s">
        <v>316</v>
      </c>
      <c r="C18" t="s">
        <v>318</v>
      </c>
      <c r="D18" s="226" t="s">
        <v>320</v>
      </c>
      <c r="E18" t="s">
        <v>321</v>
      </c>
      <c r="F18" s="225" t="s">
        <v>323</v>
      </c>
    </row>
    <row r="19" spans="1:6">
      <c r="A19" t="s">
        <v>117</v>
      </c>
      <c r="B19">
        <v>4000000</v>
      </c>
      <c r="C19" s="46">
        <v>7.0000000000000007E-2</v>
      </c>
      <c r="D19" s="249">
        <v>0.6</v>
      </c>
      <c r="E19" s="250">
        <v>1</v>
      </c>
      <c r="F19">
        <f>SQRT(C19*(1-C19))</f>
        <v>0.25514701644346149</v>
      </c>
    </row>
    <row r="20" spans="1:6">
      <c r="A20" t="s">
        <v>317</v>
      </c>
      <c r="B20">
        <v>4000000</v>
      </c>
      <c r="C20" s="46">
        <v>7.0000000000000007E-2</v>
      </c>
      <c r="D20" s="249"/>
      <c r="E20" s="250"/>
      <c r="F20">
        <f t="shared" ref="F20" si="0">SQRT(C20*(1-C20))</f>
        <v>0.25514701644346149</v>
      </c>
    </row>
    <row r="21" spans="1:6">
      <c r="A21" s="224" t="s">
        <v>319</v>
      </c>
      <c r="B21">
        <f>1/2</f>
        <v>0.5</v>
      </c>
    </row>
    <row r="22" spans="1:6">
      <c r="A22" t="s">
        <v>322</v>
      </c>
      <c r="B22" s="140">
        <f>D19*SQRT(C19*(1-C19)*C20*(1-C20))+C19*C20</f>
        <v>4.3960000000000006E-2</v>
      </c>
    </row>
    <row r="23" spans="1:6">
      <c r="A23" t="s">
        <v>324</v>
      </c>
      <c r="B23">
        <f>B22*SUM(B19:B20)</f>
        <v>351680.00000000006</v>
      </c>
    </row>
  </sheetData>
  <mergeCells count="3">
    <mergeCell ref="D2:D3"/>
    <mergeCell ref="D19:D20"/>
    <mergeCell ref="E19:E20"/>
  </mergeCells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E20" sqref="E20"/>
    </sheetView>
  </sheetViews>
  <sheetFormatPr defaultRowHeight="16.5"/>
  <cols>
    <col min="1" max="1" width="12.75" bestFit="1" customWidth="1"/>
    <col min="2" max="3" width="5.625" bestFit="1" customWidth="1"/>
    <col min="4" max="4" width="7.25" bestFit="1" customWidth="1"/>
    <col min="5" max="5" width="6.75" bestFit="1" customWidth="1"/>
    <col min="6" max="6" width="4.25" bestFit="1" customWidth="1"/>
    <col min="7" max="7" width="6.25" bestFit="1" customWidth="1"/>
  </cols>
  <sheetData>
    <row r="1" spans="1:7">
      <c r="A1" t="s">
        <v>135</v>
      </c>
      <c r="B1" t="s">
        <v>325</v>
      </c>
      <c r="C1" t="s">
        <v>293</v>
      </c>
    </row>
    <row r="2" spans="1:7">
      <c r="A2">
        <v>2011</v>
      </c>
      <c r="B2" s="46">
        <v>0.25</v>
      </c>
      <c r="C2" s="46">
        <v>-0.2</v>
      </c>
    </row>
    <row r="3" spans="1:7">
      <c r="A3">
        <v>2012</v>
      </c>
      <c r="B3" s="46">
        <v>-0.2</v>
      </c>
      <c r="C3" s="46">
        <v>0.1</v>
      </c>
    </row>
    <row r="4" spans="1:7">
      <c r="A4">
        <v>2013</v>
      </c>
      <c r="B4" s="46">
        <v>0.4</v>
      </c>
      <c r="C4" s="46">
        <v>0.2</v>
      </c>
    </row>
    <row r="5" spans="1:7">
      <c r="A5">
        <v>2014</v>
      </c>
      <c r="B5" s="46">
        <v>-0.1</v>
      </c>
      <c r="C5" s="46">
        <v>0.3</v>
      </c>
    </row>
    <row r="7" spans="1:7">
      <c r="A7" s="70" t="s">
        <v>326</v>
      </c>
    </row>
    <row r="9" spans="1:7">
      <c r="A9" t="s">
        <v>135</v>
      </c>
      <c r="B9" s="1" t="s">
        <v>325</v>
      </c>
      <c r="C9" t="s">
        <v>293</v>
      </c>
      <c r="D9" t="s">
        <v>327</v>
      </c>
      <c r="E9" t="s">
        <v>328</v>
      </c>
      <c r="F9" t="s">
        <v>329</v>
      </c>
      <c r="G9" t="s">
        <v>330</v>
      </c>
    </row>
    <row r="10" spans="1:7">
      <c r="A10">
        <v>2012</v>
      </c>
      <c r="B10" s="227">
        <v>-0.2</v>
      </c>
      <c r="C10" s="46">
        <v>0.1</v>
      </c>
      <c r="D10">
        <v>1</v>
      </c>
      <c r="E10">
        <v>2</v>
      </c>
      <c r="F10">
        <f>D10-E10</f>
        <v>-1</v>
      </c>
      <c r="G10">
        <f>F10^2</f>
        <v>1</v>
      </c>
    </row>
    <row r="11" spans="1:7">
      <c r="A11">
        <v>2014</v>
      </c>
      <c r="B11" s="227">
        <v>-0.1</v>
      </c>
      <c r="C11" s="46">
        <v>0.3</v>
      </c>
      <c r="D11">
        <v>2</v>
      </c>
      <c r="E11">
        <v>4</v>
      </c>
      <c r="F11">
        <f t="shared" ref="F11:F13" si="0">D11-E11</f>
        <v>-2</v>
      </c>
      <c r="G11">
        <f t="shared" ref="G11:G13" si="1">F11^2</f>
        <v>4</v>
      </c>
    </row>
    <row r="12" spans="1:7">
      <c r="A12">
        <v>2011</v>
      </c>
      <c r="B12" s="227">
        <v>0.25</v>
      </c>
      <c r="C12" s="46">
        <v>-0.2</v>
      </c>
      <c r="D12">
        <v>3</v>
      </c>
      <c r="E12">
        <v>1</v>
      </c>
      <c r="F12">
        <f t="shared" si="0"/>
        <v>2</v>
      </c>
      <c r="G12">
        <f t="shared" si="1"/>
        <v>4</v>
      </c>
    </row>
    <row r="13" spans="1:7">
      <c r="A13">
        <v>2013</v>
      </c>
      <c r="B13" s="227">
        <v>0.4</v>
      </c>
      <c r="C13" s="46">
        <v>0.2</v>
      </c>
      <c r="D13">
        <v>4</v>
      </c>
      <c r="E13">
        <v>3</v>
      </c>
      <c r="F13">
        <f t="shared" si="0"/>
        <v>1</v>
      </c>
      <c r="G13">
        <f t="shared" si="1"/>
        <v>1</v>
      </c>
    </row>
    <row r="15" spans="1:7">
      <c r="A15" s="2" t="s">
        <v>331</v>
      </c>
      <c r="B15">
        <f>1-(6*SUM(G10:G13)/(4*16-1))</f>
        <v>4.7619047619047672E-2</v>
      </c>
    </row>
    <row r="17" spans="1:2">
      <c r="A17" t="s">
        <v>332</v>
      </c>
    </row>
    <row r="18" spans="1:2">
      <c r="A18" t="s">
        <v>333</v>
      </c>
    </row>
    <row r="19" spans="1:2">
      <c r="A19" t="s">
        <v>334</v>
      </c>
    </row>
    <row r="20" spans="1:2">
      <c r="A20" t="s">
        <v>335</v>
      </c>
    </row>
    <row r="21" spans="1:2">
      <c r="A21" t="s">
        <v>336</v>
      </c>
    </row>
    <row r="22" spans="1:2">
      <c r="A22" t="s">
        <v>337</v>
      </c>
    </row>
    <row r="23" spans="1:2">
      <c r="A23" t="s">
        <v>338</v>
      </c>
    </row>
    <row r="25" spans="1:2">
      <c r="A25" s="2" t="s">
        <v>339</v>
      </c>
      <c r="B25">
        <f>(2-4)/(4*3/2)</f>
        <v>-0.33333333333333331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7"/>
  <sheetViews>
    <sheetView workbookViewId="0">
      <selection activeCell="I3" sqref="I3"/>
    </sheetView>
  </sheetViews>
  <sheetFormatPr defaultRowHeight="16.5"/>
  <cols>
    <col min="1" max="1" width="2" customWidth="1"/>
    <col min="2" max="2" width="6.875" bestFit="1" customWidth="1"/>
    <col min="3" max="4" width="8.375" bestFit="1" customWidth="1"/>
    <col min="5" max="5" width="6.375" bestFit="1" customWidth="1"/>
    <col min="8" max="8" width="8.375" bestFit="1" customWidth="1"/>
    <col min="9" max="9" width="9.5" bestFit="1" customWidth="1"/>
    <col min="10" max="10" width="18" bestFit="1" customWidth="1"/>
    <col min="11" max="15" width="9.625" bestFit="1" customWidth="1"/>
    <col min="16" max="17" width="9.5" bestFit="1" customWidth="1"/>
  </cols>
  <sheetData>
    <row r="1" spans="2:17" ht="17.25" thickBot="1"/>
    <row r="2" spans="2:17" s="27" customFormat="1" ht="49.5">
      <c r="B2" s="182" t="s">
        <v>236</v>
      </c>
      <c r="C2" s="183" t="s">
        <v>242</v>
      </c>
      <c r="D2" s="183" t="s">
        <v>243</v>
      </c>
      <c r="E2" s="183" t="s">
        <v>244</v>
      </c>
      <c r="F2" s="184" t="s">
        <v>237</v>
      </c>
      <c r="G2" s="185" t="s">
        <v>239</v>
      </c>
      <c r="H2" s="186" t="s">
        <v>238</v>
      </c>
      <c r="I2" s="187" t="s">
        <v>240</v>
      </c>
      <c r="J2" s="188" t="s">
        <v>241</v>
      </c>
      <c r="K2" s="184" t="s">
        <v>245</v>
      </c>
      <c r="L2" s="251" t="s">
        <v>246</v>
      </c>
      <c r="M2" s="251"/>
      <c r="N2" s="251"/>
      <c r="O2" s="251"/>
      <c r="P2" s="252"/>
    </row>
    <row r="3" spans="2:17">
      <c r="B3" s="51">
        <v>1</v>
      </c>
      <c r="C3" s="32">
        <v>5</v>
      </c>
      <c r="D3" s="32">
        <v>103.5</v>
      </c>
      <c r="E3" s="112">
        <v>3.5000000000000003E-2</v>
      </c>
      <c r="F3" s="189">
        <f>(C3+D3)/(1+E3)^B3</f>
        <v>104.83091787439615</v>
      </c>
      <c r="G3" s="190"/>
      <c r="H3" s="191">
        <v>4.6959999999999997E-3</v>
      </c>
      <c r="I3" s="192"/>
      <c r="J3" s="193">
        <f>F3*B3</f>
        <v>104.83091787439615</v>
      </c>
      <c r="K3" s="32"/>
      <c r="L3" s="174" t="s">
        <v>247</v>
      </c>
      <c r="M3" s="175" t="s">
        <v>248</v>
      </c>
      <c r="N3" s="175" t="s">
        <v>249</v>
      </c>
      <c r="O3" s="175" t="s">
        <v>250</v>
      </c>
      <c r="P3" s="194" t="s">
        <v>251</v>
      </c>
    </row>
    <row r="4" spans="2:17">
      <c r="B4" s="51">
        <v>2</v>
      </c>
      <c r="C4" s="32">
        <v>5</v>
      </c>
      <c r="D4" s="32">
        <v>0</v>
      </c>
      <c r="E4" s="112">
        <v>3.9E-2</v>
      </c>
      <c r="F4" s="189">
        <f>(C4+D4)/(1+E4)^B4</f>
        <v>4.6316838671966556</v>
      </c>
      <c r="G4" s="190"/>
      <c r="H4" s="191">
        <v>9.868E-3</v>
      </c>
      <c r="I4" s="192"/>
      <c r="J4" s="193">
        <f>F4*B4</f>
        <v>9.2633677343933112</v>
      </c>
      <c r="K4" s="89">
        <f>H3*F3</f>
        <v>0.49228599033816428</v>
      </c>
      <c r="L4" s="176">
        <v>1</v>
      </c>
      <c r="M4" s="32">
        <v>0.89400000000000002</v>
      </c>
      <c r="N4" s="32">
        <v>0.88700000000000001</v>
      </c>
      <c r="O4" s="32">
        <v>0.871</v>
      </c>
      <c r="P4" s="52">
        <v>0.86099999999999999</v>
      </c>
      <c r="Q4" t="e">
        <f ca="1">MMULT(J11MINVERSE(K4:K8),L4:P8)</f>
        <v>#NAME?</v>
      </c>
    </row>
    <row r="5" spans="2:17">
      <c r="B5" s="195">
        <f>J9</f>
        <v>2.7685655598233057</v>
      </c>
      <c r="C5" s="32"/>
      <c r="D5" s="32"/>
      <c r="E5" s="32"/>
      <c r="F5" s="32"/>
      <c r="G5" s="190"/>
      <c r="H5" s="191"/>
      <c r="I5" s="192">
        <v>200</v>
      </c>
      <c r="J5" s="193"/>
      <c r="K5" s="89">
        <f>H4*F4</f>
        <v>4.5705456401496598E-2</v>
      </c>
      <c r="L5" s="176">
        <v>0.89400000000000002</v>
      </c>
      <c r="M5" s="32">
        <v>1</v>
      </c>
      <c r="N5" s="32">
        <v>0.99</v>
      </c>
      <c r="O5" s="181">
        <v>0.96399999999999997</v>
      </c>
      <c r="P5" s="52">
        <v>0.95399999999999996</v>
      </c>
    </row>
    <row r="6" spans="2:17">
      <c r="B6" s="51">
        <v>3</v>
      </c>
      <c r="C6" s="32">
        <v>5</v>
      </c>
      <c r="D6" s="32">
        <v>0</v>
      </c>
      <c r="E6" s="112">
        <v>4.19E-2</v>
      </c>
      <c r="F6" s="189">
        <f>(C6+D6)/(1+E6)^B6</f>
        <v>4.4207086183183764</v>
      </c>
      <c r="G6" s="190">
        <v>200</v>
      </c>
      <c r="H6" s="191">
        <v>1.4841E-2</v>
      </c>
      <c r="I6" s="192"/>
      <c r="J6" s="193">
        <f>F6*B6</f>
        <v>13.26212585495513</v>
      </c>
      <c r="K6" s="89">
        <f>H6*F6</f>
        <v>6.5607736604463021E-2</v>
      </c>
      <c r="L6" s="176">
        <v>0.88700000000000001</v>
      </c>
      <c r="M6" s="32">
        <v>0.99</v>
      </c>
      <c r="N6" s="32">
        <v>1</v>
      </c>
      <c r="O6" s="181">
        <v>0.99199999999999999</v>
      </c>
      <c r="P6" s="52">
        <v>0.98699999999999999</v>
      </c>
    </row>
    <row r="7" spans="2:17">
      <c r="B7" s="51">
        <v>4</v>
      </c>
      <c r="C7" s="32">
        <v>5</v>
      </c>
      <c r="D7" s="32">
        <v>0</v>
      </c>
      <c r="E7" s="112">
        <v>4.2099999999999999E-2</v>
      </c>
      <c r="F7" s="189">
        <f>(C7+D7)/(1+E7)^B7</f>
        <v>4.2396735797366061</v>
      </c>
      <c r="G7" s="190"/>
      <c r="H7" s="191">
        <v>1.9713999999999999E-2</v>
      </c>
      <c r="I7" s="192"/>
      <c r="J7" s="193">
        <f>F7*B7</f>
        <v>16.958694318946424</v>
      </c>
      <c r="K7" s="89">
        <f>H7*F7</f>
        <v>8.3580924950927449E-2</v>
      </c>
      <c r="L7" s="176">
        <v>0.871</v>
      </c>
      <c r="M7" s="181">
        <v>0.96399999999999997</v>
      </c>
      <c r="N7" s="32"/>
      <c r="O7" s="32">
        <v>1</v>
      </c>
      <c r="P7" s="52">
        <v>0.996</v>
      </c>
    </row>
    <row r="8" spans="2:17">
      <c r="B8" s="51">
        <v>5</v>
      </c>
      <c r="C8" s="32">
        <v>105</v>
      </c>
      <c r="D8" s="32">
        <v>0</v>
      </c>
      <c r="E8" s="112">
        <v>5.0999999999999997E-2</v>
      </c>
      <c r="F8" s="189">
        <f>(C8+D8)/(1+E8)^B8</f>
        <v>81.879601236394038</v>
      </c>
      <c r="G8" s="190"/>
      <c r="H8" s="191">
        <v>2.4261000000000001E-2</v>
      </c>
      <c r="I8" s="192"/>
      <c r="J8" s="193">
        <f>F8*B8</f>
        <v>409.39800618197017</v>
      </c>
      <c r="K8" s="89">
        <f>H8*F8</f>
        <v>1.9864810055961559</v>
      </c>
      <c r="L8" s="178">
        <v>0.86099999999999999</v>
      </c>
      <c r="M8" s="179">
        <v>0.95399999999999996</v>
      </c>
      <c r="N8" s="179">
        <v>0.98699999999999999</v>
      </c>
      <c r="O8" s="179">
        <v>0.996</v>
      </c>
      <c r="P8" s="196">
        <v>1</v>
      </c>
    </row>
    <row r="9" spans="2:17">
      <c r="B9" s="51"/>
      <c r="C9" s="32"/>
      <c r="D9" s="32"/>
      <c r="E9" s="32"/>
      <c r="F9" s="189">
        <f>SUM(F3:F8)</f>
        <v>200.0025851760418</v>
      </c>
      <c r="G9" s="189">
        <f>SUM(G3:G8)*H6</f>
        <v>2.9681999999999999</v>
      </c>
      <c r="H9" s="32"/>
      <c r="I9" s="189">
        <f>SUM(I3:I8)*J10</f>
        <v>2.7380153058002601</v>
      </c>
      <c r="J9" s="203">
        <f>SUM(J3:J8)/200</f>
        <v>2.7685655598233057</v>
      </c>
      <c r="K9" s="198">
        <f>SUM(K4:K8)</f>
        <v>2.6736611138912076</v>
      </c>
      <c r="L9" s="32"/>
      <c r="M9" s="32"/>
      <c r="N9" s="32"/>
      <c r="O9" s="32"/>
      <c r="P9" s="52"/>
    </row>
    <row r="10" spans="2:17" ht="17.25" thickBot="1">
      <c r="B10" s="75"/>
      <c r="C10" s="76"/>
      <c r="D10" s="76"/>
      <c r="E10" s="76"/>
      <c r="F10" s="76"/>
      <c r="G10" s="76"/>
      <c r="H10" s="76"/>
      <c r="I10" s="76"/>
      <c r="J10" s="197">
        <f>H4+(H6-H4)*(B5-B4)</f>
        <v>1.36900765290013E-2</v>
      </c>
      <c r="K10" s="76"/>
      <c r="L10" s="76"/>
      <c r="M10" s="76"/>
      <c r="N10" s="76"/>
      <c r="O10" s="76"/>
      <c r="P10" s="105"/>
    </row>
    <row r="11" spans="2:17" hidden="1">
      <c r="K11" s="4"/>
      <c r="L11">
        <f t="array" ref="L11:P15">TRANSPOSE(L4:P8)</f>
        <v>1</v>
      </c>
      <c r="M11">
        <v>0.89400000000000002</v>
      </c>
      <c r="N11">
        <v>0.88700000000000001</v>
      </c>
      <c r="O11">
        <v>0.871</v>
      </c>
      <c r="P11">
        <v>0.86099999999999999</v>
      </c>
    </row>
    <row r="12" spans="2:17" hidden="1">
      <c r="K12" s="4"/>
      <c r="L12">
        <v>0.89400000000000002</v>
      </c>
      <c r="M12">
        <v>1</v>
      </c>
      <c r="N12">
        <v>0.99</v>
      </c>
      <c r="O12">
        <v>0.96399999999999997</v>
      </c>
      <c r="P12">
        <v>0.95399999999999996</v>
      </c>
    </row>
    <row r="13" spans="2:17" hidden="1">
      <c r="G13">
        <f t="array" ref="G13:K13">TRANSPOSE(K4:K8)</f>
        <v>0.49228599033816428</v>
      </c>
      <c r="H13">
        <v>4.5705456401496598E-2</v>
      </c>
      <c r="I13">
        <v>6.5607736604463021E-2</v>
      </c>
      <c r="J13">
        <v>8.3580924950927449E-2</v>
      </c>
      <c r="K13" s="4">
        <v>1.9864810055961559</v>
      </c>
      <c r="L13">
        <v>0.88700000000000001</v>
      </c>
      <c r="M13">
        <v>0.99</v>
      </c>
      <c r="N13">
        <v>1</v>
      </c>
      <c r="O13">
        <v>0</v>
      </c>
      <c r="P13">
        <v>0.98699999999999999</v>
      </c>
    </row>
    <row r="14" spans="2:17" hidden="1">
      <c r="K14" s="4"/>
      <c r="L14">
        <v>0.871</v>
      </c>
      <c r="M14">
        <v>0.96399999999999997</v>
      </c>
      <c r="N14">
        <v>0.99199999999999999</v>
      </c>
      <c r="O14">
        <v>1</v>
      </c>
      <c r="P14">
        <v>0.996</v>
      </c>
    </row>
    <row r="15" spans="2:17" hidden="1">
      <c r="G15">
        <f t="array" ref="G15:K19">MMULT(K4:K8,G13:K13)</f>
        <v>0.24234549628322719</v>
      </c>
      <c r="H15">
        <v>2.2500155868468544E-2</v>
      </c>
      <c r="I15">
        <v>3.2297769588173507E-2</v>
      </c>
      <c r="J15">
        <v>4.1145718412847102E-2</v>
      </c>
      <c r="K15" s="4">
        <v>0.97791676912785608</v>
      </c>
      <c r="L15">
        <v>0.86099999999999999</v>
      </c>
      <c r="M15">
        <v>0.95399999999999996</v>
      </c>
      <c r="N15">
        <v>0.98699999999999999</v>
      </c>
      <c r="O15">
        <v>0.996</v>
      </c>
      <c r="P15">
        <v>1</v>
      </c>
    </row>
    <row r="16" spans="2:17" hidden="1">
      <c r="G16">
        <v>2.2500155868468544E-2</v>
      </c>
      <c r="H16">
        <v>2.0889887448691065E-3</v>
      </c>
      <c r="I16">
        <v>2.9986315449761569E-3</v>
      </c>
      <c r="J16">
        <v>3.8201043213413736E-3</v>
      </c>
      <c r="K16">
        <v>9.0793020993676227E-2</v>
      </c>
    </row>
    <row r="17" spans="2:17" hidden="1">
      <c r="G17">
        <v>3.2297769588173507E-2</v>
      </c>
      <c r="H17">
        <v>2.9986315449761569E-3</v>
      </c>
      <c r="I17">
        <v>4.3043751023605966E-3</v>
      </c>
      <c r="J17">
        <v>5.4835553093378394E-3</v>
      </c>
      <c r="K17">
        <v>0.13032852258492142</v>
      </c>
      <c r="M17">
        <f t="array" ref="M17:Q21">MMULT(G15:K19,L11:P15)</f>
        <v>1.1689330162110219</v>
      </c>
      <c r="N17">
        <v>1.2437288917359246</v>
      </c>
      <c r="O17">
        <v>1.2755537828959183</v>
      </c>
      <c r="P17">
        <v>1.2479238979840863</v>
      </c>
      <c r="Q17">
        <v>1.2809004242489566</v>
      </c>
    </row>
    <row r="18" spans="2:17" hidden="1">
      <c r="G18">
        <v>4.1145718412847102E-2</v>
      </c>
      <c r="H18">
        <v>3.8201043213413736E-3</v>
      </c>
      <c r="I18">
        <v>5.4835553093378394E-3</v>
      </c>
      <c r="J18">
        <v>6.9857710156525669E-3</v>
      </c>
      <c r="K18">
        <v>0.16603191984517521</v>
      </c>
      <c r="M18">
        <v>0.10852759992621894</v>
      </c>
      <c r="N18">
        <v>0.1154718959145466</v>
      </c>
      <c r="O18">
        <v>0.11842662386525725</v>
      </c>
      <c r="P18">
        <v>0.11586137414253281</v>
      </c>
      <c r="Q18">
        <v>0.11892302369798025</v>
      </c>
    </row>
    <row r="19" spans="2:17" hidden="1">
      <c r="G19">
        <v>0.97791676912785608</v>
      </c>
      <c r="H19">
        <v>9.0793020993676227E-2</v>
      </c>
      <c r="I19">
        <v>0.13032852258492142</v>
      </c>
      <c r="J19">
        <v>0.16603191984517521</v>
      </c>
      <c r="K19">
        <v>3.9461067855943148</v>
      </c>
      <c r="M19">
        <v>0.15578556152522663</v>
      </c>
      <c r="N19">
        <v>0.16575372677235697</v>
      </c>
      <c r="O19">
        <v>0.16999508061477747</v>
      </c>
      <c r="P19">
        <v>0.16631280192457573</v>
      </c>
      <c r="Q19">
        <v>0.17070763600837646</v>
      </c>
    </row>
    <row r="20" spans="2:17" hidden="1">
      <c r="M20">
        <v>0.19846289477683821</v>
      </c>
      <c r="N20">
        <v>0.21116183113005738</v>
      </c>
      <c r="O20">
        <v>0.21656510055437647</v>
      </c>
      <c r="P20">
        <v>0.21187406448480997</v>
      </c>
      <c r="Q20">
        <v>0.21747285994310264</v>
      </c>
    </row>
    <row r="21" spans="2:17" hidden="1">
      <c r="M21">
        <v>4.7168988740108801</v>
      </c>
      <c r="N21">
        <v>5.0187164941407776</v>
      </c>
      <c r="O21">
        <v>5.1471368494530712</v>
      </c>
      <c r="P21">
        <v>5.0356442564453792</v>
      </c>
      <c r="Q21">
        <v>5.1687117097984778</v>
      </c>
    </row>
    <row r="22" spans="2:17" ht="8.25" customHeight="1" thickBot="1"/>
    <row r="23" spans="2:17" ht="17.25" hidden="1" thickBot="1"/>
    <row r="24" spans="2:17" s="27" customFormat="1" ht="33">
      <c r="B24" s="182" t="s">
        <v>252</v>
      </c>
      <c r="C24" s="183" t="s">
        <v>253</v>
      </c>
      <c r="D24" s="184" t="s">
        <v>254</v>
      </c>
      <c r="E24" s="184" t="s">
        <v>255</v>
      </c>
      <c r="F24" s="184" t="s">
        <v>256</v>
      </c>
      <c r="G24" s="184" t="s">
        <v>257</v>
      </c>
      <c r="H24" s="183" t="s">
        <v>258</v>
      </c>
      <c r="I24" s="183" t="s">
        <v>259</v>
      </c>
      <c r="J24" s="199" t="s">
        <v>260</v>
      </c>
    </row>
    <row r="25" spans="2:17">
      <c r="B25" s="51">
        <v>1</v>
      </c>
      <c r="C25" s="32">
        <v>5</v>
      </c>
      <c r="D25" s="32">
        <v>103.5</v>
      </c>
      <c r="E25" s="112">
        <v>3.5000000000000003E-2</v>
      </c>
      <c r="F25" s="189">
        <f>(C25+D25)/(1+E25)^B25</f>
        <v>104.83091787439615</v>
      </c>
      <c r="G25" s="112">
        <v>4.6959999999999997E-3</v>
      </c>
      <c r="H25" s="102">
        <f>1/(1+E25)</f>
        <v>0.96618357487922713</v>
      </c>
      <c r="I25" s="32">
        <f>(1-G25)*H25</f>
        <v>0.96164637681159426</v>
      </c>
      <c r="J25" s="200">
        <f>(C25+D25)*I25</f>
        <v>104.33863188405797</v>
      </c>
    </row>
    <row r="26" spans="2:17">
      <c r="B26" s="51">
        <v>2</v>
      </c>
      <c r="C26" s="32">
        <v>5</v>
      </c>
      <c r="D26" s="32">
        <v>0</v>
      </c>
      <c r="E26" s="112">
        <v>3.9E-2</v>
      </c>
      <c r="F26" s="189">
        <f t="shared" ref="F26:F29" si="0">(C26+D26)/(1+E26)^B26</f>
        <v>4.6316838671966556</v>
      </c>
      <c r="G26" s="112">
        <v>9.868E-3</v>
      </c>
      <c r="H26" s="102">
        <f>1/(1+E26)^B26</f>
        <v>0.92633677343933118</v>
      </c>
      <c r="I26" s="32">
        <f t="shared" ref="I26:I29" si="1">(1-G26)*H26</f>
        <v>0.91719568215903191</v>
      </c>
      <c r="J26" s="200">
        <f t="shared" ref="J26:J29" si="2">(C26+D26)*I26</f>
        <v>4.5859784107951596</v>
      </c>
    </row>
    <row r="27" spans="2:17">
      <c r="B27" s="51">
        <v>3</v>
      </c>
      <c r="C27" s="32">
        <v>5</v>
      </c>
      <c r="D27" s="32">
        <v>0</v>
      </c>
      <c r="E27" s="112">
        <v>4.19E-2</v>
      </c>
      <c r="F27" s="189">
        <f t="shared" si="0"/>
        <v>4.4207086183183764</v>
      </c>
      <c r="G27" s="112">
        <v>1.4841E-2</v>
      </c>
      <c r="H27" s="102">
        <f t="shared" ref="H27:H29" si="3">1/(1+E27)^B27</f>
        <v>0.88414172366367516</v>
      </c>
      <c r="I27" s="32">
        <f t="shared" si="1"/>
        <v>0.87102017634278261</v>
      </c>
      <c r="J27" s="200">
        <f t="shared" si="2"/>
        <v>4.3551008817139127</v>
      </c>
    </row>
    <row r="28" spans="2:17">
      <c r="B28" s="51">
        <v>4</v>
      </c>
      <c r="C28" s="32">
        <v>5</v>
      </c>
      <c r="D28" s="32">
        <v>0</v>
      </c>
      <c r="E28" s="112">
        <v>4.2099999999999999E-2</v>
      </c>
      <c r="F28" s="189">
        <f t="shared" si="0"/>
        <v>4.2396735797366061</v>
      </c>
      <c r="G28" s="112">
        <v>1.9713999999999999E-2</v>
      </c>
      <c r="H28" s="102">
        <f t="shared" si="3"/>
        <v>0.84793471594732117</v>
      </c>
      <c r="I28" s="32">
        <f t="shared" si="1"/>
        <v>0.83121853095713572</v>
      </c>
      <c r="J28" s="200">
        <f t="shared" si="2"/>
        <v>4.1560926547856782</v>
      </c>
    </row>
    <row r="29" spans="2:17">
      <c r="B29" s="51">
        <v>5</v>
      </c>
      <c r="C29" s="32">
        <v>105</v>
      </c>
      <c r="D29" s="32">
        <v>0</v>
      </c>
      <c r="E29" s="112">
        <v>5.0999999999999997E-2</v>
      </c>
      <c r="F29" s="189">
        <f t="shared" si="0"/>
        <v>81.879601236394038</v>
      </c>
      <c r="G29" s="112">
        <v>2.4261000000000001E-2</v>
      </c>
      <c r="H29" s="102">
        <f t="shared" si="3"/>
        <v>0.7798057260608956</v>
      </c>
      <c r="I29" s="32">
        <f t="shared" si="1"/>
        <v>0.76088685934093225</v>
      </c>
      <c r="J29" s="200">
        <f t="shared" si="2"/>
        <v>79.893120230797891</v>
      </c>
    </row>
    <row r="30" spans="2:17">
      <c r="B30" s="51"/>
      <c r="C30" s="32"/>
      <c r="D30" s="32"/>
      <c r="E30" s="32"/>
      <c r="F30" s="201">
        <f>SUM(F25:F29)</f>
        <v>200.0025851760418</v>
      </c>
      <c r="G30" s="32"/>
      <c r="H30" s="32"/>
      <c r="I30" s="32"/>
      <c r="J30" s="200">
        <f>SUM(J25:J29)</f>
        <v>197.32892406215063</v>
      </c>
    </row>
    <row r="31" spans="2:17" ht="17.25" thickBot="1">
      <c r="B31" s="75"/>
      <c r="C31" s="76"/>
      <c r="D31" s="76"/>
      <c r="E31" s="76"/>
      <c r="F31" s="76"/>
      <c r="G31" s="76"/>
      <c r="H31" s="76"/>
      <c r="I31" s="76" t="s">
        <v>261</v>
      </c>
      <c r="J31" s="202">
        <f>F30-J30</f>
        <v>2.6736611138911712</v>
      </c>
    </row>
    <row r="33" spans="2:10">
      <c r="B33" t="s">
        <v>289</v>
      </c>
      <c r="E33" s="249" t="s">
        <v>287</v>
      </c>
      <c r="F33" s="249"/>
    </row>
    <row r="34" spans="2:10">
      <c r="B34" t="s">
        <v>282</v>
      </c>
      <c r="C34" t="s">
        <v>285</v>
      </c>
      <c r="D34" t="s">
        <v>286</v>
      </c>
      <c r="E34">
        <v>1</v>
      </c>
      <c r="F34">
        <v>0.79</v>
      </c>
      <c r="G34" t="s">
        <v>288</v>
      </c>
      <c r="H34" t="s">
        <v>290</v>
      </c>
    </row>
    <row r="35" spans="2:10">
      <c r="B35" t="s">
        <v>283</v>
      </c>
      <c r="C35">
        <f>-100/(1+G35)^0.5</f>
        <v>-98.010958237730719</v>
      </c>
      <c r="D35" s="140">
        <v>1.629E-3</v>
      </c>
      <c r="E35">
        <v>0.79</v>
      </c>
      <c r="F35">
        <v>1</v>
      </c>
      <c r="G35" s="140">
        <v>4.1000000000000002E-2</v>
      </c>
      <c r="I35" s="16">
        <f>ABS(D35*C35)</f>
        <v>0.15965985096926336</v>
      </c>
      <c r="J35" s="211">
        <f>-0.0325</f>
        <v>-3.2500000000000001E-2</v>
      </c>
    </row>
    <row r="36" spans="2:10">
      <c r="B36" t="s">
        <v>284</v>
      </c>
      <c r="C36">
        <f>100/(1+G35/2)</f>
        <v>97.991180793728574</v>
      </c>
      <c r="D36" s="140">
        <v>4.6959999999999997E-3</v>
      </c>
      <c r="G36" s="140">
        <v>4.4999999999999998E-2</v>
      </c>
      <c r="H36" s="210">
        <f>2*((1+G36)/(1+G35/2)-1)</f>
        <v>4.8015678588926747E-2</v>
      </c>
      <c r="I36" s="16">
        <f>ABS(D36*C36)</f>
        <v>0.46016658500734936</v>
      </c>
      <c r="J36" s="211">
        <v>0.1537</v>
      </c>
    </row>
    <row r="37" spans="2:10">
      <c r="I37" s="16">
        <f>SUM(I35:I36)</f>
        <v>0.61982643597661269</v>
      </c>
    </row>
  </sheetData>
  <mergeCells count="2">
    <mergeCell ref="L2:P2"/>
    <mergeCell ref="E33:F33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5" sqref="B15"/>
    </sheetView>
  </sheetViews>
  <sheetFormatPr defaultRowHeight="16.5"/>
  <cols>
    <col min="4" max="5" width="6.5" bestFit="1" customWidth="1"/>
    <col min="6" max="6" width="8.5" bestFit="1" customWidth="1"/>
    <col min="7" max="7" width="6.875" bestFit="1" customWidth="1"/>
    <col min="8" max="9" width="8.875" bestFit="1" customWidth="1"/>
    <col min="10" max="10" width="13.125" bestFit="1" customWidth="1"/>
  </cols>
  <sheetData>
    <row r="1" spans="1:10">
      <c r="A1" t="s">
        <v>291</v>
      </c>
      <c r="B1" t="s">
        <v>292</v>
      </c>
      <c r="C1" t="s">
        <v>293</v>
      </c>
    </row>
    <row r="2" spans="1:10">
      <c r="A2">
        <v>1</v>
      </c>
      <c r="B2">
        <v>90</v>
      </c>
      <c r="C2">
        <v>150</v>
      </c>
      <c r="F2" s="249" t="s">
        <v>294</v>
      </c>
      <c r="G2" s="249"/>
      <c r="H2" s="249" t="s">
        <v>300</v>
      </c>
      <c r="I2" s="249"/>
    </row>
    <row r="3" spans="1:10">
      <c r="A3">
        <v>2</v>
      </c>
      <c r="B3">
        <v>120</v>
      </c>
      <c r="C3">
        <v>180</v>
      </c>
      <c r="D3" s="16">
        <f>B3/B2-1</f>
        <v>0.33333333333333326</v>
      </c>
      <c r="E3" s="16">
        <f>C3/C2-1</f>
        <v>0.19999999999999996</v>
      </c>
      <c r="F3" s="23">
        <f>(D3-$D$8)</f>
        <v>3.1386554621848695E-2</v>
      </c>
      <c r="G3" s="23">
        <f>(E3-$E$8)</f>
        <v>-3.2352941176470862E-3</v>
      </c>
      <c r="H3" s="23">
        <f>F3^2</f>
        <v>9.851158110302917E-4</v>
      </c>
      <c r="I3" s="23">
        <f t="shared" ref="I3:I7" si="0">G3^2</f>
        <v>1.0467128027681838E-5</v>
      </c>
      <c r="J3" s="212">
        <f>(D3-$D$8)*(E3-$E$8)</f>
        <v>-1.0154473554127604E-4</v>
      </c>
    </row>
    <row r="4" spans="1:10">
      <c r="A4">
        <v>3</v>
      </c>
      <c r="B4">
        <v>105</v>
      </c>
      <c r="C4">
        <v>340</v>
      </c>
      <c r="D4" s="16">
        <f t="shared" ref="D4:D7" si="1">B4/B3-1</f>
        <v>-0.125</v>
      </c>
      <c r="E4" s="16">
        <f t="shared" ref="E4:E7" si="2">C4/C3-1</f>
        <v>0.88888888888888884</v>
      </c>
      <c r="F4" s="23">
        <f t="shared" ref="F4:F7" si="3">(D4-$D$8)</f>
        <v>-0.42694677871148456</v>
      </c>
      <c r="G4" s="23">
        <f>(E4-$E$8)</f>
        <v>0.68565359477124177</v>
      </c>
      <c r="H4" s="23">
        <f t="shared" ref="H4:H7" si="4">F4^2</f>
        <v>0.18228355185211337</v>
      </c>
      <c r="I4" s="23">
        <f t="shared" si="0"/>
        <v>0.47012085202272624</v>
      </c>
      <c r="J4" s="212">
        <f>(D4-$D$8)*(E4-$E$8)</f>
        <v>-0.29273759359953128</v>
      </c>
    </row>
    <row r="5" spans="1:10">
      <c r="A5">
        <v>4</v>
      </c>
      <c r="B5">
        <v>170</v>
      </c>
      <c r="C5">
        <v>320</v>
      </c>
      <c r="D5" s="16">
        <f t="shared" si="1"/>
        <v>0.61904761904761907</v>
      </c>
      <c r="E5" s="16">
        <f t="shared" si="2"/>
        <v>-5.8823529411764719E-2</v>
      </c>
      <c r="F5" s="23">
        <f t="shared" si="3"/>
        <v>0.3171008403361345</v>
      </c>
      <c r="G5" s="23">
        <f>(E5-$E$8)</f>
        <v>-0.26205882352941179</v>
      </c>
      <c r="H5" s="23">
        <f t="shared" si="4"/>
        <v>0.10055294294188266</v>
      </c>
      <c r="I5" s="23">
        <f t="shared" si="0"/>
        <v>6.8674826989619395E-2</v>
      </c>
      <c r="J5" s="212">
        <f>(D5-$D$8)*(E5-$E$8)</f>
        <v>-8.3099073158675249E-2</v>
      </c>
    </row>
    <row r="6" spans="1:10">
      <c r="A6">
        <v>5</v>
      </c>
      <c r="B6">
        <v>150</v>
      </c>
      <c r="C6">
        <v>360</v>
      </c>
      <c r="D6" s="16">
        <f t="shared" si="1"/>
        <v>-0.11764705882352944</v>
      </c>
      <c r="E6" s="16">
        <f t="shared" si="2"/>
        <v>0.125</v>
      </c>
      <c r="F6" s="23">
        <f t="shared" si="3"/>
        <v>-0.419593837535014</v>
      </c>
      <c r="G6" s="23">
        <f t="shared" ref="G6:G7" si="5">(E6-$E$8)</f>
        <v>-7.8235294117647042E-2</v>
      </c>
      <c r="H6" s="23">
        <f t="shared" si="4"/>
        <v>0.17605898849735974</v>
      </c>
      <c r="I6" s="23">
        <f t="shared" si="0"/>
        <v>6.1207612456747381E-3</v>
      </c>
      <c r="J6" s="212">
        <f>(D6-$D$8)*(E6-$E$8)</f>
        <v>3.282704728950403E-2</v>
      </c>
    </row>
    <row r="7" spans="1:10">
      <c r="A7">
        <v>6</v>
      </c>
      <c r="B7">
        <v>270</v>
      </c>
      <c r="C7">
        <v>310</v>
      </c>
      <c r="D7" s="16">
        <f t="shared" si="1"/>
        <v>0.8</v>
      </c>
      <c r="E7" s="16">
        <f t="shared" si="2"/>
        <v>-0.13888888888888884</v>
      </c>
      <c r="F7" s="23">
        <f t="shared" si="3"/>
        <v>0.49805322128851548</v>
      </c>
      <c r="G7" s="23">
        <f t="shared" si="5"/>
        <v>-0.34212418300653591</v>
      </c>
      <c r="H7" s="23">
        <f t="shared" si="4"/>
        <v>0.24805701123586696</v>
      </c>
      <c r="I7" s="23">
        <f t="shared" si="0"/>
        <v>0.11704895659788968</v>
      </c>
      <c r="J7" s="212">
        <f>(D7-$D$8)*(E7-$E$8)</f>
        <v>-0.17039605142710679</v>
      </c>
    </row>
    <row r="8" spans="1:10">
      <c r="A8" t="s">
        <v>296</v>
      </c>
      <c r="B8" s="3">
        <f>AVERAGE(B3:B7)</f>
        <v>163</v>
      </c>
      <c r="C8" s="3">
        <f>AVERAGE(C3:C7)</f>
        <v>302</v>
      </c>
      <c r="D8" s="16">
        <f>AVERAGE(D3:D7)</f>
        <v>0.30194677871148456</v>
      </c>
      <c r="E8" s="16">
        <f>AVERAGE(E3:E7)</f>
        <v>0.20323529411764704</v>
      </c>
      <c r="F8" s="3"/>
      <c r="J8" s="3"/>
    </row>
    <row r="9" spans="1:10">
      <c r="A9" t="s">
        <v>295</v>
      </c>
      <c r="F9" s="23"/>
      <c r="G9" s="23"/>
      <c r="H9" s="23"/>
      <c r="I9" s="23"/>
      <c r="J9" s="23">
        <f>SUM(J3:J7)</f>
        <v>-0.5135072156313506</v>
      </c>
    </row>
    <row r="10" spans="1:10">
      <c r="A10" t="s">
        <v>298</v>
      </c>
      <c r="B10">
        <f>COUNT(A2:A7)-2</f>
        <v>4</v>
      </c>
      <c r="F10" s="23"/>
      <c r="G10" s="23" t="s">
        <v>301</v>
      </c>
      <c r="H10" s="16">
        <f>SUM(H3:H7)/B10</f>
        <v>0.17698440258456324</v>
      </c>
      <c r="I10" s="16">
        <f>SUM(I3:I7)/B10</f>
        <v>0.16549396599598443</v>
      </c>
      <c r="J10" s="23"/>
    </row>
    <row r="11" spans="1:10">
      <c r="A11" t="s">
        <v>299</v>
      </c>
      <c r="B11" s="213">
        <f>SUM(J3:J7)/B10</f>
        <v>-0.12837680390783765</v>
      </c>
      <c r="G11" t="s">
        <v>302</v>
      </c>
      <c r="H11" s="16">
        <f>SQRT(H10)</f>
        <v>0.42069514209765158</v>
      </c>
      <c r="I11" s="16">
        <f>SQRT(I10)</f>
        <v>0.40680949595109556</v>
      </c>
    </row>
    <row r="12" spans="1:10">
      <c r="A12" t="s">
        <v>297</v>
      </c>
      <c r="B12" s="213">
        <f>B11/(H11*I11)</f>
        <v>-0.75011522471834136</v>
      </c>
      <c r="G12" s="23"/>
      <c r="H12" s="23"/>
      <c r="I12" s="23"/>
    </row>
    <row r="13" spans="1:10">
      <c r="A13" t="s">
        <v>303</v>
      </c>
      <c r="B13" s="136">
        <f>SQRT(0.5^2*H10+0.5^2*I10+2*0.5*0.5*B11)</f>
        <v>0.1463939554463165</v>
      </c>
    </row>
    <row r="14" spans="1:10">
      <c r="A14" t="s">
        <v>304</v>
      </c>
      <c r="B14">
        <f>(D8+E8)/2/B13</f>
        <v>1.7254198484116539</v>
      </c>
    </row>
    <row r="17" spans="5:5">
      <c r="E17">
        <f>580/240</f>
        <v>2.4166666666666665</v>
      </c>
    </row>
  </sheetData>
  <mergeCells count="2">
    <mergeCell ref="F2:G2"/>
    <mergeCell ref="H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38"/>
  <sheetViews>
    <sheetView topLeftCell="O17" workbookViewId="0">
      <selection activeCell="Y7" sqref="Y7"/>
    </sheetView>
  </sheetViews>
  <sheetFormatPr defaultRowHeight="16.5"/>
  <cols>
    <col min="1" max="1" width="1.875" customWidth="1"/>
    <col min="2" max="2" width="10" bestFit="1" customWidth="1"/>
    <col min="3" max="3" width="9.875" bestFit="1" customWidth="1"/>
    <col min="4" max="4" width="4.5" bestFit="1" customWidth="1"/>
    <col min="5" max="5" width="6.5" bestFit="1" customWidth="1"/>
    <col min="6" max="7" width="5.5" bestFit="1" customWidth="1"/>
    <col min="8" max="8" width="6.5" bestFit="1" customWidth="1"/>
    <col min="9" max="9" width="9.875" bestFit="1" customWidth="1"/>
    <col min="10" max="10" width="5.875" bestFit="1" customWidth="1"/>
    <col min="11" max="11" width="7.5" bestFit="1" customWidth="1"/>
    <col min="12" max="13" width="6.5" bestFit="1" customWidth="1"/>
    <col min="14" max="14" width="5.875" bestFit="1" customWidth="1"/>
    <col min="15" max="15" width="9" customWidth="1"/>
    <col min="16" max="16" width="6.625" bestFit="1" customWidth="1"/>
    <col min="17" max="17" width="9.875" bestFit="1" customWidth="1"/>
    <col min="24" max="28" width="9.5" bestFit="1" customWidth="1"/>
  </cols>
  <sheetData>
    <row r="1" spans="2:28" ht="48.75" customHeight="1">
      <c r="B1" s="253" t="s">
        <v>274</v>
      </c>
      <c r="C1" s="253"/>
      <c r="D1" s="253"/>
      <c r="E1" s="253"/>
      <c r="F1" s="253"/>
      <c r="G1" s="253"/>
      <c r="H1" s="253"/>
    </row>
    <row r="2" spans="2:28">
      <c r="B2" t="s">
        <v>279</v>
      </c>
      <c r="I2" s="249" t="s">
        <v>276</v>
      </c>
      <c r="J2" s="249"/>
      <c r="K2" s="249"/>
      <c r="L2" s="249"/>
      <c r="M2" s="249"/>
      <c r="N2" s="249"/>
      <c r="R2" s="249" t="s">
        <v>280</v>
      </c>
      <c r="S2" s="249"/>
      <c r="T2" s="249"/>
      <c r="U2" s="249"/>
      <c r="V2" s="249"/>
      <c r="W2" s="249" t="s">
        <v>281</v>
      </c>
      <c r="X2" s="249"/>
      <c r="Y2" s="249"/>
      <c r="Z2" s="249"/>
      <c r="AA2" s="249"/>
    </row>
    <row r="3" spans="2:28">
      <c r="B3" s="179" t="s">
        <v>262</v>
      </c>
      <c r="C3" s="179" t="s">
        <v>263</v>
      </c>
      <c r="D3" s="179" t="s">
        <v>117</v>
      </c>
      <c r="E3" s="179" t="s">
        <v>266</v>
      </c>
      <c r="F3" s="179" t="s">
        <v>268</v>
      </c>
      <c r="G3" s="179" t="s">
        <v>270</v>
      </c>
      <c r="H3" s="179" t="s">
        <v>272</v>
      </c>
      <c r="I3" s="208" t="s">
        <v>263</v>
      </c>
      <c r="J3" s="179" t="s">
        <v>264</v>
      </c>
      <c r="K3" s="179" t="s">
        <v>265</v>
      </c>
      <c r="L3" s="179" t="s">
        <v>267</v>
      </c>
      <c r="M3" s="179" t="s">
        <v>269</v>
      </c>
      <c r="N3" s="179" t="s">
        <v>271</v>
      </c>
      <c r="O3" s="32"/>
      <c r="P3" s="208" t="s">
        <v>275</v>
      </c>
      <c r="Q3" s="208" t="s">
        <v>263</v>
      </c>
      <c r="R3" s="179" t="s">
        <v>264</v>
      </c>
      <c r="S3" s="179" t="s">
        <v>265</v>
      </c>
      <c r="T3" s="179" t="s">
        <v>267</v>
      </c>
      <c r="U3" s="179" t="s">
        <v>269</v>
      </c>
      <c r="V3" s="179" t="s">
        <v>271</v>
      </c>
      <c r="W3" s="208" t="s">
        <v>263</v>
      </c>
      <c r="X3" s="179" t="s">
        <v>264</v>
      </c>
      <c r="Y3" s="179" t="s">
        <v>265</v>
      </c>
      <c r="Z3" s="179" t="s">
        <v>267</v>
      </c>
      <c r="AA3" s="179" t="s">
        <v>269</v>
      </c>
      <c r="AB3" s="179" t="s">
        <v>271</v>
      </c>
    </row>
    <row r="4" spans="2:28">
      <c r="B4" s="3">
        <f>1/12</f>
        <v>8.3333333333333329E-2</v>
      </c>
      <c r="C4" s="204">
        <v>1</v>
      </c>
      <c r="H4" s="177">
        <v>84.35</v>
      </c>
      <c r="I4" s="16">
        <f>$C4*$B4/$C$18</f>
        <v>8.3333333333333328E-4</v>
      </c>
      <c r="N4" s="206">
        <f>($H4/$H$18)*$B4</f>
        <v>7.0291666666666655E-2</v>
      </c>
      <c r="O4" s="102"/>
      <c r="P4" s="3">
        <v>2.2000000000000001E-4</v>
      </c>
      <c r="Q4" s="3">
        <f>C4*P4</f>
        <v>2.2000000000000001E-4</v>
      </c>
      <c r="R4" s="4"/>
      <c r="S4" s="4"/>
      <c r="T4" s="4"/>
      <c r="U4" s="4"/>
      <c r="V4" s="4">
        <f>H4*P4</f>
        <v>1.8557000000000001E-2</v>
      </c>
      <c r="X4" s="4">
        <f t="shared" ref="X4:X9" si="0">R4-J4</f>
        <v>0</v>
      </c>
      <c r="Y4" s="4">
        <f t="shared" ref="Y4:Y17" si="1">S4-K4</f>
        <v>0</v>
      </c>
      <c r="Z4" s="4">
        <f t="shared" ref="Z4:Z17" si="2">T4-L4</f>
        <v>0</v>
      </c>
      <c r="AA4" s="4">
        <f t="shared" ref="AA4:AA17" si="3">U4-M4</f>
        <v>0</v>
      </c>
      <c r="AB4" s="4">
        <f t="shared" ref="AB4:AB17" si="4">V4-N4</f>
        <v>-5.1734666666666651E-2</v>
      </c>
    </row>
    <row r="5" spans="2:28">
      <c r="B5">
        <f>3/12</f>
        <v>0.25</v>
      </c>
      <c r="C5" s="177">
        <v>1.25</v>
      </c>
      <c r="H5" s="177"/>
      <c r="I5" s="16">
        <f t="shared" ref="I5:I17" si="5">$C5*$B5/$C$18</f>
        <v>3.1250000000000002E-3</v>
      </c>
      <c r="N5" s="177"/>
      <c r="O5" s="32"/>
      <c r="P5" s="3">
        <v>6.4999999999999997E-4</v>
      </c>
      <c r="Q5" s="3">
        <f>C5*P5</f>
        <v>8.1249999999999996E-4</v>
      </c>
      <c r="R5" s="4"/>
      <c r="S5" s="4"/>
      <c r="T5" s="4"/>
      <c r="U5" s="4"/>
      <c r="V5" s="4"/>
      <c r="X5" s="4">
        <f t="shared" si="0"/>
        <v>0</v>
      </c>
      <c r="Y5" s="4">
        <f t="shared" si="1"/>
        <v>0</v>
      </c>
      <c r="Z5" s="4">
        <f t="shared" si="2"/>
        <v>0</v>
      </c>
      <c r="AA5" s="4">
        <f t="shared" si="3"/>
        <v>0</v>
      </c>
      <c r="AB5" s="4">
        <f t="shared" si="4"/>
        <v>0</v>
      </c>
    </row>
    <row r="6" spans="2:28">
      <c r="B6">
        <f>6/12</f>
        <v>0.5</v>
      </c>
      <c r="C6" s="177">
        <v>2</v>
      </c>
      <c r="H6" s="177"/>
      <c r="I6" s="16">
        <f t="shared" si="5"/>
        <v>0.01</v>
      </c>
      <c r="N6" s="177"/>
      <c r="O6" s="32"/>
      <c r="P6" s="3">
        <v>1.6299999999999999E-3</v>
      </c>
      <c r="Q6" s="3">
        <f>C6*P6</f>
        <v>3.2599999999999999E-3</v>
      </c>
      <c r="R6" s="4"/>
      <c r="S6" s="4"/>
      <c r="T6" s="4"/>
      <c r="U6" s="4"/>
      <c r="V6" s="4"/>
      <c r="X6" s="4">
        <f t="shared" si="0"/>
        <v>0</v>
      </c>
      <c r="Y6" s="4">
        <f>S6-K6</f>
        <v>0</v>
      </c>
      <c r="Z6" s="4">
        <f t="shared" si="2"/>
        <v>0</v>
      </c>
      <c r="AA6" s="4">
        <f t="shared" si="3"/>
        <v>0</v>
      </c>
      <c r="AB6" s="4">
        <f t="shared" si="4"/>
        <v>0</v>
      </c>
    </row>
    <row r="7" spans="2:28">
      <c r="B7">
        <f>1</f>
        <v>1</v>
      </c>
      <c r="C7" s="177">
        <v>12.5</v>
      </c>
      <c r="G7">
        <v>58.1</v>
      </c>
      <c r="H7" s="177"/>
      <c r="I7" s="16">
        <f t="shared" si="5"/>
        <v>0.125</v>
      </c>
      <c r="M7">
        <f>$G7*$B7/$G$18</f>
        <v>0.58099999999999996</v>
      </c>
      <c r="N7" s="177"/>
      <c r="O7" s="32"/>
      <c r="P7" s="3">
        <v>4.7000000000000002E-3</v>
      </c>
      <c r="Q7" s="3">
        <f t="shared" ref="Q7:Q17" si="6">C7*P7</f>
        <v>5.8750000000000004E-2</v>
      </c>
      <c r="R7" s="4"/>
      <c r="S7" s="4"/>
      <c r="T7" s="4"/>
      <c r="U7" s="4">
        <f>G7*P7</f>
        <v>0.27307000000000003</v>
      </c>
      <c r="V7" s="4"/>
      <c r="X7" s="4">
        <f t="shared" si="0"/>
        <v>0</v>
      </c>
      <c r="Y7" s="4">
        <f t="shared" si="1"/>
        <v>0</v>
      </c>
      <c r="Z7" s="4">
        <f t="shared" si="2"/>
        <v>0</v>
      </c>
      <c r="AA7" s="4">
        <f t="shared" si="3"/>
        <v>-0.30792999999999993</v>
      </c>
      <c r="AB7" s="4">
        <f t="shared" si="4"/>
        <v>0</v>
      </c>
    </row>
    <row r="8" spans="2:28">
      <c r="B8">
        <v>2</v>
      </c>
      <c r="C8" s="177">
        <v>23.5</v>
      </c>
      <c r="F8">
        <v>60.5</v>
      </c>
      <c r="H8" s="177"/>
      <c r="I8" s="16">
        <f t="shared" si="5"/>
        <v>0.47</v>
      </c>
      <c r="L8" s="16">
        <f>F8*$B8/$F$18</f>
        <v>1.21</v>
      </c>
      <c r="N8" s="177"/>
      <c r="O8" s="32"/>
      <c r="P8" s="3">
        <v>9.8700000000000003E-3</v>
      </c>
      <c r="Q8" s="3">
        <f t="shared" si="6"/>
        <v>0.23194500000000001</v>
      </c>
      <c r="R8" s="4"/>
      <c r="S8" s="4"/>
      <c r="T8" s="4">
        <f>F8*P8</f>
        <v>0.59713499999999997</v>
      </c>
      <c r="U8" s="4"/>
      <c r="V8" s="4"/>
      <c r="X8" s="4">
        <f t="shared" si="0"/>
        <v>0</v>
      </c>
      <c r="Y8" s="4">
        <f t="shared" si="1"/>
        <v>0</v>
      </c>
      <c r="Z8" s="4">
        <f t="shared" si="2"/>
        <v>-0.61286499999999999</v>
      </c>
      <c r="AA8" s="4">
        <f t="shared" si="3"/>
        <v>0</v>
      </c>
      <c r="AB8" s="4">
        <f t="shared" si="4"/>
        <v>0</v>
      </c>
    </row>
    <row r="9" spans="2:28">
      <c r="B9">
        <v>3</v>
      </c>
      <c r="C9" s="177">
        <v>17.5</v>
      </c>
      <c r="E9">
        <v>55.75</v>
      </c>
      <c r="H9" s="177"/>
      <c r="I9" s="16">
        <f t="shared" si="5"/>
        <v>0.52500000000000002</v>
      </c>
      <c r="K9" s="16">
        <f>E9*B9/$E$18</f>
        <v>1.6725000000000001</v>
      </c>
      <c r="N9" s="177"/>
      <c r="O9" s="32"/>
      <c r="P9" s="3">
        <v>1.4840000000000001E-2</v>
      </c>
      <c r="Q9" s="3">
        <f>C9*P9</f>
        <v>0.25969999999999999</v>
      </c>
      <c r="R9" s="4"/>
      <c r="S9" s="4">
        <f>E9*P9</f>
        <v>0.82733000000000001</v>
      </c>
      <c r="T9" s="4"/>
      <c r="U9" s="4"/>
      <c r="V9" s="4"/>
      <c r="X9" s="4">
        <f t="shared" si="0"/>
        <v>0</v>
      </c>
      <c r="Y9" s="4">
        <f t="shared" si="1"/>
        <v>-0.84517000000000009</v>
      </c>
      <c r="Z9" s="4">
        <f t="shared" si="2"/>
        <v>0</v>
      </c>
      <c r="AA9" s="4">
        <f t="shared" si="3"/>
        <v>0</v>
      </c>
      <c r="AB9" s="4">
        <f t="shared" si="4"/>
        <v>0</v>
      </c>
    </row>
    <row r="10" spans="2:28">
      <c r="B10">
        <v>4</v>
      </c>
      <c r="C10" s="177">
        <v>12</v>
      </c>
      <c r="D10">
        <v>23</v>
      </c>
      <c r="H10" s="177"/>
      <c r="I10" s="16">
        <f t="shared" si="5"/>
        <v>0.48</v>
      </c>
      <c r="J10" s="16">
        <f>D10*B10/$D$18</f>
        <v>0.92</v>
      </c>
      <c r="K10" s="16"/>
      <c r="N10" s="177"/>
      <c r="O10" s="32"/>
      <c r="P10" s="3">
        <v>1.9709999999999998E-2</v>
      </c>
      <c r="Q10" s="3">
        <f t="shared" si="6"/>
        <v>0.23651999999999998</v>
      </c>
      <c r="R10" s="4">
        <f>D10*P10</f>
        <v>0.45332999999999996</v>
      </c>
      <c r="S10" s="4"/>
      <c r="T10" s="4"/>
      <c r="U10" s="4"/>
      <c r="V10" s="4"/>
      <c r="X10" s="4">
        <f>R10-J10</f>
        <v>-0.46667000000000008</v>
      </c>
      <c r="Y10" s="4">
        <f t="shared" si="1"/>
        <v>0</v>
      </c>
      <c r="Z10" s="4">
        <f t="shared" si="2"/>
        <v>0</v>
      </c>
      <c r="AA10" s="4">
        <f t="shared" si="3"/>
        <v>0</v>
      </c>
      <c r="AB10" s="4">
        <f t="shared" si="4"/>
        <v>0</v>
      </c>
    </row>
    <row r="11" spans="2:28">
      <c r="B11">
        <v>5</v>
      </c>
      <c r="C11" s="177">
        <v>8</v>
      </c>
      <c r="D11">
        <v>77</v>
      </c>
      <c r="H11" s="177"/>
      <c r="I11" s="16">
        <f t="shared" si="5"/>
        <v>0.4</v>
      </c>
      <c r="J11" s="16">
        <f>D11*B11/$D$18</f>
        <v>3.85</v>
      </c>
      <c r="K11" s="16"/>
      <c r="N11" s="177"/>
      <c r="O11" s="32"/>
      <c r="P11" s="3">
        <v>2.426E-2</v>
      </c>
      <c r="Q11" s="3">
        <f t="shared" si="6"/>
        <v>0.19408</v>
      </c>
      <c r="R11" s="4">
        <f>D11*P11</f>
        <v>1.86802</v>
      </c>
      <c r="S11" s="4"/>
      <c r="T11" s="4"/>
      <c r="U11" s="4"/>
      <c r="V11" s="4"/>
      <c r="X11" s="4">
        <f t="shared" ref="X11:X17" si="7">R11-J11</f>
        <v>-1.9819800000000001</v>
      </c>
      <c r="Y11" s="4">
        <f t="shared" si="1"/>
        <v>0</v>
      </c>
      <c r="Z11" s="4">
        <f t="shared" si="2"/>
        <v>0</v>
      </c>
      <c r="AA11" s="4">
        <f t="shared" si="3"/>
        <v>0</v>
      </c>
      <c r="AB11" s="4">
        <f t="shared" si="4"/>
        <v>0</v>
      </c>
    </row>
    <row r="12" spans="2:28">
      <c r="B12">
        <v>7</v>
      </c>
      <c r="C12" s="177">
        <v>6.5</v>
      </c>
      <c r="E12">
        <v>44.25</v>
      </c>
      <c r="H12" s="177"/>
      <c r="I12" s="16">
        <f t="shared" si="5"/>
        <v>0.45500000000000002</v>
      </c>
      <c r="K12" s="16">
        <f>E12*B12/$E$18</f>
        <v>3.0975000000000001</v>
      </c>
      <c r="N12" s="177"/>
      <c r="O12" s="32"/>
      <c r="P12" s="3">
        <v>3.1919999999999997E-2</v>
      </c>
      <c r="Q12" s="3">
        <f t="shared" si="6"/>
        <v>0.20747999999999997</v>
      </c>
      <c r="R12" s="4"/>
      <c r="S12" s="4">
        <f>E12*P12</f>
        <v>1.4124599999999998</v>
      </c>
      <c r="T12" s="4"/>
      <c r="U12" s="4"/>
      <c r="V12" s="4"/>
      <c r="X12" s="4">
        <f t="shared" si="7"/>
        <v>0</v>
      </c>
      <c r="Y12" s="4">
        <f t="shared" si="1"/>
        <v>-1.6850400000000003</v>
      </c>
      <c r="Z12" s="4">
        <f t="shared" si="2"/>
        <v>0</v>
      </c>
      <c r="AA12" s="4">
        <f t="shared" si="3"/>
        <v>0</v>
      </c>
      <c r="AB12" s="4">
        <f t="shared" si="4"/>
        <v>0</v>
      </c>
    </row>
    <row r="13" spans="2:28">
      <c r="B13">
        <v>9</v>
      </c>
      <c r="C13" s="177">
        <v>4.5</v>
      </c>
      <c r="F13">
        <v>39.5</v>
      </c>
      <c r="H13" s="177"/>
      <c r="I13" s="16">
        <f t="shared" si="5"/>
        <v>0.40500000000000003</v>
      </c>
      <c r="K13" s="16"/>
      <c r="L13">
        <f>F13*$B13/$F$18</f>
        <v>3.5550000000000002</v>
      </c>
      <c r="N13" s="177"/>
      <c r="O13" s="32"/>
      <c r="P13" s="3">
        <v>3.9129999999999998E-2</v>
      </c>
      <c r="Q13" s="3">
        <f t="shared" si="6"/>
        <v>0.17608499999999999</v>
      </c>
      <c r="R13" s="4"/>
      <c r="S13" s="4"/>
      <c r="T13" s="4">
        <f>F13*P13</f>
        <v>1.5456349999999999</v>
      </c>
      <c r="U13" s="4"/>
      <c r="V13" s="4"/>
      <c r="X13" s="4">
        <f t="shared" si="7"/>
        <v>0</v>
      </c>
      <c r="Y13" s="4">
        <f t="shared" si="1"/>
        <v>0</v>
      </c>
      <c r="Z13" s="4">
        <f t="shared" si="2"/>
        <v>-2.0093650000000003</v>
      </c>
      <c r="AA13" s="4">
        <f t="shared" si="3"/>
        <v>0</v>
      </c>
      <c r="AB13" s="4">
        <f t="shared" si="4"/>
        <v>0</v>
      </c>
    </row>
    <row r="14" spans="2:28">
      <c r="B14">
        <v>10</v>
      </c>
      <c r="C14" s="177">
        <v>3.5</v>
      </c>
      <c r="G14">
        <v>41.9</v>
      </c>
      <c r="H14" s="177"/>
      <c r="I14" s="16">
        <f t="shared" si="5"/>
        <v>0.35</v>
      </c>
      <c r="M14">
        <f>$G14*$B14/$G$18</f>
        <v>4.1900000000000004</v>
      </c>
      <c r="N14" s="177"/>
      <c r="O14" s="32"/>
      <c r="P14" s="3">
        <v>4.2500000000000003E-2</v>
      </c>
      <c r="Q14" s="3">
        <f t="shared" si="6"/>
        <v>0.14875000000000002</v>
      </c>
      <c r="R14" s="4"/>
      <c r="S14" s="4"/>
      <c r="T14" s="4"/>
      <c r="U14" s="4">
        <f>G14*P14</f>
        <v>1.7807500000000001</v>
      </c>
      <c r="V14" s="4"/>
      <c r="X14" s="4">
        <f t="shared" si="7"/>
        <v>0</v>
      </c>
      <c r="Y14" s="4">
        <f t="shared" si="1"/>
        <v>0</v>
      </c>
      <c r="Z14" s="4">
        <f t="shared" si="2"/>
        <v>0</v>
      </c>
      <c r="AA14" s="4">
        <f t="shared" si="3"/>
        <v>-2.4092500000000001</v>
      </c>
      <c r="AB14" s="4">
        <f t="shared" si="4"/>
        <v>0</v>
      </c>
    </row>
    <row r="15" spans="2:28">
      <c r="B15">
        <v>15</v>
      </c>
      <c r="C15" s="177">
        <v>3</v>
      </c>
      <c r="H15" s="177"/>
      <c r="I15" s="16">
        <f t="shared" si="5"/>
        <v>0.45</v>
      </c>
      <c r="N15" s="177"/>
      <c r="O15" s="32"/>
      <c r="P15" s="3">
        <v>6.234E-2</v>
      </c>
      <c r="Q15" s="3">
        <f t="shared" si="6"/>
        <v>0.18701999999999999</v>
      </c>
      <c r="R15" s="4"/>
      <c r="S15" s="4"/>
      <c r="T15" s="4"/>
      <c r="U15" s="4"/>
      <c r="V15" s="4"/>
      <c r="X15" s="4">
        <f t="shared" si="7"/>
        <v>0</v>
      </c>
      <c r="Y15" s="4">
        <f t="shared" si="1"/>
        <v>0</v>
      </c>
      <c r="Z15" s="4">
        <f t="shared" si="2"/>
        <v>0</v>
      </c>
      <c r="AA15" s="4">
        <f t="shared" si="3"/>
        <v>0</v>
      </c>
      <c r="AB15" s="4">
        <f t="shared" si="4"/>
        <v>0</v>
      </c>
    </row>
    <row r="16" spans="2:28">
      <c r="B16">
        <v>20</v>
      </c>
      <c r="C16" s="177">
        <v>3.25</v>
      </c>
      <c r="H16" s="177"/>
      <c r="I16" s="16">
        <f t="shared" si="5"/>
        <v>0.65</v>
      </c>
      <c r="N16" s="177"/>
      <c r="O16" s="32"/>
      <c r="P16" s="3">
        <v>8.1460000000000005E-2</v>
      </c>
      <c r="Q16" s="3">
        <f t="shared" si="6"/>
        <v>0.26474500000000001</v>
      </c>
      <c r="R16" s="4"/>
      <c r="S16" s="4"/>
      <c r="T16" s="4"/>
      <c r="U16" s="4"/>
      <c r="V16" s="4"/>
      <c r="X16" s="4">
        <f t="shared" si="7"/>
        <v>0</v>
      </c>
      <c r="Y16" s="4">
        <f t="shared" si="1"/>
        <v>0</v>
      </c>
      <c r="Z16" s="4">
        <f t="shared" si="2"/>
        <v>0</v>
      </c>
      <c r="AA16" s="4">
        <f t="shared" si="3"/>
        <v>0</v>
      </c>
      <c r="AB16" s="4">
        <f t="shared" si="4"/>
        <v>0</v>
      </c>
    </row>
    <row r="17" spans="2:37">
      <c r="B17">
        <v>30</v>
      </c>
      <c r="C17" s="177">
        <v>1.5</v>
      </c>
      <c r="H17" s="180">
        <v>15.65</v>
      </c>
      <c r="I17" s="16">
        <f t="shared" si="5"/>
        <v>0.45</v>
      </c>
      <c r="N17" s="207">
        <f>($H17/$H$18)*$B17</f>
        <v>4.6950000000000003</v>
      </c>
      <c r="O17" s="102"/>
      <c r="P17" s="3">
        <v>0.11119</v>
      </c>
      <c r="Q17" s="3">
        <f t="shared" si="6"/>
        <v>0.16678499999999999</v>
      </c>
      <c r="R17" s="4"/>
      <c r="S17" s="4"/>
      <c r="T17" s="4"/>
      <c r="U17" s="4"/>
      <c r="V17" s="4">
        <f>H17*P17</f>
        <v>1.7401234999999999</v>
      </c>
      <c r="X17" s="4">
        <f t="shared" si="7"/>
        <v>0</v>
      </c>
      <c r="Y17" s="4">
        <f t="shared" si="1"/>
        <v>0</v>
      </c>
      <c r="Z17" s="4">
        <f t="shared" si="2"/>
        <v>0</v>
      </c>
      <c r="AA17" s="4">
        <f t="shared" si="3"/>
        <v>0</v>
      </c>
      <c r="AB17" s="4">
        <f t="shared" si="4"/>
        <v>-2.9548765000000001</v>
      </c>
    </row>
    <row r="18" spans="2:37">
      <c r="B18" s="48" t="s">
        <v>273</v>
      </c>
      <c r="C18" s="48">
        <f>SUM(C4:C17)</f>
        <v>100</v>
      </c>
      <c r="D18" s="48">
        <f t="array" ref="D18">SUM(D4:D17)</f>
        <v>100</v>
      </c>
      <c r="E18" s="48">
        <f t="array" ref="E18">SUM(E4:E17)</f>
        <v>100</v>
      </c>
      <c r="F18" s="48">
        <f t="array" ref="F18">SUM(F4:F17)</f>
        <v>100</v>
      </c>
      <c r="G18" s="48">
        <f t="array" ref="G18">SUM(G4:G17)</f>
        <v>100</v>
      </c>
      <c r="H18" s="48">
        <f>SUM(H4:H17)</f>
        <v>100</v>
      </c>
      <c r="I18" s="205">
        <f>SUM(I4:I17)</f>
        <v>4.7739583333333337</v>
      </c>
      <c r="J18" s="205">
        <f t="shared" ref="J18:N18" si="8">SUM(J4:J17)</f>
        <v>4.7700000000000005</v>
      </c>
      <c r="K18" s="205">
        <f t="shared" si="8"/>
        <v>4.7700000000000005</v>
      </c>
      <c r="L18" s="205">
        <f t="shared" si="8"/>
        <v>4.7650000000000006</v>
      </c>
      <c r="M18" s="205">
        <f t="shared" si="8"/>
        <v>4.7710000000000008</v>
      </c>
      <c r="N18" s="205">
        <f t="shared" si="8"/>
        <v>4.7652916666666671</v>
      </c>
      <c r="O18" s="254" t="s">
        <v>278</v>
      </c>
      <c r="P18" s="254"/>
      <c r="Q18" s="205">
        <f t="shared" ref="Q18:R18" si="9">SUM(Q4:Q17)</f>
        <v>2.1361525000000001</v>
      </c>
      <c r="R18" s="205">
        <f t="shared" si="9"/>
        <v>2.3213499999999998</v>
      </c>
      <c r="S18" s="205">
        <f t="shared" ref="S18" si="10">SUM(S4:S17)</f>
        <v>2.2397899999999997</v>
      </c>
      <c r="T18" s="205">
        <f t="shared" ref="T18" si="11">SUM(T4:T17)</f>
        <v>2.1427699999999996</v>
      </c>
      <c r="U18" s="205">
        <f t="shared" ref="U18" si="12">SUM(U4:U17)</f>
        <v>2.05382</v>
      </c>
      <c r="V18" s="205">
        <f t="shared" ref="V18" si="13">SUM(V4:V17)</f>
        <v>1.7586804999999999</v>
      </c>
    </row>
    <row r="19" spans="2:37">
      <c r="O19" s="255" t="s">
        <v>277</v>
      </c>
      <c r="P19" s="256"/>
      <c r="Q19" s="209"/>
      <c r="R19" s="209">
        <v>0.45</v>
      </c>
      <c r="S19" s="209">
        <v>0.31</v>
      </c>
      <c r="T19" s="209">
        <v>0.17</v>
      </c>
      <c r="U19" s="209">
        <v>0.21</v>
      </c>
      <c r="V19" s="209">
        <v>0.84</v>
      </c>
      <c r="X19">
        <f t="array" ref="X19:AK23">TRANSPOSE(X4:AB17)</f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-0.46667000000000008</v>
      </c>
      <c r="AE19">
        <v>-1.9819800000000001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2:37">
      <c r="X20">
        <v>0</v>
      </c>
      <c r="Y20">
        <v>0</v>
      </c>
      <c r="Z20">
        <v>0</v>
      </c>
      <c r="AA20">
        <v>0</v>
      </c>
      <c r="AB20">
        <v>0</v>
      </c>
      <c r="AC20">
        <v>-0.84517000000000009</v>
      </c>
      <c r="AD20">
        <v>0</v>
      </c>
      <c r="AE20">
        <v>0</v>
      </c>
      <c r="AF20">
        <v>-1.6850400000000003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2:37">
      <c r="X21">
        <v>0</v>
      </c>
      <c r="Y21">
        <v>0</v>
      </c>
      <c r="Z21">
        <v>0</v>
      </c>
      <c r="AA21">
        <v>0</v>
      </c>
      <c r="AB21">
        <v>-0.61286499999999999</v>
      </c>
      <c r="AC21">
        <v>0</v>
      </c>
      <c r="AD21">
        <v>0</v>
      </c>
      <c r="AE21">
        <v>0</v>
      </c>
      <c r="AF21">
        <v>0</v>
      </c>
      <c r="AG21">
        <v>-2.0093650000000003</v>
      </c>
      <c r="AH21">
        <v>0</v>
      </c>
      <c r="AI21">
        <v>0</v>
      </c>
      <c r="AJ21">
        <v>0</v>
      </c>
      <c r="AK21">
        <v>0</v>
      </c>
    </row>
    <row r="22" spans="2:37">
      <c r="X22">
        <v>0</v>
      </c>
      <c r="Y22">
        <v>0</v>
      </c>
      <c r="Z22">
        <v>0</v>
      </c>
      <c r="AA22">
        <v>-0.30792999999999993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-2.4092500000000001</v>
      </c>
      <c r="AI22">
        <v>0</v>
      </c>
      <c r="AJ22">
        <v>0</v>
      </c>
      <c r="AK22">
        <v>0</v>
      </c>
    </row>
    <row r="23" spans="2:37">
      <c r="X23">
        <v>-5.1734666666666651E-2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-2.9548765000000001</v>
      </c>
    </row>
    <row r="25" spans="2:37">
      <c r="X25">
        <f t="array" ref="X25:AK38">MMULT(X4:AB17,X19:AK23)</f>
        <v>2.6764757351111093E-3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0.15286955076866662</v>
      </c>
    </row>
    <row r="26" spans="2:37"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2:37"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2:37">
      <c r="X28">
        <v>0</v>
      </c>
      <c r="Y28">
        <v>0</v>
      </c>
      <c r="Z28">
        <v>0</v>
      </c>
      <c r="AA28">
        <v>9.4820884899999958E-2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0.74188035249999984</v>
      </c>
      <c r="AI28">
        <v>0</v>
      </c>
      <c r="AJ28">
        <v>0</v>
      </c>
      <c r="AK28">
        <v>0</v>
      </c>
    </row>
    <row r="29" spans="2:37">
      <c r="X29">
        <v>0</v>
      </c>
      <c r="Y29">
        <v>0</v>
      </c>
      <c r="Z29">
        <v>0</v>
      </c>
      <c r="AA29">
        <v>0</v>
      </c>
      <c r="AB29">
        <v>0.37560350822499999</v>
      </c>
      <c r="AC29">
        <v>0</v>
      </c>
      <c r="AD29">
        <v>0</v>
      </c>
      <c r="AE29">
        <v>0</v>
      </c>
      <c r="AF29">
        <v>0</v>
      </c>
      <c r="AG29">
        <v>1.2314694807250002</v>
      </c>
      <c r="AH29">
        <v>0</v>
      </c>
      <c r="AI29">
        <v>0</v>
      </c>
      <c r="AJ29">
        <v>0</v>
      </c>
      <c r="AK29">
        <v>0</v>
      </c>
    </row>
    <row r="30" spans="2:37">
      <c r="X30">
        <v>0</v>
      </c>
      <c r="Y30">
        <v>0</v>
      </c>
      <c r="Z30">
        <v>0</v>
      </c>
      <c r="AA30">
        <v>0</v>
      </c>
      <c r="AB30">
        <v>0</v>
      </c>
      <c r="AC30">
        <v>0.71431232890000018</v>
      </c>
      <c r="AD30">
        <v>0</v>
      </c>
      <c r="AE30">
        <v>0</v>
      </c>
      <c r="AF30">
        <v>1.4241452568000004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2:37"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0.21778088890000008</v>
      </c>
      <c r="AE31">
        <v>0.92493060660000015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2:37"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0.92493060660000015</v>
      </c>
      <c r="AE32">
        <v>3.9282447204000004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24:37">
      <c r="X33">
        <v>0</v>
      </c>
      <c r="Y33">
        <v>0</v>
      </c>
      <c r="Z33">
        <v>0</v>
      </c>
      <c r="AA33">
        <v>0</v>
      </c>
      <c r="AB33">
        <v>0</v>
      </c>
      <c r="AC33">
        <v>1.4241452568000004</v>
      </c>
      <c r="AD33">
        <v>0</v>
      </c>
      <c r="AE33">
        <v>0</v>
      </c>
      <c r="AF33">
        <v>2.839359801600001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24:37">
      <c r="X34">
        <v>0</v>
      </c>
      <c r="Y34">
        <v>0</v>
      </c>
      <c r="Z34">
        <v>0</v>
      </c>
      <c r="AA34">
        <v>0</v>
      </c>
      <c r="AB34">
        <v>1.2314694807250002</v>
      </c>
      <c r="AC34">
        <v>0</v>
      </c>
      <c r="AD34">
        <v>0</v>
      </c>
      <c r="AE34">
        <v>0</v>
      </c>
      <c r="AF34">
        <v>0</v>
      </c>
      <c r="AG34">
        <v>4.0375477032250009</v>
      </c>
      <c r="AH34">
        <v>0</v>
      </c>
      <c r="AI34">
        <v>0</v>
      </c>
      <c r="AJ34">
        <v>0</v>
      </c>
      <c r="AK34">
        <v>0</v>
      </c>
    </row>
    <row r="35" spans="24:37">
      <c r="X35">
        <v>0</v>
      </c>
      <c r="Y35">
        <v>0</v>
      </c>
      <c r="Z35">
        <v>0</v>
      </c>
      <c r="AA35">
        <v>0.74188035249999984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5.8044855625000009</v>
      </c>
      <c r="AI35">
        <v>0</v>
      </c>
      <c r="AJ35">
        <v>0</v>
      </c>
      <c r="AK35">
        <v>0</v>
      </c>
    </row>
    <row r="36" spans="24:37"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24:37"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24:37">
      <c r="X38">
        <v>0.15286955076866662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8.731295130252251</v>
      </c>
    </row>
  </sheetData>
  <mergeCells count="6">
    <mergeCell ref="W2:AA2"/>
    <mergeCell ref="B1:H1"/>
    <mergeCell ref="I2:N2"/>
    <mergeCell ref="O18:P18"/>
    <mergeCell ref="O19:P19"/>
    <mergeCell ref="R2:V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rule_b&amp;r</vt:lpstr>
      <vt:lpstr>active portfolio mgm</vt:lpstr>
      <vt:lpstr>black&amp;red</vt:lpstr>
      <vt:lpstr>callable bonds</vt:lpstr>
      <vt:lpstr>prepay mortg</vt:lpstr>
      <vt:lpstr>hedge stategy_1</vt:lpstr>
      <vt:lpstr>Sheet1</vt:lpstr>
      <vt:lpstr>bootstrap</vt:lpstr>
      <vt:lpstr>duration</vt:lpstr>
      <vt:lpstr>swap</vt:lpstr>
      <vt:lpstr>portfolio correlation</vt:lpstr>
      <vt:lpstr>Spearman's Rank Correlation</vt:lpstr>
      <vt:lpstr>VaR mapping&amp;stress tesing</vt:lpstr>
      <vt:lpstr>correlation</vt:lpstr>
      <vt:lpstr>benchmark 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Hookyplayer</dc:creator>
  <cp:lastModifiedBy>Hookyplayer</cp:lastModifiedBy>
  <dcterms:created xsi:type="dcterms:W3CDTF">2020-06-24T07:46:14Z</dcterms:created>
  <dcterms:modified xsi:type="dcterms:W3CDTF">2020-09-09T14:18:50Z</dcterms:modified>
</cp:coreProperties>
</file>