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フォーマット" sheetId="1" r:id="rId4"/>
    <sheet state="visible" name="参照用シート" sheetId="2" r:id="rId5"/>
  </sheets>
  <definedNames>
    <definedName name="工事名">#REF!</definedName>
    <definedName localSheetId="0" name="肩書き">'フォーマット'!$P$15:$P$16</definedName>
    <definedName name="肩書き">#REF!</definedName>
    <definedName localSheetId="0" name="工事名">'フォーマット'!$Q$15:$Q$16</definedName>
  </definedNames>
  <calcPr/>
</workbook>
</file>

<file path=xl/sharedStrings.xml><?xml version="1.0" encoding="utf-8"?>
<sst xmlns="http://schemas.openxmlformats.org/spreadsheetml/2006/main" count="87" uniqueCount="75">
  <si>
    <t>御中</t>
  </si>
  <si>
    <t>施工業者</t>
  </si>
  <si>
    <t>塗装業者</t>
  </si>
  <si>
    <t>納品業者</t>
  </si>
  <si>
    <t>様</t>
  </si>
  <si>
    <t>元請業者</t>
  </si>
  <si>
    <t>殿</t>
  </si>
  <si>
    <t>元請</t>
  </si>
  <si>
    <t>販売店</t>
  </si>
  <si>
    <t xml:space="preserve">ローバル株式会社　　</t>
  </si>
  <si>
    <t>工事住所</t>
  </si>
  <si>
    <t>販売店名</t>
  </si>
  <si>
    <t xml:space="preserve">本社：大阪市中央区北浜1-1-21  　</t>
  </si>
  <si>
    <t>取扱業者</t>
  </si>
  <si>
    <t>営業部：大阪府枚方市野村元町1-1</t>
  </si>
  <si>
    <t>TEL:072(894)7590 FAX:072(894)7593</t>
  </si>
  <si>
    <t xml:space="preserve"> 出荷証明書</t>
  </si>
  <si>
    <t xml:space="preserve"> 下記の通り出荷したことを証明致します。</t>
  </si>
  <si>
    <t>宛名①</t>
  </si>
  <si>
    <t>ローバル管理組合</t>
  </si>
  <si>
    <t>※黄色はドロップダウン</t>
  </si>
  <si>
    <t>宛名②</t>
  </si>
  <si>
    <t>※オレンジは手入力</t>
  </si>
  <si>
    <t>敬称</t>
  </si>
  <si>
    <t>※オレンジを入力しないときは0</t>
  </si>
  <si>
    <t>工事名</t>
  </si>
  <si>
    <t>マンション改修工事</t>
  </si>
  <si>
    <t>出荷年月日</t>
  </si>
  <si>
    <t>商　　品　　名</t>
  </si>
  <si>
    <t>容量</t>
  </si>
  <si>
    <t>数量</t>
  </si>
  <si>
    <t>業者名1</t>
  </si>
  <si>
    <t>〇〇株式会社</t>
  </si>
  <si>
    <t>業者名2</t>
  </si>
  <si>
    <t>▲▲塗装店</t>
  </si>
  <si>
    <t>業者名3</t>
  </si>
  <si>
    <t>出荷商品①</t>
  </si>
  <si>
    <t>厚膜ローバル２５ｋｇ</t>
  </si>
  <si>
    <t>出荷商品②</t>
  </si>
  <si>
    <t>ローバルシンナー１Ｌ</t>
  </si>
  <si>
    <t>出荷商品③</t>
  </si>
  <si>
    <t>厚膜ローバルスプレー４２０ｍｌ</t>
  </si>
  <si>
    <t>出荷商品④</t>
  </si>
  <si>
    <t xml:space="preserve"> </t>
  </si>
  <si>
    <t>出荷商品⑤</t>
  </si>
  <si>
    <t>出荷商品⑥</t>
  </si>
  <si>
    <t>出荷商品⑦</t>
  </si>
  <si>
    <t>数量①</t>
  </si>
  <si>
    <t>数量②</t>
  </si>
  <si>
    <t>数量③</t>
  </si>
  <si>
    <t>数量④</t>
  </si>
  <si>
    <t>数量⑤</t>
  </si>
  <si>
    <t>数量⑥</t>
  </si>
  <si>
    <t>数量⑦</t>
  </si>
  <si>
    <t>出荷日①</t>
  </si>
  <si>
    <t>出荷日②</t>
  </si>
  <si>
    <t>出荷日③</t>
  </si>
  <si>
    <t>出荷日④</t>
  </si>
  <si>
    <t>出荷日⑤</t>
  </si>
  <si>
    <t>出荷日⑥</t>
  </si>
  <si>
    <t>出荷日⑦</t>
  </si>
  <si>
    <t xml:space="preserve">　</t>
  </si>
  <si>
    <t>作成日</t>
  </si>
  <si>
    <t>Lot.No.①</t>
  </si>
  <si>
    <t>A250301N</t>
  </si>
  <si>
    <t>Lot.No.②</t>
  </si>
  <si>
    <t>Lot.No.③</t>
  </si>
  <si>
    <t>Lot.No.④</t>
  </si>
  <si>
    <t>Lot.No.⑤</t>
  </si>
  <si>
    <t>20250729-018-1</t>
  </si>
  <si>
    <t>Lot.No.⑥</t>
  </si>
  <si>
    <t>Lot.No.⑦</t>
  </si>
  <si>
    <t>業者分類1</t>
  </si>
  <si>
    <t>業者分類2</t>
  </si>
  <si>
    <t>業者分類3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</si>
</sst>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DBNum3]#,##0"/>
    <numFmt numFmtId="165" formatCode="&quot;¥&quot;#,##0;[Red]&quot;¥&quot;\-#,##0"/>
    <numFmt numFmtId="166" formatCode="[$-411]ggg&quot; &quot;yy&quot; 年 &quot;m&quot; 月 &quot;d&quot; 日 &quot;"/>
    <numFmt numFmtId="167" formatCode="[$-411]gggyy&quot;年&quot;m&quot;月&quot;d&quot;日&quot;"/>
    <numFmt numFmtId="168" formatCode="yyyy&quot;年&quot;m&quot;月&quot;d&quot;日&quot;;&quot;&quot;;"/>
    <numFmt numFmtId="169" formatCode="yyyy&quot;年&quot;m&quot;月&quot;d&quot;日&quot;"/>
  </numFmts>
  <fonts count="17">
    <font>
      <sz val="11.0"/>
      <color rgb="FF000000"/>
      <name val="Aptos Narrow"/>
      <scheme val="minor"/>
    </font>
    <font>
      <sz val="11.0"/>
      <color rgb="FF000000"/>
      <name val="MS PGothic"/>
    </font>
    <font>
      <sz val="11.0"/>
      <color rgb="FF000000"/>
      <name val="MS PMincho"/>
    </font>
    <font>
      <sz val="12.0"/>
      <color rgb="FF000000"/>
      <name val="MS PMincho"/>
    </font>
    <font>
      <u/>
      <sz val="11.0"/>
      <color rgb="FF000000"/>
      <name val="MS PMincho"/>
    </font>
    <font>
      <sz val="7.0"/>
      <color rgb="FF000000"/>
      <name val="MS PMincho"/>
    </font>
    <font>
      <sz val="7.0"/>
      <color theme="1"/>
      <name val="MS PMincho"/>
    </font>
    <font>
      <sz val="18.0"/>
      <color rgb="FF000000"/>
      <name val="MS PMincho"/>
    </font>
    <font>
      <u/>
      <sz val="18.0"/>
      <color rgb="FF000000"/>
      <name val="MS PMincho"/>
    </font>
    <font>
      <color theme="1"/>
      <name val="Aptos Narrow"/>
      <scheme val="minor"/>
    </font>
    <font>
      <sz val="10.0"/>
      <color rgb="FF000000"/>
      <name val="MS PMincho"/>
    </font>
    <font/>
    <font>
      <sz val="11.0"/>
      <color rgb="FF000000"/>
      <name val="ＤＦ平成明朝体W3"/>
    </font>
    <font>
      <b/>
      <sz val="11.0"/>
      <color rgb="FF000000"/>
      <name val="MS PGothic"/>
    </font>
    <font>
      <sz val="12.0"/>
      <color rgb="FF000000"/>
      <name val="ＤＦ平成明朝体W3"/>
    </font>
    <font>
      <sz val="8.0"/>
      <color rgb="FF000000"/>
      <name val="ＤＦ平成明朝体W3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C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</fills>
  <borders count="13">
    <border/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1" fillId="4" fontId="1" numFmtId="0" xfId="0" applyAlignment="1" applyBorder="1" applyFill="1" applyFont="1">
      <alignment readingOrder="0" vertical="center"/>
    </xf>
    <xf borderId="0" fillId="0" fontId="9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0"/>
    </xf>
    <xf borderId="1" fillId="3" fontId="1" numFmtId="0" xfId="0" applyAlignment="1" applyBorder="1" applyFont="1">
      <alignment readingOrder="0" vertical="center"/>
    </xf>
    <xf borderId="1" fillId="5" fontId="1" numFmtId="0" xfId="0" applyAlignment="1" applyBorder="1" applyFill="1" applyFont="1">
      <alignment readingOrder="0" vertical="center"/>
    </xf>
    <xf borderId="0" fillId="0" fontId="1" numFmtId="165" xfId="0" applyAlignment="1" applyFont="1" applyNumberFormat="1">
      <alignment vertical="center"/>
    </xf>
    <xf borderId="2" fillId="0" fontId="2" numFmtId="0" xfId="0" applyAlignment="1" applyBorder="1" applyFont="1">
      <alignment vertical="center"/>
    </xf>
    <xf borderId="2" fillId="0" fontId="2" numFmtId="166" xfId="0" applyAlignment="1" applyBorder="1" applyFont="1" applyNumberFormat="1">
      <alignment horizontal="center" vertical="center"/>
    </xf>
    <xf borderId="2" fillId="0" fontId="2" numFmtId="167" xfId="0" applyAlignment="1" applyBorder="1" applyFont="1" applyNumberFormat="1">
      <alignment horizontal="center" vertical="center"/>
    </xf>
    <xf borderId="0" fillId="0" fontId="10" numFmtId="168" xfId="0" applyAlignment="1" applyFont="1" applyNumberFormat="1">
      <alignment horizontal="center" vertical="top"/>
    </xf>
    <xf borderId="1" fillId="4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0" fontId="2" numFmtId="0" xfId="0" applyAlignment="1" applyBorder="1" applyFont="1">
      <alignment horizontal="center" vertical="center"/>
    </xf>
    <xf borderId="5" fillId="0" fontId="11" numFmtId="0" xfId="0" applyAlignment="1" applyBorder="1" applyFont="1">
      <alignment vertical="center"/>
    </xf>
    <xf borderId="6" fillId="0" fontId="11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8" fillId="0" fontId="11" numFmtId="0" xfId="0" applyAlignment="1" applyBorder="1" applyFont="1">
      <alignment vertical="center"/>
    </xf>
    <xf borderId="9" fillId="0" fontId="11" numFmtId="0" xfId="0" applyAlignment="1" applyBorder="1" applyFont="1">
      <alignment vertical="center"/>
    </xf>
    <xf borderId="2" fillId="0" fontId="11" numFmtId="0" xfId="0" applyAlignment="1" applyBorder="1" applyFont="1">
      <alignment vertical="center"/>
    </xf>
    <xf borderId="10" fillId="0" fontId="11" numFmtId="0" xfId="0" applyAlignment="1" applyBorder="1" applyFont="1">
      <alignment vertical="center"/>
    </xf>
    <xf borderId="1" fillId="6" fontId="1" numFmtId="0" xfId="0" applyAlignment="1" applyBorder="1" applyFill="1" applyFont="1">
      <alignment readingOrder="0" vertical="center"/>
    </xf>
    <xf borderId="6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11" fillId="0" fontId="10" numFmtId="169" xfId="0" applyAlignment="1" applyBorder="1" applyFont="1" applyNumberFormat="1">
      <alignment horizontal="center" vertical="center"/>
    </xf>
    <xf borderId="3" fillId="0" fontId="11" numFmtId="0" xfId="0" applyAlignment="1" applyBorder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12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right" vertical="center"/>
    </xf>
    <xf borderId="0" fillId="0" fontId="2" numFmtId="0" xfId="0" applyAlignment="1" applyFont="1">
      <alignment horizontal="left" vertical="center"/>
    </xf>
    <xf borderId="11" fillId="0" fontId="11" numFmtId="0" xfId="0" applyAlignment="1" applyBorder="1" applyFont="1">
      <alignment vertical="center"/>
    </xf>
    <xf borderId="12" fillId="0" fontId="11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3" fillId="0" fontId="10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" fillId="4" fontId="13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vertical="center"/>
    </xf>
    <xf borderId="9" fillId="0" fontId="10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" fillId="4" fontId="1" numFmtId="0" xfId="0" applyAlignment="1" applyBorder="1" applyFont="1">
      <alignment readingOrder="0" vertical="center"/>
    </xf>
    <xf borderId="2" fillId="0" fontId="10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1" fillId="4" fontId="1" numFmtId="169" xfId="0" applyAlignment="1" applyBorder="1" applyFont="1" applyNumberFormat="1">
      <alignment readingOrder="0" vertical="center"/>
    </xf>
    <xf borderId="1" fillId="4" fontId="1" numFmtId="169" xfId="0" applyAlignment="1" applyBorder="1" applyFont="1" applyNumberFormat="1">
      <alignment vertical="center"/>
    </xf>
    <xf borderId="6" fillId="0" fontId="12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right" readingOrder="0" vertical="center"/>
    </xf>
    <xf borderId="0" fillId="6" fontId="16" numFmtId="0" xfId="0" applyAlignment="1" applyFont="1">
      <alignment readingOrder="0" vertical="center"/>
    </xf>
    <xf borderId="0" fillId="0" fontId="12" numFmtId="164" xfId="0" applyAlignment="1" applyFont="1" applyNumberFormat="1">
      <alignment vertical="center"/>
    </xf>
    <xf borderId="0" fillId="0" fontId="14" numFmtId="0" xfId="0" applyAlignment="1" applyFont="1">
      <alignment vertical="center"/>
    </xf>
    <xf borderId="0" fillId="0" fontId="12" numFmtId="0" xfId="0" applyAlignment="1" applyFont="1">
      <alignment horizontal="right" vertical="center"/>
    </xf>
    <xf borderId="0" fillId="0" fontId="12" numFmtId="0" xfId="0" applyAlignment="1" applyFont="1">
      <alignment horizontal="center" vertical="center"/>
    </xf>
    <xf borderId="0" fillId="0" fontId="12" numFmtId="166" xfId="0" applyAlignment="1" applyFont="1" applyNumberFormat="1">
      <alignment horizontal="center" vertical="center"/>
    </xf>
    <xf borderId="0" fillId="0" fontId="12" numFmtId="167" xfId="0" applyAlignment="1" applyFont="1" applyNumberFormat="1">
      <alignment horizontal="center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704850</xdr:colOff>
      <xdr:row>0</xdr:row>
      <xdr:rowOff>123825</xdr:rowOff>
    </xdr:from>
    <xdr:ext cx="1428750" cy="36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238125</xdr:colOff>
      <xdr:row>0</xdr:row>
      <xdr:rowOff>152400</xdr:rowOff>
    </xdr:from>
    <xdr:ext cx="819150" cy="895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2" width="4.13"/>
    <col customWidth="1" min="3" max="3" width="9.38"/>
    <col customWidth="1" min="4" max="4" width="3.0"/>
    <col customWidth="1" min="5" max="5" width="1.88"/>
    <col customWidth="1" min="6" max="6" width="1.5"/>
    <col customWidth="1" min="7" max="7" width="3.25"/>
    <col customWidth="1" min="8" max="8" width="17.25"/>
    <col customWidth="1" min="9" max="9" width="7.75"/>
    <col customWidth="1" min="10" max="10" width="13.38"/>
    <col customWidth="1" min="11" max="11" width="6.75"/>
    <col customWidth="1" min="12" max="12" width="4.13"/>
    <col customWidth="1" min="13" max="13" width="2.38"/>
    <col customWidth="1" min="14" max="14" width="1.5"/>
    <col customWidth="1" min="15" max="15" width="5.0"/>
    <col customWidth="1" min="16" max="17" width="13.75"/>
    <col customWidth="1" min="18" max="18" width="22.5"/>
    <col customWidth="1" min="19" max="19" width="13.75"/>
    <col customWidth="1" min="20" max="26" width="7.63"/>
  </cols>
  <sheetData>
    <row r="1" ht="12.75" customHeight="1">
      <c r="P1" s="1" t="s">
        <v>0</v>
      </c>
      <c r="Q1" s="1" t="s">
        <v>1</v>
      </c>
      <c r="R1" s="1" t="s">
        <v>2</v>
      </c>
      <c r="S1" s="1" t="s">
        <v>3</v>
      </c>
    </row>
    <row r="2" ht="12.75" customHeight="1">
      <c r="B2" s="2"/>
      <c r="C2" s="3"/>
      <c r="D2" s="2"/>
      <c r="E2" s="2"/>
      <c r="F2" s="2"/>
      <c r="G2" s="2"/>
      <c r="H2" s="2"/>
      <c r="I2" s="4"/>
      <c r="J2" s="5"/>
      <c r="K2" s="6"/>
      <c r="L2" s="6"/>
      <c r="M2" s="7"/>
      <c r="N2" s="2"/>
      <c r="P2" s="1" t="s">
        <v>4</v>
      </c>
      <c r="Q2" s="1" t="s">
        <v>5</v>
      </c>
      <c r="R2" s="1" t="s">
        <v>1</v>
      </c>
      <c r="S2" s="1" t="s">
        <v>2</v>
      </c>
    </row>
    <row r="3" ht="12.75" customHeight="1">
      <c r="B3" s="2"/>
      <c r="C3" s="8" t="str">
        <f>IF(Q19=0,IF(Q18=0,"                    "&amp;Q20,'フォーマット'!Q18&amp;" "&amp;'フォーマット'!Q20),IF(Q18=0,"                    "&amp;Q20,'フォーマット'!Q18))</f>
        <v>ローバル管理組合 御中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s="1" t="s">
        <v>6</v>
      </c>
      <c r="Q3" s="1" t="s">
        <v>7</v>
      </c>
      <c r="R3" s="1" t="s">
        <v>5</v>
      </c>
      <c r="S3" s="1" t="s">
        <v>8</v>
      </c>
    </row>
    <row r="4" ht="14.25" customHeight="1">
      <c r="B4" s="2"/>
      <c r="C4" s="8" t="str">
        <f>IF(Q19=0,"",Q19&amp;" "&amp;P20)</f>
        <v/>
      </c>
      <c r="D4" s="2"/>
      <c r="E4" s="2"/>
      <c r="F4" s="2"/>
      <c r="G4" s="2"/>
      <c r="H4" s="2"/>
      <c r="I4" s="2"/>
      <c r="J4" s="4" t="s">
        <v>9</v>
      </c>
      <c r="P4" s="1"/>
      <c r="Q4" s="1" t="s">
        <v>10</v>
      </c>
      <c r="R4" s="1"/>
      <c r="S4" s="1" t="s">
        <v>11</v>
      </c>
    </row>
    <row r="5" ht="14.25" customHeight="1">
      <c r="B5" s="2"/>
      <c r="C5" s="2"/>
      <c r="D5" s="2"/>
      <c r="E5" s="2"/>
      <c r="F5" s="2"/>
      <c r="G5" s="2"/>
      <c r="H5" s="2"/>
      <c r="I5" s="2"/>
      <c r="J5" s="9" t="s">
        <v>12</v>
      </c>
      <c r="P5" s="1"/>
      <c r="Q5" s="1"/>
      <c r="R5" s="1"/>
      <c r="S5" s="1" t="s">
        <v>13</v>
      </c>
    </row>
    <row r="6" ht="12.75" customHeight="1">
      <c r="B6" s="2"/>
      <c r="C6" s="2"/>
      <c r="D6" s="2"/>
      <c r="E6" s="2"/>
      <c r="F6" s="2"/>
      <c r="G6" s="2"/>
      <c r="H6" s="2"/>
      <c r="I6" s="2"/>
      <c r="J6" s="9" t="s">
        <v>14</v>
      </c>
      <c r="N6" s="10"/>
      <c r="P6" s="1"/>
      <c r="Q6" s="1"/>
      <c r="R6" s="1"/>
      <c r="S6" s="1" t="s">
        <v>1</v>
      </c>
    </row>
    <row r="7" ht="12.75" customHeight="1">
      <c r="B7" s="2"/>
      <c r="C7" s="2"/>
      <c r="D7" s="2"/>
      <c r="E7" s="2"/>
      <c r="F7" s="2"/>
      <c r="G7" s="2"/>
      <c r="H7" s="2"/>
      <c r="I7" s="2"/>
      <c r="J7" s="11" t="s">
        <v>15</v>
      </c>
      <c r="N7" s="12"/>
      <c r="P7" s="1"/>
      <c r="Q7" s="1"/>
      <c r="R7" s="1"/>
      <c r="S7" s="1"/>
    </row>
    <row r="8" ht="12.75" customHeight="1">
      <c r="B8" s="2"/>
      <c r="C8" s="2"/>
      <c r="D8" s="13" t="s">
        <v>16</v>
      </c>
      <c r="K8" s="2"/>
      <c r="L8" s="2"/>
      <c r="M8" s="2"/>
      <c r="N8" s="2"/>
      <c r="P8" s="1"/>
      <c r="Q8" s="1"/>
      <c r="R8" s="1"/>
      <c r="S8" s="1"/>
    </row>
    <row r="9" ht="12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1"/>
      <c r="Q9" s="1"/>
      <c r="R9" s="1"/>
      <c r="S9" s="1"/>
    </row>
    <row r="10" ht="12.7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1"/>
      <c r="Q10" s="1"/>
      <c r="R10" s="1"/>
      <c r="S10" s="1"/>
    </row>
    <row r="11" ht="12.7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1"/>
      <c r="Q11" s="1"/>
      <c r="R11" s="1"/>
      <c r="S11" s="1"/>
    </row>
    <row r="12" ht="15.0" customHeight="1">
      <c r="B12" s="2"/>
      <c r="C12" s="2" t="s">
        <v>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1"/>
      <c r="Q12" s="1"/>
      <c r="R12" s="1"/>
      <c r="S12" s="1"/>
    </row>
    <row r="13" ht="12.7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1"/>
      <c r="Q13" s="1"/>
      <c r="R13" s="1"/>
      <c r="S13" s="1"/>
    </row>
    <row r="14" ht="12.75" customHeight="1">
      <c r="B14" s="2"/>
      <c r="C14" s="3" t="str">
        <f>'フォーマット'!$P$21</f>
        <v>工事名</v>
      </c>
      <c r="E14" s="3"/>
      <c r="F14" s="2" t="str">
        <f>IF(Q21=0,"",'フォーマット'!$Q$21)</f>
        <v>マンション改修工事</v>
      </c>
      <c r="G14" s="2"/>
      <c r="H14" s="2"/>
      <c r="I14" s="2"/>
      <c r="J14" s="2"/>
      <c r="K14" s="2"/>
      <c r="L14" s="2"/>
      <c r="M14" s="2"/>
      <c r="N14" s="2"/>
      <c r="P14" s="1"/>
      <c r="Q14" s="1"/>
      <c r="R14" s="1"/>
      <c r="S14" s="1"/>
    </row>
    <row r="15" ht="12.75" customHeight="1">
      <c r="B15" s="2"/>
      <c r="C15" s="3"/>
      <c r="E15" s="2"/>
      <c r="F15" s="2" t="str">
        <f>IF(Q22=0,"",'フォーマット'!$Q$22)</f>
        <v/>
      </c>
      <c r="G15" s="2"/>
      <c r="H15" s="2"/>
      <c r="I15" s="2"/>
      <c r="J15" s="2"/>
      <c r="K15" s="2"/>
      <c r="L15" s="2"/>
      <c r="M15" s="2"/>
      <c r="N15" s="2"/>
      <c r="P15" s="1"/>
      <c r="Q15" s="1"/>
      <c r="R15" s="1"/>
      <c r="S15" s="1"/>
    </row>
    <row r="16" ht="15.0" customHeight="1">
      <c r="B16" s="2"/>
      <c r="C16" s="3" t="str">
        <f>IF(Q23&lt;&gt;"",P23,"")</f>
        <v/>
      </c>
      <c r="E16" s="2"/>
      <c r="F16" s="2" t="str">
        <f>IF(Q23=0,"",'フォーマット'!$Q$23)</f>
        <v/>
      </c>
      <c r="G16" s="2"/>
      <c r="H16" s="2"/>
      <c r="I16" s="2"/>
      <c r="J16" s="2"/>
      <c r="K16" s="2"/>
      <c r="L16" s="14"/>
      <c r="M16" s="2"/>
      <c r="N16" s="14"/>
    </row>
    <row r="17" ht="15.0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14"/>
      <c r="M17" s="2"/>
      <c r="N17" s="14"/>
    </row>
    <row r="18" ht="12.75" customHeight="1">
      <c r="B18" s="2"/>
      <c r="C18" s="3" t="str">
        <f>IF($Q$24=0,"",$Q$56)</f>
        <v>施工業者</v>
      </c>
      <c r="E18" s="3"/>
      <c r="F18" s="2" t="str">
        <f>IF(Q24=0,"",'フォーマット'!$Q$24)</f>
        <v>〇〇株式会社</v>
      </c>
      <c r="G18" s="2"/>
      <c r="H18" s="2"/>
      <c r="I18" s="2"/>
      <c r="J18" s="2"/>
      <c r="K18" s="2"/>
      <c r="L18" s="2"/>
      <c r="M18" s="2"/>
      <c r="N18" s="2"/>
      <c r="P18" s="15" t="s">
        <v>18</v>
      </c>
      <c r="Q18" s="16" t="s">
        <v>19</v>
      </c>
      <c r="R18" s="17" t="s">
        <v>20</v>
      </c>
    </row>
    <row r="19" ht="12.75" customHeight="1">
      <c r="B19" s="2"/>
      <c r="C19" s="3" t="str">
        <f>IF($Q$57=0,"",$Q$57)</f>
        <v>塗装業者</v>
      </c>
      <c r="E19" s="3"/>
      <c r="F19" s="2" t="str">
        <f>IF(Q25=0,"",'フォーマット'!$Q$25)</f>
        <v>▲▲塗装店</v>
      </c>
      <c r="G19" s="2"/>
      <c r="H19" s="2"/>
      <c r="I19" s="2"/>
      <c r="J19" s="2"/>
      <c r="K19" s="2"/>
      <c r="L19" s="2"/>
      <c r="M19" s="2"/>
      <c r="N19" s="2"/>
      <c r="P19" s="15" t="s">
        <v>21</v>
      </c>
      <c r="Q19" s="16"/>
      <c r="R19" s="17" t="s">
        <v>22</v>
      </c>
    </row>
    <row r="20" ht="12.75" customHeight="1">
      <c r="B20" s="2"/>
      <c r="C20" s="18" t="str">
        <f>IF($Q$58=0,"",$Q$58)</f>
        <v/>
      </c>
      <c r="E20" s="3"/>
      <c r="F20" s="2" t="str">
        <f>IF(Q26=0,"",'フォーマット'!$Q$26)</f>
        <v/>
      </c>
      <c r="G20" s="2"/>
      <c r="H20" s="2"/>
      <c r="I20" s="2"/>
      <c r="J20" s="2"/>
      <c r="K20" s="2"/>
      <c r="L20" s="2"/>
      <c r="M20" s="2"/>
      <c r="N20" s="2"/>
      <c r="P20" s="19" t="s">
        <v>23</v>
      </c>
      <c r="Q20" s="20" t="s">
        <v>0</v>
      </c>
      <c r="R20" s="17" t="s">
        <v>24</v>
      </c>
    </row>
    <row r="21" ht="12.75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15" t="s">
        <v>25</v>
      </c>
      <c r="Q21" s="16" t="s">
        <v>26</v>
      </c>
      <c r="R21" s="21"/>
    </row>
    <row r="22" ht="12.75" customHeight="1">
      <c r="B22" s="22"/>
      <c r="C22" s="22"/>
      <c r="D22" s="22"/>
      <c r="E22" s="22"/>
      <c r="F22" s="22"/>
      <c r="G22" s="23"/>
      <c r="H22" s="24"/>
      <c r="I22" s="22"/>
      <c r="J22" s="22"/>
      <c r="K22" s="25">
        <f>IF(Q48=0,"",Q48)</f>
        <v>45866</v>
      </c>
      <c r="P22" s="15" t="s">
        <v>25</v>
      </c>
      <c r="Q22" s="26"/>
      <c r="R22" s="21"/>
    </row>
    <row r="23" ht="12.75" customHeight="1">
      <c r="A23" s="27"/>
      <c r="B23" s="28" t="s">
        <v>27</v>
      </c>
      <c r="C23" s="29"/>
      <c r="D23" s="28" t="s">
        <v>28</v>
      </c>
      <c r="E23" s="30"/>
      <c r="F23" s="30"/>
      <c r="G23" s="30"/>
      <c r="H23" s="30"/>
      <c r="I23" s="29"/>
      <c r="J23" s="31" t="s">
        <v>29</v>
      </c>
      <c r="K23" s="28" t="s">
        <v>30</v>
      </c>
      <c r="L23" s="30"/>
      <c r="M23" s="29"/>
      <c r="N23" s="32"/>
      <c r="P23" s="15" t="s">
        <v>10</v>
      </c>
      <c r="Q23" s="26"/>
      <c r="R23" s="21"/>
    </row>
    <row r="24" ht="12.75" customHeight="1">
      <c r="A24" s="27"/>
      <c r="B24" s="33"/>
      <c r="C24" s="34"/>
      <c r="D24" s="33"/>
      <c r="E24" s="35"/>
      <c r="F24" s="35"/>
      <c r="G24" s="35"/>
      <c r="H24" s="35"/>
      <c r="I24" s="34"/>
      <c r="J24" s="36"/>
      <c r="K24" s="33"/>
      <c r="L24" s="35"/>
      <c r="M24" s="34"/>
      <c r="N24" s="32"/>
      <c r="P24" s="37" t="s">
        <v>31</v>
      </c>
      <c r="Q24" s="16" t="s">
        <v>32</v>
      </c>
    </row>
    <row r="25" ht="12.75" customHeight="1">
      <c r="A25" s="27"/>
      <c r="B25" s="38"/>
      <c r="C25" s="39"/>
      <c r="D25" s="40"/>
      <c r="E25" s="40"/>
      <c r="F25" s="40"/>
      <c r="G25" s="40"/>
      <c r="H25" s="40"/>
      <c r="I25" s="41"/>
      <c r="J25" s="42"/>
      <c r="K25" s="40"/>
      <c r="L25" s="40"/>
      <c r="M25" s="41"/>
      <c r="N25" s="32"/>
      <c r="P25" s="37" t="s">
        <v>33</v>
      </c>
      <c r="Q25" s="16" t="s">
        <v>34</v>
      </c>
    </row>
    <row r="26" ht="12.75" customHeight="1">
      <c r="A26" s="27"/>
      <c r="B26" s="43">
        <f>IF(Q41="","",Q41)</f>
        <v>45810</v>
      </c>
      <c r="C26" s="44"/>
      <c r="D26" s="2"/>
      <c r="E26" s="2"/>
      <c r="F26" s="45" t="str">
        <f>IF(trim(Q27)="",,IF(ISNUMBER(SEARCH("以上", Q27)), "以上",VLOOKUP(Q27,'参照用シート'!$A$1:$E$100,4,0))&amp;IF(Q49=0,,CHAR(10)&amp;"LotNo."&amp;Q49))</f>
        <v>厚膜ローバル
LotNo.A250301N</v>
      </c>
      <c r="I26" s="46"/>
      <c r="J26" s="47" t="str">
        <f>IF(OR(TRIM(Q27)="",Q27="以上"),"",VLOOKUP(Q27,'参照用シート'!$A$1:$E$100,5,0))</f>
        <v>２５kg</v>
      </c>
      <c r="K26" s="48">
        <f>IF(trim(Q34)="","",(Q34))</f>
        <v>5</v>
      </c>
      <c r="L26" s="49" t="str">
        <f>IF(OR(trim(Q27)="",Q27="以上"),"",VLOOKUP(Q27,'参照用シート'!$A$1:$E$100,2,0))</f>
        <v>缶</v>
      </c>
      <c r="M26" s="44"/>
      <c r="N26" s="32"/>
      <c r="P26" s="37" t="s">
        <v>35</v>
      </c>
      <c r="Q26" s="16"/>
    </row>
    <row r="27" ht="12.75" customHeight="1">
      <c r="A27" s="27"/>
      <c r="B27" s="50"/>
      <c r="C27" s="44"/>
      <c r="D27" s="2"/>
      <c r="E27" s="2"/>
      <c r="I27" s="46"/>
      <c r="J27" s="51"/>
      <c r="K27" s="50"/>
      <c r="M27" s="44"/>
      <c r="N27" s="32"/>
      <c r="P27" s="15" t="s">
        <v>36</v>
      </c>
      <c r="Q27" s="16" t="s">
        <v>37</v>
      </c>
    </row>
    <row r="28" ht="12.75" customHeight="1">
      <c r="A28" s="27"/>
      <c r="B28" s="52"/>
      <c r="C28" s="53"/>
      <c r="D28" s="2"/>
      <c r="E28" s="2"/>
      <c r="F28" s="2"/>
      <c r="G28" s="2"/>
      <c r="H28" s="2"/>
      <c r="I28" s="46"/>
      <c r="J28" s="54"/>
      <c r="K28" s="2"/>
      <c r="L28" s="2"/>
      <c r="M28" s="46"/>
      <c r="N28" s="32"/>
      <c r="P28" s="15" t="s">
        <v>38</v>
      </c>
      <c r="Q28" s="16" t="s">
        <v>39</v>
      </c>
    </row>
    <row r="29" ht="12.75" customHeight="1">
      <c r="A29" s="27"/>
      <c r="B29" s="38"/>
      <c r="C29" s="39"/>
      <c r="D29" s="40"/>
      <c r="E29" s="40"/>
      <c r="F29" s="40"/>
      <c r="G29" s="40"/>
      <c r="H29" s="40"/>
      <c r="I29" s="41"/>
      <c r="J29" s="42"/>
      <c r="K29" s="40"/>
      <c r="L29" s="40"/>
      <c r="M29" s="41"/>
      <c r="N29" s="32"/>
      <c r="P29" s="15" t="s">
        <v>40</v>
      </c>
      <c r="Q29" s="55" t="s">
        <v>41</v>
      </c>
    </row>
    <row r="30" ht="12.75" customHeight="1">
      <c r="A30" s="27"/>
      <c r="B30" s="43">
        <f>IF(Q42="","",Q42)</f>
        <v>45813</v>
      </c>
      <c r="C30" s="44"/>
      <c r="D30" s="2"/>
      <c r="E30" s="2"/>
      <c r="F30" s="45" t="str">
        <f>IF(trim(Q28)="",,IF(ISNUMBER(SEARCH("以上", Q28)), "以上",VLOOKUP(Q28,'参照用シート'!$A$1:$E$100,4,0))&amp;IF(Q50=0,,CHAR(10)&amp;"LotNo."&amp;Q50))</f>
        <v>ローバルシンナー</v>
      </c>
      <c r="I30" s="46"/>
      <c r="J30" s="47" t="str">
        <f>IF(OR(trim(Q28)="",Q28="以上"),"",VLOOKUP(Q28,'参照用シート'!$A$1:$E$100,5,0))</f>
        <v>１Ｌ</v>
      </c>
      <c r="K30" s="48">
        <f>IF(trim(Q35)="","",(Q35))</f>
        <v>1</v>
      </c>
      <c r="L30" s="49" t="str">
        <f>IF(OR(trim(Q28)="",Q28="以上"),"",VLOOKUP(Q28,'参照用シート'!$A$1:$E$100,2,0))</f>
        <v>缶</v>
      </c>
      <c r="M30" s="44"/>
      <c r="N30" s="32"/>
      <c r="P30" s="15" t="s">
        <v>42</v>
      </c>
      <c r="Q30" s="16" t="s">
        <v>43</v>
      </c>
    </row>
    <row r="31" ht="12.75" customHeight="1">
      <c r="A31" s="27"/>
      <c r="B31" s="50"/>
      <c r="C31" s="44"/>
      <c r="D31" s="2"/>
      <c r="E31" s="2"/>
      <c r="I31" s="46"/>
      <c r="J31" s="51"/>
      <c r="K31" s="50"/>
      <c r="M31" s="44"/>
      <c r="N31" s="32"/>
      <c r="P31" s="15" t="s">
        <v>44</v>
      </c>
      <c r="Q31" s="16" t="s">
        <v>43</v>
      </c>
    </row>
    <row r="32" ht="12.75" customHeight="1">
      <c r="A32" s="27"/>
      <c r="B32" s="56"/>
      <c r="C32" s="57"/>
      <c r="D32" s="22"/>
      <c r="E32" s="22"/>
      <c r="F32" s="22"/>
      <c r="G32" s="22"/>
      <c r="H32" s="22"/>
      <c r="I32" s="58"/>
      <c r="J32" s="59"/>
      <c r="K32" s="22"/>
      <c r="L32" s="22"/>
      <c r="M32" s="58"/>
      <c r="N32" s="32"/>
      <c r="P32" s="15" t="s">
        <v>45</v>
      </c>
      <c r="Q32" s="16" t="s">
        <v>43</v>
      </c>
    </row>
    <row r="33" ht="12.75" customHeight="1">
      <c r="A33" s="27"/>
      <c r="B33" s="52"/>
      <c r="C33" s="53"/>
      <c r="D33" s="60"/>
      <c r="E33" s="2"/>
      <c r="F33" s="3"/>
      <c r="G33" s="2"/>
      <c r="H33" s="2"/>
      <c r="I33" s="46"/>
      <c r="J33" s="2"/>
      <c r="K33" s="60"/>
      <c r="L33" s="2"/>
      <c r="M33" s="46"/>
      <c r="N33" s="32"/>
      <c r="P33" s="15" t="s">
        <v>46</v>
      </c>
      <c r="Q33" s="16" t="s">
        <v>43</v>
      </c>
    </row>
    <row r="34" ht="12.75" customHeight="1">
      <c r="A34" s="27"/>
      <c r="B34" s="43" t="str">
        <f>IF(Q43="","",Q43)</f>
        <v/>
      </c>
      <c r="C34" s="44"/>
      <c r="D34" s="60"/>
      <c r="E34" s="2"/>
      <c r="F34" s="45" t="str">
        <f>IF(trim(Q29)="",,IF(ISNUMBER(SEARCH("以上", Q29)), "以上",VLOOKUP(Q29,'参照用シート'!$A$1:$E$100,4,0))&amp;IF(Q51=0,,CHAR(10)&amp;"LotNo."&amp;Q51))</f>
        <v>厚膜ローバルスプレー</v>
      </c>
      <c r="I34" s="46"/>
      <c r="J34" s="47" t="str">
        <f>IF(OR(trim(Q29)="",Q29="以上"),"",VLOOKUP(Q29,'参照用シート'!$A$1:$E$100,5,0))</f>
        <v>４２０ml</v>
      </c>
      <c r="K34" s="48" t="str">
        <f>IF(trim(Q36)="","",(Q36))</f>
        <v/>
      </c>
      <c r="L34" s="49" t="str">
        <f>IF(OR(trim(Q29)="",Q29="以上"),"",VLOOKUP(Q29,'参照用シート'!$A$1:$E$100,2,0))</f>
        <v>本</v>
      </c>
      <c r="M34" s="44"/>
      <c r="N34" s="32"/>
      <c r="P34" s="15" t="s">
        <v>47</v>
      </c>
      <c r="Q34" s="61">
        <v>5.0</v>
      </c>
    </row>
    <row r="35" ht="12.75" customHeight="1">
      <c r="A35" s="27"/>
      <c r="B35" s="50"/>
      <c r="C35" s="44"/>
      <c r="D35" s="60"/>
      <c r="E35" s="2"/>
      <c r="I35" s="46"/>
      <c r="J35" s="51"/>
      <c r="K35" s="50"/>
      <c r="M35" s="44"/>
      <c r="N35" s="32"/>
      <c r="P35" s="15" t="s">
        <v>48</v>
      </c>
      <c r="Q35" s="61">
        <v>1.0</v>
      </c>
    </row>
    <row r="36" ht="12.75" customHeight="1">
      <c r="A36" s="27"/>
      <c r="B36" s="62"/>
      <c r="C36" s="57"/>
      <c r="D36" s="63"/>
      <c r="E36" s="22"/>
      <c r="F36" s="64"/>
      <c r="G36" s="22"/>
      <c r="H36" s="22"/>
      <c r="I36" s="58"/>
      <c r="J36" s="22"/>
      <c r="K36" s="63"/>
      <c r="L36" s="22"/>
      <c r="M36" s="58"/>
      <c r="N36" s="32"/>
      <c r="P36" s="15" t="s">
        <v>49</v>
      </c>
      <c r="Q36" s="26"/>
    </row>
    <row r="37" ht="12.75" customHeight="1">
      <c r="A37" s="27"/>
      <c r="B37" s="38"/>
      <c r="C37" s="39"/>
      <c r="D37" s="65"/>
      <c r="E37" s="40"/>
      <c r="F37" s="66"/>
      <c r="G37" s="40"/>
      <c r="H37" s="40"/>
      <c r="I37" s="41"/>
      <c r="J37" s="40"/>
      <c r="K37" s="65"/>
      <c r="L37" s="40"/>
      <c r="M37" s="41"/>
      <c r="N37" s="32"/>
      <c r="P37" s="15" t="s">
        <v>50</v>
      </c>
      <c r="Q37" s="26"/>
    </row>
    <row r="38" ht="12.75" customHeight="1">
      <c r="A38" s="27"/>
      <c r="B38" s="43" t="str">
        <f>IF(Q44="","",Q44)</f>
        <v/>
      </c>
      <c r="C38" s="44"/>
      <c r="D38" s="60"/>
      <c r="E38" s="2"/>
      <c r="F38" s="45" t="str">
        <f>IF(trim(Q30)="",,IF(ISNUMBER(SEARCH("以上", Q30)), "以上",VLOOKUP(Q30,'参照用シート'!$A$1:$E$100,4,0))&amp;IF(Q52=0,,CHAR(10)&amp;"LotNo."&amp;Q52))</f>
        <v/>
      </c>
      <c r="I38" s="46"/>
      <c r="J38" s="47" t="str">
        <f>IF(OR(trim(Q30)="",Q30="以上"),"",VLOOKUP(Q30,'参照用シート'!$A$1:$E$100,5,0))</f>
        <v/>
      </c>
      <c r="K38" s="48" t="str">
        <f>IF(trim(Q37)="","",(Q37))</f>
        <v/>
      </c>
      <c r="L38" s="49" t="str">
        <f>IF(OR(trim(Q30)="",Q30="以上"),"",VLOOKUP(Q30,'参照用シート'!$A$1:$E$100,2,0))</f>
        <v/>
      </c>
      <c r="M38" s="44"/>
      <c r="P38" s="15" t="s">
        <v>51</v>
      </c>
      <c r="Q38" s="26"/>
    </row>
    <row r="39" ht="12.75" customHeight="1">
      <c r="A39" s="27"/>
      <c r="B39" s="50"/>
      <c r="C39" s="44"/>
      <c r="D39" s="60"/>
      <c r="E39" s="2"/>
      <c r="I39" s="46"/>
      <c r="J39" s="51"/>
      <c r="K39" s="50"/>
      <c r="M39" s="44"/>
      <c r="P39" s="15" t="s">
        <v>52</v>
      </c>
      <c r="Q39" s="26"/>
    </row>
    <row r="40" ht="12.75" customHeight="1">
      <c r="A40" s="27"/>
      <c r="B40" s="62"/>
      <c r="C40" s="57"/>
      <c r="D40" s="63"/>
      <c r="E40" s="22"/>
      <c r="F40" s="64"/>
      <c r="G40" s="22"/>
      <c r="H40" s="22"/>
      <c r="I40" s="58"/>
      <c r="J40" s="22"/>
      <c r="K40" s="63"/>
      <c r="L40" s="22"/>
      <c r="M40" s="58"/>
      <c r="P40" s="15" t="s">
        <v>53</v>
      </c>
      <c r="Q40" s="26"/>
    </row>
    <row r="41" ht="12.75" customHeight="1">
      <c r="A41" s="27"/>
      <c r="B41" s="38"/>
      <c r="C41" s="39"/>
      <c r="D41" s="65"/>
      <c r="E41" s="40"/>
      <c r="F41" s="66"/>
      <c r="G41" s="40"/>
      <c r="H41" s="40"/>
      <c r="I41" s="41"/>
      <c r="J41" s="40"/>
      <c r="K41" s="65"/>
      <c r="L41" s="40"/>
      <c r="M41" s="41"/>
      <c r="N41" s="32"/>
      <c r="P41" s="15" t="s">
        <v>54</v>
      </c>
      <c r="Q41" s="67">
        <v>45810.0</v>
      </c>
    </row>
    <row r="42" ht="12.75" customHeight="1">
      <c r="A42" s="27"/>
      <c r="B42" s="43" t="str">
        <f>IF(Q45="","",Q45)</f>
        <v/>
      </c>
      <c r="C42" s="44"/>
      <c r="D42" s="60"/>
      <c r="E42" s="2"/>
      <c r="F42" s="45" t="str">
        <f>IF(trim(Q31)="",,IF(ISNUMBER(SEARCH("以上", Q31)), "以上",VLOOKUP(Q31,'参照用シート'!$A$1:$E$100,4,0))&amp;IF(Q53=0,,CHAR(10)&amp;"LotNo."&amp;Q53))</f>
        <v/>
      </c>
      <c r="I42" s="46"/>
      <c r="J42" s="47" t="str">
        <f>IF(OR(trim(Q31)="",Q31="以上"),"",VLOOKUP(Q31,'参照用シート'!$A$1:$E$100,5,0))</f>
        <v/>
      </c>
      <c r="K42" s="48" t="str">
        <f>IF(trim(Q38)="","",(Q38))</f>
        <v/>
      </c>
      <c r="L42" s="49" t="str">
        <f>IF(OR(trim(Q31)="",Q31="以上"),"",VLOOKUP(Q31,'参照用シート'!$A$1:$E$100,2,0))</f>
        <v/>
      </c>
      <c r="M42" s="44"/>
      <c r="N42" s="32"/>
      <c r="P42" s="15" t="s">
        <v>55</v>
      </c>
      <c r="Q42" s="67">
        <v>45813.0</v>
      </c>
    </row>
    <row r="43" ht="12.75" customHeight="1">
      <c r="A43" s="27"/>
      <c r="B43" s="50"/>
      <c r="C43" s="44"/>
      <c r="D43" s="60"/>
      <c r="E43" s="2"/>
      <c r="I43" s="46"/>
      <c r="J43" s="51"/>
      <c r="K43" s="50"/>
      <c r="M43" s="44"/>
      <c r="N43" s="32"/>
      <c r="P43" s="15" t="s">
        <v>56</v>
      </c>
      <c r="Q43" s="68"/>
    </row>
    <row r="44" ht="12.75" customHeight="1">
      <c r="A44" s="27"/>
      <c r="B44" s="62"/>
      <c r="C44" s="57"/>
      <c r="D44" s="63"/>
      <c r="E44" s="22"/>
      <c r="F44" s="64"/>
      <c r="G44" s="22"/>
      <c r="H44" s="22"/>
      <c r="I44" s="58"/>
      <c r="J44" s="22"/>
      <c r="K44" s="63"/>
      <c r="L44" s="22"/>
      <c r="M44" s="58"/>
      <c r="N44" s="32"/>
      <c r="P44" s="15" t="s">
        <v>57</v>
      </c>
      <c r="Q44" s="68"/>
    </row>
    <row r="45" ht="12.75" customHeight="1">
      <c r="A45" s="27"/>
      <c r="B45" s="38"/>
      <c r="C45" s="39"/>
      <c r="D45" s="65"/>
      <c r="E45" s="40"/>
      <c r="F45" s="66"/>
      <c r="G45" s="40"/>
      <c r="H45" s="40"/>
      <c r="I45" s="41"/>
      <c r="J45" s="40"/>
      <c r="K45" s="65"/>
      <c r="L45" s="40"/>
      <c r="M45" s="41"/>
      <c r="P45" s="15" t="s">
        <v>58</v>
      </c>
      <c r="Q45" s="68"/>
    </row>
    <row r="46" ht="12.75" customHeight="1">
      <c r="A46" s="27"/>
      <c r="B46" s="43" t="str">
        <f>IF(Q46="","",Q46)</f>
        <v/>
      </c>
      <c r="C46" s="44"/>
      <c r="D46" s="60"/>
      <c r="E46" s="2"/>
      <c r="F46" s="45" t="str">
        <f>IF(trim(Q32)="",,IF(ISNUMBER(SEARCH("以上", Q32)), "以上",VLOOKUP(Q32,'参照用シート'!$A$1:$E$100,4,0))&amp;IF(Q54=0,,CHAR(10)&amp;"LotNo."&amp;Q54))</f>
        <v/>
      </c>
      <c r="I46" s="46"/>
      <c r="J46" s="47" t="str">
        <f>IF(OR(trim(Q32)="",Q32="以上"),"",VLOOKUP(Q32,'参照用シート'!$A$1:$E$100,5,0))</f>
        <v/>
      </c>
      <c r="K46" s="48" t="str">
        <f>IF(trim(Q39)="","",(Q39))</f>
        <v/>
      </c>
      <c r="L46" s="49" t="str">
        <f>IF(OR(trim(Q32)="",Q32="以上"),"",VLOOKUP(Q32,'参照用シート'!$A$1:$E$100,2,0))</f>
        <v/>
      </c>
      <c r="M46" s="44"/>
      <c r="P46" s="15" t="s">
        <v>59</v>
      </c>
      <c r="Q46" s="68"/>
    </row>
    <row r="47" ht="12.75" customHeight="1">
      <c r="A47" s="27"/>
      <c r="B47" s="50"/>
      <c r="C47" s="44"/>
      <c r="D47" s="60"/>
      <c r="E47" s="2"/>
      <c r="I47" s="46"/>
      <c r="J47" s="51"/>
      <c r="K47" s="50"/>
      <c r="M47" s="44"/>
      <c r="P47" s="15" t="s">
        <v>60</v>
      </c>
      <c r="Q47" s="68"/>
    </row>
    <row r="48" ht="12.75" customHeight="1">
      <c r="A48" s="27" t="s">
        <v>61</v>
      </c>
      <c r="B48" s="56"/>
      <c r="C48" s="57"/>
      <c r="D48" s="63"/>
      <c r="E48" s="22"/>
      <c r="F48" s="64"/>
      <c r="G48" s="22"/>
      <c r="H48" s="22"/>
      <c r="I48" s="58"/>
      <c r="J48" s="22"/>
      <c r="K48" s="63"/>
      <c r="L48" s="22"/>
      <c r="M48" s="58"/>
      <c r="P48" s="15" t="s">
        <v>62</v>
      </c>
      <c r="Q48" s="67">
        <v>45866.0</v>
      </c>
    </row>
    <row r="49" ht="12.75" customHeight="1">
      <c r="A49" s="27"/>
      <c r="B49" s="38"/>
      <c r="C49" s="39"/>
      <c r="D49" s="65"/>
      <c r="E49" s="40"/>
      <c r="F49" s="40"/>
      <c r="G49" s="40"/>
      <c r="H49" s="40"/>
      <c r="I49" s="41"/>
      <c r="J49" s="40"/>
      <c r="K49" s="65"/>
      <c r="L49" s="40"/>
      <c r="M49" s="41"/>
      <c r="P49" s="15" t="s">
        <v>63</v>
      </c>
      <c r="Q49" s="16" t="s">
        <v>64</v>
      </c>
    </row>
    <row r="50" ht="12.75" customHeight="1">
      <c r="A50" s="27"/>
      <c r="B50" s="43" t="str">
        <f>IF(Q47="","",Q47)</f>
        <v/>
      </c>
      <c r="C50" s="44"/>
      <c r="D50" s="60"/>
      <c r="E50" s="2"/>
      <c r="F50" s="45" t="str">
        <f>IF(trim(Q33)="",,IF(ISNUMBER(SEARCH("以上", Q33)), "以上",VLOOKUP(Q33,'参照用シート'!$A$1:$E$100,4,0))&amp;IF(Q55=0,,CHAR(10)&amp;"LotNo."&amp;Q55))</f>
        <v/>
      </c>
      <c r="I50" s="46"/>
      <c r="J50" s="47" t="str">
        <f>IF(OR(trim(Q33)="",Q33="以上"),"",VLOOKUP(Q33,'参照用シート'!$A$1:$E$100,5,0))</f>
        <v/>
      </c>
      <c r="K50" s="48" t="str">
        <f>IF(trim(Q40)="","",(Q40))</f>
        <v/>
      </c>
      <c r="L50" s="49" t="str">
        <f>IF(OR(trim(Q33)="",Q33="以上"),"",VLOOKUP(Q33,'参照用シート'!$A$1:$E$100,2,0))</f>
        <v/>
      </c>
      <c r="M50" s="44"/>
      <c r="P50" s="15" t="s">
        <v>65</v>
      </c>
      <c r="Q50" s="26"/>
    </row>
    <row r="51" ht="12.75" customHeight="1">
      <c r="A51" s="27"/>
      <c r="B51" s="50"/>
      <c r="C51" s="44"/>
      <c r="D51" s="60"/>
      <c r="E51" s="2"/>
      <c r="I51" s="46"/>
      <c r="J51" s="51"/>
      <c r="K51" s="50"/>
      <c r="M51" s="44"/>
      <c r="P51" s="15" t="s">
        <v>66</v>
      </c>
      <c r="Q51" s="26"/>
    </row>
    <row r="52" ht="12.75" customHeight="1">
      <c r="A52" s="27"/>
      <c r="B52" s="52"/>
      <c r="C52" s="53"/>
      <c r="D52" s="60"/>
      <c r="E52" s="2"/>
      <c r="F52" s="3"/>
      <c r="G52" s="2"/>
      <c r="H52" s="2"/>
      <c r="I52" s="46"/>
      <c r="J52" s="2"/>
      <c r="K52" s="60"/>
      <c r="L52" s="2"/>
      <c r="M52" s="46"/>
      <c r="P52" s="15" t="s">
        <v>67</v>
      </c>
      <c r="Q52" s="26"/>
    </row>
    <row r="53" ht="12.75" customHeight="1">
      <c r="B53" s="69"/>
      <c r="C53" s="70"/>
      <c r="D53" s="70"/>
      <c r="E53" s="70"/>
      <c r="F53" s="71"/>
      <c r="G53" s="70"/>
      <c r="H53" s="69"/>
      <c r="I53" s="69"/>
      <c r="J53" s="69"/>
      <c r="K53" s="69"/>
      <c r="L53" s="69"/>
      <c r="M53" s="69"/>
      <c r="P53" s="15" t="s">
        <v>68</v>
      </c>
      <c r="Q53" s="26"/>
    </row>
    <row r="54" ht="12.75" customHeight="1">
      <c r="B54" s="32"/>
      <c r="F54" s="72"/>
      <c r="H54" s="32"/>
      <c r="I54" s="32"/>
      <c r="J54" s="32"/>
      <c r="K54" s="32"/>
      <c r="L54" s="32"/>
      <c r="M54" s="73" t="s">
        <v>69</v>
      </c>
      <c r="P54" s="15" t="s">
        <v>70</v>
      </c>
      <c r="Q54" s="26"/>
    </row>
    <row r="55" ht="12.75" customHeight="1">
      <c r="B55" s="32"/>
      <c r="F55" s="72"/>
      <c r="H55" s="32"/>
      <c r="I55" s="32"/>
      <c r="J55" s="32"/>
      <c r="K55" s="32"/>
      <c r="L55" s="32"/>
      <c r="M55" s="32"/>
      <c r="P55" s="15" t="s">
        <v>71</v>
      </c>
      <c r="Q55" s="26"/>
    </row>
    <row r="56" ht="12.75" customHeight="1">
      <c r="B56" s="32"/>
      <c r="F56" s="72"/>
      <c r="H56" s="32"/>
      <c r="I56" s="32"/>
      <c r="J56" s="32"/>
      <c r="K56" s="32"/>
      <c r="L56" s="32"/>
      <c r="M56" s="32"/>
      <c r="P56" s="74" t="s">
        <v>72</v>
      </c>
      <c r="Q56" s="16" t="s">
        <v>1</v>
      </c>
    </row>
    <row r="57" ht="12.75" customHeight="1">
      <c r="B57" s="32"/>
      <c r="F57" s="72"/>
      <c r="H57" s="32"/>
      <c r="I57" s="32"/>
      <c r="J57" s="32"/>
      <c r="K57" s="32"/>
      <c r="L57" s="32"/>
      <c r="M57" s="32"/>
      <c r="P57" s="74" t="s">
        <v>73</v>
      </c>
      <c r="Q57" s="16" t="s">
        <v>2</v>
      </c>
    </row>
    <row r="58" ht="12.75" customHeight="1">
      <c r="B58" s="32"/>
      <c r="F58" s="72"/>
      <c r="H58" s="32"/>
      <c r="I58" s="32"/>
      <c r="J58" s="32"/>
      <c r="K58" s="32"/>
      <c r="L58" s="32"/>
      <c r="M58" s="32"/>
      <c r="P58" s="74" t="s">
        <v>74</v>
      </c>
      <c r="Q58" s="16"/>
    </row>
    <row r="59" ht="12.75" customHeight="1">
      <c r="B59" s="32"/>
      <c r="F59" s="72"/>
      <c r="H59" s="32"/>
      <c r="I59" s="32"/>
      <c r="J59" s="32"/>
      <c r="K59" s="32"/>
      <c r="L59" s="32"/>
      <c r="M59" s="32"/>
    </row>
    <row r="60" ht="12.75" customHeight="1">
      <c r="B60" s="32"/>
      <c r="F60" s="72"/>
      <c r="H60" s="32"/>
      <c r="I60" s="32"/>
      <c r="J60" s="32"/>
      <c r="K60" s="32"/>
      <c r="L60" s="32"/>
      <c r="M60" s="32"/>
    </row>
    <row r="61" ht="12.75" customHeight="1">
      <c r="B61" s="75"/>
      <c r="C61" s="76"/>
      <c r="F61" s="72"/>
      <c r="H61" s="32"/>
      <c r="I61" s="32"/>
      <c r="K61" s="77"/>
      <c r="L61" s="78"/>
      <c r="M61" s="75"/>
    </row>
    <row r="62" ht="12.75" customHeight="1">
      <c r="G62" s="79"/>
      <c r="H62" s="80"/>
      <c r="I62" s="32"/>
      <c r="M62" s="32"/>
    </row>
    <row r="63" ht="12.75" customHeight="1">
      <c r="C63" s="32"/>
      <c r="F63" s="32"/>
      <c r="G63" s="32"/>
      <c r="H63" s="32"/>
      <c r="I63" s="32"/>
      <c r="J63" s="32"/>
      <c r="K63" s="32"/>
      <c r="L63" s="32"/>
    </row>
    <row r="64" ht="12.75" customHeight="1">
      <c r="C64" s="32"/>
      <c r="F64" s="32"/>
      <c r="G64" s="32"/>
      <c r="H64" s="32"/>
      <c r="I64" s="32"/>
      <c r="J64" s="32"/>
    </row>
    <row r="65" ht="12.75" customHeight="1">
      <c r="C65" s="32"/>
      <c r="F65" s="32"/>
      <c r="G65" s="32"/>
      <c r="H65" s="32"/>
      <c r="I65" s="32"/>
      <c r="J65" s="32"/>
      <c r="K65" s="32"/>
      <c r="L65" s="32"/>
      <c r="M65" s="32"/>
    </row>
    <row r="66" ht="12.75" customHeight="1">
      <c r="C66" s="32"/>
      <c r="F66" s="32"/>
      <c r="G66" s="32"/>
      <c r="H66" s="32"/>
      <c r="I66" s="32"/>
      <c r="J66" s="32"/>
      <c r="K66" s="32"/>
      <c r="L66" s="32"/>
      <c r="M66" s="32"/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1">
    <mergeCell ref="J50:J51"/>
    <mergeCell ref="K50:K51"/>
    <mergeCell ref="B46:C47"/>
    <mergeCell ref="F46:H47"/>
    <mergeCell ref="J46:J47"/>
    <mergeCell ref="K46:K47"/>
    <mergeCell ref="L46:M47"/>
    <mergeCell ref="B50:C51"/>
    <mergeCell ref="F50:H51"/>
    <mergeCell ref="L50:M51"/>
    <mergeCell ref="J4:N4"/>
    <mergeCell ref="J5:N5"/>
    <mergeCell ref="J6:M6"/>
    <mergeCell ref="J7:M7"/>
    <mergeCell ref="D8:J8"/>
    <mergeCell ref="C14:D14"/>
    <mergeCell ref="C15:D15"/>
    <mergeCell ref="J23:J24"/>
    <mergeCell ref="K23:M24"/>
    <mergeCell ref="C16:D16"/>
    <mergeCell ref="C18:D18"/>
    <mergeCell ref="C19:D19"/>
    <mergeCell ref="C20:D20"/>
    <mergeCell ref="K22:N22"/>
    <mergeCell ref="B23:C24"/>
    <mergeCell ref="D23:I24"/>
    <mergeCell ref="B26:C27"/>
    <mergeCell ref="F26:H27"/>
    <mergeCell ref="J26:J27"/>
    <mergeCell ref="K26:K27"/>
    <mergeCell ref="L26:M27"/>
    <mergeCell ref="F30:H31"/>
    <mergeCell ref="L30:M31"/>
    <mergeCell ref="J38:J39"/>
    <mergeCell ref="J42:J43"/>
    <mergeCell ref="K42:K43"/>
    <mergeCell ref="L42:M43"/>
    <mergeCell ref="J30:J31"/>
    <mergeCell ref="K30:K31"/>
    <mergeCell ref="J34:J35"/>
    <mergeCell ref="K34:K35"/>
    <mergeCell ref="L34:M35"/>
    <mergeCell ref="K38:K39"/>
    <mergeCell ref="L38:M39"/>
    <mergeCell ref="B30:C31"/>
    <mergeCell ref="B34:C35"/>
    <mergeCell ref="F34:H35"/>
    <mergeCell ref="B38:C39"/>
    <mergeCell ref="F38:H39"/>
    <mergeCell ref="B42:C43"/>
    <mergeCell ref="F42:H43"/>
  </mergeCells>
  <dataValidations>
    <dataValidation type="list" allowBlank="1" showErrorMessage="1" sqref="Q20">
      <formula1>$P$1:$P$15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13"/>
    <col customWidth="1" min="4" max="4" width="38.13"/>
  </cols>
  <sheetData>
    <row r="1">
      <c r="A1" s="17" t="str">
        <f>IFERROR(__xludf.DUMMYFUNCTION("importrange(""https://docs.google.com/spreadsheets/d/19-kPxNqXLRUxsDLkfyFwDUbX0WzpADSuBRdclNmZ8ws/edit?gid=0#gid=0"",""商品マスター!A2:i100"")"),"ローバル１ｋｇ")</f>
        <v>ローバル１ｋｇ</v>
      </c>
      <c r="B1" s="17" t="str">
        <f>IFERROR(__xludf.DUMMYFUNCTION("""COMPUTED_VALUE"""),"缶")</f>
        <v>缶</v>
      </c>
      <c r="C1" s="17">
        <f>IFERROR(__xludf.DUMMYFUNCTION("""COMPUTED_VALUE"""),1.0)</f>
        <v>1</v>
      </c>
      <c r="D1" s="17" t="str">
        <f>IFERROR(__xludf.DUMMYFUNCTION("""COMPUTED_VALUE"""),"ローバル")</f>
        <v>ローバル</v>
      </c>
      <c r="E1" s="17" t="str">
        <f>IFERROR(__xludf.DUMMYFUNCTION("""COMPUTED_VALUE"""),"１kg")</f>
        <v>１kg</v>
      </c>
      <c r="F1" s="17"/>
      <c r="G1" s="17"/>
      <c r="H1" s="17"/>
      <c r="I1" s="17" t="str">
        <f>IFERROR(__xludf.DUMMYFUNCTION("""COMPUTED_VALUE"""),"御中")</f>
        <v>御中</v>
      </c>
    </row>
    <row r="2">
      <c r="A2" s="17" t="str">
        <f>IFERROR(__xludf.DUMMYFUNCTION("""COMPUTED_VALUE"""),"ローバル５ｋｇ")</f>
        <v>ローバル５ｋｇ</v>
      </c>
      <c r="B2" s="17" t="str">
        <f>IFERROR(__xludf.DUMMYFUNCTION("""COMPUTED_VALUE"""),"缶")</f>
        <v>缶</v>
      </c>
      <c r="C2" s="17">
        <f>IFERROR(__xludf.DUMMYFUNCTION("""COMPUTED_VALUE"""),2.0)</f>
        <v>2</v>
      </c>
      <c r="D2" s="17" t="str">
        <f>IFERROR(__xludf.DUMMYFUNCTION("""COMPUTED_VALUE"""),"ローバル")</f>
        <v>ローバル</v>
      </c>
      <c r="E2" s="17" t="str">
        <f>IFERROR(__xludf.DUMMYFUNCTION("""COMPUTED_VALUE"""),"５kg")</f>
        <v>５kg</v>
      </c>
      <c r="F2" s="17"/>
      <c r="G2" s="17"/>
      <c r="H2" s="17"/>
      <c r="I2" s="17" t="str">
        <f>IFERROR(__xludf.DUMMYFUNCTION("""COMPUTED_VALUE"""),"様")</f>
        <v>様</v>
      </c>
    </row>
    <row r="3">
      <c r="A3" s="17" t="str">
        <f>IFERROR(__xludf.DUMMYFUNCTION("""COMPUTED_VALUE"""),"ローバルスプレー３００ｍｌ")</f>
        <v>ローバルスプレー３００ｍｌ</v>
      </c>
      <c r="B3" s="17" t="str">
        <f>IFERROR(__xludf.DUMMYFUNCTION("""COMPUTED_VALUE"""),"本")</f>
        <v>本</v>
      </c>
      <c r="C3" s="17">
        <f>IFERROR(__xludf.DUMMYFUNCTION("""COMPUTED_VALUE"""),4.0)</f>
        <v>4</v>
      </c>
      <c r="D3" s="17" t="str">
        <f>IFERROR(__xludf.DUMMYFUNCTION("""COMPUTED_VALUE"""),"ローバルスプレー")</f>
        <v>ローバルスプレー</v>
      </c>
      <c r="E3" s="17" t="str">
        <f>IFERROR(__xludf.DUMMYFUNCTION("""COMPUTED_VALUE"""),"３００ml")</f>
        <v>３００ml</v>
      </c>
      <c r="F3" s="17"/>
      <c r="G3" s="17"/>
      <c r="H3" s="17"/>
      <c r="I3" s="17" t="str">
        <f>IFERROR(__xludf.DUMMYFUNCTION("""COMPUTED_VALUE"""),"殿")</f>
        <v>殿</v>
      </c>
    </row>
    <row r="4">
      <c r="A4" s="17" t="str">
        <f>IFERROR(__xludf.DUMMYFUNCTION("""COMPUTED_VALUE"""),"ローバル２５ｋｇ")</f>
        <v>ローバル２５ｋｇ</v>
      </c>
      <c r="B4" s="17" t="str">
        <f>IFERROR(__xludf.DUMMYFUNCTION("""COMPUTED_VALUE"""),"缶")</f>
        <v>缶</v>
      </c>
      <c r="C4" s="17">
        <f>IFERROR(__xludf.DUMMYFUNCTION("""COMPUTED_VALUE"""),6.0)</f>
        <v>6</v>
      </c>
      <c r="D4" s="17" t="str">
        <f>IFERROR(__xludf.DUMMYFUNCTION("""COMPUTED_VALUE"""),"ローバル")</f>
        <v>ローバル</v>
      </c>
      <c r="E4" s="17" t="str">
        <f>IFERROR(__xludf.DUMMYFUNCTION("""COMPUTED_VALUE"""),"２５kg")</f>
        <v>２５kg</v>
      </c>
      <c r="F4" s="17"/>
      <c r="G4" s="17"/>
      <c r="H4" s="17"/>
      <c r="I4" s="17" t="str">
        <f>IFERROR(__xludf.DUMMYFUNCTION("""COMPUTED_VALUE"""),"敬称なし")</f>
        <v>敬称なし</v>
      </c>
    </row>
    <row r="5">
      <c r="A5" s="17" t="str">
        <f>IFERROR(__xludf.DUMMYFUNCTION("""COMPUTED_VALUE"""),"厚膜ローバルスプレー４２０ｍｌ")</f>
        <v>厚膜ローバルスプレー４２０ｍｌ</v>
      </c>
      <c r="B5" s="17" t="str">
        <f>IFERROR(__xludf.DUMMYFUNCTION("""COMPUTED_VALUE"""),"本")</f>
        <v>本</v>
      </c>
      <c r="C5" s="17">
        <f>IFERROR(__xludf.DUMMYFUNCTION("""COMPUTED_VALUE"""),7.0)</f>
        <v>7</v>
      </c>
      <c r="D5" s="17" t="str">
        <f>IFERROR(__xludf.DUMMYFUNCTION("""COMPUTED_VALUE"""),"厚膜ローバルスプレー")</f>
        <v>厚膜ローバルスプレー</v>
      </c>
      <c r="E5" s="17" t="str">
        <f>IFERROR(__xludf.DUMMYFUNCTION("""COMPUTED_VALUE"""),"４２０ml")</f>
        <v>４２０ml</v>
      </c>
      <c r="F5" s="17"/>
      <c r="G5" s="17"/>
      <c r="H5" s="17"/>
      <c r="I5" s="17"/>
    </row>
    <row r="6">
      <c r="A6" s="17" t="str">
        <f>IFERROR(__xludf.DUMMYFUNCTION("""COMPUTED_VALUE"""),"厚膜ローバル２５ｋｇ")</f>
        <v>厚膜ローバル２５ｋｇ</v>
      </c>
      <c r="B6" s="17" t="str">
        <f>IFERROR(__xludf.DUMMYFUNCTION("""COMPUTED_VALUE"""),"缶")</f>
        <v>缶</v>
      </c>
      <c r="C6" s="17">
        <f>IFERROR(__xludf.DUMMYFUNCTION("""COMPUTED_VALUE"""),120.0)</f>
        <v>120</v>
      </c>
      <c r="D6" s="17" t="str">
        <f>IFERROR(__xludf.DUMMYFUNCTION("""COMPUTED_VALUE"""),"厚膜ローバル")</f>
        <v>厚膜ローバル</v>
      </c>
      <c r="E6" s="17" t="str">
        <f>IFERROR(__xludf.DUMMYFUNCTION("""COMPUTED_VALUE"""),"２５kg")</f>
        <v>２５kg</v>
      </c>
      <c r="F6" s="17"/>
      <c r="G6" s="17"/>
      <c r="H6" s="17"/>
      <c r="I6" s="17"/>
    </row>
    <row r="7">
      <c r="A7" s="17" t="str">
        <f>IFERROR(__xludf.DUMMYFUNCTION("""COMPUTED_VALUE"""),"－－－－－－－－")</f>
        <v>－－－－－－－－</v>
      </c>
      <c r="B7" s="17"/>
      <c r="C7" s="17"/>
      <c r="D7" s="17"/>
      <c r="E7" s="17"/>
      <c r="F7" s="17"/>
      <c r="G7" s="17"/>
      <c r="H7" s="17"/>
      <c r="I7" s="17"/>
    </row>
    <row r="8">
      <c r="A8" s="17" t="str">
        <f>IFERROR(__xludf.DUMMYFUNCTION("""COMPUTED_VALUE"""),"ローバルシンナー１Ｌ")</f>
        <v>ローバルシンナー１Ｌ</v>
      </c>
      <c r="B8" s="17" t="str">
        <f>IFERROR(__xludf.DUMMYFUNCTION("""COMPUTED_VALUE"""),"缶")</f>
        <v>缶</v>
      </c>
      <c r="C8" s="17">
        <f>IFERROR(__xludf.DUMMYFUNCTION("""COMPUTED_VALUE"""),14.0)</f>
        <v>14</v>
      </c>
      <c r="D8" s="17" t="str">
        <f>IFERROR(__xludf.DUMMYFUNCTION("""COMPUTED_VALUE"""),"ローバルシンナー")</f>
        <v>ローバルシンナー</v>
      </c>
      <c r="E8" s="17" t="str">
        <f>IFERROR(__xludf.DUMMYFUNCTION("""COMPUTED_VALUE"""),"１Ｌ")</f>
        <v>１Ｌ</v>
      </c>
      <c r="F8" s="17"/>
      <c r="G8" s="17"/>
      <c r="H8" s="17"/>
      <c r="I8" s="17"/>
    </row>
    <row r="9">
      <c r="A9" s="17" t="str">
        <f>IFERROR(__xludf.DUMMYFUNCTION("""COMPUTED_VALUE"""),"ローバルシンナー３Ｌ")</f>
        <v>ローバルシンナー３Ｌ</v>
      </c>
      <c r="B9" s="17" t="str">
        <f>IFERROR(__xludf.DUMMYFUNCTION("""COMPUTED_VALUE"""),"缶")</f>
        <v>缶</v>
      </c>
      <c r="C9" s="17">
        <f>IFERROR(__xludf.DUMMYFUNCTION("""COMPUTED_VALUE"""),15.0)</f>
        <v>15</v>
      </c>
      <c r="D9" s="17" t="str">
        <f>IFERROR(__xludf.DUMMYFUNCTION("""COMPUTED_VALUE"""),"ローバルシンナー")</f>
        <v>ローバルシンナー</v>
      </c>
      <c r="E9" s="17" t="str">
        <f>IFERROR(__xludf.DUMMYFUNCTION("""COMPUTED_VALUE"""),"３L")</f>
        <v>３L</v>
      </c>
      <c r="F9" s="17"/>
      <c r="G9" s="17"/>
      <c r="H9" s="17"/>
      <c r="I9" s="17"/>
    </row>
    <row r="10">
      <c r="A10" s="17" t="str">
        <f>IFERROR(__xludf.DUMMYFUNCTION("""COMPUTED_VALUE"""),"ローバルシンナー１４ｋｇ")</f>
        <v>ローバルシンナー１４ｋｇ</v>
      </c>
      <c r="B10" s="17" t="str">
        <f>IFERROR(__xludf.DUMMYFUNCTION("""COMPUTED_VALUE"""),"缶")</f>
        <v>缶</v>
      </c>
      <c r="C10" s="17">
        <f>IFERROR(__xludf.DUMMYFUNCTION("""COMPUTED_VALUE"""),16.0)</f>
        <v>16</v>
      </c>
      <c r="D10" s="17" t="str">
        <f>IFERROR(__xludf.DUMMYFUNCTION("""COMPUTED_VALUE"""),"ローバルシンナー")</f>
        <v>ローバルシンナー</v>
      </c>
      <c r="E10" s="17" t="str">
        <f>IFERROR(__xludf.DUMMYFUNCTION("""COMPUTED_VALUE"""),"１４kg")</f>
        <v>１４kg</v>
      </c>
      <c r="F10" s="17"/>
      <c r="G10" s="17"/>
      <c r="H10" s="17"/>
      <c r="I10" s="17"/>
    </row>
    <row r="11">
      <c r="A11" s="17" t="str">
        <f>IFERROR(__xludf.DUMMYFUNCTION("""COMPUTED_VALUE"""),"－－－－－－－－")</f>
        <v>－－－－－－－－</v>
      </c>
      <c r="B11" s="17"/>
      <c r="C11" s="17"/>
      <c r="D11" s="17"/>
      <c r="E11" s="17"/>
      <c r="F11" s="17"/>
      <c r="G11" s="17"/>
      <c r="H11" s="17"/>
      <c r="I11" s="17"/>
    </row>
    <row r="12">
      <c r="A12" s="17" t="str">
        <f>IFERROR(__xludf.DUMMYFUNCTION("""COMPUTED_VALUE"""),"ローバルシルバー０.７ｋｇ")</f>
        <v>ローバルシルバー０.７ｋｇ</v>
      </c>
      <c r="B12" s="17" t="str">
        <f>IFERROR(__xludf.DUMMYFUNCTION("""COMPUTED_VALUE"""),"缶")</f>
        <v>缶</v>
      </c>
      <c r="C12" s="17">
        <f>IFERROR(__xludf.DUMMYFUNCTION("""COMPUTED_VALUE"""),21.0)</f>
        <v>21</v>
      </c>
      <c r="D12" s="17" t="str">
        <f>IFERROR(__xludf.DUMMYFUNCTION("""COMPUTED_VALUE"""),"ローバルシルバー")</f>
        <v>ローバルシルバー</v>
      </c>
      <c r="E12" s="17" t="str">
        <f>IFERROR(__xludf.DUMMYFUNCTION("""COMPUTED_VALUE"""),"０．７kg")</f>
        <v>０．７kg</v>
      </c>
      <c r="F12" s="17"/>
      <c r="G12" s="17"/>
      <c r="H12" s="17"/>
      <c r="I12" s="17"/>
    </row>
    <row r="13">
      <c r="A13" s="17" t="str">
        <f>IFERROR(__xludf.DUMMYFUNCTION("""COMPUTED_VALUE"""),"ローバルシルバー３.５ｋｇ")</f>
        <v>ローバルシルバー３.５ｋｇ</v>
      </c>
      <c r="B13" s="17" t="str">
        <f>IFERROR(__xludf.DUMMYFUNCTION("""COMPUTED_VALUE"""),"缶")</f>
        <v>缶</v>
      </c>
      <c r="C13" s="17">
        <f>IFERROR(__xludf.DUMMYFUNCTION("""COMPUTED_VALUE"""),22.0)</f>
        <v>22</v>
      </c>
      <c r="D13" s="17" t="str">
        <f>IFERROR(__xludf.DUMMYFUNCTION("""COMPUTED_VALUE"""),"ローバルシルバー")</f>
        <v>ローバルシルバー</v>
      </c>
      <c r="E13" s="17" t="str">
        <f>IFERROR(__xludf.DUMMYFUNCTION("""COMPUTED_VALUE"""),"３．５kg")</f>
        <v>３．５kg</v>
      </c>
      <c r="F13" s="17"/>
      <c r="G13" s="17"/>
      <c r="H13" s="17"/>
      <c r="I13" s="17"/>
    </row>
    <row r="14">
      <c r="A14" s="17" t="str">
        <f>IFERROR(__xludf.DUMMYFUNCTION("""COMPUTED_VALUE"""),"ローバルシルバースプレー４２０ｍｌ")</f>
        <v>ローバルシルバースプレー４２０ｍｌ</v>
      </c>
      <c r="B14" s="17" t="str">
        <f>IFERROR(__xludf.DUMMYFUNCTION("""COMPUTED_VALUE"""),"本")</f>
        <v>本</v>
      </c>
      <c r="C14" s="17">
        <f>IFERROR(__xludf.DUMMYFUNCTION("""COMPUTED_VALUE"""),24.0)</f>
        <v>24</v>
      </c>
      <c r="D14" s="17" t="str">
        <f>IFERROR(__xludf.DUMMYFUNCTION("""COMPUTED_VALUE"""),"ローバルシルバースプレー")</f>
        <v>ローバルシルバースプレー</v>
      </c>
      <c r="E14" s="17" t="str">
        <f>IFERROR(__xludf.DUMMYFUNCTION("""COMPUTED_VALUE"""),"４２０ml")</f>
        <v>４２０ml</v>
      </c>
      <c r="F14" s="17"/>
      <c r="G14" s="17"/>
      <c r="H14" s="17"/>
      <c r="I14" s="17"/>
    </row>
    <row r="15">
      <c r="A15" s="17" t="str">
        <f>IFERROR(__xludf.DUMMYFUNCTION("""COMPUTED_VALUE"""),"ローバルシルバー２０ｋｇ")</f>
        <v>ローバルシルバー２０ｋｇ</v>
      </c>
      <c r="B15" s="17" t="str">
        <f>IFERROR(__xludf.DUMMYFUNCTION("""COMPUTED_VALUE"""),"缶")</f>
        <v>缶</v>
      </c>
      <c r="C15" s="17">
        <f>IFERROR(__xludf.DUMMYFUNCTION("""COMPUTED_VALUE"""),26.0)</f>
        <v>26</v>
      </c>
      <c r="D15" s="17" t="str">
        <f>IFERROR(__xludf.DUMMYFUNCTION("""COMPUTED_VALUE"""),"ローバルシルバー")</f>
        <v>ローバルシルバー</v>
      </c>
      <c r="E15" s="17" t="str">
        <f>IFERROR(__xludf.DUMMYFUNCTION("""COMPUTED_VALUE"""),"２０kg")</f>
        <v>２０kg</v>
      </c>
      <c r="F15" s="17"/>
      <c r="G15" s="17"/>
      <c r="H15" s="17"/>
      <c r="I15" s="17"/>
    </row>
    <row r="16">
      <c r="A16" s="17" t="str">
        <f>IFERROR(__xludf.DUMMYFUNCTION("""COMPUTED_VALUE"""),"－－－－－－－－")</f>
        <v>－－－－－－－－</v>
      </c>
      <c r="B16" s="17"/>
      <c r="C16" s="17"/>
      <c r="D16" s="17"/>
      <c r="E16" s="17"/>
      <c r="F16" s="17"/>
      <c r="G16" s="17"/>
      <c r="H16" s="17"/>
      <c r="I16" s="17"/>
    </row>
    <row r="17">
      <c r="A17" s="17" t="str">
        <f>IFERROR(__xludf.DUMMYFUNCTION("""COMPUTED_VALUE"""),"エポローバル１ｋｇ")</f>
        <v>エポローバル１ｋｇ</v>
      </c>
      <c r="B17" s="17" t="str">
        <f>IFERROR(__xludf.DUMMYFUNCTION("""COMPUTED_VALUE"""),"缶")</f>
        <v>缶</v>
      </c>
      <c r="C17" s="17">
        <f>IFERROR(__xludf.DUMMYFUNCTION("""COMPUTED_VALUE"""),34.0)</f>
        <v>34</v>
      </c>
      <c r="D17" s="17" t="str">
        <f>IFERROR(__xludf.DUMMYFUNCTION("""COMPUTED_VALUE"""),"エポローバル")</f>
        <v>エポローバル</v>
      </c>
      <c r="E17" s="17" t="str">
        <f>IFERROR(__xludf.DUMMYFUNCTION("""COMPUTED_VALUE"""),"１kg")</f>
        <v>１kg</v>
      </c>
      <c r="F17" s="17"/>
      <c r="G17" s="17"/>
      <c r="H17" s="17"/>
      <c r="I17" s="17"/>
    </row>
    <row r="18">
      <c r="A18" s="17" t="str">
        <f>IFERROR(__xludf.DUMMYFUNCTION("""COMPUTED_VALUE"""),"エポローバル５ｋｇ")</f>
        <v>エポローバル５ｋｇ</v>
      </c>
      <c r="B18" s="17" t="str">
        <f>IFERROR(__xludf.DUMMYFUNCTION("""COMPUTED_VALUE"""),"缶")</f>
        <v>缶</v>
      </c>
      <c r="C18" s="17">
        <f>IFERROR(__xludf.DUMMYFUNCTION("""COMPUTED_VALUE"""),35.0)</f>
        <v>35</v>
      </c>
      <c r="D18" s="17" t="str">
        <f>IFERROR(__xludf.DUMMYFUNCTION("""COMPUTED_VALUE"""),"エポローバル")</f>
        <v>エポローバル</v>
      </c>
      <c r="E18" s="17" t="str">
        <f>IFERROR(__xludf.DUMMYFUNCTION("""COMPUTED_VALUE"""),"５kg")</f>
        <v>５kg</v>
      </c>
      <c r="F18" s="17"/>
      <c r="G18" s="17"/>
      <c r="H18" s="17"/>
      <c r="I18" s="17"/>
    </row>
    <row r="19">
      <c r="A19" s="17" t="str">
        <f>IFERROR(__xludf.DUMMYFUNCTION("""COMPUTED_VALUE"""),"エポローバル２５ｋｇ")</f>
        <v>エポローバル２５ｋｇ</v>
      </c>
      <c r="B19" s="17" t="str">
        <f>IFERROR(__xludf.DUMMYFUNCTION("""COMPUTED_VALUE"""),"缶")</f>
        <v>缶</v>
      </c>
      <c r="C19" s="17">
        <f>IFERROR(__xludf.DUMMYFUNCTION("""COMPUTED_VALUE"""),39.0)</f>
        <v>39</v>
      </c>
      <c r="D19" s="17" t="str">
        <f>IFERROR(__xludf.DUMMYFUNCTION("""COMPUTED_VALUE"""),"エポローバル")</f>
        <v>エポローバル</v>
      </c>
      <c r="E19" s="17" t="str">
        <f>IFERROR(__xludf.DUMMYFUNCTION("""COMPUTED_VALUE"""),"２５kg")</f>
        <v>２５kg</v>
      </c>
      <c r="F19" s="17"/>
      <c r="G19" s="17"/>
      <c r="H19" s="17"/>
      <c r="I19" s="17"/>
    </row>
    <row r="20">
      <c r="A20" s="17" t="str">
        <f>IFERROR(__xludf.DUMMYFUNCTION("""COMPUTED_VALUE"""),"－－－－－－－－")</f>
        <v>－－－－－－－－</v>
      </c>
      <c r="B20" s="81"/>
      <c r="C20" s="17"/>
      <c r="D20" s="17"/>
      <c r="E20" s="17"/>
      <c r="F20" s="17"/>
      <c r="G20" s="17"/>
      <c r="H20" s="17"/>
      <c r="I20" s="17"/>
    </row>
    <row r="21">
      <c r="A21" s="17" t="str">
        <f>IFERROR(__xludf.DUMMYFUNCTION("""COMPUTED_VALUE"""),"エポローバルシンナー１Ｌ")</f>
        <v>エポローバルシンナー１Ｌ</v>
      </c>
      <c r="B21" s="17" t="str">
        <f>IFERROR(__xludf.DUMMYFUNCTION("""COMPUTED_VALUE"""),"缶")</f>
        <v>缶</v>
      </c>
      <c r="C21" s="17">
        <f>IFERROR(__xludf.DUMMYFUNCTION("""COMPUTED_VALUE"""),47.0)</f>
        <v>47</v>
      </c>
      <c r="D21" s="17" t="str">
        <f>IFERROR(__xludf.DUMMYFUNCTION("""COMPUTED_VALUE"""),"エポローバルシンナー")</f>
        <v>エポローバルシンナー</v>
      </c>
      <c r="E21" s="17" t="str">
        <f>IFERROR(__xludf.DUMMYFUNCTION("""COMPUTED_VALUE"""),"１L")</f>
        <v>１L</v>
      </c>
      <c r="F21" s="17"/>
      <c r="G21" s="17"/>
      <c r="H21" s="17"/>
      <c r="I21" s="17"/>
    </row>
    <row r="22">
      <c r="A22" s="17" t="str">
        <f>IFERROR(__xludf.DUMMYFUNCTION("""COMPUTED_VALUE"""),"エポローバルシンナー３Ｌ")</f>
        <v>エポローバルシンナー３Ｌ</v>
      </c>
      <c r="B22" s="17" t="str">
        <f>IFERROR(__xludf.DUMMYFUNCTION("""COMPUTED_VALUE"""),"缶")</f>
        <v>缶</v>
      </c>
      <c r="C22" s="17">
        <f>IFERROR(__xludf.DUMMYFUNCTION("""COMPUTED_VALUE"""),48.0)</f>
        <v>48</v>
      </c>
      <c r="D22" s="17" t="str">
        <f>IFERROR(__xludf.DUMMYFUNCTION("""COMPUTED_VALUE"""),"エポローバルシンナー")</f>
        <v>エポローバルシンナー</v>
      </c>
      <c r="E22" s="17" t="str">
        <f>IFERROR(__xludf.DUMMYFUNCTION("""COMPUTED_VALUE"""),"３L")</f>
        <v>３L</v>
      </c>
      <c r="F22" s="17"/>
      <c r="G22" s="17"/>
      <c r="H22" s="17"/>
      <c r="I22" s="17"/>
    </row>
    <row r="23">
      <c r="A23" s="17" t="str">
        <f>IFERROR(__xludf.DUMMYFUNCTION("""COMPUTED_VALUE"""),"エポローバルシンナー１４ｋｇ")</f>
        <v>エポローバルシンナー１４ｋｇ</v>
      </c>
      <c r="B23" s="17" t="str">
        <f>IFERROR(__xludf.DUMMYFUNCTION("""COMPUTED_VALUE"""),"缶")</f>
        <v>缶</v>
      </c>
      <c r="C23" s="17">
        <f>IFERROR(__xludf.DUMMYFUNCTION("""COMPUTED_VALUE"""),49.0)</f>
        <v>49</v>
      </c>
      <c r="D23" s="17" t="str">
        <f>IFERROR(__xludf.DUMMYFUNCTION("""COMPUTED_VALUE"""),"エポローバルシンナー")</f>
        <v>エポローバルシンナー</v>
      </c>
      <c r="E23" s="17" t="str">
        <f>IFERROR(__xludf.DUMMYFUNCTION("""COMPUTED_VALUE"""),"１４kg")</f>
        <v>１４kg</v>
      </c>
      <c r="F23" s="17"/>
      <c r="G23" s="17"/>
      <c r="H23" s="17"/>
      <c r="I23" s="17"/>
    </row>
    <row r="24">
      <c r="A24" s="17" t="str">
        <f>IFERROR(__xludf.DUMMYFUNCTION("""COMPUTED_VALUE"""),"－－－－－－－－")</f>
        <v>－－－－－－－－</v>
      </c>
      <c r="B24" s="17"/>
      <c r="C24" s="17"/>
      <c r="D24" s="17"/>
      <c r="E24" s="17"/>
      <c r="F24" s="17"/>
      <c r="G24" s="17"/>
      <c r="H24" s="17"/>
      <c r="I24" s="17"/>
    </row>
    <row r="25">
      <c r="A25" s="17" t="str">
        <f>IFERROR(__xludf.DUMMYFUNCTION("""COMPUTED_VALUE"""),"ローバルアルファ０.７ｋｇ")</f>
        <v>ローバルアルファ０.７ｋｇ</v>
      </c>
      <c r="B25" s="17" t="str">
        <f>IFERROR(__xludf.DUMMYFUNCTION("""COMPUTED_VALUE"""),"缶")</f>
        <v>缶</v>
      </c>
      <c r="C25" s="17">
        <f>IFERROR(__xludf.DUMMYFUNCTION("""COMPUTED_VALUE"""),51.0)</f>
        <v>51</v>
      </c>
      <c r="D25" s="17" t="str">
        <f>IFERROR(__xludf.DUMMYFUNCTION("""COMPUTED_VALUE"""),"ローバルアルファ")</f>
        <v>ローバルアルファ</v>
      </c>
      <c r="E25" s="17" t="str">
        <f>IFERROR(__xludf.DUMMYFUNCTION("""COMPUTED_VALUE"""),"０．７kg")</f>
        <v>０．７kg</v>
      </c>
      <c r="F25" s="17"/>
      <c r="G25" s="17"/>
      <c r="H25" s="17"/>
      <c r="I25" s="17"/>
    </row>
    <row r="26">
      <c r="A26" s="17" t="str">
        <f>IFERROR(__xludf.DUMMYFUNCTION("""COMPUTED_VALUE"""),"ローバルアルファ３.５ｋｇ")</f>
        <v>ローバルアルファ３.５ｋｇ</v>
      </c>
      <c r="B26" s="17" t="str">
        <f>IFERROR(__xludf.DUMMYFUNCTION("""COMPUTED_VALUE"""),"缶")</f>
        <v>缶</v>
      </c>
      <c r="C26" s="17">
        <f>IFERROR(__xludf.DUMMYFUNCTION("""COMPUTED_VALUE"""),52.0)</f>
        <v>52</v>
      </c>
      <c r="D26" s="17" t="str">
        <f>IFERROR(__xludf.DUMMYFUNCTION("""COMPUTED_VALUE"""),"ローバルアルファ")</f>
        <v>ローバルアルファ</v>
      </c>
      <c r="E26" s="17" t="str">
        <f>IFERROR(__xludf.DUMMYFUNCTION("""COMPUTED_VALUE"""),"３．５kg")</f>
        <v>３．５kg</v>
      </c>
      <c r="F26" s="17"/>
      <c r="G26" s="17"/>
      <c r="H26" s="17"/>
      <c r="I26" s="17"/>
    </row>
    <row r="27">
      <c r="A27" s="17" t="str">
        <f>IFERROR(__xludf.DUMMYFUNCTION("""COMPUTED_VALUE"""),"ローバルアルファスプレー４２０ｍｌ")</f>
        <v>ローバルアルファスプレー４２０ｍｌ</v>
      </c>
      <c r="B27" s="17" t="str">
        <f>IFERROR(__xludf.DUMMYFUNCTION("""COMPUTED_VALUE"""),"本")</f>
        <v>本</v>
      </c>
      <c r="C27" s="17">
        <f>IFERROR(__xludf.DUMMYFUNCTION("""COMPUTED_VALUE"""),54.0)</f>
        <v>54</v>
      </c>
      <c r="D27" s="17" t="str">
        <f>IFERROR(__xludf.DUMMYFUNCTION("""COMPUTED_VALUE"""),"ローバルアルファスプレー")</f>
        <v>ローバルアルファスプレー</v>
      </c>
      <c r="E27" s="17" t="str">
        <f>IFERROR(__xludf.DUMMYFUNCTION("""COMPUTED_VALUE"""),"４２０ml")</f>
        <v>４２０ml</v>
      </c>
      <c r="F27" s="17"/>
      <c r="G27" s="17"/>
      <c r="H27" s="17"/>
      <c r="I27" s="17"/>
    </row>
    <row r="28">
      <c r="A28" s="17" t="str">
        <f>IFERROR(__xludf.DUMMYFUNCTION("""COMPUTED_VALUE"""),"ローバルアルファ２０ｋｇ")</f>
        <v>ローバルアルファ２０ｋｇ</v>
      </c>
      <c r="B28" s="17" t="str">
        <f>IFERROR(__xludf.DUMMYFUNCTION("""COMPUTED_VALUE"""),"缶")</f>
        <v>缶</v>
      </c>
      <c r="C28" s="17">
        <f>IFERROR(__xludf.DUMMYFUNCTION("""COMPUTED_VALUE"""),56.0)</f>
        <v>56</v>
      </c>
      <c r="D28" s="17" t="str">
        <f>IFERROR(__xludf.DUMMYFUNCTION("""COMPUTED_VALUE"""),"ローバルアルファ")</f>
        <v>ローバルアルファ</v>
      </c>
      <c r="E28" s="17" t="str">
        <f>IFERROR(__xludf.DUMMYFUNCTION("""COMPUTED_VALUE"""),"２０kg")</f>
        <v>２０kg</v>
      </c>
      <c r="F28" s="17"/>
      <c r="G28" s="17"/>
      <c r="H28" s="17"/>
      <c r="I28" s="17"/>
    </row>
    <row r="29">
      <c r="A29" s="17" t="str">
        <f>IFERROR(__xludf.DUMMYFUNCTION("""COMPUTED_VALUE"""),"－－－－－－－－")</f>
        <v>－－－－－－－－</v>
      </c>
      <c r="B29" s="17"/>
      <c r="C29" s="17"/>
      <c r="D29" s="17"/>
      <c r="E29" s="17"/>
      <c r="F29" s="17"/>
      <c r="G29" s="17"/>
      <c r="H29" s="17"/>
      <c r="I29" s="17"/>
    </row>
    <row r="30">
      <c r="A30" s="17" t="str">
        <f>IFERROR(__xludf.DUMMYFUNCTION("""COMPUTED_VALUE"""),"メッキカバースプレー４２０ｍｌ")</f>
        <v>メッキカバースプレー４２０ｍｌ</v>
      </c>
      <c r="B30" s="17" t="str">
        <f>IFERROR(__xludf.DUMMYFUNCTION("""COMPUTED_VALUE"""),"本")</f>
        <v>本</v>
      </c>
      <c r="C30" s="17">
        <f>IFERROR(__xludf.DUMMYFUNCTION("""COMPUTED_VALUE"""),83.0)</f>
        <v>83</v>
      </c>
      <c r="D30" s="17" t="str">
        <f>IFERROR(__xludf.DUMMYFUNCTION("""COMPUTED_VALUE"""),"メッキカバースプレー")</f>
        <v>メッキカバースプレー</v>
      </c>
      <c r="E30" s="17" t="str">
        <f>IFERROR(__xludf.DUMMYFUNCTION("""COMPUTED_VALUE"""),"４２０ml")</f>
        <v>４２０ml</v>
      </c>
      <c r="F30" s="17"/>
      <c r="G30" s="17"/>
      <c r="H30" s="17"/>
      <c r="I30" s="17"/>
    </row>
    <row r="31">
      <c r="A31" s="17" t="str">
        <f>IFERROR(__xludf.DUMMYFUNCTION("""COMPUTED_VALUE"""),"ニュージンクカバースプレー４２０ｍｌ")</f>
        <v>ニュージンクカバースプレー４２０ｍｌ</v>
      </c>
      <c r="B31" s="17" t="str">
        <f>IFERROR(__xludf.DUMMYFUNCTION("""COMPUTED_VALUE"""),"本")</f>
        <v>本</v>
      </c>
      <c r="C31" s="17">
        <f>IFERROR(__xludf.DUMMYFUNCTION("""COMPUTED_VALUE"""),102.0)</f>
        <v>102</v>
      </c>
      <c r="D31" s="17" t="str">
        <f>IFERROR(__xludf.DUMMYFUNCTION("""COMPUTED_VALUE"""),"ニュージンクカバースプレー")</f>
        <v>ニュージンクカバースプレー</v>
      </c>
      <c r="E31" s="17" t="str">
        <f>IFERROR(__xludf.DUMMYFUNCTION("""COMPUTED_VALUE"""),"４２０ml")</f>
        <v>４２０ml</v>
      </c>
      <c r="F31" s="17"/>
      <c r="G31" s="17"/>
      <c r="H31" s="17"/>
      <c r="I31" s="17"/>
    </row>
    <row r="32">
      <c r="A32" s="17" t="str">
        <f>IFERROR(__xludf.DUMMYFUNCTION("""COMPUTED_VALUE"""),"マットカバースプレー４２０ｍｌ")</f>
        <v>マットカバースプレー４２０ｍｌ</v>
      </c>
      <c r="B32" s="17" t="str">
        <f>IFERROR(__xludf.DUMMYFUNCTION("""COMPUTED_VALUE"""),"本")</f>
        <v>本</v>
      </c>
      <c r="C32" s="17">
        <f>IFERROR(__xludf.DUMMYFUNCTION("""COMPUTED_VALUE"""),145.0)</f>
        <v>145</v>
      </c>
      <c r="D32" s="17" t="str">
        <f>IFERROR(__xludf.DUMMYFUNCTION("""COMPUTED_VALUE"""),"マットカバースプレー")</f>
        <v>マットカバースプレー</v>
      </c>
      <c r="E32" s="17" t="str">
        <f>IFERROR(__xludf.DUMMYFUNCTION("""COMPUTED_VALUE"""),"４２０ml")</f>
        <v>４２０ml</v>
      </c>
      <c r="F32" s="17"/>
      <c r="G32" s="17"/>
      <c r="H32" s="17"/>
      <c r="I32" s="17"/>
    </row>
    <row r="33">
      <c r="A33" s="17" t="str">
        <f>IFERROR(__xludf.DUMMYFUNCTION("""COMPUTED_VALUE"""),"マットカバー１８ｋｇ")</f>
        <v>マットカバー１８ｋｇ</v>
      </c>
      <c r="B33" s="17" t="str">
        <f>IFERROR(__xludf.DUMMYFUNCTION("""COMPUTED_VALUE"""),"缶")</f>
        <v>缶</v>
      </c>
      <c r="C33" s="17">
        <f>IFERROR(__xludf.DUMMYFUNCTION("""COMPUTED_VALUE"""),148.0)</f>
        <v>148</v>
      </c>
      <c r="D33" s="17" t="str">
        <f>IFERROR(__xludf.DUMMYFUNCTION("""COMPUTED_VALUE"""),"マットカバー")</f>
        <v>マットカバー</v>
      </c>
      <c r="E33" s="17" t="str">
        <f>IFERROR(__xludf.DUMMYFUNCTION("""COMPUTED_VALUE"""),"１８ｋｇ")</f>
        <v>１８ｋｇ</v>
      </c>
      <c r="F33" s="17"/>
      <c r="G33" s="17"/>
      <c r="H33" s="17"/>
      <c r="I33" s="17"/>
    </row>
    <row r="34">
      <c r="A34" s="17" t="str">
        <f>IFERROR(__xludf.DUMMYFUNCTION("""COMPUTED_VALUE"""),"クロムもドキッスプレー３３０ｍｌ")</f>
        <v>クロムもドキッスプレー３３０ｍｌ</v>
      </c>
      <c r="B34" s="17" t="str">
        <f>IFERROR(__xludf.DUMMYFUNCTION("""COMPUTED_VALUE"""),"本")</f>
        <v>本</v>
      </c>
      <c r="C34" s="17">
        <f>IFERROR(__xludf.DUMMYFUNCTION("""COMPUTED_VALUE"""),79.0)</f>
        <v>79</v>
      </c>
      <c r="D34" s="17" t="str">
        <f>IFERROR(__xludf.DUMMYFUNCTION("""COMPUTED_VALUE"""),"クロムもドキッ")</f>
        <v>クロムもドキッ</v>
      </c>
      <c r="E34" s="17" t="str">
        <f>IFERROR(__xludf.DUMMYFUNCTION("""COMPUTED_VALUE"""),"３３０ml")</f>
        <v>３３０ml</v>
      </c>
      <c r="F34" s="17"/>
      <c r="G34" s="17"/>
      <c r="H34" s="17"/>
      <c r="I34" s="17"/>
    </row>
    <row r="35">
      <c r="A35" s="17" t="str">
        <f>IFERROR(__xludf.DUMMYFUNCTION("""COMPUTED_VALUE"""),"－－－－－－－－")</f>
        <v>－－－－－－－－</v>
      </c>
      <c r="B35" s="17"/>
      <c r="C35" s="17"/>
      <c r="D35" s="17"/>
      <c r="E35" s="17"/>
      <c r="F35" s="17"/>
      <c r="G35" s="17"/>
      <c r="H35" s="17"/>
      <c r="I35" s="17"/>
    </row>
    <row r="36">
      <c r="A36" s="17" t="str">
        <f>IFERROR(__xludf.DUMMYFUNCTION("""COMPUTED_VALUE"""),"水性ローバル０.９ｋｇセット")</f>
        <v>水性ローバル０.９ｋｇセット</v>
      </c>
      <c r="B36" s="17" t="str">
        <f>IFERROR(__xludf.DUMMYFUNCTION("""COMPUTED_VALUE"""),"セット")</f>
        <v>セット</v>
      </c>
      <c r="C36" s="17">
        <f>IFERROR(__xludf.DUMMYFUNCTION("""COMPUTED_VALUE"""),134.0)</f>
        <v>134</v>
      </c>
      <c r="D36" s="17" t="str">
        <f>IFERROR(__xludf.DUMMYFUNCTION("""COMPUTED_VALUE"""),"水性ローバル")</f>
        <v>水性ローバル</v>
      </c>
      <c r="E36" s="17" t="str">
        <f>IFERROR(__xludf.DUMMYFUNCTION("""COMPUTED_VALUE"""),"０．９ｋｇセット")</f>
        <v>０．９ｋｇセット</v>
      </c>
      <c r="F36" s="17"/>
      <c r="G36" s="17"/>
      <c r="H36" s="17"/>
      <c r="I36" s="17"/>
    </row>
    <row r="37">
      <c r="A37" s="17" t="str">
        <f>IFERROR(__xludf.DUMMYFUNCTION("""COMPUTED_VALUE"""),"水性ローバル４.５ｋｇセット")</f>
        <v>水性ローバル４.５ｋｇセット</v>
      </c>
      <c r="B37" s="17" t="str">
        <f>IFERROR(__xludf.DUMMYFUNCTION("""COMPUTED_VALUE"""),"セット")</f>
        <v>セット</v>
      </c>
      <c r="C37" s="17">
        <f>IFERROR(__xludf.DUMMYFUNCTION("""COMPUTED_VALUE"""),135.0)</f>
        <v>135</v>
      </c>
      <c r="D37" s="17" t="str">
        <f>IFERROR(__xludf.DUMMYFUNCTION("""COMPUTED_VALUE"""),"水性ローバル")</f>
        <v>水性ローバル</v>
      </c>
      <c r="E37" s="17" t="str">
        <f>IFERROR(__xludf.DUMMYFUNCTION("""COMPUTED_VALUE"""),"４．５ｋｇセット")</f>
        <v>４．５ｋｇセット</v>
      </c>
      <c r="F37" s="17"/>
      <c r="G37" s="17"/>
      <c r="H37" s="17"/>
      <c r="I37" s="17"/>
    </row>
    <row r="38">
      <c r="A38" s="17" t="str">
        <f>IFERROR(__xludf.DUMMYFUNCTION("""COMPUTED_VALUE"""),"水性ローバル１８ｋｇセット")</f>
        <v>水性ローバル１８ｋｇセット</v>
      </c>
      <c r="B38" s="17" t="str">
        <f>IFERROR(__xludf.DUMMYFUNCTION("""COMPUTED_VALUE"""),"セット")</f>
        <v>セット</v>
      </c>
      <c r="C38" s="17">
        <f>IFERROR(__xludf.DUMMYFUNCTION("""COMPUTED_VALUE"""),136.0)</f>
        <v>136</v>
      </c>
      <c r="D38" s="17" t="str">
        <f>IFERROR(__xludf.DUMMYFUNCTION("""COMPUTED_VALUE"""),"水性ローバル")</f>
        <v>水性ローバル</v>
      </c>
      <c r="E38" s="17" t="str">
        <f>IFERROR(__xludf.DUMMYFUNCTION("""COMPUTED_VALUE"""),"１８ｋｇセット")</f>
        <v>１８ｋｇセット</v>
      </c>
      <c r="F38" s="17"/>
      <c r="G38" s="17"/>
      <c r="H38" s="17"/>
      <c r="I38" s="17"/>
    </row>
    <row r="39">
      <c r="A39" s="17" t="str">
        <f>IFERROR(__xludf.DUMMYFUNCTION("""COMPUTED_VALUE"""),"－－－－－－－－")</f>
        <v>－－－－－－－－</v>
      </c>
      <c r="B39" s="17"/>
      <c r="C39" s="17"/>
      <c r="D39" s="17"/>
      <c r="E39" s="17"/>
      <c r="F39" s="17"/>
      <c r="G39" s="17"/>
      <c r="H39" s="17"/>
      <c r="I39" s="17"/>
    </row>
    <row r="40">
      <c r="A40" s="17" t="str">
        <f>IFERROR(__xludf.DUMMYFUNCTION("""COMPUTED_VALUE"""),"低臭クリーナー３Ｌ")</f>
        <v>低臭クリーナー３Ｌ</v>
      </c>
      <c r="B40" s="17" t="str">
        <f>IFERROR(__xludf.DUMMYFUNCTION("""COMPUTED_VALUE"""),"缶")</f>
        <v>缶</v>
      </c>
      <c r="C40" s="17">
        <f>IFERROR(__xludf.DUMMYFUNCTION("""COMPUTED_VALUE"""),181.0)</f>
        <v>181</v>
      </c>
      <c r="D40" s="17" t="str">
        <f>IFERROR(__xludf.DUMMYFUNCTION("""COMPUTED_VALUE"""),"低臭クリーナー")</f>
        <v>低臭クリーナー</v>
      </c>
      <c r="E40" s="17" t="str">
        <f>IFERROR(__xludf.DUMMYFUNCTION("""COMPUTED_VALUE"""),"１Ｌ")</f>
        <v>１Ｌ</v>
      </c>
      <c r="F40" s="17"/>
      <c r="G40" s="17"/>
      <c r="H40" s="17"/>
      <c r="I40" s="17"/>
    </row>
    <row r="41">
      <c r="A41" s="17" t="str">
        <f>IFERROR(__xludf.DUMMYFUNCTION("""COMPUTED_VALUE"""),"－－－－－－－－")</f>
        <v>－－－－－－－－</v>
      </c>
      <c r="B41" s="17"/>
      <c r="C41" s="17"/>
      <c r="D41" s="17"/>
      <c r="E41" s="17"/>
      <c r="F41" s="17"/>
      <c r="G41" s="17"/>
      <c r="H41" s="17"/>
      <c r="I41" s="17"/>
    </row>
    <row r="42">
      <c r="A42" s="17" t="str">
        <f>IFERROR(__xludf.DUMMYFUNCTION("""COMPUTED_VALUE"""),"ローバル エコタイプ１ｋｇ")</f>
        <v>ローバル エコタイプ１ｋｇ</v>
      </c>
      <c r="B42" s="17" t="str">
        <f>IFERROR(__xludf.DUMMYFUNCTION("""COMPUTED_VALUE"""),"缶")</f>
        <v>缶</v>
      </c>
      <c r="C42" s="17">
        <f>IFERROR(__xludf.DUMMYFUNCTION("""COMPUTED_VALUE"""),201.0)</f>
        <v>201</v>
      </c>
      <c r="D42" s="17" t="str">
        <f>IFERROR(__xludf.DUMMYFUNCTION("""COMPUTED_VALUE"""),"ローバル エコタイプ")</f>
        <v>ローバル エコタイプ</v>
      </c>
      <c r="E42" s="17" t="str">
        <f>IFERROR(__xludf.DUMMYFUNCTION("""COMPUTED_VALUE"""),"１㎏")</f>
        <v>１㎏</v>
      </c>
      <c r="F42" s="17"/>
      <c r="G42" s="17"/>
      <c r="H42" s="17"/>
      <c r="I42" s="17"/>
    </row>
    <row r="43">
      <c r="A43" s="17" t="str">
        <f>IFERROR(__xludf.DUMMYFUNCTION("""COMPUTED_VALUE"""),"ローバル エコタイプ５ｋｇ")</f>
        <v>ローバル エコタイプ５ｋｇ</v>
      </c>
      <c r="B43" s="17" t="str">
        <f>IFERROR(__xludf.DUMMYFUNCTION("""COMPUTED_VALUE"""),"缶")</f>
        <v>缶</v>
      </c>
      <c r="C43" s="17">
        <f>IFERROR(__xludf.DUMMYFUNCTION("""COMPUTED_VALUE"""),202.0)</f>
        <v>202</v>
      </c>
      <c r="D43" s="17" t="str">
        <f>IFERROR(__xludf.DUMMYFUNCTION("""COMPUTED_VALUE"""),"ローバル エコタイプ")</f>
        <v>ローバル エコタイプ</v>
      </c>
      <c r="E43" s="17" t="str">
        <f>IFERROR(__xludf.DUMMYFUNCTION("""COMPUTED_VALUE"""),"５㎏")</f>
        <v>５㎏</v>
      </c>
      <c r="F43" s="17"/>
      <c r="G43" s="17"/>
      <c r="H43" s="17"/>
      <c r="I43" s="17"/>
    </row>
    <row r="44">
      <c r="A44" s="17" t="str">
        <f>IFERROR(__xludf.DUMMYFUNCTION("""COMPUTED_VALUE"""),"ローバルスプレー エコタイプ４２０ｍｌ")</f>
        <v>ローバルスプレー エコタイプ４２０ｍｌ</v>
      </c>
      <c r="B44" s="17" t="str">
        <f>IFERROR(__xludf.DUMMYFUNCTION("""COMPUTED_VALUE"""),"本")</f>
        <v>本</v>
      </c>
      <c r="C44" s="17">
        <f>IFERROR(__xludf.DUMMYFUNCTION("""COMPUTED_VALUE"""),204.0)</f>
        <v>204</v>
      </c>
      <c r="D44" s="17" t="str">
        <f>IFERROR(__xludf.DUMMYFUNCTION("""COMPUTED_VALUE"""),"ローバルスプレー エコタイプ")</f>
        <v>ローバルスプレー エコタイプ</v>
      </c>
      <c r="E44" s="17" t="str">
        <f>IFERROR(__xludf.DUMMYFUNCTION("""COMPUTED_VALUE"""),"４２０ml")</f>
        <v>４２０ml</v>
      </c>
      <c r="F44" s="17"/>
      <c r="G44" s="17"/>
      <c r="H44" s="17"/>
      <c r="I44" s="17"/>
    </row>
    <row r="45">
      <c r="A45" s="17" t="str">
        <f>IFERROR(__xludf.DUMMYFUNCTION("""COMPUTED_VALUE"""),"ローバル エコタイプ２５ｋｇ")</f>
        <v>ローバル エコタイプ２５ｋｇ</v>
      </c>
      <c r="B45" s="17" t="str">
        <f>IFERROR(__xludf.DUMMYFUNCTION("""COMPUTED_VALUE"""),"缶")</f>
        <v>缶</v>
      </c>
      <c r="C45" s="17">
        <f>IFERROR(__xludf.DUMMYFUNCTION("""COMPUTED_VALUE"""),206.0)</f>
        <v>206</v>
      </c>
      <c r="D45" s="17" t="str">
        <f>IFERROR(__xludf.DUMMYFUNCTION("""COMPUTED_VALUE"""),"ローバル エコタイプ")</f>
        <v>ローバル エコタイプ</v>
      </c>
      <c r="E45" s="17" t="str">
        <f>IFERROR(__xludf.DUMMYFUNCTION("""COMPUTED_VALUE"""),"２５㎏")</f>
        <v>２５㎏</v>
      </c>
      <c r="F45" s="17"/>
      <c r="G45" s="17"/>
      <c r="H45" s="17"/>
      <c r="I45" s="17"/>
    </row>
    <row r="46">
      <c r="A46" s="17" t="str">
        <f>IFERROR(__xludf.DUMMYFUNCTION("""COMPUTED_VALUE"""),"ローバル エコタイプ９０ｍｌ")</f>
        <v>ローバル エコタイプ９０ｍｌ</v>
      </c>
      <c r="B46" s="81" t="str">
        <f>IFERROR(__xludf.DUMMYFUNCTION("""COMPUTED_VALUE"""),"本")</f>
        <v>本</v>
      </c>
      <c r="C46" s="17">
        <f>IFERROR(__xludf.DUMMYFUNCTION("""COMPUTED_VALUE"""),203.0)</f>
        <v>203</v>
      </c>
      <c r="D46" s="17" t="str">
        <f>IFERROR(__xludf.DUMMYFUNCTION("""COMPUTED_VALUE"""),"ローバルエコタイプハケ付き缶")</f>
        <v>ローバルエコタイプハケ付き缶</v>
      </c>
      <c r="E46" s="17" t="str">
        <f>IFERROR(__xludf.DUMMYFUNCTION("""COMPUTED_VALUE"""),"９０ml")</f>
        <v>９０ml</v>
      </c>
      <c r="F46" s="17"/>
      <c r="G46" s="17"/>
      <c r="H46" s="17"/>
      <c r="I46" s="17"/>
    </row>
    <row r="47">
      <c r="A47" s="17" t="str">
        <f>IFERROR(__xludf.DUMMYFUNCTION("""COMPUTED_VALUE"""),"－－－－－－－－")</f>
        <v>－－－－－－－－</v>
      </c>
      <c r="B47" s="17"/>
      <c r="C47" s="17"/>
      <c r="D47" s="17"/>
      <c r="E47" s="17"/>
      <c r="F47" s="17"/>
      <c r="G47" s="17"/>
      <c r="H47" s="17"/>
      <c r="I47" s="17"/>
    </row>
    <row r="48">
      <c r="A48" s="17" t="str">
        <f>IFERROR(__xludf.DUMMYFUNCTION("""COMPUTED_VALUE"""),"エコシリーズシンナー１Ｌ")</f>
        <v>エコシリーズシンナー１Ｌ</v>
      </c>
      <c r="B48" s="17" t="str">
        <f>IFERROR(__xludf.DUMMYFUNCTION("""COMPUTED_VALUE"""),"缶")</f>
        <v>缶</v>
      </c>
      <c r="C48" s="17">
        <f>IFERROR(__xludf.DUMMYFUNCTION("""COMPUTED_VALUE"""),214.0)</f>
        <v>214</v>
      </c>
      <c r="D48" s="17" t="str">
        <f>IFERROR(__xludf.DUMMYFUNCTION("""COMPUTED_VALUE"""),"エコシリーズシンナー")</f>
        <v>エコシリーズシンナー</v>
      </c>
      <c r="E48" s="17" t="str">
        <f>IFERROR(__xludf.DUMMYFUNCTION("""COMPUTED_VALUE"""),"１Ｌ")</f>
        <v>１Ｌ</v>
      </c>
      <c r="F48" s="17"/>
      <c r="G48" s="17"/>
      <c r="H48" s="17"/>
      <c r="I48" s="17"/>
    </row>
    <row r="49">
      <c r="A49" s="17" t="str">
        <f>IFERROR(__xludf.DUMMYFUNCTION("""COMPUTED_VALUE"""),"－－－－－－－－")</f>
        <v>－－－－－－－－</v>
      </c>
      <c r="B49" s="17"/>
      <c r="C49" s="17"/>
      <c r="D49" s="17"/>
      <c r="E49" s="17"/>
      <c r="F49" s="17"/>
      <c r="G49" s="17"/>
      <c r="H49" s="17"/>
      <c r="I49" s="17"/>
    </row>
    <row r="50">
      <c r="A50" s="17" t="str">
        <f>IFERROR(__xludf.DUMMYFUNCTION("""COMPUTED_VALUE"""),"ローバルシルバー エコタイプ０.７ｋｇ")</f>
        <v>ローバルシルバー エコタイプ０.７ｋｇ</v>
      </c>
      <c r="B50" s="17" t="str">
        <f>IFERROR(__xludf.DUMMYFUNCTION("""COMPUTED_VALUE"""),"缶")</f>
        <v>缶</v>
      </c>
      <c r="C50" s="17">
        <f>IFERROR(__xludf.DUMMYFUNCTION("""COMPUTED_VALUE"""),221.0)</f>
        <v>221</v>
      </c>
      <c r="D50" s="17" t="str">
        <f>IFERROR(__xludf.DUMMYFUNCTION("""COMPUTED_VALUE"""),"ローバルシルバー エコタイプ")</f>
        <v>ローバルシルバー エコタイプ</v>
      </c>
      <c r="E50" s="17" t="str">
        <f>IFERROR(__xludf.DUMMYFUNCTION("""COMPUTED_VALUE"""),"０．７㎏")</f>
        <v>０．７㎏</v>
      </c>
      <c r="F50" s="17"/>
      <c r="G50" s="17"/>
      <c r="H50" s="17"/>
      <c r="I50" s="17"/>
    </row>
    <row r="51">
      <c r="A51" s="17" t="str">
        <f>IFERROR(__xludf.DUMMYFUNCTION("""COMPUTED_VALUE"""),"ローバルシルバー エコタイプ３.５ｋｇ")</f>
        <v>ローバルシルバー エコタイプ３.５ｋｇ</v>
      </c>
      <c r="B51" s="17" t="str">
        <f>IFERROR(__xludf.DUMMYFUNCTION("""COMPUTED_VALUE"""),"缶")</f>
        <v>缶</v>
      </c>
      <c r="C51" s="17">
        <f>IFERROR(__xludf.DUMMYFUNCTION("""COMPUTED_VALUE"""),222.0)</f>
        <v>222</v>
      </c>
      <c r="D51" s="17" t="str">
        <f>IFERROR(__xludf.DUMMYFUNCTION("""COMPUTED_VALUE"""),"ローバルシルバー エコタイプ")</f>
        <v>ローバルシルバー エコタイプ</v>
      </c>
      <c r="E51" s="17" t="str">
        <f>IFERROR(__xludf.DUMMYFUNCTION("""COMPUTED_VALUE"""),"３．５kg")</f>
        <v>３．５kg</v>
      </c>
      <c r="F51" s="17"/>
      <c r="G51" s="17"/>
      <c r="H51" s="17"/>
      <c r="I51" s="17"/>
    </row>
    <row r="52">
      <c r="A52" s="17" t="str">
        <f>IFERROR(__xludf.DUMMYFUNCTION("""COMPUTED_VALUE"""),"ローバルシルバースプレー エコタイプ４２０ｍｌ")</f>
        <v>ローバルシルバースプレー エコタイプ４２０ｍｌ</v>
      </c>
      <c r="B52" s="17" t="str">
        <f>IFERROR(__xludf.DUMMYFUNCTION("""COMPUTED_VALUE"""),"本")</f>
        <v>本</v>
      </c>
      <c r="C52" s="17">
        <f>IFERROR(__xludf.DUMMYFUNCTION("""COMPUTED_VALUE"""),224.0)</f>
        <v>224</v>
      </c>
      <c r="D52" s="17" t="str">
        <f>IFERROR(__xludf.DUMMYFUNCTION("""COMPUTED_VALUE"""),"ローバルシルバースプレーエコタイプ")</f>
        <v>ローバルシルバースプレーエコタイプ</v>
      </c>
      <c r="E52" s="17" t="str">
        <f>IFERROR(__xludf.DUMMYFUNCTION("""COMPUTED_VALUE"""),"４２０ml")</f>
        <v>４２０ml</v>
      </c>
      <c r="F52" s="17"/>
      <c r="G52" s="17"/>
      <c r="H52" s="17"/>
      <c r="I52" s="17"/>
    </row>
    <row r="53">
      <c r="A53" s="17" t="str">
        <f>IFERROR(__xludf.DUMMYFUNCTION("""COMPUTED_VALUE"""),"ローバルシルバー エコタイプ２０ｋｇ")</f>
        <v>ローバルシルバー エコタイプ２０ｋｇ</v>
      </c>
      <c r="B53" s="17" t="str">
        <f>IFERROR(__xludf.DUMMYFUNCTION("""COMPUTED_VALUE"""),"缶")</f>
        <v>缶</v>
      </c>
      <c r="C53" s="17">
        <f>IFERROR(__xludf.DUMMYFUNCTION("""COMPUTED_VALUE"""),226.0)</f>
        <v>226</v>
      </c>
      <c r="D53" s="17" t="str">
        <f>IFERROR(__xludf.DUMMYFUNCTION("""COMPUTED_VALUE"""),"ローバルシルバー エコタイプ")</f>
        <v>ローバルシルバー エコタイプ</v>
      </c>
      <c r="E53" s="17" t="str">
        <f>IFERROR(__xludf.DUMMYFUNCTION("""COMPUTED_VALUE"""),"２０kg")</f>
        <v>２０kg</v>
      </c>
      <c r="F53" s="17"/>
      <c r="G53" s="17"/>
      <c r="H53" s="17"/>
      <c r="I53" s="17"/>
    </row>
    <row r="54">
      <c r="A54" s="17" t="str">
        <f>IFERROR(__xludf.DUMMYFUNCTION("""COMPUTED_VALUE"""),"ローバルシルバー エコタイプ９０ｍｌ")</f>
        <v>ローバルシルバー エコタイプ９０ｍｌ</v>
      </c>
      <c r="B54" s="81" t="str">
        <f>IFERROR(__xludf.DUMMYFUNCTION("""COMPUTED_VALUE"""),"本")</f>
        <v>本</v>
      </c>
      <c r="C54" s="17">
        <f>IFERROR(__xludf.DUMMYFUNCTION("""COMPUTED_VALUE"""),223.0)</f>
        <v>223</v>
      </c>
      <c r="D54" s="17" t="str">
        <f>IFERROR(__xludf.DUMMYFUNCTION("""COMPUTED_VALUE"""),"ローバルシルバーエコタイプハケ付き缶")</f>
        <v>ローバルシルバーエコタイプハケ付き缶</v>
      </c>
      <c r="E54" s="17" t="str">
        <f>IFERROR(__xludf.DUMMYFUNCTION("""COMPUTED_VALUE"""),"９０ml")</f>
        <v>９０ml</v>
      </c>
      <c r="F54" s="17"/>
      <c r="G54" s="17"/>
      <c r="H54" s="17"/>
      <c r="I54" s="17"/>
    </row>
    <row r="55">
      <c r="A55" s="17" t="str">
        <f>IFERROR(__xludf.DUMMYFUNCTION("""COMPUTED_VALUE"""),"－－－－－－－－")</f>
        <v>－－－－－－－－</v>
      </c>
      <c r="B55" s="17"/>
      <c r="C55" s="17"/>
      <c r="D55" s="17"/>
      <c r="E55" s="17"/>
      <c r="F55" s="17"/>
      <c r="G55" s="17"/>
      <c r="H55" s="17"/>
      <c r="I55" s="17"/>
    </row>
    <row r="56">
      <c r="A56" s="17" t="str">
        <f>IFERROR(__xludf.DUMMYFUNCTION("""COMPUTED_VALUE"""),"ＡＬＭＺ０.７ｋｇ")</f>
        <v>ＡＬＭＺ０.７ｋｇ</v>
      </c>
      <c r="B56" s="81" t="str">
        <f>IFERROR(__xludf.DUMMYFUNCTION("""COMPUTED_VALUE"""),"缶")</f>
        <v>缶</v>
      </c>
      <c r="C56" s="17">
        <f>IFERROR(__xludf.DUMMYFUNCTION("""COMPUTED_VALUE"""),231.0)</f>
        <v>231</v>
      </c>
      <c r="D56" s="17" t="str">
        <f>IFERROR(__xludf.DUMMYFUNCTION("""COMPUTED_VALUE"""),"ＡＬＭＺ")</f>
        <v>ＡＬＭＺ</v>
      </c>
      <c r="E56" s="17" t="str">
        <f>IFERROR(__xludf.DUMMYFUNCTION("""COMPUTED_VALUE"""),"０．７㎏")</f>
        <v>０．７㎏</v>
      </c>
      <c r="F56" s="17"/>
      <c r="G56" s="17"/>
      <c r="H56" s="17"/>
      <c r="I56" s="17"/>
    </row>
    <row r="57">
      <c r="A57" s="17" t="str">
        <f>IFERROR(__xludf.DUMMYFUNCTION("""COMPUTED_VALUE"""),"ＡＬＭＺ３.５ｋｇ")</f>
        <v>ＡＬＭＺ３.５ｋｇ</v>
      </c>
      <c r="B57" s="81" t="str">
        <f>IFERROR(__xludf.DUMMYFUNCTION("""COMPUTED_VALUE"""),"缶")</f>
        <v>缶</v>
      </c>
      <c r="C57" s="17">
        <f>IFERROR(__xludf.DUMMYFUNCTION("""COMPUTED_VALUE"""),232.0)</f>
        <v>232</v>
      </c>
      <c r="D57" s="17" t="str">
        <f>IFERROR(__xludf.DUMMYFUNCTION("""COMPUTED_VALUE"""),"ＡＬＭＺ")</f>
        <v>ＡＬＭＺ</v>
      </c>
      <c r="E57" s="17" t="str">
        <f>IFERROR(__xludf.DUMMYFUNCTION("""COMPUTED_VALUE"""),"３．５kg")</f>
        <v>３．５kg</v>
      </c>
      <c r="F57" s="17"/>
      <c r="G57" s="17"/>
      <c r="H57" s="17"/>
      <c r="I57" s="17"/>
    </row>
    <row r="58">
      <c r="A58" s="17" t="str">
        <f>IFERROR(__xludf.DUMMYFUNCTION("""COMPUTED_VALUE"""),"ＡＬＭＺスプレー４２０ｍｌ")</f>
        <v>ＡＬＭＺスプレー４２０ｍｌ</v>
      </c>
      <c r="B58" s="81" t="str">
        <f>IFERROR(__xludf.DUMMYFUNCTION("""COMPUTED_VALUE"""),"本")</f>
        <v>本</v>
      </c>
      <c r="C58" s="17">
        <f>IFERROR(__xludf.DUMMYFUNCTION("""COMPUTED_VALUE"""),234.0)</f>
        <v>234</v>
      </c>
      <c r="D58" s="17" t="str">
        <f>IFERROR(__xludf.DUMMYFUNCTION("""COMPUTED_VALUE"""),"ＡＬＭＺスプレー")</f>
        <v>ＡＬＭＺスプレー</v>
      </c>
      <c r="E58" s="17" t="str">
        <f>IFERROR(__xludf.DUMMYFUNCTION("""COMPUTED_VALUE"""),"４２０ml")</f>
        <v>４２０ml</v>
      </c>
      <c r="F58" s="17"/>
      <c r="G58" s="17"/>
      <c r="H58" s="17"/>
      <c r="I58" s="17"/>
    </row>
    <row r="59">
      <c r="A59" s="17" t="str">
        <f>IFERROR(__xludf.DUMMYFUNCTION("""COMPUTED_VALUE"""),"ＡＬＭＺ２０ｋｇ")</f>
        <v>ＡＬＭＺ２０ｋｇ</v>
      </c>
      <c r="B59" s="81" t="str">
        <f>IFERROR(__xludf.DUMMYFUNCTION("""COMPUTED_VALUE"""),"缶")</f>
        <v>缶</v>
      </c>
      <c r="C59" s="17">
        <f>IFERROR(__xludf.DUMMYFUNCTION("""COMPUTED_VALUE"""),236.0)</f>
        <v>236</v>
      </c>
      <c r="D59" s="17" t="str">
        <f>IFERROR(__xludf.DUMMYFUNCTION("""COMPUTED_VALUE"""),"ＡＬＭＺ")</f>
        <v>ＡＬＭＺ</v>
      </c>
      <c r="E59" s="17" t="str">
        <f>IFERROR(__xludf.DUMMYFUNCTION("""COMPUTED_VALUE"""),"２０kg")</f>
        <v>２０kg</v>
      </c>
      <c r="F59" s="17"/>
      <c r="G59" s="17"/>
      <c r="H59" s="17"/>
      <c r="I59" s="17"/>
    </row>
    <row r="60">
      <c r="A60" s="17" t="str">
        <f>IFERROR(__xludf.DUMMYFUNCTION("""COMPUTED_VALUE"""),"－－－－－－－－")</f>
        <v>－－－－－－－－</v>
      </c>
      <c r="B60" s="81"/>
      <c r="C60" s="17"/>
      <c r="D60" s="17"/>
      <c r="E60" s="17"/>
      <c r="F60" s="17"/>
      <c r="G60" s="17"/>
      <c r="H60" s="17"/>
      <c r="I60" s="17"/>
    </row>
    <row r="61">
      <c r="A61" s="17" t="str">
        <f>IFERROR(__xludf.DUMMYFUNCTION("""COMPUTED_VALUE"""),"塗る亜鉛テクスチャー６㎏セット")</f>
        <v>塗る亜鉛テクスチャー６㎏セット</v>
      </c>
      <c r="B61" s="81" t="str">
        <f>IFERROR(__xludf.DUMMYFUNCTION("""COMPUTED_VALUE"""),"セット")</f>
        <v>セット</v>
      </c>
      <c r="C61" s="17">
        <f>IFERROR(__xludf.DUMMYFUNCTION("""COMPUTED_VALUE"""),137.0)</f>
        <v>137</v>
      </c>
      <c r="D61" s="17" t="str">
        <f>IFERROR(__xludf.DUMMYFUNCTION("""COMPUTED_VALUE"""),"塗る亜鉛テクスチャー")</f>
        <v>塗る亜鉛テクスチャー</v>
      </c>
      <c r="E61" s="17" t="str">
        <f>IFERROR(__xludf.DUMMYFUNCTION("""COMPUTED_VALUE"""),"６㎏セット")</f>
        <v>６㎏セット</v>
      </c>
      <c r="F61" s="17"/>
      <c r="G61" s="17"/>
      <c r="H61" s="17"/>
      <c r="I61" s="17"/>
    </row>
    <row r="62">
      <c r="A62" s="17"/>
      <c r="B62" s="81"/>
      <c r="C62" s="17"/>
      <c r="D62" s="17"/>
      <c r="E62" s="17"/>
      <c r="F62" s="17"/>
      <c r="G62" s="17"/>
      <c r="H62" s="17"/>
      <c r="I62" s="17"/>
    </row>
    <row r="63">
      <c r="A63" s="17"/>
      <c r="B63" s="81"/>
      <c r="C63" s="17"/>
      <c r="D63" s="17"/>
      <c r="E63" s="17"/>
      <c r="F63" s="17"/>
      <c r="G63" s="17"/>
      <c r="H63" s="17"/>
      <c r="I63" s="17"/>
    </row>
    <row r="64">
      <c r="A64" s="17"/>
      <c r="B64" s="81"/>
      <c r="C64" s="17"/>
      <c r="D64" s="17"/>
      <c r="E64" s="17"/>
      <c r="F64" s="17"/>
      <c r="G64" s="17"/>
      <c r="H64" s="17"/>
      <c r="I64" s="17"/>
    </row>
    <row r="65">
      <c r="A65" s="17"/>
      <c r="B65" s="17"/>
      <c r="C65" s="17"/>
      <c r="D65" s="17"/>
      <c r="E65" s="17"/>
      <c r="F65" s="17"/>
      <c r="G65" s="17"/>
      <c r="H65" s="17"/>
      <c r="I65" s="17"/>
    </row>
    <row r="66">
      <c r="A66" s="17"/>
      <c r="B66" s="17"/>
      <c r="C66" s="17"/>
      <c r="D66" s="17"/>
      <c r="E66" s="17"/>
      <c r="F66" s="17"/>
      <c r="G66" s="17"/>
      <c r="H66" s="17"/>
      <c r="I66" s="17"/>
    </row>
    <row r="67">
      <c r="A67" s="17"/>
      <c r="B67" s="17"/>
      <c r="C67" s="17"/>
      <c r="D67" s="17"/>
      <c r="E67" s="17"/>
      <c r="F67" s="17"/>
      <c r="G67" s="17"/>
      <c r="H67" s="17"/>
      <c r="I67" s="17"/>
    </row>
    <row r="68">
      <c r="A68" s="17"/>
      <c r="B68" s="17"/>
      <c r="C68" s="17"/>
      <c r="D68" s="17"/>
      <c r="E68" s="17"/>
      <c r="F68" s="17"/>
      <c r="G68" s="17"/>
      <c r="H68" s="17"/>
      <c r="I68" s="17"/>
    </row>
    <row r="69">
      <c r="A69" s="17"/>
      <c r="B69" s="17"/>
      <c r="C69" s="17"/>
      <c r="D69" s="17"/>
      <c r="E69" s="17"/>
      <c r="F69" s="17"/>
      <c r="G69" s="17"/>
      <c r="H69" s="17"/>
      <c r="I69" s="17"/>
    </row>
    <row r="70">
      <c r="A70" s="17"/>
      <c r="B70" s="17"/>
      <c r="C70" s="17"/>
      <c r="D70" s="17"/>
      <c r="E70" s="17"/>
      <c r="F70" s="17"/>
      <c r="G70" s="17"/>
      <c r="H70" s="17"/>
      <c r="I70" s="17"/>
    </row>
    <row r="71">
      <c r="A71" s="17"/>
      <c r="B71" s="17"/>
      <c r="C71" s="17"/>
      <c r="D71" s="17"/>
      <c r="E71" s="17"/>
      <c r="F71" s="17"/>
      <c r="G71" s="17"/>
      <c r="H71" s="17"/>
      <c r="I71" s="17"/>
    </row>
    <row r="72">
      <c r="A72" s="17"/>
      <c r="B72" s="17"/>
      <c r="C72" s="17"/>
      <c r="D72" s="17"/>
      <c r="E72" s="17"/>
      <c r="F72" s="17"/>
      <c r="G72" s="17"/>
      <c r="H72" s="17"/>
      <c r="I72" s="17"/>
    </row>
    <row r="73">
      <c r="A73" s="17"/>
      <c r="B73" s="17"/>
      <c r="C73" s="17"/>
      <c r="D73" s="17"/>
      <c r="E73" s="17"/>
      <c r="F73" s="17"/>
      <c r="G73" s="17"/>
      <c r="H73" s="17"/>
      <c r="I73" s="17"/>
    </row>
    <row r="74">
      <c r="A74" s="17"/>
      <c r="B74" s="17"/>
      <c r="C74" s="17"/>
      <c r="D74" s="17"/>
      <c r="E74" s="17"/>
      <c r="F74" s="17"/>
      <c r="G74" s="17"/>
      <c r="H74" s="17"/>
      <c r="I74" s="17"/>
    </row>
    <row r="75">
      <c r="A75" s="17"/>
      <c r="B75" s="17"/>
      <c r="C75" s="17"/>
      <c r="D75" s="17"/>
      <c r="E75" s="17"/>
      <c r="F75" s="17"/>
      <c r="G75" s="17"/>
      <c r="H75" s="17"/>
      <c r="I75" s="17"/>
    </row>
    <row r="76">
      <c r="A76" s="17"/>
      <c r="B76" s="17"/>
      <c r="C76" s="17"/>
      <c r="D76" s="17"/>
      <c r="E76" s="17"/>
      <c r="F76" s="17"/>
      <c r="G76" s="17"/>
      <c r="H76" s="17"/>
      <c r="I76" s="17"/>
    </row>
    <row r="77">
      <c r="A77" s="17"/>
      <c r="B77" s="17"/>
      <c r="C77" s="17"/>
      <c r="D77" s="17"/>
      <c r="E77" s="17"/>
      <c r="F77" s="17"/>
      <c r="G77" s="17"/>
      <c r="H77" s="17"/>
      <c r="I77" s="17"/>
    </row>
    <row r="78">
      <c r="A78" s="17"/>
      <c r="B78" s="17"/>
      <c r="C78" s="17"/>
      <c r="D78" s="17"/>
      <c r="E78" s="17"/>
      <c r="F78" s="17"/>
      <c r="G78" s="17"/>
      <c r="H78" s="17"/>
      <c r="I78" s="17"/>
    </row>
    <row r="79">
      <c r="A79" s="17"/>
      <c r="B79" s="17"/>
      <c r="C79" s="17"/>
      <c r="D79" s="17"/>
      <c r="E79" s="17"/>
      <c r="F79" s="17"/>
      <c r="G79" s="17"/>
      <c r="H79" s="17"/>
      <c r="I79" s="17"/>
    </row>
    <row r="80">
      <c r="A80" s="17"/>
      <c r="B80" s="17"/>
      <c r="C80" s="17"/>
      <c r="D80" s="17"/>
      <c r="E80" s="17"/>
      <c r="F80" s="17"/>
      <c r="G80" s="17"/>
      <c r="H80" s="17"/>
      <c r="I80" s="17"/>
    </row>
    <row r="81">
      <c r="A81" s="17"/>
      <c r="B81" s="17"/>
      <c r="C81" s="17"/>
      <c r="D81" s="17"/>
      <c r="E81" s="17"/>
      <c r="F81" s="17"/>
      <c r="G81" s="17"/>
      <c r="H81" s="17"/>
      <c r="I81" s="17"/>
    </row>
    <row r="82">
      <c r="A82" s="17"/>
      <c r="B82" s="17"/>
      <c r="C82" s="17"/>
      <c r="D82" s="17"/>
      <c r="E82" s="17"/>
      <c r="F82" s="17"/>
      <c r="G82" s="17"/>
      <c r="H82" s="17"/>
      <c r="I82" s="17"/>
    </row>
    <row r="83">
      <c r="A83" s="17"/>
      <c r="B83" s="17"/>
      <c r="C83" s="17"/>
      <c r="D83" s="17"/>
      <c r="E83" s="17"/>
      <c r="F83" s="17"/>
      <c r="G83" s="17"/>
      <c r="H83" s="17"/>
      <c r="I83" s="17"/>
    </row>
    <row r="84">
      <c r="A84" s="17"/>
      <c r="B84" s="17"/>
      <c r="C84" s="17"/>
      <c r="D84" s="17"/>
      <c r="E84" s="17"/>
      <c r="F84" s="17"/>
      <c r="G84" s="17"/>
      <c r="H84" s="17"/>
      <c r="I84" s="17"/>
    </row>
    <row r="85">
      <c r="A85" s="17"/>
      <c r="B85" s="17"/>
      <c r="C85" s="17"/>
      <c r="D85" s="17"/>
      <c r="E85" s="17"/>
      <c r="F85" s="17"/>
      <c r="G85" s="17"/>
      <c r="H85" s="17"/>
      <c r="I85" s="17"/>
    </row>
    <row r="86">
      <c r="A86" s="17"/>
      <c r="B86" s="17"/>
      <c r="C86" s="17"/>
      <c r="D86" s="17"/>
      <c r="E86" s="17"/>
      <c r="F86" s="17"/>
      <c r="G86" s="17"/>
      <c r="H86" s="17"/>
      <c r="I86" s="17"/>
    </row>
    <row r="87">
      <c r="A87" s="17"/>
      <c r="B87" s="17"/>
      <c r="C87" s="17"/>
      <c r="D87" s="17"/>
      <c r="E87" s="17"/>
      <c r="F87" s="17"/>
      <c r="G87" s="17"/>
      <c r="H87" s="17"/>
      <c r="I87" s="17"/>
    </row>
    <row r="88">
      <c r="A88" s="17"/>
      <c r="B88" s="17"/>
      <c r="C88" s="17"/>
      <c r="D88" s="17"/>
      <c r="E88" s="17"/>
      <c r="F88" s="17"/>
      <c r="G88" s="17"/>
      <c r="H88" s="17"/>
      <c r="I88" s="17"/>
    </row>
    <row r="89">
      <c r="A89" s="17"/>
      <c r="B89" s="17"/>
      <c r="C89" s="17"/>
      <c r="D89" s="17"/>
      <c r="E89" s="17"/>
      <c r="F89" s="17"/>
      <c r="G89" s="17"/>
      <c r="H89" s="17"/>
      <c r="I89" s="17"/>
    </row>
    <row r="90">
      <c r="A90" s="17"/>
      <c r="B90" s="17"/>
      <c r="C90" s="17"/>
      <c r="D90" s="17"/>
      <c r="E90" s="17"/>
      <c r="F90" s="17"/>
      <c r="G90" s="17"/>
      <c r="H90" s="17"/>
      <c r="I90" s="17"/>
    </row>
    <row r="91">
      <c r="A91" s="17"/>
      <c r="B91" s="17"/>
      <c r="C91" s="17"/>
      <c r="D91" s="17"/>
      <c r="E91" s="17"/>
      <c r="F91" s="17"/>
      <c r="G91" s="17"/>
      <c r="H91" s="17"/>
      <c r="I91" s="17"/>
    </row>
    <row r="92">
      <c r="A92" s="17"/>
      <c r="B92" s="17"/>
      <c r="C92" s="17"/>
      <c r="D92" s="17"/>
      <c r="E92" s="17"/>
      <c r="F92" s="17"/>
      <c r="G92" s="17"/>
      <c r="H92" s="17"/>
      <c r="I92" s="17"/>
    </row>
    <row r="93">
      <c r="A93" s="17"/>
      <c r="B93" s="17"/>
      <c r="C93" s="17"/>
      <c r="D93" s="17"/>
      <c r="E93" s="17"/>
      <c r="F93" s="17"/>
      <c r="G93" s="17"/>
      <c r="H93" s="17"/>
      <c r="I93" s="17"/>
    </row>
    <row r="94">
      <c r="A94" s="17"/>
      <c r="B94" s="17"/>
      <c r="C94" s="17"/>
      <c r="D94" s="17"/>
      <c r="E94" s="17"/>
      <c r="F94" s="17"/>
      <c r="G94" s="17"/>
      <c r="H94" s="17"/>
      <c r="I94" s="17"/>
    </row>
    <row r="95">
      <c r="A95" s="17"/>
      <c r="B95" s="17"/>
      <c r="C95" s="17"/>
      <c r="D95" s="17"/>
      <c r="E95" s="17"/>
      <c r="F95" s="17"/>
      <c r="G95" s="17"/>
      <c r="H95" s="17"/>
      <c r="I95" s="17"/>
    </row>
    <row r="96">
      <c r="A96" s="17"/>
      <c r="B96" s="17"/>
      <c r="C96" s="17"/>
      <c r="D96" s="17"/>
      <c r="E96" s="17"/>
      <c r="F96" s="17"/>
      <c r="G96" s="17"/>
      <c r="H96" s="17"/>
      <c r="I96" s="17"/>
    </row>
    <row r="97">
      <c r="A97" s="17"/>
      <c r="B97" s="17"/>
      <c r="C97" s="17"/>
      <c r="D97" s="17"/>
      <c r="E97" s="17"/>
      <c r="F97" s="17"/>
      <c r="G97" s="17"/>
      <c r="H97" s="17"/>
      <c r="I97" s="17"/>
    </row>
    <row r="98">
      <c r="A98" s="17"/>
      <c r="B98" s="17"/>
      <c r="C98" s="17"/>
      <c r="D98" s="17"/>
      <c r="E98" s="17"/>
      <c r="F98" s="17"/>
      <c r="G98" s="17"/>
      <c r="H98" s="17"/>
      <c r="I98" s="17"/>
    </row>
    <row r="99">
      <c r="A99" s="17"/>
      <c r="B99" s="17"/>
      <c r="C99" s="17"/>
      <c r="D99" s="17"/>
      <c r="E99" s="17"/>
      <c r="F99" s="17"/>
      <c r="G99" s="17"/>
      <c r="H99" s="17"/>
      <c r="I99" s="17"/>
    </row>
  </sheetData>
  <drawing r:id="rId1"/>
</worksheet>
</file>