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\Desktop\Docs\Codes\Peng_Robinson_eos\"/>
    </mc:Choice>
  </mc:AlternateContent>
  <xr:revisionPtr revIDLastSave="0" documentId="13_ncr:1_{F423A473-D112-442C-B49D-66C081F20628}" xr6:coauthVersionLast="47" xr6:coauthVersionMax="47" xr10:uidLastSave="{00000000-0000-0000-0000-000000000000}"/>
  <bookViews>
    <workbookView xWindow="-108" yWindow="-108" windowWidth="23256" windowHeight="12576" activeTab="6" xr2:uid="{5735BB08-AECA-410D-A8E9-1302EF63FDFF}"/>
  </bookViews>
  <sheets>
    <sheet name="KM" sheetId="1" r:id="rId1"/>
    <sheet name="GM" sheetId="2" r:id="rId2"/>
    <sheet name="Chrastil Model" sheetId="3" r:id="rId3"/>
    <sheet name="Bartle et al. Model info" sheetId="4" r:id="rId4"/>
    <sheet name="Sung-Shim Model" sheetId="5" r:id="rId5"/>
    <sheet name="Bian et al model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7" l="1"/>
  <c r="P7" i="7"/>
  <c r="Q7" i="7"/>
  <c r="R7" i="7"/>
  <c r="S7" i="7"/>
  <c r="O8" i="7"/>
  <c r="P8" i="7"/>
  <c r="Q8" i="7"/>
  <c r="R8" i="7"/>
  <c r="S8" i="7"/>
  <c r="O9" i="7"/>
  <c r="P9" i="7"/>
  <c r="Q9" i="7"/>
  <c r="R9" i="7"/>
  <c r="S9" i="7"/>
  <c r="O10" i="7"/>
  <c r="P10" i="7"/>
  <c r="Q10" i="7"/>
  <c r="R10" i="7"/>
  <c r="S10" i="7"/>
  <c r="N8" i="7"/>
  <c r="N9" i="7"/>
  <c r="N10" i="7"/>
  <c r="N7" i="7"/>
  <c r="R2" i="7"/>
  <c r="Q2" i="7"/>
  <c r="Q3" i="7"/>
  <c r="P2" i="7"/>
  <c r="O2" i="7"/>
  <c r="P3" i="7"/>
  <c r="P4" i="7"/>
  <c r="Q5" i="7"/>
  <c r="P5" i="7"/>
  <c r="R3" i="7"/>
  <c r="R4" i="7"/>
  <c r="S5" i="7"/>
  <c r="R5" i="7"/>
  <c r="O5" i="7"/>
  <c r="N5" i="7"/>
  <c r="S4" i="7"/>
  <c r="Q4" i="7"/>
  <c r="O4" i="7"/>
  <c r="N4" i="7"/>
  <c r="S3" i="7"/>
  <c r="O3" i="7"/>
  <c r="N3" i="7"/>
  <c r="S2" i="7"/>
  <c r="B17" i="7"/>
  <c r="I9" i="7"/>
  <c r="I14" i="7" s="1"/>
  <c r="I19" i="7" s="1"/>
  <c r="L24" i="7" s="1"/>
  <c r="B21" i="7"/>
  <c r="B22" i="7"/>
  <c r="H3" i="7"/>
  <c r="I3" i="7"/>
  <c r="J3" i="7"/>
  <c r="K3" i="7"/>
  <c r="L3" i="7"/>
  <c r="M3" i="7"/>
  <c r="H4" i="7"/>
  <c r="I4" i="7"/>
  <c r="J4" i="7"/>
  <c r="K4" i="7"/>
  <c r="L4" i="7"/>
  <c r="M4" i="7"/>
  <c r="H5" i="7"/>
  <c r="I5" i="7"/>
  <c r="J5" i="7"/>
  <c r="K5" i="7"/>
  <c r="L5" i="7"/>
  <c r="M5" i="7"/>
  <c r="I2" i="7"/>
  <c r="J2" i="7"/>
  <c r="K2" i="7"/>
  <c r="L2" i="7"/>
  <c r="M2" i="7"/>
  <c r="H2" i="7"/>
  <c r="B20" i="7"/>
  <c r="B19" i="7"/>
  <c r="B18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O12" i="6"/>
  <c r="P12" i="6"/>
  <c r="Q12" i="6"/>
  <c r="R12" i="6"/>
  <c r="S12" i="6"/>
  <c r="N12" i="6"/>
  <c r="I14" i="6"/>
  <c r="J14" i="6"/>
  <c r="K14" i="6"/>
  <c r="L14" i="6"/>
  <c r="M14" i="6"/>
  <c r="I15" i="6"/>
  <c r="J15" i="6"/>
  <c r="K15" i="6"/>
  <c r="L15" i="6"/>
  <c r="M15" i="6"/>
  <c r="H14" i="6"/>
  <c r="H15" i="6"/>
  <c r="I13" i="6"/>
  <c r="J13" i="6"/>
  <c r="K13" i="6"/>
  <c r="L13" i="6"/>
  <c r="M13" i="6"/>
  <c r="H13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O2" i="6"/>
  <c r="P2" i="6"/>
  <c r="Q2" i="6"/>
  <c r="R2" i="6"/>
  <c r="S2" i="6"/>
  <c r="N2" i="6"/>
  <c r="B21" i="6"/>
  <c r="I8" i="6" s="1"/>
  <c r="H3" i="6"/>
  <c r="I3" i="6"/>
  <c r="J3" i="6"/>
  <c r="K3" i="6"/>
  <c r="L3" i="6"/>
  <c r="M3" i="6"/>
  <c r="H4" i="6"/>
  <c r="I4" i="6"/>
  <c r="J4" i="6"/>
  <c r="K4" i="6"/>
  <c r="L4" i="6"/>
  <c r="M4" i="6"/>
  <c r="H5" i="6"/>
  <c r="I5" i="6"/>
  <c r="J5" i="6"/>
  <c r="K5" i="6"/>
  <c r="L5" i="6"/>
  <c r="M5" i="6"/>
  <c r="I2" i="6"/>
  <c r="J2" i="6"/>
  <c r="K2" i="6"/>
  <c r="L2" i="6"/>
  <c r="M2" i="6"/>
  <c r="H2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I12" i="5"/>
  <c r="J12" i="5"/>
  <c r="K12" i="5"/>
  <c r="L12" i="5"/>
  <c r="M12" i="5"/>
  <c r="I13" i="5"/>
  <c r="J13" i="5"/>
  <c r="K13" i="5"/>
  <c r="L13" i="5"/>
  <c r="M13" i="5"/>
  <c r="I14" i="5"/>
  <c r="J14" i="5"/>
  <c r="K14" i="5"/>
  <c r="L14" i="5"/>
  <c r="M14" i="5"/>
  <c r="I15" i="5"/>
  <c r="J15" i="5"/>
  <c r="K15" i="5"/>
  <c r="L15" i="5"/>
  <c r="M15" i="5"/>
  <c r="H13" i="5"/>
  <c r="H14" i="5"/>
  <c r="H15" i="5"/>
  <c r="I8" i="5"/>
  <c r="J8" i="5"/>
  <c r="K8" i="5"/>
  <c r="L8" i="5"/>
  <c r="M8" i="5"/>
  <c r="I9" i="5"/>
  <c r="J9" i="5"/>
  <c r="K9" i="5"/>
  <c r="L9" i="5"/>
  <c r="M9" i="5"/>
  <c r="I10" i="5"/>
  <c r="J10" i="5"/>
  <c r="K10" i="5"/>
  <c r="L10" i="5"/>
  <c r="M10" i="5"/>
  <c r="H10" i="5"/>
  <c r="H9" i="5"/>
  <c r="H8" i="5"/>
  <c r="I7" i="5"/>
  <c r="J7" i="5"/>
  <c r="K7" i="5"/>
  <c r="L7" i="5"/>
  <c r="M7" i="5"/>
  <c r="H7" i="5"/>
  <c r="H12" i="5" s="1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O2" i="5"/>
  <c r="P2" i="5"/>
  <c r="Q2" i="5"/>
  <c r="R2" i="5"/>
  <c r="S2" i="5"/>
  <c r="N2" i="5"/>
  <c r="O8" i="5"/>
  <c r="P8" i="5"/>
  <c r="Q8" i="5"/>
  <c r="R8" i="5"/>
  <c r="S8" i="5"/>
  <c r="O9" i="5"/>
  <c r="P9" i="5"/>
  <c r="Q9" i="5"/>
  <c r="R9" i="5"/>
  <c r="S9" i="5"/>
  <c r="O10" i="5"/>
  <c r="P10" i="5"/>
  <c r="Q10" i="5"/>
  <c r="R10" i="5"/>
  <c r="S10" i="5"/>
  <c r="N10" i="5"/>
  <c r="N9" i="5"/>
  <c r="N8" i="5"/>
  <c r="O7" i="5"/>
  <c r="P7" i="5"/>
  <c r="Q7" i="5"/>
  <c r="R7" i="5"/>
  <c r="S7" i="5"/>
  <c r="N7" i="5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M2" i="5"/>
  <c r="L2" i="5"/>
  <c r="K2" i="5"/>
  <c r="J2" i="5"/>
  <c r="I2" i="5"/>
  <c r="H2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T2" i="4"/>
  <c r="U2" i="4" s="1"/>
  <c r="O7" i="4"/>
  <c r="P7" i="4"/>
  <c r="Q7" i="4"/>
  <c r="R7" i="4"/>
  <c r="S7" i="4"/>
  <c r="O8" i="4"/>
  <c r="P8" i="4"/>
  <c r="P3" i="4" s="1"/>
  <c r="Q8" i="4"/>
  <c r="R8" i="4"/>
  <c r="S8" i="4"/>
  <c r="O9" i="4"/>
  <c r="P9" i="4"/>
  <c r="Q9" i="4"/>
  <c r="R9" i="4"/>
  <c r="R4" i="4" s="1"/>
  <c r="S9" i="4"/>
  <c r="S4" i="4" s="1"/>
  <c r="O10" i="4"/>
  <c r="P10" i="4"/>
  <c r="Q10" i="4"/>
  <c r="R10" i="4"/>
  <c r="S10" i="4"/>
  <c r="N10" i="4"/>
  <c r="N9" i="4"/>
  <c r="N8" i="4"/>
  <c r="N3" i="4" s="1"/>
  <c r="N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H10" i="4"/>
  <c r="H9" i="4"/>
  <c r="H8" i="4"/>
  <c r="I7" i="4"/>
  <c r="J7" i="4"/>
  <c r="K7" i="4"/>
  <c r="L7" i="4"/>
  <c r="M7" i="4"/>
  <c r="H7" i="4"/>
  <c r="H3" i="4"/>
  <c r="I3" i="4"/>
  <c r="J3" i="4"/>
  <c r="K3" i="4"/>
  <c r="L3" i="4"/>
  <c r="M3" i="4"/>
  <c r="H4" i="4"/>
  <c r="I4" i="4"/>
  <c r="J4" i="4"/>
  <c r="K4" i="4"/>
  <c r="L4" i="4"/>
  <c r="M4" i="4"/>
  <c r="H5" i="4"/>
  <c r="I5" i="4"/>
  <c r="J5" i="4"/>
  <c r="K5" i="4"/>
  <c r="L5" i="4"/>
  <c r="M5" i="4"/>
  <c r="I2" i="4"/>
  <c r="J2" i="4"/>
  <c r="K2" i="4"/>
  <c r="L2" i="4"/>
  <c r="M2" i="4"/>
  <c r="H2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B15" i="4"/>
  <c r="C15" i="4"/>
  <c r="D15" i="4"/>
  <c r="E15" i="4"/>
  <c r="F15" i="4"/>
  <c r="A15" i="4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F12" i="3"/>
  <c r="B12" i="3"/>
  <c r="C12" i="3"/>
  <c r="D12" i="3"/>
  <c r="E12" i="3"/>
  <c r="A12" i="3"/>
  <c r="N3" i="3"/>
  <c r="O3" i="3"/>
  <c r="P3" i="3"/>
  <c r="Q3" i="3"/>
  <c r="R3" i="3"/>
  <c r="S3" i="3"/>
  <c r="N4" i="3"/>
  <c r="O4" i="3"/>
  <c r="P4" i="3"/>
  <c r="Q4" i="3"/>
  <c r="R4" i="3"/>
  <c r="S4" i="3"/>
  <c r="Q5" i="3"/>
  <c r="O2" i="3"/>
  <c r="P2" i="3"/>
  <c r="Q2" i="3"/>
  <c r="R2" i="3"/>
  <c r="S2" i="3"/>
  <c r="N2" i="3"/>
  <c r="I12" i="3"/>
  <c r="J12" i="3"/>
  <c r="K12" i="3"/>
  <c r="L12" i="3"/>
  <c r="M12" i="3"/>
  <c r="H12" i="3"/>
  <c r="O8" i="3"/>
  <c r="P8" i="3"/>
  <c r="Q8" i="3"/>
  <c r="R8" i="3"/>
  <c r="S8" i="3"/>
  <c r="O9" i="3"/>
  <c r="P9" i="3"/>
  <c r="Q9" i="3"/>
  <c r="R9" i="3"/>
  <c r="S9" i="3"/>
  <c r="O10" i="3"/>
  <c r="O5" i="3" s="1"/>
  <c r="P10" i="3"/>
  <c r="P5" i="3" s="1"/>
  <c r="Q10" i="3"/>
  <c r="R10" i="3"/>
  <c r="R5" i="3" s="1"/>
  <c r="S10" i="3"/>
  <c r="S5" i="3" s="1"/>
  <c r="N10" i="3"/>
  <c r="N5" i="3" s="1"/>
  <c r="N9" i="3"/>
  <c r="N8" i="3"/>
  <c r="O7" i="3"/>
  <c r="P7" i="3"/>
  <c r="Q7" i="3"/>
  <c r="R7" i="3"/>
  <c r="S7" i="3"/>
  <c r="N7" i="3"/>
  <c r="I10" i="3"/>
  <c r="J10" i="3"/>
  <c r="K10" i="3"/>
  <c r="L10" i="3"/>
  <c r="M10" i="3"/>
  <c r="M15" i="3" s="1"/>
  <c r="H10" i="3"/>
  <c r="I9" i="3"/>
  <c r="I14" i="3" s="1"/>
  <c r="J9" i="3"/>
  <c r="J14" i="3" s="1"/>
  <c r="K9" i="3"/>
  <c r="K14" i="3" s="1"/>
  <c r="L9" i="3"/>
  <c r="L14" i="3" s="1"/>
  <c r="M9" i="3"/>
  <c r="M14" i="3" s="1"/>
  <c r="H9" i="3"/>
  <c r="H14" i="3" s="1"/>
  <c r="I8" i="3"/>
  <c r="I13" i="3" s="1"/>
  <c r="J8" i="3"/>
  <c r="J13" i="3" s="1"/>
  <c r="K8" i="3"/>
  <c r="K13" i="3" s="1"/>
  <c r="L8" i="3"/>
  <c r="L13" i="3" s="1"/>
  <c r="M8" i="3"/>
  <c r="M13" i="3" s="1"/>
  <c r="H8" i="3"/>
  <c r="H13" i="3" s="1"/>
  <c r="M7" i="3"/>
  <c r="I7" i="3"/>
  <c r="J7" i="3"/>
  <c r="K7" i="3"/>
  <c r="L7" i="3"/>
  <c r="H7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M2" i="3"/>
  <c r="I2" i="3"/>
  <c r="J2" i="3"/>
  <c r="K2" i="3"/>
  <c r="L2" i="3"/>
  <c r="H2" i="3"/>
  <c r="M9" i="2"/>
  <c r="M8" i="2"/>
  <c r="L10" i="2"/>
  <c r="L9" i="2"/>
  <c r="L8" i="2"/>
  <c r="K9" i="2"/>
  <c r="K8" i="2"/>
  <c r="J9" i="2"/>
  <c r="J8" i="2"/>
  <c r="I10" i="2"/>
  <c r="I9" i="2"/>
  <c r="I8" i="2"/>
  <c r="H10" i="2"/>
  <c r="H9" i="2"/>
  <c r="H8" i="2"/>
  <c r="H7" i="2"/>
  <c r="M10" i="2"/>
  <c r="K10" i="2"/>
  <c r="J10" i="2"/>
  <c r="I7" i="2"/>
  <c r="L3" i="2"/>
  <c r="R3" i="2" s="1"/>
  <c r="I4" i="2"/>
  <c r="O4" i="2" s="1"/>
  <c r="M4" i="2"/>
  <c r="S4" i="2" s="1"/>
  <c r="H5" i="2"/>
  <c r="N5" i="2" s="1"/>
  <c r="K5" i="2"/>
  <c r="Q5" i="2" s="1"/>
  <c r="K2" i="2"/>
  <c r="Q2" i="2" s="1"/>
  <c r="M2" i="2"/>
  <c r="S2" i="2" s="1"/>
  <c r="I3" i="2"/>
  <c r="O3" i="2" s="1"/>
  <c r="K4" i="2"/>
  <c r="Q4" i="2" s="1"/>
  <c r="M5" i="2"/>
  <c r="S5" i="2" s="1"/>
  <c r="J2" i="2"/>
  <c r="P2" i="2" s="1"/>
  <c r="H2" i="2"/>
  <c r="N2" i="2" s="1"/>
  <c r="O8" i="2"/>
  <c r="P8" i="2"/>
  <c r="Q8" i="2"/>
  <c r="R8" i="2"/>
  <c r="S8" i="2"/>
  <c r="O9" i="2"/>
  <c r="P9" i="2"/>
  <c r="Q9" i="2"/>
  <c r="R9" i="2"/>
  <c r="S9" i="2"/>
  <c r="N9" i="2"/>
  <c r="O10" i="2"/>
  <c r="P10" i="2"/>
  <c r="Q10" i="2"/>
  <c r="R10" i="2"/>
  <c r="S10" i="2"/>
  <c r="N10" i="2"/>
  <c r="L5" i="2"/>
  <c r="R5" i="2" s="1"/>
  <c r="J5" i="2"/>
  <c r="P5" i="2" s="1"/>
  <c r="I5" i="2"/>
  <c r="O5" i="2" s="1"/>
  <c r="L4" i="2"/>
  <c r="R4" i="2" s="1"/>
  <c r="J4" i="2"/>
  <c r="P4" i="2" s="1"/>
  <c r="H4" i="2"/>
  <c r="N4" i="2" s="1"/>
  <c r="M3" i="2"/>
  <c r="S3" i="2" s="1"/>
  <c r="K3" i="2"/>
  <c r="Q3" i="2" s="1"/>
  <c r="J3" i="2"/>
  <c r="P3" i="2" s="1"/>
  <c r="H3" i="2"/>
  <c r="N3" i="2" s="1"/>
  <c r="L2" i="2"/>
  <c r="R2" i="2" s="1"/>
  <c r="I2" i="2"/>
  <c r="O2" i="2" s="1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I17" i="2"/>
  <c r="J17" i="2"/>
  <c r="K17" i="2"/>
  <c r="L17" i="2"/>
  <c r="M17" i="2"/>
  <c r="H17" i="2"/>
  <c r="O7" i="2"/>
  <c r="P7" i="2"/>
  <c r="Q7" i="2"/>
  <c r="R7" i="2"/>
  <c r="S7" i="2"/>
  <c r="N7" i="2"/>
  <c r="M7" i="2"/>
  <c r="L7" i="2"/>
  <c r="K7" i="2"/>
  <c r="J7" i="2"/>
  <c r="J12" i="2" s="1"/>
  <c r="B2" i="1"/>
  <c r="P5" i="1" s="1"/>
  <c r="I10" i="1" s="1"/>
  <c r="I15" i="1" s="1"/>
  <c r="C2" i="1"/>
  <c r="S6" i="1" s="1"/>
  <c r="L11" i="1" s="1"/>
  <c r="L16" i="1" s="1"/>
  <c r="D2" i="1"/>
  <c r="S7" i="1" s="1"/>
  <c r="L12" i="1" s="1"/>
  <c r="E2" i="1"/>
  <c r="Q4" i="1"/>
  <c r="O4" i="1"/>
  <c r="P4" i="1"/>
  <c r="R4" i="1"/>
  <c r="S4" i="1"/>
  <c r="T4" i="1"/>
  <c r="R8" i="1"/>
  <c r="K13" i="1" s="1"/>
  <c r="K18" i="1" s="1"/>
  <c r="L2" i="1"/>
  <c r="K2" i="1"/>
  <c r="J2" i="1"/>
  <c r="I2" i="1"/>
  <c r="N3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H6" i="1"/>
  <c r="H7" i="1"/>
  <c r="H8" i="1"/>
  <c r="H5" i="1"/>
  <c r="O12" i="1"/>
  <c r="B1" i="1"/>
  <c r="B3" i="1"/>
  <c r="O11" i="1" s="1"/>
  <c r="M7" i="7" l="1"/>
  <c r="M12" i="7" s="1"/>
  <c r="M17" i="7" s="1"/>
  <c r="H22" i="7" s="1"/>
  <c r="N2" i="7" s="1"/>
  <c r="I7" i="7"/>
  <c r="I12" i="7" s="1"/>
  <c r="I17" i="7" s="1"/>
  <c r="L22" i="7" s="1"/>
  <c r="H8" i="7"/>
  <c r="H13" i="7" s="1"/>
  <c r="H18" i="7" s="1"/>
  <c r="M23" i="7" s="1"/>
  <c r="L10" i="7"/>
  <c r="L15" i="7" s="1"/>
  <c r="L20" i="7" s="1"/>
  <c r="I25" i="7" s="1"/>
  <c r="J9" i="7"/>
  <c r="J14" i="7" s="1"/>
  <c r="J19" i="7" s="1"/>
  <c r="K24" i="7" s="1"/>
  <c r="K10" i="7"/>
  <c r="K15" i="7" s="1"/>
  <c r="K20" i="7" s="1"/>
  <c r="J25" i="7" s="1"/>
  <c r="M9" i="7"/>
  <c r="M14" i="7" s="1"/>
  <c r="M19" i="7" s="1"/>
  <c r="H24" i="7" s="1"/>
  <c r="L7" i="7"/>
  <c r="L12" i="7" s="1"/>
  <c r="L17" i="7" s="1"/>
  <c r="I22" i="7" s="1"/>
  <c r="M8" i="7"/>
  <c r="M13" i="7" s="1"/>
  <c r="M18" i="7" s="1"/>
  <c r="H23" i="7" s="1"/>
  <c r="K7" i="7"/>
  <c r="K12" i="7" s="1"/>
  <c r="K17" i="7" s="1"/>
  <c r="J22" i="7" s="1"/>
  <c r="J8" i="7"/>
  <c r="J13" i="7" s="1"/>
  <c r="J18" i="7" s="1"/>
  <c r="K23" i="7" s="1"/>
  <c r="J7" i="7"/>
  <c r="J12" i="7" s="1"/>
  <c r="J17" i="7" s="1"/>
  <c r="K22" i="7" s="1"/>
  <c r="J10" i="7"/>
  <c r="J15" i="7" s="1"/>
  <c r="J20" i="7" s="1"/>
  <c r="K25" i="7" s="1"/>
  <c r="L8" i="7"/>
  <c r="L13" i="7" s="1"/>
  <c r="L18" i="7" s="1"/>
  <c r="I23" i="7" s="1"/>
  <c r="I10" i="7"/>
  <c r="I15" i="7" s="1"/>
  <c r="I20" i="7" s="1"/>
  <c r="L25" i="7" s="1"/>
  <c r="K8" i="7"/>
  <c r="K13" i="7" s="1"/>
  <c r="K18" i="7" s="1"/>
  <c r="J23" i="7" s="1"/>
  <c r="H9" i="7"/>
  <c r="H14" i="7" s="1"/>
  <c r="H19" i="7" s="1"/>
  <c r="M24" i="7" s="1"/>
  <c r="L9" i="7"/>
  <c r="L14" i="7" s="1"/>
  <c r="L19" i="7" s="1"/>
  <c r="I24" i="7" s="1"/>
  <c r="I8" i="7"/>
  <c r="I13" i="7" s="1"/>
  <c r="I18" i="7" s="1"/>
  <c r="L23" i="7" s="1"/>
  <c r="H7" i="7"/>
  <c r="H12" i="7" s="1"/>
  <c r="H17" i="7" s="1"/>
  <c r="M22" i="7" s="1"/>
  <c r="H10" i="7"/>
  <c r="H15" i="7" s="1"/>
  <c r="H20" i="7" s="1"/>
  <c r="M25" i="7" s="1"/>
  <c r="K9" i="7"/>
  <c r="K14" i="7" s="1"/>
  <c r="K19" i="7" s="1"/>
  <c r="J24" i="7" s="1"/>
  <c r="M10" i="7"/>
  <c r="M15" i="7" s="1"/>
  <c r="M20" i="7" s="1"/>
  <c r="H25" i="7" s="1"/>
  <c r="M7" i="6"/>
  <c r="M12" i="6" s="1"/>
  <c r="J7" i="6"/>
  <c r="J12" i="6" s="1"/>
  <c r="H10" i="6"/>
  <c r="M10" i="6"/>
  <c r="J10" i="6"/>
  <c r="K9" i="6"/>
  <c r="J9" i="6"/>
  <c r="L8" i="6"/>
  <c r="H7" i="6"/>
  <c r="H12" i="6" s="1"/>
  <c r="L7" i="6"/>
  <c r="L12" i="6" s="1"/>
  <c r="L10" i="6"/>
  <c r="I9" i="6"/>
  <c r="K7" i="6"/>
  <c r="K12" i="6" s="1"/>
  <c r="K10" i="6"/>
  <c r="M8" i="6"/>
  <c r="K8" i="6"/>
  <c r="I7" i="6"/>
  <c r="I12" i="6" s="1"/>
  <c r="H8" i="6"/>
  <c r="M9" i="6"/>
  <c r="J8" i="6"/>
  <c r="I10" i="6"/>
  <c r="H9" i="6"/>
  <c r="L9" i="6"/>
  <c r="O3" i="4"/>
  <c r="N5" i="4"/>
  <c r="Q4" i="4"/>
  <c r="S2" i="4"/>
  <c r="S5" i="4"/>
  <c r="P4" i="4"/>
  <c r="R2" i="4"/>
  <c r="R5" i="4"/>
  <c r="O4" i="4"/>
  <c r="Q2" i="4"/>
  <c r="N4" i="4"/>
  <c r="Q5" i="4"/>
  <c r="S3" i="4"/>
  <c r="P2" i="4"/>
  <c r="P5" i="4"/>
  <c r="R3" i="4"/>
  <c r="O2" i="4"/>
  <c r="O5" i="4"/>
  <c r="Q3" i="4"/>
  <c r="N2" i="4"/>
  <c r="Q14" i="4"/>
  <c r="O12" i="4"/>
  <c r="I12" i="4" s="1"/>
  <c r="N13" i="4"/>
  <c r="S15" i="4"/>
  <c r="S12" i="4"/>
  <c r="M12" i="4" s="1"/>
  <c r="Q15" i="4"/>
  <c r="R15" i="4"/>
  <c r="R12" i="4"/>
  <c r="L12" i="4" s="1"/>
  <c r="P15" i="4"/>
  <c r="Q12" i="4"/>
  <c r="K12" i="4" s="1"/>
  <c r="O15" i="4"/>
  <c r="P12" i="4"/>
  <c r="J12" i="4" s="1"/>
  <c r="S14" i="4"/>
  <c r="P14" i="4"/>
  <c r="O14" i="4"/>
  <c r="S13" i="4"/>
  <c r="R13" i="4"/>
  <c r="Q13" i="4"/>
  <c r="P13" i="4"/>
  <c r="O13" i="4"/>
  <c r="N14" i="4"/>
  <c r="R14" i="4"/>
  <c r="N12" i="4"/>
  <c r="H12" i="4" s="1"/>
  <c r="N15" i="4"/>
  <c r="H15" i="3"/>
  <c r="L15" i="3"/>
  <c r="K15" i="3"/>
  <c r="J15" i="3"/>
  <c r="I15" i="3"/>
  <c r="M14" i="2"/>
  <c r="J15" i="2"/>
  <c r="L15" i="2"/>
  <c r="I14" i="2"/>
  <c r="I12" i="2"/>
  <c r="L14" i="2"/>
  <c r="H14" i="2"/>
  <c r="K15" i="2"/>
  <c r="M12" i="2"/>
  <c r="I15" i="2"/>
  <c r="K12" i="2"/>
  <c r="L12" i="2"/>
  <c r="J13" i="2"/>
  <c r="M13" i="2"/>
  <c r="H15" i="2"/>
  <c r="N8" i="2"/>
  <c r="K14" i="2"/>
  <c r="J14" i="2"/>
  <c r="H12" i="2"/>
  <c r="M15" i="2"/>
  <c r="O5" i="1"/>
  <c r="O9" i="1"/>
  <c r="O10" i="1"/>
  <c r="R5" i="1"/>
  <c r="K10" i="1" s="1"/>
  <c r="K15" i="1" s="1"/>
  <c r="H10" i="1"/>
  <c r="H15" i="1" s="1"/>
  <c r="T5" i="1"/>
  <c r="M10" i="1" s="1"/>
  <c r="M15" i="1" s="1"/>
  <c r="S5" i="1"/>
  <c r="L10" i="1" s="1"/>
  <c r="L15" i="1" s="1"/>
  <c r="Q5" i="1"/>
  <c r="J10" i="1" s="1"/>
  <c r="J15" i="1" s="1"/>
  <c r="Q8" i="1"/>
  <c r="J13" i="1" s="1"/>
  <c r="J18" i="1" s="1"/>
  <c r="T8" i="1"/>
  <c r="M13" i="1" s="1"/>
  <c r="M18" i="1" s="1"/>
  <c r="S8" i="1"/>
  <c r="L13" i="1" s="1"/>
  <c r="L18" i="1" s="1"/>
  <c r="P8" i="1"/>
  <c r="I13" i="1" s="1"/>
  <c r="I18" i="1" s="1"/>
  <c r="O8" i="1"/>
  <c r="H13" i="1" s="1"/>
  <c r="H18" i="1" s="1"/>
  <c r="P7" i="1"/>
  <c r="I12" i="1" s="1"/>
  <c r="Q7" i="1"/>
  <c r="J12" i="1" s="1"/>
  <c r="T7" i="1"/>
  <c r="M12" i="1" s="1"/>
  <c r="R7" i="1"/>
  <c r="K12" i="1" s="1"/>
  <c r="O7" i="1"/>
  <c r="H12" i="1" s="1"/>
  <c r="Q6" i="1"/>
  <c r="J11" i="1" s="1"/>
  <c r="J16" i="1" s="1"/>
  <c r="O6" i="1"/>
  <c r="H11" i="1" s="1"/>
  <c r="H16" i="1" s="1"/>
  <c r="P6" i="1"/>
  <c r="I11" i="1" s="1"/>
  <c r="I16" i="1" s="1"/>
  <c r="R6" i="1"/>
  <c r="K11" i="1" s="1"/>
  <c r="K16" i="1" s="1"/>
  <c r="T6" i="1"/>
  <c r="M11" i="1" s="1"/>
  <c r="M16" i="1" s="1"/>
  <c r="L17" i="1"/>
  <c r="K13" i="2" l="1"/>
  <c r="H13" i="2"/>
  <c r="L13" i="2"/>
  <c r="I13" i="2"/>
  <c r="H17" i="1"/>
  <c r="K17" i="1"/>
  <c r="M17" i="1"/>
  <c r="J17" i="1"/>
  <c r="I17" i="1"/>
</calcChain>
</file>

<file path=xl/sharedStrings.xml><?xml version="1.0" encoding="utf-8"?>
<sst xmlns="http://schemas.openxmlformats.org/spreadsheetml/2006/main" count="110" uniqueCount="47">
  <si>
    <t>a</t>
  </si>
  <si>
    <t>b</t>
  </si>
  <si>
    <t>d</t>
  </si>
  <si>
    <t>c</t>
  </si>
  <si>
    <t>term1</t>
  </si>
  <si>
    <t>term 2 at 318</t>
  </si>
  <si>
    <t>term 2 at 328</t>
  </si>
  <si>
    <t>term 2 at 308</t>
  </si>
  <si>
    <t>term 2 at 338</t>
  </si>
  <si>
    <t>term 3 at 308</t>
  </si>
  <si>
    <t>term 3 at 318</t>
  </si>
  <si>
    <t>term 3 at 328</t>
  </si>
  <si>
    <t>term 3 at 338</t>
  </si>
  <si>
    <t>y_b</t>
  </si>
  <si>
    <t>rho</t>
  </si>
  <si>
    <t>ln_y_b</t>
  </si>
  <si>
    <t>ln_y - c/T</t>
  </si>
  <si>
    <t>ln_y</t>
  </si>
  <si>
    <t>Temp</t>
  </si>
  <si>
    <t>lny_GM</t>
  </si>
  <si>
    <t>b/T</t>
  </si>
  <si>
    <t>ln_y - b/T</t>
  </si>
  <si>
    <t>ln_rho.T</t>
  </si>
  <si>
    <t>S</t>
  </si>
  <si>
    <t>lnS</t>
  </si>
  <si>
    <t>c/T</t>
  </si>
  <si>
    <t>lnS - c/T</t>
  </si>
  <si>
    <t>lnS -c/T</t>
  </si>
  <si>
    <t>ln_rho</t>
  </si>
  <si>
    <t>rho - rho ref</t>
  </si>
  <si>
    <t>lny</t>
  </si>
  <si>
    <t>ln(yP/Pref)</t>
  </si>
  <si>
    <t>lny - c/T</t>
  </si>
  <si>
    <t>P</t>
  </si>
  <si>
    <t>lnP - lnPref + c/T</t>
  </si>
  <si>
    <t>Pref</t>
  </si>
  <si>
    <t>c/T + d</t>
  </si>
  <si>
    <t>lny - (c/T + d)</t>
  </si>
  <si>
    <t>lny (model)</t>
  </si>
  <si>
    <t xml:space="preserve">lny - (c/T + d) </t>
  </si>
  <si>
    <t>e</t>
  </si>
  <si>
    <t>y.10^6</t>
  </si>
  <si>
    <t>y</t>
  </si>
  <si>
    <t>f</t>
  </si>
  <si>
    <t xml:space="preserve"> y_b.10^6</t>
  </si>
  <si>
    <t>lny(model)</t>
  </si>
  <si>
    <t>exp(ln(y))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</si>
</sst>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B966"/>
      <name val="Consolas"/>
      <family val="3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  <bgColor rgb="FF000000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0" applyNumberFormat="0" applyFill="0" applyBorder="0" applyAlignment="0" applyProtection="0"/>
    <xf numFmtId="0" fontId="1" fillId="7" borderId="3" applyNumberFormat="0" applyFont="0" applyAlignment="0" applyProtection="0"/>
    <xf numFmtId="0" fontId="12" fillId="9" borderId="24" applyNumberFormat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0" fillId="7" borderId="3" xfId="8" applyFont="1"/>
    <xf numFmtId="0" fontId="3" fillId="3" borderId="6" xfId="2" applyBorder="1" applyAlignment="1">
      <alignment horizontal="center" vertical="center"/>
    </xf>
    <xf numFmtId="0" fontId="7" fillId="6" borderId="4" xfId="6" applyBorder="1"/>
    <xf numFmtId="0" fontId="6" fillId="6" borderId="2" xfId="5" applyAlignment="1">
      <alignment horizontal="center" vertical="center"/>
    </xf>
    <xf numFmtId="0" fontId="6" fillId="6" borderId="5" xfId="5" applyBorder="1" applyAlignment="1">
      <alignment horizontal="center" vertical="center"/>
    </xf>
    <xf numFmtId="0" fontId="3" fillId="3" borderId="10" xfId="2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6" fillId="6" borderId="4" xfId="5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0" fillId="7" borderId="3" xfId="8" applyFont="1" applyAlignment="1">
      <alignment horizontal="center" vertical="center"/>
    </xf>
    <xf numFmtId="0" fontId="0" fillId="7" borderId="15" xfId="8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7" fillId="6" borderId="1" xfId="6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4" fillId="7" borderId="3" xfId="8" applyFont="1" applyAlignment="1">
      <alignment horizontal="center" vertical="center"/>
    </xf>
    <xf numFmtId="0" fontId="5" fillId="5" borderId="1" xfId="4" applyAlignment="1">
      <alignment horizontal="center" vertical="center"/>
    </xf>
    <xf numFmtId="0" fontId="5" fillId="5" borderId="17" xfId="4" applyBorder="1" applyAlignment="1">
      <alignment horizontal="center" vertical="center"/>
    </xf>
    <xf numFmtId="0" fontId="8" fillId="5" borderId="1" xfId="7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5" borderId="21" xfId="4" applyBorder="1" applyAlignment="1">
      <alignment horizontal="center" vertical="center"/>
    </xf>
    <xf numFmtId="0" fontId="5" fillId="5" borderId="22" xfId="4" applyBorder="1" applyAlignment="1">
      <alignment horizontal="center" vertical="center"/>
    </xf>
    <xf numFmtId="0" fontId="8" fillId="4" borderId="4" xfId="7" applyFill="1" applyBorder="1" applyAlignment="1">
      <alignment horizontal="center" vertical="center"/>
    </xf>
    <xf numFmtId="0" fontId="8" fillId="7" borderId="3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11" fontId="6" fillId="6" borderId="4" xfId="5" applyNumberFormat="1" applyBorder="1" applyAlignment="1">
      <alignment horizontal="center" vertical="center"/>
    </xf>
    <xf numFmtId="0" fontId="0" fillId="7" borderId="3" xfId="8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6" borderId="2" xfId="5" applyNumberFormat="1" applyAlignment="1">
      <alignment horizontal="center" vertical="center"/>
    </xf>
    <xf numFmtId="0" fontId="6" fillId="6" borderId="2" xfId="5" applyAlignment="1">
      <alignment horizontal="center"/>
    </xf>
    <xf numFmtId="0" fontId="6" fillId="6" borderId="7" xfId="5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6" xfId="1" applyBorder="1" applyAlignment="1">
      <alignment horizontal="center"/>
    </xf>
    <xf numFmtId="0" fontId="6" fillId="6" borderId="8" xfId="5" applyBorder="1" applyAlignment="1">
      <alignment horizontal="center"/>
    </xf>
    <xf numFmtId="0" fontId="7" fillId="6" borderId="9" xfId="6" applyBorder="1" applyAlignment="1">
      <alignment horizontal="center"/>
    </xf>
    <xf numFmtId="0" fontId="7" fillId="6" borderId="4" xfId="6" applyBorder="1" applyAlignment="1">
      <alignment horizontal="center"/>
    </xf>
    <xf numFmtId="0" fontId="6" fillId="6" borderId="4" xfId="5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7" borderId="3" xfId="8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3" xfId="8" applyFont="1" applyBorder="1" applyAlignment="1">
      <alignment horizontal="center" vertical="center"/>
    </xf>
    <xf numFmtId="0" fontId="0" fillId="7" borderId="14" xfId="8" applyFont="1" applyBorder="1" applyAlignment="1">
      <alignment horizontal="center" vertical="center"/>
    </xf>
    <xf numFmtId="0" fontId="0" fillId="7" borderId="15" xfId="8" applyFont="1" applyBorder="1" applyAlignment="1">
      <alignment horizontal="center" vertical="center"/>
    </xf>
    <xf numFmtId="0" fontId="5" fillId="5" borderId="1" xfId="4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4" fillId="7" borderId="3" xfId="8" applyFont="1" applyAlignment="1">
      <alignment horizontal="center" vertical="center"/>
    </xf>
    <xf numFmtId="0" fontId="8" fillId="5" borderId="17" xfId="7" applyFill="1" applyBorder="1" applyAlignment="1">
      <alignment horizontal="center" vertical="center"/>
    </xf>
    <xf numFmtId="0" fontId="8" fillId="5" borderId="18" xfId="7" applyFill="1" applyBorder="1" applyAlignment="1">
      <alignment horizontal="center" vertical="center"/>
    </xf>
    <xf numFmtId="0" fontId="8" fillId="5" borderId="19" xfId="7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5" borderId="17" xfId="4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0" fillId="7" borderId="23" xfId="8" applyFont="1" applyBorder="1" applyAlignment="1">
      <alignment horizontal="center" vertical="center"/>
    </xf>
    <xf numFmtId="0" fontId="8" fillId="4" borderId="4" xfId="7" applyFill="1" applyBorder="1" applyAlignment="1">
      <alignment horizontal="center" vertical="center"/>
    </xf>
    <xf numFmtId="0" fontId="8" fillId="7" borderId="3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6" fillId="6" borderId="2" xfId="5" applyAlignment="1">
      <alignment horizontal="center" vertical="center"/>
    </xf>
    <xf numFmtId="0" fontId="7" fillId="6" borderId="17" xfId="6" applyBorder="1" applyAlignment="1">
      <alignment horizontal="center" vertical="center"/>
    </xf>
    <xf numFmtId="0" fontId="6" fillId="6" borderId="5" xfId="5" applyNumberFormat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25" xfId="3" applyBorder="1" applyAlignment="1">
      <alignment horizontal="center" vertical="center"/>
    </xf>
    <xf numFmtId="0" fontId="4" fillId="4" borderId="9" xfId="3" applyBorder="1" applyAlignment="1">
      <alignment horizontal="center" vertical="center"/>
    </xf>
    <xf numFmtId="0" fontId="12" fillId="9" borderId="24" xfId="9" applyAlignment="1">
      <alignment horizontal="center" vertical="center"/>
    </xf>
  </cellXfs>
  <cellStyles count="10">
    <cellStyle name="Bad" xfId="2" builtinId="27"/>
    <cellStyle name="Calculation" xfId="6" builtinId="22"/>
    <cellStyle name="Check Cell" xfId="9" builtinId="23"/>
    <cellStyle name="Good" xfId="1" builtinId="26"/>
    <cellStyle name="Input" xfId="4" builtinId="20"/>
    <cellStyle name="Neutral" xfId="3" builtinId="28"/>
    <cellStyle name="Normal" xfId="0" builtinId="0"/>
    <cellStyle name="Note" xfId="8" builtinId="10"/>
    <cellStyle name="Output" xfId="5" builtinId="21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v>308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KM!$A$10:$F$10</c:f>
              <c:numCache>
                <c:formatCode>General</c:formatCode>
                <c:ptCount val="6"/>
                <c:pt idx="0">
                  <c:v>769</c:v>
                </c:pt>
                <c:pt idx="1">
                  <c:v>817</c:v>
                </c:pt>
                <c:pt idx="2">
                  <c:v>849</c:v>
                </c:pt>
                <c:pt idx="3">
                  <c:v>875</c:v>
                </c:pt>
                <c:pt idx="4">
                  <c:v>896</c:v>
                </c:pt>
                <c:pt idx="5">
                  <c:v>914</c:v>
                </c:pt>
              </c:numCache>
            </c:numRef>
          </c:xVal>
          <c:yVal>
            <c:numRef>
              <c:f>KM!$H$15:$M$15</c:f>
              <c:numCache>
                <c:formatCode>General</c:formatCode>
                <c:ptCount val="6"/>
                <c:pt idx="0">
                  <c:v>1.1773420999999988</c:v>
                </c:pt>
                <c:pt idx="1">
                  <c:v>1.4053852999999989</c:v>
                </c:pt>
                <c:pt idx="2">
                  <c:v>1.557414099999999</c:v>
                </c:pt>
                <c:pt idx="3">
                  <c:v>1.6809374999999989</c:v>
                </c:pt>
                <c:pt idx="4">
                  <c:v>1.7807063999999997</c:v>
                </c:pt>
                <c:pt idx="5">
                  <c:v>1.8662226000000004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C1-4390-A8AA-48678813F355}"/>
            </c:ext>
          </c:extLst>
        </c:ser>
        <c:ser>
          <c:idx val="5"/>
          <c:order val="5"/>
          <c:tx>
            <c:v>318 model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KM!$A$11:$F$11</c:f>
              <c:numCache>
                <c:formatCode>General</c:formatCode>
                <c:ptCount val="6"/>
                <c:pt idx="0">
                  <c:v>661</c:v>
                </c:pt>
                <c:pt idx="1">
                  <c:v>744</c:v>
                </c:pt>
                <c:pt idx="2">
                  <c:v>791</c:v>
                </c:pt>
                <c:pt idx="3">
                  <c:v>824</c:v>
                </c:pt>
                <c:pt idx="4">
                  <c:v>851</c:v>
                </c:pt>
                <c:pt idx="5">
                  <c:v>872</c:v>
                </c:pt>
              </c:numCache>
            </c:numRef>
          </c:xVal>
          <c:yVal>
            <c:numRef>
              <c:f>KM!$H$16:$M$16</c:f>
              <c:numCache>
                <c:formatCode>General</c:formatCode>
                <c:ptCount val="6"/>
                <c:pt idx="0">
                  <c:v>0.71051489999999973</c:v>
                </c:pt>
                <c:pt idx="1">
                  <c:v>1.1106496000000003</c:v>
                </c:pt>
                <c:pt idx="2">
                  <c:v>1.3372319000000008</c:v>
                </c:pt>
                <c:pt idx="3">
                  <c:v>1.4963215999999999</c:v>
                </c:pt>
                <c:pt idx="4">
                  <c:v>1.6264859000000005</c:v>
                </c:pt>
                <c:pt idx="5">
                  <c:v>1.7277248000000007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C1-4390-A8AA-48678813F355}"/>
            </c:ext>
          </c:extLst>
        </c:ser>
        <c:ser>
          <c:idx val="6"/>
          <c:order val="6"/>
          <c:tx>
            <c:v>328 model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KM!$A$12:$F$12</c:f>
              <c:numCache>
                <c:formatCode>General</c:formatCode>
                <c:ptCount val="6"/>
                <c:pt idx="0">
                  <c:v>509</c:v>
                </c:pt>
                <c:pt idx="1">
                  <c:v>656</c:v>
                </c:pt>
                <c:pt idx="2">
                  <c:v>725</c:v>
                </c:pt>
                <c:pt idx="3">
                  <c:v>769</c:v>
                </c:pt>
                <c:pt idx="4">
                  <c:v>802</c:v>
                </c:pt>
                <c:pt idx="5">
                  <c:v>829</c:v>
                </c:pt>
              </c:numCache>
            </c:numRef>
          </c:xVal>
          <c:yVal>
            <c:numRef>
              <c:f>KM!$H$17:$M$17</c:f>
              <c:numCache>
                <c:formatCode>General</c:formatCode>
                <c:ptCount val="6"/>
                <c:pt idx="0">
                  <c:v>7.9538100000000611E-2</c:v>
                </c:pt>
                <c:pt idx="1">
                  <c:v>0.81761039999999952</c:v>
                </c:pt>
                <c:pt idx="2">
                  <c:v>1.1640525000000004</c:v>
                </c:pt>
                <c:pt idx="3">
                  <c:v>1.3849720999999988</c:v>
                </c:pt>
                <c:pt idx="4">
                  <c:v>1.5506618000000003</c:v>
                </c:pt>
                <c:pt idx="5">
                  <c:v>1.686226099999999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C1-4390-A8AA-48678813F355}"/>
            </c:ext>
          </c:extLst>
        </c:ser>
        <c:ser>
          <c:idx val="7"/>
          <c:order val="7"/>
          <c:tx>
            <c:v>338 model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KM!$A$13:$F$13</c:f>
              <c:numCache>
                <c:formatCode>General</c:formatCode>
                <c:ptCount val="6"/>
                <c:pt idx="0">
                  <c:v>388</c:v>
                </c:pt>
                <c:pt idx="1">
                  <c:v>557</c:v>
                </c:pt>
                <c:pt idx="2">
                  <c:v>652</c:v>
                </c:pt>
                <c:pt idx="3">
                  <c:v>710</c:v>
                </c:pt>
                <c:pt idx="4">
                  <c:v>751</c:v>
                </c:pt>
                <c:pt idx="5">
                  <c:v>783</c:v>
                </c:pt>
              </c:numCache>
            </c:numRef>
          </c:xVal>
          <c:yVal>
            <c:numRef>
              <c:f>KM!$H$18:$M$18</c:f>
              <c:numCache>
                <c:formatCode>General</c:formatCode>
                <c:ptCount val="6"/>
                <c:pt idx="0">
                  <c:v>-0.44263079999999988</c:v>
                </c:pt>
                <c:pt idx="1">
                  <c:v>0.44308129999999935</c:v>
                </c:pt>
                <c:pt idx="2">
                  <c:v>0.94096679999999999</c:v>
                </c:pt>
                <c:pt idx="3">
                  <c:v>1.2449389999999987</c:v>
                </c:pt>
                <c:pt idx="4">
                  <c:v>1.4598158999999988</c:v>
                </c:pt>
                <c:pt idx="5">
                  <c:v>1.6275247000000004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C1-4390-A8AA-48678813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88144"/>
        <c:axId val="121470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308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KM!$A$10:$F$10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769</c:v>
                      </c:pt>
                      <c:pt idx="1">
                        <c:v>817</c:v>
                      </c:pt>
                      <c:pt idx="2">
                        <c:v>849</c:v>
                      </c:pt>
                      <c:pt idx="3">
                        <c:v>875</c:v>
                      </c:pt>
                      <c:pt idx="4">
                        <c:v>896</c:v>
                      </c:pt>
                      <c:pt idx="5">
                        <c:v>914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KM!$H$5:$M$5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0.70803579305369591</c:v>
                      </c:pt>
                      <c:pt idx="1">
                        <c:v>0.84156718567821853</c:v>
                      </c:pt>
                      <c:pt idx="2">
                        <c:v>0.90825856017689077</c:v>
                      </c:pt>
                      <c:pt idx="3">
                        <c:v>1.2029723039923526</c:v>
                      </c:pt>
                      <c:pt idx="4">
                        <c:v>1.33500106673234</c:v>
                      </c:pt>
                      <c:pt idx="5">
                        <c:v>1.6714733033535532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EC1-4390-A8AA-48678813F3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318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KM!$A$11:$F$11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661</c:v>
                      </c:pt>
                      <c:pt idx="1">
                        <c:v>744</c:v>
                      </c:pt>
                      <c:pt idx="2">
                        <c:v>791</c:v>
                      </c:pt>
                      <c:pt idx="3">
                        <c:v>824</c:v>
                      </c:pt>
                      <c:pt idx="4">
                        <c:v>851</c:v>
                      </c:pt>
                      <c:pt idx="5">
                        <c:v>872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KM!$H$6:$M$6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0.48858001481867092</c:v>
                      </c:pt>
                      <c:pt idx="1">
                        <c:v>0.74668794748797507</c:v>
                      </c:pt>
                      <c:pt idx="2">
                        <c:v>1.1378330018213911</c:v>
                      </c:pt>
                      <c:pt idx="3">
                        <c:v>1.2837077723447896</c:v>
                      </c:pt>
                      <c:pt idx="4">
                        <c:v>1.4586150226995167</c:v>
                      </c:pt>
                      <c:pt idx="5">
                        <c:v>1.7850704810772584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C1-4390-A8AA-48678813F35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328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KM!$A$12:$F$12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509</c:v>
                      </c:pt>
                      <c:pt idx="1">
                        <c:v>656</c:v>
                      </c:pt>
                      <c:pt idx="2">
                        <c:v>725</c:v>
                      </c:pt>
                      <c:pt idx="3">
                        <c:v>769</c:v>
                      </c:pt>
                      <c:pt idx="4">
                        <c:v>802</c:v>
                      </c:pt>
                      <c:pt idx="5">
                        <c:v>829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KM!$H$7:$M$7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0.25464221837358075</c:v>
                      </c:pt>
                      <c:pt idx="1">
                        <c:v>0.67294447324242579</c:v>
                      </c:pt>
                      <c:pt idx="2">
                        <c:v>1.324418957401803</c:v>
                      </c:pt>
                      <c:pt idx="3">
                        <c:v>1.4060969884160703</c:v>
                      </c:pt>
                      <c:pt idx="4">
                        <c:v>1.6789639750827108</c:v>
                      </c:pt>
                      <c:pt idx="5">
                        <c:v>1.9768549529047348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C1-4390-A8AA-48678813F3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338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KM!$A$13:$F$13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388</c:v>
                      </c:pt>
                      <c:pt idx="1">
                        <c:v>557</c:v>
                      </c:pt>
                      <c:pt idx="2">
                        <c:v>652</c:v>
                      </c:pt>
                      <c:pt idx="3">
                        <c:v>710</c:v>
                      </c:pt>
                      <c:pt idx="4">
                        <c:v>751</c:v>
                      </c:pt>
                      <c:pt idx="5">
                        <c:v>783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KM!$H$8:$M$8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-0.10536051565782628</c:v>
                      </c:pt>
                      <c:pt idx="1">
                        <c:v>0.41871033485818504</c:v>
                      </c:pt>
                      <c:pt idx="2">
                        <c:v>1.4793292270870799</c:v>
                      </c:pt>
                      <c:pt idx="3">
                        <c:v>1.5973653311998313</c:v>
                      </c:pt>
                      <c:pt idx="4">
                        <c:v>1.8082887711792655</c:v>
                      </c:pt>
                      <c:pt idx="5">
                        <c:v>2.0806907610802678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C1-4390-A8AA-48678813F355}"/>
                  </c:ext>
                </c:extLst>
              </c15:ser>
            </c15:filteredScatterSeries>
          </c:ext>
        </c:extLst>
      </c:scatterChart>
      <c:valAx>
        <c:axId val="12146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024"/>
        <c:crosses val="autoZero"/>
        <c:crossBetween val="midCat"/>
      </c:valAx>
      <c:valAx>
        <c:axId val="1214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GM!$H$17:$M$17</c:f>
              <c:numCache>
                <c:formatCode>General</c:formatCode>
                <c:ptCount val="6"/>
                <c:pt idx="0">
                  <c:v>12.375190752479218</c:v>
                </c:pt>
                <c:pt idx="1">
                  <c:v>12.435738877833577</c:v>
                </c:pt>
                <c:pt idx="2">
                  <c:v>12.474158969284922</c:v>
                </c:pt>
                <c:pt idx="3">
                  <c:v>12.504323669331189</c:v>
                </c:pt>
                <c:pt idx="4">
                  <c:v>12.528040195948504</c:v>
                </c:pt>
                <c:pt idx="5">
                  <c:v>12.547930354427724</c:v>
                </c:pt>
              </c:numCache>
            </c:numRef>
          </c:xVal>
          <c:yVal>
            <c:numRef>
              <c:f>GM!$H$12:$M$12</c:f>
              <c:numCache>
                <c:formatCode>General</c:formatCode>
                <c:ptCount val="6"/>
                <c:pt idx="0">
                  <c:v>5.3042173325473883</c:v>
                </c:pt>
                <c:pt idx="1">
                  <c:v>5.619200790265829</c:v>
                </c:pt>
                <c:pt idx="2">
                  <c:v>5.8190697900140194</c:v>
                </c:pt>
                <c:pt idx="3">
                  <c:v>5.9759925925947144</c:v>
                </c:pt>
                <c:pt idx="4">
                  <c:v>6.0993707073633132</c:v>
                </c:pt>
                <c:pt idx="5">
                  <c:v>6.2028432898039014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B-4221-823A-A3BFB92157CE}"/>
            </c:ext>
          </c:extLst>
        </c:ser>
        <c:ser>
          <c:idx val="1"/>
          <c:order val="1"/>
          <c:tx>
            <c:v>318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GM!$H$18:$M$18</c:f>
              <c:numCache>
                <c:formatCode>General</c:formatCode>
                <c:ptCount val="6"/>
                <c:pt idx="0">
                  <c:v>12.255805222631864</c:v>
                </c:pt>
                <c:pt idx="1">
                  <c:v>12.374092417613269</c:v>
                </c:pt>
                <c:pt idx="2">
                  <c:v>12.435349350547831</c:v>
                </c:pt>
                <c:pt idx="3">
                  <c:v>12.476221912689649</c:v>
                </c:pt>
                <c:pt idx="4">
                  <c:v>12.508463511353551</c:v>
                </c:pt>
                <c:pt idx="5">
                  <c:v>12.532840806689157</c:v>
                </c:pt>
              </c:numCache>
            </c:numRef>
          </c:xVal>
          <c:yVal>
            <c:numRef>
              <c:f>GM!$H$13:$M$13</c:f>
              <c:numCache>
                <c:formatCode>General</c:formatCode>
                <c:ptCount val="6"/>
                <c:pt idx="0">
                  <c:v>4.5135750383147517</c:v>
                </c:pt>
                <c:pt idx="1">
                  <c:v>5.0408047237858717</c:v>
                </c:pt>
                <c:pt idx="2">
                  <c:v>5.3138391252617971</c:v>
                </c:pt>
                <c:pt idx="3">
                  <c:v>5.4960163092403143</c:v>
                </c:pt>
                <c:pt idx="4">
                  <c:v>5.6397235628050559</c:v>
                </c:pt>
                <c:pt idx="5">
                  <c:v>5.7483780435749132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B-4221-823A-A3BFB92157CE}"/>
            </c:ext>
          </c:extLst>
        </c:ser>
        <c:ser>
          <c:idx val="2"/>
          <c:order val="2"/>
          <c:tx>
            <c:v>328 Model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GM!$H$19:$M$19</c:f>
              <c:numCache>
                <c:formatCode>General</c:formatCode>
                <c:ptCount val="6"/>
                <c:pt idx="0">
                  <c:v>12.025461624934666</c:v>
                </c:pt>
                <c:pt idx="1">
                  <c:v>12.279174397328232</c:v>
                </c:pt>
                <c:pt idx="2">
                  <c:v>12.379185263238819</c:v>
                </c:pt>
                <c:pt idx="3">
                  <c:v>12.438104577889789</c:v>
                </c:pt>
                <c:pt idx="4">
                  <c:v>12.480122216250658</c:v>
                </c:pt>
                <c:pt idx="5">
                  <c:v>12.513233763519439</c:v>
                </c:pt>
              </c:numCache>
            </c:numRef>
          </c:xVal>
          <c:yVal>
            <c:numRef>
              <c:f>GM!$H$14:$M$14</c:f>
              <c:numCache>
                <c:formatCode>General</c:formatCode>
                <c:ptCount val="6"/>
                <c:pt idx="0">
                  <c:v>3.6971285336894404</c:v>
                </c:pt>
                <c:pt idx="1">
                  <c:v>4.5633293099183199</c:v>
                </c:pt>
                <c:pt idx="2">
                  <c:v>4.9047764072236539</c:v>
                </c:pt>
                <c:pt idx="3">
                  <c:v>5.1059328393735264</c:v>
                </c:pt>
                <c:pt idx="4">
                  <c:v>5.2493852585013734</c:v>
                </c:pt>
                <c:pt idx="5">
                  <c:v>5.3624313920317199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B-4221-823A-A3BFB92157CE}"/>
            </c:ext>
          </c:extLst>
        </c:ser>
        <c:ser>
          <c:idx val="3"/>
          <c:order val="3"/>
          <c:tx>
            <c:v>338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GM!$H$20:$M$20</c:f>
              <c:numCache>
                <c:formatCode>General</c:formatCode>
                <c:ptCount val="6"/>
                <c:pt idx="0">
                  <c:v>11.784051235106292</c:v>
                </c:pt>
                <c:pt idx="1">
                  <c:v>12.145611135410302</c:v>
                </c:pt>
                <c:pt idx="2">
                  <c:v>12.303090457409672</c:v>
                </c:pt>
                <c:pt idx="3">
                  <c:v>12.388310865518379</c:v>
                </c:pt>
                <c:pt idx="4">
                  <c:v>12.444451547247153</c:v>
                </c:pt>
                <c:pt idx="5">
                  <c:v>12.486178591473822</c:v>
                </c:pt>
              </c:numCache>
            </c:numRef>
          </c:xVal>
          <c:yVal>
            <c:numRef>
              <c:f>GM!$H$15:$M$15</c:f>
              <c:numCache>
                <c:formatCode>General</c:formatCode>
                <c:ptCount val="6"/>
                <c:pt idx="0">
                  <c:v>2.7917756515176961</c:v>
                </c:pt>
                <c:pt idx="1">
                  <c:v>3.9353534601892477</c:v>
                </c:pt>
                <c:pt idx="2">
                  <c:v>4.4334448077410542</c:v>
                </c:pt>
                <c:pt idx="3">
                  <c:v>4.7029884365480825</c:v>
                </c:pt>
                <c:pt idx="4">
                  <c:v>4.8805557987880235</c:v>
                </c:pt>
                <c:pt idx="5">
                  <c:v>5.0125342669725512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B-4221-823A-A3BFB92157CE}"/>
            </c:ext>
          </c:extLst>
        </c:ser>
        <c:ser>
          <c:idx val="4"/>
          <c:order val="4"/>
          <c:tx>
            <c:v>308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GM!$H$17:$M$17</c:f>
              <c:numCache>
                <c:formatCode>General</c:formatCode>
                <c:ptCount val="6"/>
                <c:pt idx="0">
                  <c:v>12.375190752479218</c:v>
                </c:pt>
                <c:pt idx="1">
                  <c:v>12.435738877833577</c:v>
                </c:pt>
                <c:pt idx="2">
                  <c:v>12.474158969284922</c:v>
                </c:pt>
                <c:pt idx="3">
                  <c:v>12.504323669331189</c:v>
                </c:pt>
                <c:pt idx="4">
                  <c:v>12.528040195948504</c:v>
                </c:pt>
                <c:pt idx="5">
                  <c:v>12.547930354427724</c:v>
                </c:pt>
              </c:numCache>
            </c:numRef>
          </c:xVal>
          <c:yVal>
            <c:numRef>
              <c:f>GM!$N$2:$S$2</c:f>
              <c:numCache>
                <c:formatCode>General</c:formatCode>
                <c:ptCount val="6"/>
                <c:pt idx="0">
                  <c:v>5.4331054298946153</c:v>
                </c:pt>
                <c:pt idx="1">
                  <c:v>5.5666368225191381</c:v>
                </c:pt>
                <c:pt idx="2">
                  <c:v>5.6333281970178106</c:v>
                </c:pt>
                <c:pt idx="3">
                  <c:v>5.928041940833273</c:v>
                </c:pt>
                <c:pt idx="4">
                  <c:v>6.0600707035732597</c:v>
                </c:pt>
                <c:pt idx="5">
                  <c:v>6.3965429401944736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B-4221-823A-A3BFB92157CE}"/>
            </c:ext>
          </c:extLst>
        </c:ser>
        <c:ser>
          <c:idx val="5"/>
          <c:order val="5"/>
          <c:tx>
            <c:v>318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GM!$H$18:$M$18</c:f>
              <c:numCache>
                <c:formatCode>General</c:formatCode>
                <c:ptCount val="6"/>
                <c:pt idx="0">
                  <c:v>12.255805222631864</c:v>
                </c:pt>
                <c:pt idx="1">
                  <c:v>12.374092417613269</c:v>
                </c:pt>
                <c:pt idx="2">
                  <c:v>12.435349350547831</c:v>
                </c:pt>
                <c:pt idx="3">
                  <c:v>12.476221912689649</c:v>
                </c:pt>
                <c:pt idx="4">
                  <c:v>12.508463511353551</c:v>
                </c:pt>
                <c:pt idx="5">
                  <c:v>12.532840806689157</c:v>
                </c:pt>
              </c:numCache>
            </c:numRef>
          </c:xVal>
          <c:yVal>
            <c:numRef>
              <c:f>GM!$N$3:$S$3</c:f>
              <c:numCache>
                <c:formatCode>General</c:formatCode>
                <c:ptCount val="6"/>
                <c:pt idx="0">
                  <c:v>4.6306125386154022</c:v>
                </c:pt>
                <c:pt idx="1">
                  <c:v>4.8887204712847065</c:v>
                </c:pt>
                <c:pt idx="2">
                  <c:v>5.2798655256181224</c:v>
                </c:pt>
                <c:pt idx="3">
                  <c:v>5.4257402961415213</c:v>
                </c:pt>
                <c:pt idx="4">
                  <c:v>5.6006475464962495</c:v>
                </c:pt>
                <c:pt idx="5">
                  <c:v>5.9271030048739899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B-4221-823A-A3BFB92157CE}"/>
            </c:ext>
          </c:extLst>
        </c:ser>
        <c:ser>
          <c:idx val="6"/>
          <c:order val="6"/>
          <c:tx>
            <c:v>328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GM!$H$19:$M$19</c:f>
              <c:numCache>
                <c:formatCode>General</c:formatCode>
                <c:ptCount val="6"/>
                <c:pt idx="0">
                  <c:v>12.025461624934666</c:v>
                </c:pt>
                <c:pt idx="1">
                  <c:v>12.279174397328232</c:v>
                </c:pt>
                <c:pt idx="2">
                  <c:v>12.379185263238819</c:v>
                </c:pt>
                <c:pt idx="3">
                  <c:v>12.438104577889789</c:v>
                </c:pt>
                <c:pt idx="4">
                  <c:v>12.480122216250658</c:v>
                </c:pt>
                <c:pt idx="5">
                  <c:v>12.513233763519439</c:v>
                </c:pt>
              </c:numCache>
            </c:numRef>
          </c:xVal>
          <c:yVal>
            <c:numRef>
              <c:f>GM!$N$4:$S$4</c:f>
              <c:numCache>
                <c:formatCode>General</c:formatCode>
                <c:ptCount val="6"/>
                <c:pt idx="0">
                  <c:v>3.8491886726044289</c:v>
                </c:pt>
                <c:pt idx="1">
                  <c:v>4.2674909274732737</c:v>
                </c:pt>
                <c:pt idx="2">
                  <c:v>4.9189654116326498</c:v>
                </c:pt>
                <c:pt idx="3">
                  <c:v>5.0006434426469184</c:v>
                </c:pt>
                <c:pt idx="4">
                  <c:v>5.2735104293135588</c:v>
                </c:pt>
                <c:pt idx="5">
                  <c:v>5.571401407135582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B-4221-823A-A3BFB92157CE}"/>
            </c:ext>
          </c:extLst>
        </c:ser>
        <c:ser>
          <c:idx val="7"/>
          <c:order val="7"/>
          <c:tx>
            <c:v>338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GM!$H$20:$M$20</c:f>
              <c:numCache>
                <c:formatCode>General</c:formatCode>
                <c:ptCount val="6"/>
                <c:pt idx="0">
                  <c:v>11.784051235106292</c:v>
                </c:pt>
                <c:pt idx="1">
                  <c:v>12.145611135410302</c:v>
                </c:pt>
                <c:pt idx="2">
                  <c:v>12.303090457409672</c:v>
                </c:pt>
                <c:pt idx="3">
                  <c:v>12.388310865518379</c:v>
                </c:pt>
                <c:pt idx="4">
                  <c:v>12.444451547247153</c:v>
                </c:pt>
                <c:pt idx="5">
                  <c:v>12.486178591473822</c:v>
                </c:pt>
              </c:numCache>
            </c:numRef>
          </c:xVal>
          <c:yVal>
            <c:numRef>
              <c:f>GM!$N$5:$S$5</c:f>
              <c:numCache>
                <c:formatCode>General</c:formatCode>
                <c:ptCount val="6"/>
                <c:pt idx="0">
                  <c:v>2.9740954944252369</c:v>
                </c:pt>
                <c:pt idx="1">
                  <c:v>3.4981663449412483</c:v>
                </c:pt>
                <c:pt idx="2">
                  <c:v>4.5587852371701434</c:v>
                </c:pt>
                <c:pt idx="3">
                  <c:v>4.6768213412828938</c:v>
                </c:pt>
                <c:pt idx="4">
                  <c:v>4.8877447812623291</c:v>
                </c:pt>
                <c:pt idx="5">
                  <c:v>5.1601467711633315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AB-4221-823A-A3BFB921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56448"/>
        <c:axId val="1217950208"/>
      </c:scatterChart>
      <c:valAx>
        <c:axId val="12179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0208"/>
        <c:crosses val="autoZero"/>
        <c:crossBetween val="midCat"/>
      </c:valAx>
      <c:valAx>
        <c:axId val="12179502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43028660874052"/>
                  <c:y val="0.31911185903872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GM!$H$20:$M$20</c:f>
              <c:numCache>
                <c:formatCode>General</c:formatCode>
                <c:ptCount val="6"/>
                <c:pt idx="0">
                  <c:v>11.784051235106292</c:v>
                </c:pt>
                <c:pt idx="1">
                  <c:v>12.145611135410302</c:v>
                </c:pt>
                <c:pt idx="2">
                  <c:v>12.303090457409672</c:v>
                </c:pt>
                <c:pt idx="3">
                  <c:v>12.388310865518379</c:v>
                </c:pt>
                <c:pt idx="4">
                  <c:v>12.444451547247153</c:v>
                </c:pt>
                <c:pt idx="5">
                  <c:v>12.486178591473822</c:v>
                </c:pt>
              </c:numCache>
            </c:numRef>
          </c:xVal>
          <c:yVal>
            <c:numRef>
              <c:f>GM!$N$5:$S$5</c:f>
              <c:numCache>
                <c:formatCode>General</c:formatCode>
                <c:ptCount val="6"/>
                <c:pt idx="0">
                  <c:v>2.9740954944252369</c:v>
                </c:pt>
                <c:pt idx="1">
                  <c:v>3.4981663449412483</c:v>
                </c:pt>
                <c:pt idx="2">
                  <c:v>4.5587852371701434</c:v>
                </c:pt>
                <c:pt idx="3">
                  <c:v>4.6768213412828938</c:v>
                </c:pt>
                <c:pt idx="4">
                  <c:v>4.8877447812623291</c:v>
                </c:pt>
                <c:pt idx="5">
                  <c:v>5.1601467711633315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2-417B-904B-5B24A02BC7B9}"/>
            </c:ext>
          </c:extLst>
        </c:ser>
        <c:ser>
          <c:idx val="1"/>
          <c:order val="1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008668547738131"/>
                  <c:y val="0.1236682156155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GM!$H$19:$M$19</c:f>
              <c:numCache>
                <c:formatCode>General</c:formatCode>
                <c:ptCount val="6"/>
                <c:pt idx="0">
                  <c:v>12.025461624934666</c:v>
                </c:pt>
                <c:pt idx="1">
                  <c:v>12.279174397328232</c:v>
                </c:pt>
                <c:pt idx="2">
                  <c:v>12.379185263238819</c:v>
                </c:pt>
                <c:pt idx="3">
                  <c:v>12.438104577889789</c:v>
                </c:pt>
                <c:pt idx="4">
                  <c:v>12.480122216250658</c:v>
                </c:pt>
                <c:pt idx="5">
                  <c:v>12.513233763519439</c:v>
                </c:pt>
              </c:numCache>
            </c:numRef>
          </c:xVal>
          <c:yVal>
            <c:numRef>
              <c:f>GM!$N$4:$S$4</c:f>
              <c:numCache>
                <c:formatCode>General</c:formatCode>
                <c:ptCount val="6"/>
                <c:pt idx="0">
                  <c:v>3.8491886726044289</c:v>
                </c:pt>
                <c:pt idx="1">
                  <c:v>4.2674909274732737</c:v>
                </c:pt>
                <c:pt idx="2">
                  <c:v>4.9189654116326498</c:v>
                </c:pt>
                <c:pt idx="3">
                  <c:v>5.0006434426469184</c:v>
                </c:pt>
                <c:pt idx="4">
                  <c:v>5.2735104293135588</c:v>
                </c:pt>
                <c:pt idx="5">
                  <c:v>5.571401407135582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2-417B-904B-5B24A02BC7B9}"/>
            </c:ext>
          </c:extLst>
        </c:ser>
        <c:ser>
          <c:idx val="2"/>
          <c:order val="2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32985640701769"/>
                  <c:y val="6.4849248725175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GM!$H$18:$M$18</c:f>
              <c:numCache>
                <c:formatCode>General</c:formatCode>
                <c:ptCount val="6"/>
                <c:pt idx="0">
                  <c:v>12.255805222631864</c:v>
                </c:pt>
                <c:pt idx="1">
                  <c:v>12.374092417613269</c:v>
                </c:pt>
                <c:pt idx="2">
                  <c:v>12.435349350547831</c:v>
                </c:pt>
                <c:pt idx="3">
                  <c:v>12.476221912689649</c:v>
                </c:pt>
                <c:pt idx="4">
                  <c:v>12.508463511353551</c:v>
                </c:pt>
                <c:pt idx="5">
                  <c:v>12.532840806689157</c:v>
                </c:pt>
              </c:numCache>
            </c:numRef>
          </c:xVal>
          <c:yVal>
            <c:numRef>
              <c:f>GM!$N$3:$S$3</c:f>
              <c:numCache>
                <c:formatCode>General</c:formatCode>
                <c:ptCount val="6"/>
                <c:pt idx="0">
                  <c:v>4.6306125386154022</c:v>
                </c:pt>
                <c:pt idx="1">
                  <c:v>4.8887204712847065</c:v>
                </c:pt>
                <c:pt idx="2">
                  <c:v>5.2798655256181224</c:v>
                </c:pt>
                <c:pt idx="3">
                  <c:v>5.4257402961415213</c:v>
                </c:pt>
                <c:pt idx="4">
                  <c:v>5.6006475464962495</c:v>
                </c:pt>
                <c:pt idx="5">
                  <c:v>5.9271030048739899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2-417B-904B-5B24A02BC7B9}"/>
            </c:ext>
          </c:extLst>
        </c:ser>
        <c:ser>
          <c:idx val="3"/>
          <c:order val="3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GM!$H$17:$M$17</c:f>
              <c:numCache>
                <c:formatCode>General</c:formatCode>
                <c:ptCount val="6"/>
                <c:pt idx="0">
                  <c:v>12.375190752479218</c:v>
                </c:pt>
                <c:pt idx="1">
                  <c:v>12.435738877833577</c:v>
                </c:pt>
                <c:pt idx="2">
                  <c:v>12.474158969284922</c:v>
                </c:pt>
                <c:pt idx="3">
                  <c:v>12.504323669331189</c:v>
                </c:pt>
                <c:pt idx="4">
                  <c:v>12.528040195948504</c:v>
                </c:pt>
                <c:pt idx="5">
                  <c:v>12.547930354427724</c:v>
                </c:pt>
              </c:numCache>
            </c:numRef>
          </c:xVal>
          <c:yVal>
            <c:numRef>
              <c:f>GM!$N$2:$S$2</c:f>
              <c:numCache>
                <c:formatCode>General</c:formatCode>
                <c:ptCount val="6"/>
                <c:pt idx="0">
                  <c:v>5.4331054298946153</c:v>
                </c:pt>
                <c:pt idx="1">
                  <c:v>5.5666368225191381</c:v>
                </c:pt>
                <c:pt idx="2">
                  <c:v>5.6333281970178106</c:v>
                </c:pt>
                <c:pt idx="3">
                  <c:v>5.928041940833273</c:v>
                </c:pt>
                <c:pt idx="4">
                  <c:v>6.0600707035732597</c:v>
                </c:pt>
                <c:pt idx="5">
                  <c:v>6.3965429401944736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2-417B-904B-5B24A02B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31840"/>
        <c:axId val="1225628000"/>
      </c:scatterChart>
      <c:valAx>
        <c:axId val="12256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8000"/>
        <c:crosses val="autoZero"/>
        <c:crossBetween val="midCat"/>
      </c:valAx>
      <c:valAx>
        <c:axId val="12256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711369936453972E-2"/>
                  <c:y val="-7.22161643059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Model'!$A$12:$F$12</c:f>
              <c:numCache>
                <c:formatCode>General</c:formatCode>
                <c:ptCount val="6"/>
                <c:pt idx="0">
                  <c:v>6.6450909695056444</c:v>
                </c:pt>
                <c:pt idx="1">
                  <c:v>6.7056390948600031</c:v>
                </c:pt>
                <c:pt idx="2">
                  <c:v>6.7440591863113477</c:v>
                </c:pt>
                <c:pt idx="3">
                  <c:v>6.7742238863576141</c:v>
                </c:pt>
                <c:pt idx="4">
                  <c:v>6.7979404129749303</c:v>
                </c:pt>
                <c:pt idx="5">
                  <c:v>6.8178305714541496</c:v>
                </c:pt>
              </c:numCache>
            </c:numRef>
          </c:xVal>
          <c:yVal>
            <c:numRef>
              <c:f>'Chrastil Model'!$N$2:$S$2</c:f>
              <c:numCache>
                <c:formatCode>General</c:formatCode>
                <c:ptCount val="6"/>
                <c:pt idx="0">
                  <c:v>18.092732099551377</c:v>
                </c:pt>
                <c:pt idx="1">
                  <c:v>18.28681190753089</c:v>
                </c:pt>
                <c:pt idx="2">
                  <c:v>18.39192353348129</c:v>
                </c:pt>
                <c:pt idx="3">
                  <c:v>18.716802827345486</c:v>
                </c:pt>
                <c:pt idx="4">
                  <c:v>18.872548586704465</c:v>
                </c:pt>
                <c:pt idx="5">
                  <c:v>19.228912501811831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1-4D92-80CF-7F1CB68AF6F1}"/>
            </c:ext>
          </c:extLst>
        </c:ser>
        <c:ser>
          <c:idx val="1"/>
          <c:order val="1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273543115737505E-2"/>
                  <c:y val="0.12778334526366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Model'!$A$13:$F$13</c:f>
              <c:numCache>
                <c:formatCode>General</c:formatCode>
                <c:ptCount val="6"/>
                <c:pt idx="0">
                  <c:v>6.4937538398516859</c:v>
                </c:pt>
                <c:pt idx="1">
                  <c:v>6.6120410348330916</c:v>
                </c:pt>
                <c:pt idx="2">
                  <c:v>6.6732979677676543</c:v>
                </c:pt>
                <c:pt idx="3">
                  <c:v>6.7141705299094721</c:v>
                </c:pt>
                <c:pt idx="4">
                  <c:v>6.7464121285733745</c:v>
                </c:pt>
                <c:pt idx="5">
                  <c:v>6.7707894239089796</c:v>
                </c:pt>
              </c:numCache>
            </c:numRef>
          </c:xVal>
          <c:yVal>
            <c:numRef>
              <c:f>'Chrastil Model'!$N$3:$S$3</c:f>
              <c:numCache>
                <c:formatCode>General</c:formatCode>
                <c:ptCount val="6"/>
                <c:pt idx="0">
                  <c:v>17.031841174656023</c:v>
                </c:pt>
                <c:pt idx="1">
                  <c:v>17.408236782307629</c:v>
                </c:pt>
                <c:pt idx="2">
                  <c:v>17.86063977957825</c:v>
                </c:pt>
                <c:pt idx="3">
                  <c:v>18.047387602245117</c:v>
                </c:pt>
                <c:pt idx="4">
                  <c:v>18.254537141266475</c:v>
                </c:pt>
                <c:pt idx="5">
                  <c:v>18.605371554988338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91-4D92-80CF-7F1CB68AF6F1}"/>
            </c:ext>
          </c:extLst>
        </c:ser>
        <c:ser>
          <c:idx val="2"/>
          <c:order val="2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65988015167608"/>
                  <c:y val="0.2202726079694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Model'!$A$14:$F$14</c:f>
              <c:numCache>
                <c:formatCode>General</c:formatCode>
                <c:ptCount val="6"/>
                <c:pt idx="0">
                  <c:v>6.2324480165505225</c:v>
                </c:pt>
                <c:pt idx="1">
                  <c:v>6.4861607889440887</c:v>
                </c:pt>
                <c:pt idx="2">
                  <c:v>6.5861716548546747</c:v>
                </c:pt>
                <c:pt idx="3">
                  <c:v>6.6450909695056444</c:v>
                </c:pt>
                <c:pt idx="4">
                  <c:v>6.6871086078665147</c:v>
                </c:pt>
                <c:pt idx="5">
                  <c:v>6.7202201551352951</c:v>
                </c:pt>
              </c:numCache>
            </c:numRef>
          </c:xVal>
          <c:yVal>
            <c:numRef>
              <c:f>'Chrastil Model'!$N$4:$S$4</c:f>
              <c:numCache>
                <c:formatCode>General</c:formatCode>
                <c:ptCount val="6"/>
                <c:pt idx="0">
                  <c:v>15.888578720891788</c:v>
                </c:pt>
                <c:pt idx="1">
                  <c:v>16.56059441815529</c:v>
                </c:pt>
                <c:pt idx="2">
                  <c:v>17.312081568230401</c:v>
                </c:pt>
                <c:pt idx="3">
                  <c:v>17.452679233896891</c:v>
                </c:pt>
                <c:pt idx="4">
                  <c:v>17.767565138930443</c:v>
                </c:pt>
                <c:pt idx="5">
                  <c:v>18.098569524032946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91-4D92-80CF-7F1CB68AF6F1}"/>
            </c:ext>
          </c:extLst>
        </c:ser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489305179501406"/>
                  <c:y val="0.44298258172273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Model'!$A$15:$F$15</c:f>
              <c:numCache>
                <c:formatCode>General</c:formatCode>
                <c:ptCount val="6"/>
                <c:pt idx="0">
                  <c:v>5.9610053396232736</c:v>
                </c:pt>
                <c:pt idx="1">
                  <c:v>6.3225652399272843</c:v>
                </c:pt>
                <c:pt idx="2">
                  <c:v>6.4800445619266531</c:v>
                </c:pt>
                <c:pt idx="3">
                  <c:v>6.5652649700353614</c:v>
                </c:pt>
                <c:pt idx="4">
                  <c:v>6.6214056517641344</c:v>
                </c:pt>
                <c:pt idx="5">
                  <c:v>6.6631326959908028</c:v>
                </c:pt>
              </c:numCache>
            </c:numRef>
          </c:xVal>
          <c:yVal>
            <c:numRef>
              <c:f>'Chrastil Model'!$N$5:$S$5</c:f>
              <c:numCache>
                <c:formatCode>General</c:formatCode>
                <c:ptCount val="6"/>
                <c:pt idx="0">
                  <c:v>14.647458715502051</c:v>
                </c:pt>
                <c:pt idx="1">
                  <c:v>15.533090086322822</c:v>
                </c:pt>
                <c:pt idx="2">
                  <c:v>16.751191170559569</c:v>
                </c:pt>
                <c:pt idx="3">
                  <c:v>16.954448232783594</c:v>
                </c:pt>
                <c:pt idx="4">
                  <c:v>17.221513514498206</c:v>
                </c:pt>
                <c:pt idx="5">
                  <c:v>17.53564445863935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91-4D92-80CF-7F1CB68A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37120"/>
        <c:axId val="12256232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308 model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'Chrastil Model'!$A$12:$F$12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6.6450909695056444</c:v>
                      </c:pt>
                      <c:pt idx="1">
                        <c:v>6.7056390948600031</c:v>
                      </c:pt>
                      <c:pt idx="2">
                        <c:v>6.7440591863113477</c:v>
                      </c:pt>
                      <c:pt idx="3">
                        <c:v>6.7742238863576141</c:v>
                      </c:pt>
                      <c:pt idx="4">
                        <c:v>6.7979404129749303</c:v>
                      </c:pt>
                      <c:pt idx="5">
                        <c:v>6.8178305714541496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'Chrastil Model'!$H$12:$M$12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17.743557949964451</c:v>
                      </c:pt>
                      <c:pt idx="1">
                        <c:v>18.021407242403068</c:v>
                      </c:pt>
                      <c:pt idx="2">
                        <c:v>18.197713200064143</c:v>
                      </c:pt>
                      <c:pt idx="3">
                        <c:v>18.336135992106453</c:v>
                      </c:pt>
                      <c:pt idx="4">
                        <c:v>18.444968761100657</c:v>
                      </c:pt>
                      <c:pt idx="5">
                        <c:v>18.536242709345945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C91-4D92-80CF-7F1CB68AF6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318 model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'Chrastil Model'!$A$13:$F$13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6.4937538398516859</c:v>
                      </c:pt>
                      <c:pt idx="1">
                        <c:v>6.6120410348330916</c:v>
                      </c:pt>
                      <c:pt idx="2">
                        <c:v>6.6732979677676543</c:v>
                      </c:pt>
                      <c:pt idx="3">
                        <c:v>6.7141705299094721</c:v>
                      </c:pt>
                      <c:pt idx="4">
                        <c:v>6.7464121285733745</c:v>
                      </c:pt>
                      <c:pt idx="5">
                        <c:v>6.7707894239089796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'Chrastil Model'!$H$13:$M$13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17.049086995695401</c:v>
                      </c:pt>
                      <c:pt idx="1">
                        <c:v>17.591895104745571</c:v>
                      </c:pt>
                      <c:pt idx="2">
                        <c:v>17.872997044288987</c:v>
                      </c:pt>
                      <c:pt idx="3">
                        <c:v>18.060557144701576</c:v>
                      </c:pt>
                      <c:pt idx="4">
                        <c:v>18.208510616810358</c:v>
                      </c:pt>
                      <c:pt idx="5">
                        <c:v>18.320375587375914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C91-4D92-80CF-7F1CB68AF6F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328 model</c:v>
                </c:tx>
                <c:spPr>
                  <a:ln w="254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2060"/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'Chrastil Model'!$A$14:$F$14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6.2324480165505225</c:v>
                      </c:pt>
                      <c:pt idx="1">
                        <c:v>6.4861607889440887</c:v>
                      </c:pt>
                      <c:pt idx="2">
                        <c:v>6.5861716548546747</c:v>
                      </c:pt>
                      <c:pt idx="3">
                        <c:v>6.6450909695056444</c:v>
                      </c:pt>
                      <c:pt idx="4">
                        <c:v>6.6871086078665147</c:v>
                      </c:pt>
                      <c:pt idx="5">
                        <c:v>6.7202201551352951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'Chrastil Model'!$H$14:$M$14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15.849980703148692</c:v>
                      </c:pt>
                      <c:pt idx="1">
                        <c:v>17.014243244385526</c:v>
                      </c:pt>
                      <c:pt idx="2">
                        <c:v>17.473183106962615</c:v>
                      </c:pt>
                      <c:pt idx="3">
                        <c:v>17.743557949964451</c:v>
                      </c:pt>
                      <c:pt idx="4">
                        <c:v>17.936372690638649</c:v>
                      </c:pt>
                      <c:pt idx="5">
                        <c:v>18.088318269900356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C91-4D92-80CF-7F1CB68AF6F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338 model</c:v>
                </c:tx>
                <c:spPr>
                  <a:ln w="254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'Chrastil Model'!$A$15:$F$15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5.9610053396232736</c:v>
                      </c:pt>
                      <c:pt idx="1">
                        <c:v>6.3225652399272843</c:v>
                      </c:pt>
                      <c:pt idx="2">
                        <c:v>6.4800445619266531</c:v>
                      </c:pt>
                      <c:pt idx="3">
                        <c:v>6.5652649700353614</c:v>
                      </c:pt>
                      <c:pt idx="4">
                        <c:v>6.6214056517641344</c:v>
                      </c:pt>
                      <c:pt idx="5">
                        <c:v>6.6631326959908028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'Chrastil Model'!$H$15:$M$15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14.604357402997238</c:v>
                      </c:pt>
                      <c:pt idx="1">
                        <c:v>16.263519629502312</c:v>
                      </c:pt>
                      <c:pt idx="2">
                        <c:v>16.986176490225215</c:v>
                      </c:pt>
                      <c:pt idx="3">
                        <c:v>17.377244420995268</c:v>
                      </c:pt>
                      <c:pt idx="4">
                        <c:v>17.634868395380437</c:v>
                      </c:pt>
                      <c:pt idx="5">
                        <c:v>17.826349628632194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C91-4D92-80CF-7F1CB68AF6F1}"/>
                  </c:ext>
                </c:extLst>
              </c15:ser>
            </c15:filteredScatterSeries>
          </c:ext>
        </c:extLst>
      </c:scatterChart>
      <c:valAx>
        <c:axId val="12256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3200"/>
        <c:crosses val="autoZero"/>
        <c:crossBetween val="midCat"/>
      </c:valAx>
      <c:valAx>
        <c:axId val="122562320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3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'Bartle et al. Model info'!$A$12:$F$12</c:f>
              <c:numCache>
                <c:formatCode>General</c:formatCode>
                <c:ptCount val="6"/>
                <c:pt idx="0">
                  <c:v>69</c:v>
                </c:pt>
                <c:pt idx="1">
                  <c:v>117</c:v>
                </c:pt>
                <c:pt idx="2">
                  <c:v>149</c:v>
                </c:pt>
                <c:pt idx="3">
                  <c:v>175</c:v>
                </c:pt>
                <c:pt idx="4">
                  <c:v>196</c:v>
                </c:pt>
                <c:pt idx="5">
                  <c:v>214</c:v>
                </c:pt>
              </c:numCache>
            </c:numRef>
          </c:xVal>
          <c:yVal>
            <c:numRef>
              <c:f>'Bartle et al. Model info'!$N$2:$S$2</c:f>
              <c:numCache>
                <c:formatCode>General</c:formatCode>
                <c:ptCount val="6"/>
                <c:pt idx="0">
                  <c:v>9.1188128974270821</c:v>
                </c:pt>
                <c:pt idx="1">
                  <c:v>9.2523442900516049</c:v>
                </c:pt>
                <c:pt idx="2">
                  <c:v>9.3190356645502774</c:v>
                </c:pt>
                <c:pt idx="3">
                  <c:v>9.6137494083657398</c:v>
                </c:pt>
                <c:pt idx="4">
                  <c:v>9.7457781711057265</c:v>
                </c:pt>
                <c:pt idx="5">
                  <c:v>10.08225040772694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7-4BAE-8395-827CC0D8F17E}"/>
            </c:ext>
          </c:extLst>
        </c:ser>
        <c:ser>
          <c:idx val="1"/>
          <c:order val="1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'Bartle et al. Model info'!$A$13:$F$13</c:f>
              <c:numCache>
                <c:formatCode>General</c:formatCode>
                <c:ptCount val="6"/>
                <c:pt idx="0">
                  <c:v>-39</c:v>
                </c:pt>
                <c:pt idx="1">
                  <c:v>44</c:v>
                </c:pt>
                <c:pt idx="2">
                  <c:v>91</c:v>
                </c:pt>
                <c:pt idx="3">
                  <c:v>124</c:v>
                </c:pt>
                <c:pt idx="4">
                  <c:v>151</c:v>
                </c:pt>
                <c:pt idx="5">
                  <c:v>172</c:v>
                </c:pt>
              </c:numCache>
            </c:numRef>
          </c:xVal>
          <c:yVal>
            <c:numRef>
              <c:f>'Bartle et al. Model info'!$N$3:$S$3</c:f>
              <c:numCache>
                <c:formatCode>General</c:formatCode>
                <c:ptCount val="6"/>
                <c:pt idx="0">
                  <c:v>8.200417255596534</c:v>
                </c:pt>
                <c:pt idx="1">
                  <c:v>8.4585251882658383</c:v>
                </c:pt>
                <c:pt idx="2">
                  <c:v>8.8496702425992542</c:v>
                </c:pt>
                <c:pt idx="3">
                  <c:v>8.9955450131226531</c:v>
                </c:pt>
                <c:pt idx="4">
                  <c:v>9.1704522634773813</c:v>
                </c:pt>
                <c:pt idx="5">
                  <c:v>9.4969077218551217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7-4BAE-8395-827CC0D8F17E}"/>
            </c:ext>
          </c:extLst>
        </c:ser>
        <c:ser>
          <c:idx val="2"/>
          <c:order val="2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'Bartle et al. Model info'!$A$14:$F$14</c:f>
              <c:numCache>
                <c:formatCode>General</c:formatCode>
                <c:ptCount val="6"/>
                <c:pt idx="0">
                  <c:v>-191</c:v>
                </c:pt>
                <c:pt idx="1">
                  <c:v>-44</c:v>
                </c:pt>
                <c:pt idx="2">
                  <c:v>25</c:v>
                </c:pt>
                <c:pt idx="3">
                  <c:v>69</c:v>
                </c:pt>
                <c:pt idx="4">
                  <c:v>102</c:v>
                </c:pt>
                <c:pt idx="5">
                  <c:v>129</c:v>
                </c:pt>
              </c:numCache>
            </c:numRef>
          </c:xVal>
          <c:yVal>
            <c:numRef>
              <c:f>'Bartle et al. Model info'!$N$4:$S$4</c:f>
              <c:numCache>
                <c:formatCode>General</c:formatCode>
                <c:ptCount val="6"/>
                <c:pt idx="0">
                  <c:v>7.310157879921503</c:v>
                </c:pt>
                <c:pt idx="1">
                  <c:v>7.7284601347903479</c:v>
                </c:pt>
                <c:pt idx="2">
                  <c:v>8.3799346189497239</c:v>
                </c:pt>
                <c:pt idx="3">
                  <c:v>8.4616126499639925</c:v>
                </c:pt>
                <c:pt idx="4">
                  <c:v>8.734479636630633</c:v>
                </c:pt>
                <c:pt idx="5">
                  <c:v>9.0323706144526561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7-4BAE-8395-827CC0D8F17E}"/>
            </c:ext>
          </c:extLst>
        </c:ser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'Bartle et al. Model info'!$A$15:$F$15</c:f>
              <c:numCache>
                <c:formatCode>General</c:formatCode>
                <c:ptCount val="6"/>
                <c:pt idx="0">
                  <c:v>-312</c:v>
                </c:pt>
                <c:pt idx="1">
                  <c:v>-143</c:v>
                </c:pt>
                <c:pt idx="2">
                  <c:v>-48</c:v>
                </c:pt>
                <c:pt idx="3">
                  <c:v>10</c:v>
                </c:pt>
                <c:pt idx="4">
                  <c:v>51</c:v>
                </c:pt>
                <c:pt idx="5">
                  <c:v>83</c:v>
                </c:pt>
              </c:numCache>
            </c:numRef>
          </c:xVal>
          <c:yVal>
            <c:numRef>
              <c:f>'Bartle et al. Model info'!$N$5:$S$5</c:f>
              <c:numCache>
                <c:formatCode>General</c:formatCode>
                <c:ptCount val="6"/>
                <c:pt idx="0">
                  <c:v>6.3326691630642902</c:v>
                </c:pt>
                <c:pt idx="1">
                  <c:v>6.8567400135803016</c:v>
                </c:pt>
                <c:pt idx="2">
                  <c:v>7.9173589058091967</c:v>
                </c:pt>
                <c:pt idx="3">
                  <c:v>8.0353950099219471</c:v>
                </c:pt>
                <c:pt idx="4">
                  <c:v>8.2463184499013824</c:v>
                </c:pt>
                <c:pt idx="5">
                  <c:v>8.5187204398023848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7-4BAE-8395-827CC0D8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83200"/>
        <c:axId val="1225655360"/>
      </c:scatterChart>
      <c:valAx>
        <c:axId val="12256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55360"/>
        <c:crosses val="autoZero"/>
        <c:crossBetween val="midCat"/>
      </c:valAx>
      <c:valAx>
        <c:axId val="1225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'Sung-Shim Model'!$A$12:$F$12</c:f>
              <c:numCache>
                <c:formatCode>General</c:formatCode>
                <c:ptCount val="6"/>
                <c:pt idx="0">
                  <c:v>6.6450909695056444</c:v>
                </c:pt>
                <c:pt idx="1">
                  <c:v>6.7056390948600031</c:v>
                </c:pt>
                <c:pt idx="2">
                  <c:v>6.7440591863113477</c:v>
                </c:pt>
                <c:pt idx="3">
                  <c:v>6.7742238863576141</c:v>
                </c:pt>
                <c:pt idx="4">
                  <c:v>6.7979404129749303</c:v>
                </c:pt>
                <c:pt idx="5">
                  <c:v>6.8178305714541496</c:v>
                </c:pt>
              </c:numCache>
            </c:numRef>
          </c:xVal>
          <c:yVal>
            <c:numRef>
              <c:f>'Sung-Shim Model'!$N$2:$S$2</c:f>
              <c:numCache>
                <c:formatCode>General</c:formatCode>
                <c:ptCount val="6"/>
                <c:pt idx="0">
                  <c:v>25.157487572751755</c:v>
                </c:pt>
                <c:pt idx="1">
                  <c:v>25.291018965376274</c:v>
                </c:pt>
                <c:pt idx="2">
                  <c:v>25.357710339874949</c:v>
                </c:pt>
                <c:pt idx="3">
                  <c:v>25.652424083690413</c:v>
                </c:pt>
                <c:pt idx="4">
                  <c:v>25.784452846430398</c:v>
                </c:pt>
                <c:pt idx="5">
                  <c:v>26.12092508305161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0-437F-AAEA-04BA2C6B1FAE}"/>
            </c:ext>
          </c:extLst>
        </c:ser>
        <c:ser>
          <c:idx val="1"/>
          <c:order val="1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'Sung-Shim Model'!$A$13:$F$13</c:f>
              <c:numCache>
                <c:formatCode>General</c:formatCode>
                <c:ptCount val="6"/>
                <c:pt idx="0">
                  <c:v>6.4937538398516859</c:v>
                </c:pt>
                <c:pt idx="1">
                  <c:v>6.6120410348330916</c:v>
                </c:pt>
                <c:pt idx="2">
                  <c:v>6.6732979677676543</c:v>
                </c:pt>
                <c:pt idx="3">
                  <c:v>6.7141705299094721</c:v>
                </c:pt>
                <c:pt idx="4">
                  <c:v>6.7464121285733745</c:v>
                </c:pt>
                <c:pt idx="5">
                  <c:v>6.7707894239089796</c:v>
                </c:pt>
              </c:numCache>
            </c:numRef>
          </c:xVal>
          <c:yVal>
            <c:numRef>
              <c:f>'Sung-Shim Model'!$N$3:$S$3</c:f>
              <c:numCache>
                <c:formatCode>General</c:formatCode>
                <c:ptCount val="6"/>
                <c:pt idx="0">
                  <c:v>24.8923411549676</c:v>
                </c:pt>
                <c:pt idx="1">
                  <c:v>25.150449087636904</c:v>
                </c:pt>
                <c:pt idx="2">
                  <c:v>25.541594141970322</c:v>
                </c:pt>
                <c:pt idx="3">
                  <c:v>25.687468912493721</c:v>
                </c:pt>
                <c:pt idx="4">
                  <c:v>25.862376162848449</c:v>
                </c:pt>
                <c:pt idx="5">
                  <c:v>26.188831621226186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0-437F-AAEA-04BA2C6B1FAE}"/>
            </c:ext>
          </c:extLst>
        </c:ser>
        <c:ser>
          <c:idx val="2"/>
          <c:order val="2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'Sung-Shim Model'!$A$14:$F$14</c:f>
              <c:numCache>
                <c:formatCode>General</c:formatCode>
                <c:ptCount val="6"/>
                <c:pt idx="0">
                  <c:v>6.2324480165505225</c:v>
                </c:pt>
                <c:pt idx="1">
                  <c:v>6.4861607889440887</c:v>
                </c:pt>
                <c:pt idx="2">
                  <c:v>6.5861716548546747</c:v>
                </c:pt>
                <c:pt idx="3">
                  <c:v>6.6450909695056444</c:v>
                </c:pt>
                <c:pt idx="4">
                  <c:v>6.6871086078665147</c:v>
                </c:pt>
                <c:pt idx="5">
                  <c:v>6.7202201551352951</c:v>
                </c:pt>
              </c:numCache>
            </c:numRef>
          </c:xVal>
          <c:yVal>
            <c:numRef>
              <c:f>'Sung-Shim Model'!$N$4:$S$4</c:f>
              <c:numCache>
                <c:formatCode>General</c:formatCode>
                <c:ptCount val="6"/>
                <c:pt idx="0">
                  <c:v>24.61549873358004</c:v>
                </c:pt>
                <c:pt idx="1">
                  <c:v>25.033800988448881</c:v>
                </c:pt>
                <c:pt idx="2">
                  <c:v>25.685275472608261</c:v>
                </c:pt>
                <c:pt idx="3">
                  <c:v>25.766953503622528</c:v>
                </c:pt>
                <c:pt idx="4">
                  <c:v>26.039820490289166</c:v>
                </c:pt>
                <c:pt idx="5">
                  <c:v>26.337711468111191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0-437F-AAEA-04BA2C6B1FAE}"/>
            </c:ext>
          </c:extLst>
        </c:ser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'Sung-Shim Model'!$A$15:$F$15</c:f>
              <c:numCache>
                <c:formatCode>General</c:formatCode>
                <c:ptCount val="6"/>
                <c:pt idx="0">
                  <c:v>5.9610053396232736</c:v>
                </c:pt>
                <c:pt idx="1">
                  <c:v>6.3225652399272843</c:v>
                </c:pt>
                <c:pt idx="2">
                  <c:v>6.4800445619266531</c:v>
                </c:pt>
                <c:pt idx="3">
                  <c:v>6.5652649700353614</c:v>
                </c:pt>
                <c:pt idx="4">
                  <c:v>6.6214056517641344</c:v>
                </c:pt>
                <c:pt idx="5">
                  <c:v>6.6631326959908028</c:v>
                </c:pt>
              </c:numCache>
            </c:numRef>
          </c:xVal>
          <c:yVal>
            <c:numRef>
              <c:f>'Sung-Shim Model'!$N$5:$S$5</c:f>
              <c:numCache>
                <c:formatCode>General</c:formatCode>
                <c:ptCount val="6"/>
                <c:pt idx="0">
                  <c:v>24.215130109809849</c:v>
                </c:pt>
                <c:pt idx="1">
                  <c:v>24.73920096032586</c:v>
                </c:pt>
                <c:pt idx="2">
                  <c:v>25.799819852554755</c:v>
                </c:pt>
                <c:pt idx="3">
                  <c:v>25.917855956667509</c:v>
                </c:pt>
                <c:pt idx="4">
                  <c:v>26.128779396646941</c:v>
                </c:pt>
                <c:pt idx="5">
                  <c:v>26.401181386547947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0-437F-AAEA-04BA2C6B1FAE}"/>
            </c:ext>
          </c:extLst>
        </c:ser>
        <c:ser>
          <c:idx val="4"/>
          <c:order val="4"/>
          <c:tx>
            <c:v>308 model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'Sung-Shim Model'!$A$12:$F$12</c:f>
              <c:numCache>
                <c:formatCode>General</c:formatCode>
                <c:ptCount val="6"/>
                <c:pt idx="0">
                  <c:v>6.6450909695056444</c:v>
                </c:pt>
                <c:pt idx="1">
                  <c:v>6.7056390948600031</c:v>
                </c:pt>
                <c:pt idx="2">
                  <c:v>6.7440591863113477</c:v>
                </c:pt>
                <c:pt idx="3">
                  <c:v>6.7742238863576141</c:v>
                </c:pt>
                <c:pt idx="4">
                  <c:v>6.7979404129749303</c:v>
                </c:pt>
                <c:pt idx="5">
                  <c:v>6.8178305714541496</c:v>
                </c:pt>
              </c:numCache>
            </c:numRef>
          </c:xVal>
          <c:yVal>
            <c:numRef>
              <c:f>'Sung-Shim Model'!$H$12:$M$12</c:f>
              <c:numCache>
                <c:formatCode>General</c:formatCode>
                <c:ptCount val="6"/>
                <c:pt idx="0">
                  <c:v>25.067030709600385</c:v>
                </c:pt>
                <c:pt idx="1">
                  <c:v>25.295434161807655</c:v>
                </c:pt>
                <c:pt idx="2">
                  <c:v>25.440364850747216</c:v>
                </c:pt>
                <c:pt idx="3">
                  <c:v>25.554154032246096</c:v>
                </c:pt>
                <c:pt idx="4">
                  <c:v>25.643619007785105</c:v>
                </c:pt>
                <c:pt idx="5">
                  <c:v>25.718649916422088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20-437F-AAEA-04BA2C6B1FAE}"/>
            </c:ext>
          </c:extLst>
        </c:ser>
        <c:ser>
          <c:idx val="5"/>
          <c:order val="5"/>
          <c:tx>
            <c:v>318 Model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'Sung-Shim Model'!$A$13:$F$13</c:f>
              <c:numCache>
                <c:formatCode>General</c:formatCode>
                <c:ptCount val="6"/>
                <c:pt idx="0">
                  <c:v>6.4937538398516859</c:v>
                </c:pt>
                <c:pt idx="1">
                  <c:v>6.6120410348330916</c:v>
                </c:pt>
                <c:pt idx="2">
                  <c:v>6.6732979677676543</c:v>
                </c:pt>
                <c:pt idx="3">
                  <c:v>6.7141705299094721</c:v>
                </c:pt>
                <c:pt idx="4">
                  <c:v>6.7464121285733745</c:v>
                </c:pt>
                <c:pt idx="5">
                  <c:v>6.7707894239089796</c:v>
                </c:pt>
              </c:numCache>
            </c:numRef>
          </c:xVal>
          <c:yVal>
            <c:numRef>
              <c:f>'Sung-Shim Model'!$H$13:$M$13</c:f>
              <c:numCache>
                <c:formatCode>General</c:formatCode>
                <c:ptCount val="6"/>
                <c:pt idx="0">
                  <c:v>24.897950728811971</c:v>
                </c:pt>
                <c:pt idx="1">
                  <c:v>25.351480201152377</c:v>
                </c:pt>
                <c:pt idx="2">
                  <c:v>25.586347757825532</c:v>
                </c:pt>
                <c:pt idx="3">
                  <c:v>25.743058816400325</c:v>
                </c:pt>
                <c:pt idx="4">
                  <c:v>25.866677566779426</c:v>
                </c:pt>
                <c:pt idx="5">
                  <c:v>25.960143490055241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20-437F-AAEA-04BA2C6B1FAE}"/>
            </c:ext>
          </c:extLst>
        </c:ser>
        <c:ser>
          <c:idx val="6"/>
          <c:order val="6"/>
          <c:tx>
            <c:v>328 Model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'Sung-Shim Model'!$A$14:$F$14</c:f>
              <c:numCache>
                <c:formatCode>General</c:formatCode>
                <c:ptCount val="6"/>
                <c:pt idx="0">
                  <c:v>6.2324480165505225</c:v>
                </c:pt>
                <c:pt idx="1">
                  <c:v>6.4861607889440887</c:v>
                </c:pt>
                <c:pt idx="2">
                  <c:v>6.5861716548546747</c:v>
                </c:pt>
                <c:pt idx="3">
                  <c:v>6.6450909695056444</c:v>
                </c:pt>
                <c:pt idx="4">
                  <c:v>6.6871086078665147</c:v>
                </c:pt>
                <c:pt idx="5">
                  <c:v>6.7202201551352951</c:v>
                </c:pt>
              </c:numCache>
            </c:numRef>
          </c:xVal>
          <c:yVal>
            <c:numRef>
              <c:f>'Sung-Shim Model'!$H$14:$M$14</c:f>
              <c:numCache>
                <c:formatCode>General</c:formatCode>
                <c:ptCount val="6"/>
                <c:pt idx="0">
                  <c:v>24.258188788321057</c:v>
                </c:pt>
                <c:pt idx="1">
                  <c:v>25.245700006126263</c:v>
                </c:pt>
                <c:pt idx="2">
                  <c:v>25.634966384233213</c:v>
                </c:pt>
                <c:pt idx="3">
                  <c:v>25.864294547787278</c:v>
                </c:pt>
                <c:pt idx="4">
                  <c:v>26.027837316389707</c:v>
                </c:pt>
                <c:pt idx="5">
                  <c:v>26.1567154333971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20-437F-AAEA-04BA2C6B1FAE}"/>
            </c:ext>
          </c:extLst>
        </c:ser>
        <c:ser>
          <c:idx val="7"/>
          <c:order val="7"/>
          <c:tx>
            <c:v>338 Model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'Sung-Shim Model'!$A$15:$F$15</c:f>
              <c:numCache>
                <c:formatCode>General</c:formatCode>
                <c:ptCount val="6"/>
                <c:pt idx="0">
                  <c:v>5.9610053396232736</c:v>
                </c:pt>
                <c:pt idx="1">
                  <c:v>6.3225652399272843</c:v>
                </c:pt>
                <c:pt idx="2">
                  <c:v>6.4800445619266531</c:v>
                </c:pt>
                <c:pt idx="3">
                  <c:v>6.5652649700353614</c:v>
                </c:pt>
                <c:pt idx="4">
                  <c:v>6.6214056517641344</c:v>
                </c:pt>
                <c:pt idx="5">
                  <c:v>6.6631326959908028</c:v>
                </c:pt>
              </c:numCache>
            </c:numRef>
          </c:xVal>
          <c:yVal>
            <c:numRef>
              <c:f>'Sung-Shim Model'!$H$15:$M$15</c:f>
              <c:numCache>
                <c:formatCode>General</c:formatCode>
                <c:ptCount val="6"/>
                <c:pt idx="0">
                  <c:v>23.527523719957948</c:v>
                </c:pt>
                <c:pt idx="1">
                  <c:v>24.954566415934771</c:v>
                </c:pt>
                <c:pt idx="2">
                  <c:v>25.576122390581357</c:v>
                </c:pt>
                <c:pt idx="3">
                  <c:v>25.912479273182111</c:v>
                </c:pt>
                <c:pt idx="4">
                  <c:v>26.134061228871449</c:v>
                </c:pt>
                <c:pt idx="5">
                  <c:v>26.298753921944716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20-437F-AAEA-04BA2C6B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83680"/>
        <c:axId val="1225700960"/>
      </c:scatterChart>
      <c:valAx>
        <c:axId val="12256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0960"/>
        <c:crosses val="autoZero"/>
        <c:crossBetween val="midCat"/>
      </c:valAx>
      <c:valAx>
        <c:axId val="12257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'Bian et al model'!$A$10:$F$10</c:f>
              <c:numCache>
                <c:formatCode>General</c:formatCode>
                <c:ptCount val="6"/>
                <c:pt idx="0">
                  <c:v>388</c:v>
                </c:pt>
                <c:pt idx="1">
                  <c:v>557</c:v>
                </c:pt>
                <c:pt idx="2">
                  <c:v>652</c:v>
                </c:pt>
                <c:pt idx="3">
                  <c:v>710</c:v>
                </c:pt>
                <c:pt idx="4">
                  <c:v>751</c:v>
                </c:pt>
                <c:pt idx="5">
                  <c:v>783</c:v>
                </c:pt>
              </c:numCache>
            </c:numRef>
          </c:xVal>
          <c:yVal>
            <c:numRef>
              <c:f>'Bian et al model'!$H$5:$M$5</c:f>
              <c:numCache>
                <c:formatCode>General</c:formatCode>
                <c:ptCount val="6"/>
                <c:pt idx="0">
                  <c:v>0.9</c:v>
                </c:pt>
                <c:pt idx="1">
                  <c:v>1.52</c:v>
                </c:pt>
                <c:pt idx="2">
                  <c:v>4.3899999999999997</c:v>
                </c:pt>
                <c:pt idx="3">
                  <c:v>4.9400000000000004</c:v>
                </c:pt>
                <c:pt idx="4">
                  <c:v>6.1</c:v>
                </c:pt>
                <c:pt idx="5">
                  <c:v>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2-4E28-A0EC-2DCC675C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73120"/>
        <c:axId val="122567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308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'Bian et al model'!$A$7:$F$7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769</c:v>
                      </c:pt>
                      <c:pt idx="1">
                        <c:v>817</c:v>
                      </c:pt>
                      <c:pt idx="2">
                        <c:v>849</c:v>
                      </c:pt>
                      <c:pt idx="3">
                        <c:v>875</c:v>
                      </c:pt>
                      <c:pt idx="4">
                        <c:v>896</c:v>
                      </c:pt>
                      <c:pt idx="5">
                        <c:v>914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'Bian et al model'!$H$2:$M$2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2.0299999999999998</c:v>
                      </c:pt>
                      <c:pt idx="1">
                        <c:v>2.3199999999999998</c:v>
                      </c:pt>
                      <c:pt idx="2">
                        <c:v>2.48</c:v>
                      </c:pt>
                      <c:pt idx="3">
                        <c:v>3.33</c:v>
                      </c:pt>
                      <c:pt idx="4">
                        <c:v>3.8</c:v>
                      </c:pt>
                      <c:pt idx="5">
                        <c:v>5.32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52-4E28-A0EC-2DCC675C72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318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'Bian et al model'!$A$8:$F$8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661</c:v>
                      </c:pt>
                      <c:pt idx="1">
                        <c:v>744</c:v>
                      </c:pt>
                      <c:pt idx="2">
                        <c:v>791</c:v>
                      </c:pt>
                      <c:pt idx="3">
                        <c:v>824</c:v>
                      </c:pt>
                      <c:pt idx="4">
                        <c:v>851</c:v>
                      </c:pt>
                      <c:pt idx="5">
                        <c:v>872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'Bian et al model'!$H$3:$M$3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1.63</c:v>
                      </c:pt>
                      <c:pt idx="1">
                        <c:v>2.11</c:v>
                      </c:pt>
                      <c:pt idx="2">
                        <c:v>3.12</c:v>
                      </c:pt>
                      <c:pt idx="3">
                        <c:v>3.61</c:v>
                      </c:pt>
                      <c:pt idx="4">
                        <c:v>4.3</c:v>
                      </c:pt>
                      <c:pt idx="5">
                        <c:v>5.96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52-4E28-A0EC-2DCC675C72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328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'Bian et al model'!$A$9:$F$9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509</c:v>
                      </c:pt>
                      <c:pt idx="1">
                        <c:v>656</c:v>
                      </c:pt>
                      <c:pt idx="2">
                        <c:v>725</c:v>
                      </c:pt>
                      <c:pt idx="3">
                        <c:v>769</c:v>
                      </c:pt>
                      <c:pt idx="4">
                        <c:v>802</c:v>
                      </c:pt>
                      <c:pt idx="5">
                        <c:v>829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'Bian et al model'!$H$4:$M$4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1.29</c:v>
                      </c:pt>
                      <c:pt idx="1">
                        <c:v>1.96</c:v>
                      </c:pt>
                      <c:pt idx="2">
                        <c:v>3.76</c:v>
                      </c:pt>
                      <c:pt idx="3">
                        <c:v>4.08</c:v>
                      </c:pt>
                      <c:pt idx="4">
                        <c:v>5.36</c:v>
                      </c:pt>
                      <c:pt idx="5">
                        <c:v>7.22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52-4E28-A0EC-2DCC675C7266}"/>
                  </c:ext>
                </c:extLst>
              </c15:ser>
            </c15:filteredScatterSeries>
          </c:ext>
        </c:extLst>
      </c:scatterChart>
      <c:valAx>
        <c:axId val="12256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78400"/>
        <c:crosses val="autoZero"/>
        <c:crossBetween val="midCat"/>
      </c:valAx>
      <c:valAx>
        <c:axId val="1225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20</xdr:row>
      <xdr:rowOff>95250</xdr:rowOff>
    </xdr:from>
    <xdr:to>
      <xdr:col>13</xdr:col>
      <xdr:colOff>342900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39C38-4951-807E-87F3-D1C617E6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12</xdr:row>
      <xdr:rowOff>57150</xdr:rowOff>
    </xdr:from>
    <xdr:to>
      <xdr:col>22</xdr:col>
      <xdr:colOff>464820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79BC3-69F4-A82C-FC07-D28DB89E3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4</xdr:row>
      <xdr:rowOff>163830</xdr:rowOff>
    </xdr:from>
    <xdr:to>
      <xdr:col>22</xdr:col>
      <xdr:colOff>487680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54BBE-1AB7-8E74-98AD-A1156D0D1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8</xdr:row>
      <xdr:rowOff>152400</xdr:rowOff>
    </xdr:from>
    <xdr:to>
      <xdr:col>21</xdr:col>
      <xdr:colOff>396240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1BE56-A601-691A-6B54-D73BCF62A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19</xdr:row>
      <xdr:rowOff>110490</xdr:rowOff>
    </xdr:from>
    <xdr:to>
      <xdr:col>15</xdr:col>
      <xdr:colOff>388620</xdr:colOff>
      <xdr:row>34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A0C30-ABD5-FF53-8EBE-820BF2888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16</xdr:row>
      <xdr:rowOff>148590</xdr:rowOff>
    </xdr:from>
    <xdr:to>
      <xdr:col>21</xdr:col>
      <xdr:colOff>243840</xdr:colOff>
      <xdr:row>31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9013B-5A06-AF1D-045E-65772A740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18</xdr:row>
      <xdr:rowOff>19050</xdr:rowOff>
    </xdr:from>
    <xdr:to>
      <xdr:col>12</xdr:col>
      <xdr:colOff>510540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4C00C-F23B-C299-5F07-1C7EF626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3675-9D02-4697-908A-02A85E71BD71}">
  <dimension ref="A1:T18"/>
  <sheetViews>
    <sheetView zoomScaleNormal="100" workbookViewId="0">
      <selection activeCell="A5" sqref="A5:F8"/>
    </sheetView>
  </sheetViews>
  <sheetFormatPr defaultRowHeight="14.4" x14ac:dyDescent="0.3"/>
  <cols>
    <col min="1" max="1" width="8.88671875" customWidth="1"/>
    <col min="7" max="7" width="8.88671875" style="1"/>
    <col min="9" max="10" width="8.88671875" customWidth="1"/>
    <col min="14" max="14" width="13.6640625" customWidth="1"/>
    <col min="18" max="18" width="8.88671875" customWidth="1"/>
    <col min="19" max="19" width="12.109375" customWidth="1"/>
  </cols>
  <sheetData>
    <row r="1" spans="1:20" x14ac:dyDescent="0.3">
      <c r="A1" t="s">
        <v>0</v>
      </c>
      <c r="B1">
        <f>-2.4761</f>
        <v>-2.4761000000000002</v>
      </c>
    </row>
    <row r="2" spans="1:20" x14ac:dyDescent="0.3">
      <c r="A2" t="s">
        <v>1</v>
      </c>
      <c r="B2">
        <f>4.7509*10^-3</f>
        <v>4.7508999999999997E-3</v>
      </c>
      <c r="C2">
        <f>4.8209*10^-3</f>
        <v>4.8209000000000004E-3</v>
      </c>
      <c r="D2">
        <f>5.0209*10^-3</f>
        <v>5.0209E-3</v>
      </c>
      <c r="E2">
        <f t="shared" ref="E2:N3" si="0">5.2409*10^-3</f>
        <v>5.2408999999999997E-3</v>
      </c>
      <c r="I2">
        <f>4.2409*10^-3</f>
        <v>4.2408999999999997E-3</v>
      </c>
      <c r="J2">
        <f>4.6409*10^-3</f>
        <v>4.6409000000000008E-3</v>
      </c>
      <c r="K2">
        <f t="shared" ref="K2" si="1">5.2409*10^-3</f>
        <v>5.2408999999999997E-3</v>
      </c>
      <c r="L2">
        <f>5.7409*10^-3</f>
        <v>5.7409000000000002E-3</v>
      </c>
    </row>
    <row r="3" spans="1:20" x14ac:dyDescent="0.3">
      <c r="A3" t="s">
        <v>3</v>
      </c>
      <c r="B3">
        <f>-4550.5306</f>
        <v>-4550.5306</v>
      </c>
      <c r="N3">
        <f t="shared" si="0"/>
        <v>5.2408999999999997E-3</v>
      </c>
    </row>
    <row r="4" spans="1:20" x14ac:dyDescent="0.3">
      <c r="A4" s="35" t="s">
        <v>13</v>
      </c>
      <c r="B4" s="35"/>
      <c r="C4" s="35"/>
      <c r="D4" s="35"/>
      <c r="E4" s="35"/>
      <c r="F4" s="36"/>
      <c r="G4" s="12" t="s">
        <v>18</v>
      </c>
      <c r="H4" s="39" t="s">
        <v>15</v>
      </c>
      <c r="I4" s="35"/>
      <c r="J4" s="35"/>
      <c r="K4" s="35"/>
      <c r="L4" s="35"/>
      <c r="M4" s="35"/>
      <c r="N4" s="5" t="s">
        <v>4</v>
      </c>
      <c r="O4" s="5">
        <f t="shared" ref="O4:T4" si="2">$B1</f>
        <v>-2.4761000000000002</v>
      </c>
      <c r="P4" s="5">
        <f t="shared" si="2"/>
        <v>-2.4761000000000002</v>
      </c>
      <c r="Q4" s="5">
        <f t="shared" si="2"/>
        <v>-2.4761000000000002</v>
      </c>
      <c r="R4" s="5">
        <f t="shared" si="2"/>
        <v>-2.4761000000000002</v>
      </c>
      <c r="S4" s="5">
        <f t="shared" si="2"/>
        <v>-2.4761000000000002</v>
      </c>
      <c r="T4" s="5">
        <f t="shared" si="2"/>
        <v>-2.4761000000000002</v>
      </c>
    </row>
    <row r="5" spans="1:20" x14ac:dyDescent="0.3">
      <c r="A5" s="8">
        <v>2.0299999999999998</v>
      </c>
      <c r="B5" s="8">
        <v>2.3199999999999998</v>
      </c>
      <c r="C5" s="8">
        <v>2.48</v>
      </c>
      <c r="D5" s="8">
        <v>3.33</v>
      </c>
      <c r="E5" s="8">
        <v>3.8</v>
      </c>
      <c r="F5" s="8">
        <v>5.32</v>
      </c>
      <c r="G5" s="4">
        <v>308</v>
      </c>
      <c r="H5" s="8">
        <f>LN(A5)</f>
        <v>0.70803579305369591</v>
      </c>
      <c r="I5" s="8">
        <f t="shared" ref="I5:M8" si="3">LN(B5)</f>
        <v>0.84156718567821853</v>
      </c>
      <c r="J5" s="8">
        <f t="shared" si="3"/>
        <v>0.90825856017689077</v>
      </c>
      <c r="K5" s="8">
        <f t="shared" si="3"/>
        <v>1.2029723039923526</v>
      </c>
      <c r="L5" s="8">
        <f t="shared" si="3"/>
        <v>1.33500106673234</v>
      </c>
      <c r="M5" s="8">
        <f t="shared" si="3"/>
        <v>1.6714733033535532</v>
      </c>
      <c r="N5" s="5" t="s">
        <v>7</v>
      </c>
      <c r="O5" s="5">
        <f t="shared" ref="O5:T5" si="4">$B2*A10</f>
        <v>3.6534420999999999</v>
      </c>
      <c r="P5" s="5">
        <f t="shared" si="4"/>
        <v>3.8814852999999996</v>
      </c>
      <c r="Q5" s="5">
        <f t="shared" si="4"/>
        <v>4.0335140999999997</v>
      </c>
      <c r="R5" s="5">
        <f t="shared" si="4"/>
        <v>4.1570374999999995</v>
      </c>
      <c r="S5" s="5">
        <f t="shared" si="4"/>
        <v>4.2568063999999994</v>
      </c>
      <c r="T5" s="5">
        <f t="shared" si="4"/>
        <v>4.3423226000000001</v>
      </c>
    </row>
    <row r="6" spans="1:20" x14ac:dyDescent="0.3">
      <c r="A6" s="8">
        <v>1.63</v>
      </c>
      <c r="B6" s="8">
        <v>2.11</v>
      </c>
      <c r="C6" s="8">
        <v>3.12</v>
      </c>
      <c r="D6" s="8">
        <v>3.61</v>
      </c>
      <c r="E6" s="8">
        <v>4.3</v>
      </c>
      <c r="F6" s="8">
        <v>5.96</v>
      </c>
      <c r="G6" s="4">
        <v>318</v>
      </c>
      <c r="H6" s="8">
        <f t="shared" ref="H6:H8" si="5">LN(A6)</f>
        <v>0.48858001481867092</v>
      </c>
      <c r="I6" s="8">
        <f t="shared" si="3"/>
        <v>0.74668794748797507</v>
      </c>
      <c r="J6" s="8">
        <f t="shared" si="3"/>
        <v>1.1378330018213911</v>
      </c>
      <c r="K6" s="8">
        <f t="shared" si="3"/>
        <v>1.2837077723447896</v>
      </c>
      <c r="L6" s="8">
        <f t="shared" si="3"/>
        <v>1.4586150226995167</v>
      </c>
      <c r="M6" s="8">
        <f t="shared" si="3"/>
        <v>1.7850704810772584</v>
      </c>
      <c r="N6" s="5" t="s">
        <v>5</v>
      </c>
      <c r="O6" s="5">
        <f t="shared" ref="O6:T6" si="6">$C2*A11</f>
        <v>3.1866149000000004</v>
      </c>
      <c r="P6" s="5">
        <f t="shared" si="6"/>
        <v>3.5867496000000001</v>
      </c>
      <c r="Q6" s="5">
        <f t="shared" si="6"/>
        <v>3.8133319000000001</v>
      </c>
      <c r="R6" s="5">
        <f t="shared" si="6"/>
        <v>3.9724216000000001</v>
      </c>
      <c r="S6" s="5">
        <f t="shared" si="6"/>
        <v>4.1025859000000002</v>
      </c>
      <c r="T6" s="5">
        <f t="shared" si="6"/>
        <v>4.2038248000000005</v>
      </c>
    </row>
    <row r="7" spans="1:20" x14ac:dyDescent="0.3">
      <c r="A7" s="8">
        <v>1.29</v>
      </c>
      <c r="B7" s="8">
        <v>1.96</v>
      </c>
      <c r="C7" s="8">
        <v>3.76</v>
      </c>
      <c r="D7" s="8">
        <v>4.08</v>
      </c>
      <c r="E7" s="8">
        <v>5.36</v>
      </c>
      <c r="F7" s="8">
        <v>7.22</v>
      </c>
      <c r="G7" s="4">
        <v>328</v>
      </c>
      <c r="H7" s="8">
        <f t="shared" si="5"/>
        <v>0.25464221837358075</v>
      </c>
      <c r="I7" s="8">
        <f t="shared" si="3"/>
        <v>0.67294447324242579</v>
      </c>
      <c r="J7" s="8">
        <f t="shared" si="3"/>
        <v>1.324418957401803</v>
      </c>
      <c r="K7" s="8">
        <f t="shared" si="3"/>
        <v>1.4060969884160703</v>
      </c>
      <c r="L7" s="8">
        <f t="shared" si="3"/>
        <v>1.6789639750827108</v>
      </c>
      <c r="M7" s="8">
        <f t="shared" si="3"/>
        <v>1.9768549529047348</v>
      </c>
      <c r="N7" s="5" t="s">
        <v>6</v>
      </c>
      <c r="O7" s="5">
        <f t="shared" ref="O7:T7" si="7">$D2*A12</f>
        <v>2.5556380999999999</v>
      </c>
      <c r="P7" s="5">
        <f t="shared" si="7"/>
        <v>3.2937104000000001</v>
      </c>
      <c r="Q7" s="5">
        <f t="shared" si="7"/>
        <v>3.6401525000000001</v>
      </c>
      <c r="R7" s="5">
        <f t="shared" si="7"/>
        <v>3.8610720999999999</v>
      </c>
      <c r="S7" s="5">
        <f t="shared" si="7"/>
        <v>4.0267618000000001</v>
      </c>
      <c r="T7" s="5">
        <f t="shared" si="7"/>
        <v>4.1623260999999996</v>
      </c>
    </row>
    <row r="8" spans="1:20" x14ac:dyDescent="0.3">
      <c r="A8" s="9">
        <v>0.9</v>
      </c>
      <c r="B8" s="9">
        <v>1.52</v>
      </c>
      <c r="C8" s="9">
        <v>4.3899999999999997</v>
      </c>
      <c r="D8" s="9">
        <v>4.9400000000000004</v>
      </c>
      <c r="E8" s="9">
        <v>6.1</v>
      </c>
      <c r="F8" s="9">
        <v>8.01</v>
      </c>
      <c r="G8" s="10">
        <v>338</v>
      </c>
      <c r="H8" s="9">
        <f t="shared" si="5"/>
        <v>-0.10536051565782628</v>
      </c>
      <c r="I8" s="9">
        <f t="shared" si="3"/>
        <v>0.41871033485818504</v>
      </c>
      <c r="J8" s="9">
        <f t="shared" si="3"/>
        <v>1.4793292270870799</v>
      </c>
      <c r="K8" s="9">
        <f t="shared" si="3"/>
        <v>1.5973653311998313</v>
      </c>
      <c r="L8" s="9">
        <f t="shared" si="3"/>
        <v>1.8082887711792655</v>
      </c>
      <c r="M8" s="9">
        <f t="shared" si="3"/>
        <v>2.0806907610802678</v>
      </c>
      <c r="N8" s="5" t="s">
        <v>8</v>
      </c>
      <c r="O8" s="5">
        <f t="shared" ref="O8:T8" si="8">$E2*A13</f>
        <v>2.0334691999999999</v>
      </c>
      <c r="P8" s="5">
        <f t="shared" si="8"/>
        <v>2.9191813</v>
      </c>
      <c r="Q8" s="5">
        <f t="shared" si="8"/>
        <v>3.4170667999999997</v>
      </c>
      <c r="R8" s="5">
        <f t="shared" si="8"/>
        <v>3.7210389999999998</v>
      </c>
      <c r="S8" s="5">
        <f t="shared" si="8"/>
        <v>3.9359158999999999</v>
      </c>
      <c r="T8" s="5">
        <f t="shared" si="8"/>
        <v>4.1036247000000001</v>
      </c>
    </row>
    <row r="9" spans="1:20" x14ac:dyDescent="0.3">
      <c r="A9" s="37" t="s">
        <v>14</v>
      </c>
      <c r="B9" s="37"/>
      <c r="C9" s="37"/>
      <c r="D9" s="37"/>
      <c r="E9" s="37"/>
      <c r="F9" s="38"/>
      <c r="G9" s="12" t="s">
        <v>18</v>
      </c>
      <c r="H9" s="40" t="s">
        <v>17</v>
      </c>
      <c r="I9" s="41"/>
      <c r="J9" s="41"/>
      <c r="K9" s="41"/>
      <c r="L9" s="41"/>
      <c r="M9" s="41"/>
      <c r="N9" s="5" t="s">
        <v>9</v>
      </c>
      <c r="O9" s="5">
        <f>$B3/G10</f>
        <v>-14.77445</v>
      </c>
      <c r="P9" s="5">
        <v>-14.77445</v>
      </c>
      <c r="Q9" s="5">
        <v>-14.77445</v>
      </c>
      <c r="R9" s="5">
        <v>-14.77445</v>
      </c>
      <c r="S9" s="5">
        <v>-14.77445</v>
      </c>
      <c r="T9" s="5">
        <v>-14.77445</v>
      </c>
    </row>
    <row r="10" spans="1:20" x14ac:dyDescent="0.3">
      <c r="A10" s="3">
        <v>769</v>
      </c>
      <c r="B10" s="3">
        <v>817</v>
      </c>
      <c r="C10" s="3">
        <v>849</v>
      </c>
      <c r="D10" s="3">
        <v>875</v>
      </c>
      <c r="E10" s="3">
        <v>896</v>
      </c>
      <c r="F10" s="3">
        <v>914</v>
      </c>
      <c r="G10" s="6">
        <v>308</v>
      </c>
      <c r="H10" s="7">
        <f t="shared" ref="H10:M13" si="9">(-2.4761)+O5+O9</f>
        <v>-13.597107900000001</v>
      </c>
      <c r="I10" s="7">
        <f t="shared" si="9"/>
        <v>-13.369064700000001</v>
      </c>
      <c r="J10" s="7">
        <f t="shared" si="9"/>
        <v>-13.217035900000001</v>
      </c>
      <c r="K10" s="7">
        <f t="shared" si="9"/>
        <v>-13.093512500000001</v>
      </c>
      <c r="L10" s="7">
        <f t="shared" si="9"/>
        <v>-12.9937436</v>
      </c>
      <c r="M10" s="7">
        <f t="shared" si="9"/>
        <v>-12.908227399999999</v>
      </c>
      <c r="N10" s="5" t="s">
        <v>10</v>
      </c>
      <c r="O10" s="5">
        <f>$B3/G11</f>
        <v>-14.309844654088051</v>
      </c>
      <c r="P10" s="5">
        <v>-14.309844654088051</v>
      </c>
      <c r="Q10" s="5">
        <v>-14.309844654088051</v>
      </c>
      <c r="R10" s="5">
        <v>-14.309844654088051</v>
      </c>
      <c r="S10" s="5">
        <v>-14.309844654088051</v>
      </c>
      <c r="T10" s="5">
        <v>-14.309844654088051</v>
      </c>
    </row>
    <row r="11" spans="1:20" x14ac:dyDescent="0.3">
      <c r="A11" s="3">
        <v>661</v>
      </c>
      <c r="B11" s="3">
        <v>744</v>
      </c>
      <c r="C11" s="3">
        <v>791</v>
      </c>
      <c r="D11" s="3">
        <v>824</v>
      </c>
      <c r="E11" s="3">
        <v>851</v>
      </c>
      <c r="F11" s="3">
        <v>872</v>
      </c>
      <c r="G11" s="6">
        <v>318</v>
      </c>
      <c r="H11" s="7">
        <f t="shared" si="9"/>
        <v>-13.599329754088052</v>
      </c>
      <c r="I11" s="7">
        <f t="shared" si="9"/>
        <v>-13.199195054088051</v>
      </c>
      <c r="J11" s="7">
        <f t="shared" si="9"/>
        <v>-12.97261275408805</v>
      </c>
      <c r="K11" s="7">
        <f t="shared" si="9"/>
        <v>-12.813523054088051</v>
      </c>
      <c r="L11" s="7">
        <f t="shared" si="9"/>
        <v>-12.683358754088051</v>
      </c>
      <c r="M11" s="7">
        <f t="shared" si="9"/>
        <v>-12.582119854088051</v>
      </c>
      <c r="N11" s="5" t="s">
        <v>11</v>
      </c>
      <c r="O11" s="5">
        <f>$B3/G12</f>
        <v>-13.873568902439025</v>
      </c>
      <c r="P11" s="5">
        <v>-13.873568902439025</v>
      </c>
      <c r="Q11" s="5">
        <v>-13.873568902439025</v>
      </c>
      <c r="R11" s="5">
        <v>-13.873568902439025</v>
      </c>
      <c r="S11" s="5">
        <v>-13.873568902439025</v>
      </c>
      <c r="T11" s="5">
        <v>-13.873568902439025</v>
      </c>
    </row>
    <row r="12" spans="1:20" x14ac:dyDescent="0.3">
      <c r="A12" s="3">
        <v>509</v>
      </c>
      <c r="B12" s="3">
        <v>656</v>
      </c>
      <c r="C12" s="3">
        <v>725</v>
      </c>
      <c r="D12" s="3">
        <v>769</v>
      </c>
      <c r="E12" s="3">
        <v>802</v>
      </c>
      <c r="F12" s="3">
        <v>829</v>
      </c>
      <c r="G12" s="6">
        <v>328</v>
      </c>
      <c r="H12" s="7">
        <f t="shared" si="9"/>
        <v>-13.794030802439025</v>
      </c>
      <c r="I12" s="7">
        <f t="shared" si="9"/>
        <v>-13.055958502439026</v>
      </c>
      <c r="J12" s="7">
        <f t="shared" si="9"/>
        <v>-12.709516402439025</v>
      </c>
      <c r="K12" s="7">
        <f t="shared" si="9"/>
        <v>-12.488596802439027</v>
      </c>
      <c r="L12" s="7">
        <f t="shared" si="9"/>
        <v>-12.322907102439025</v>
      </c>
      <c r="M12" s="7">
        <f t="shared" si="9"/>
        <v>-12.187342802439026</v>
      </c>
      <c r="N12" s="5" t="s">
        <v>12</v>
      </c>
      <c r="O12" s="5">
        <f>$B3/G13</f>
        <v>-13.463108284023669</v>
      </c>
      <c r="P12" s="5">
        <v>-13.463108284023669</v>
      </c>
      <c r="Q12" s="5">
        <v>-13.463108284023669</v>
      </c>
      <c r="R12" s="5">
        <v>-13.463108284023669</v>
      </c>
      <c r="S12" s="5">
        <v>-13.463108284023669</v>
      </c>
      <c r="T12" s="5">
        <v>-13.463108284023669</v>
      </c>
    </row>
    <row r="13" spans="1:20" x14ac:dyDescent="0.3">
      <c r="A13" s="3">
        <v>388</v>
      </c>
      <c r="B13" s="3">
        <v>557</v>
      </c>
      <c r="C13" s="3">
        <v>652</v>
      </c>
      <c r="D13" s="3">
        <v>710</v>
      </c>
      <c r="E13" s="3">
        <v>751</v>
      </c>
      <c r="F13" s="3">
        <v>783</v>
      </c>
      <c r="G13" s="11">
        <v>338</v>
      </c>
      <c r="H13" s="7">
        <f t="shared" si="9"/>
        <v>-13.905739084023669</v>
      </c>
      <c r="I13" s="7">
        <f t="shared" si="9"/>
        <v>-13.020026984023669</v>
      </c>
      <c r="J13" s="7">
        <f t="shared" si="9"/>
        <v>-12.522141484023669</v>
      </c>
      <c r="K13" s="7">
        <f t="shared" si="9"/>
        <v>-12.21816928402367</v>
      </c>
      <c r="L13" s="7">
        <f t="shared" si="9"/>
        <v>-12.00329238402367</v>
      </c>
      <c r="M13" s="7">
        <f t="shared" si="9"/>
        <v>-11.835583584023668</v>
      </c>
    </row>
    <row r="14" spans="1:20" x14ac:dyDescent="0.3">
      <c r="G14" s="12" t="s">
        <v>18</v>
      </c>
      <c r="H14" s="40" t="s">
        <v>16</v>
      </c>
      <c r="I14" s="41"/>
      <c r="J14" s="41"/>
      <c r="K14" s="41"/>
      <c r="L14" s="41"/>
      <c r="M14" s="41"/>
    </row>
    <row r="15" spans="1:20" x14ac:dyDescent="0.3">
      <c r="G15" s="6">
        <v>308</v>
      </c>
      <c r="H15" s="7">
        <f t="shared" ref="H15:M18" si="10">H10-O9</f>
        <v>1.1773420999999988</v>
      </c>
      <c r="I15" s="7">
        <f t="shared" si="10"/>
        <v>1.4053852999999989</v>
      </c>
      <c r="J15" s="7">
        <f t="shared" si="10"/>
        <v>1.557414099999999</v>
      </c>
      <c r="K15" s="7">
        <f t="shared" si="10"/>
        <v>1.6809374999999989</v>
      </c>
      <c r="L15" s="7">
        <f t="shared" si="10"/>
        <v>1.7807063999999997</v>
      </c>
      <c r="M15" s="7">
        <f t="shared" si="10"/>
        <v>1.8662226000000004</v>
      </c>
    </row>
    <row r="16" spans="1:20" x14ac:dyDescent="0.3">
      <c r="G16" s="6">
        <v>318</v>
      </c>
      <c r="H16" s="7">
        <f t="shared" si="10"/>
        <v>0.71051489999999973</v>
      </c>
      <c r="I16" s="7">
        <f t="shared" si="10"/>
        <v>1.1106496000000003</v>
      </c>
      <c r="J16" s="7">
        <f t="shared" si="10"/>
        <v>1.3372319000000008</v>
      </c>
      <c r="K16" s="7">
        <f t="shared" si="10"/>
        <v>1.4963215999999999</v>
      </c>
      <c r="L16" s="7">
        <f t="shared" si="10"/>
        <v>1.6264859000000005</v>
      </c>
      <c r="M16" s="7">
        <f t="shared" si="10"/>
        <v>1.7277248000000007</v>
      </c>
    </row>
    <row r="17" spans="7:13" x14ac:dyDescent="0.3">
      <c r="G17" s="6">
        <v>328</v>
      </c>
      <c r="H17" s="7">
        <f t="shared" si="10"/>
        <v>7.9538100000000611E-2</v>
      </c>
      <c r="I17" s="7">
        <f t="shared" si="10"/>
        <v>0.81761039999999952</v>
      </c>
      <c r="J17" s="7">
        <f t="shared" si="10"/>
        <v>1.1640525000000004</v>
      </c>
      <c r="K17" s="7">
        <f t="shared" si="10"/>
        <v>1.3849720999999988</v>
      </c>
      <c r="L17" s="7">
        <f t="shared" si="10"/>
        <v>1.5506618000000003</v>
      </c>
      <c r="M17" s="7">
        <f t="shared" si="10"/>
        <v>1.686226099999999</v>
      </c>
    </row>
    <row r="18" spans="7:13" x14ac:dyDescent="0.3">
      <c r="G18" s="6">
        <v>338</v>
      </c>
      <c r="H18" s="7">
        <f t="shared" si="10"/>
        <v>-0.44263079999999988</v>
      </c>
      <c r="I18" s="7">
        <f t="shared" si="10"/>
        <v>0.44308129999999935</v>
      </c>
      <c r="J18" s="7">
        <f t="shared" si="10"/>
        <v>0.94096679999999999</v>
      </c>
      <c r="K18" s="7">
        <f t="shared" si="10"/>
        <v>1.2449389999999987</v>
      </c>
      <c r="L18" s="7">
        <f t="shared" si="10"/>
        <v>1.4598158999999988</v>
      </c>
      <c r="M18" s="7">
        <f t="shared" si="10"/>
        <v>1.6275247000000004</v>
      </c>
    </row>
  </sheetData>
  <mergeCells count="5">
    <mergeCell ref="A4:F4"/>
    <mergeCell ref="A9:F9"/>
    <mergeCell ref="H4:M4"/>
    <mergeCell ref="H9:M9"/>
    <mergeCell ref="H14:M1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11E2-C4B7-41A0-BB2C-FBDCC4A11976}">
  <dimension ref="A1:S20"/>
  <sheetViews>
    <sheetView workbookViewId="0">
      <selection activeCell="H1" sqref="H1:M5"/>
    </sheetView>
  </sheetViews>
  <sheetFormatPr defaultRowHeight="14.4" x14ac:dyDescent="0.3"/>
  <cols>
    <col min="1" max="1" width="11" style="2" bestFit="1" customWidth="1"/>
    <col min="2" max="16384" width="8.88671875" style="2"/>
  </cols>
  <sheetData>
    <row r="1" spans="1:19" x14ac:dyDescent="0.3">
      <c r="A1" s="42" t="s">
        <v>13</v>
      </c>
      <c r="B1" s="42"/>
      <c r="C1" s="42"/>
      <c r="D1" s="42"/>
      <c r="E1" s="42"/>
      <c r="F1" s="42"/>
      <c r="G1" s="4" t="s">
        <v>18</v>
      </c>
      <c r="H1" s="39" t="s">
        <v>15</v>
      </c>
      <c r="I1" s="35"/>
      <c r="J1" s="35"/>
      <c r="K1" s="35"/>
      <c r="L1" s="35"/>
      <c r="M1" s="35"/>
    </row>
    <row r="2" spans="1:19" x14ac:dyDescent="0.3">
      <c r="A2" s="13">
        <v>2.0299999999999996E-6</v>
      </c>
      <c r="B2" s="13">
        <v>2.3199999999999998E-6</v>
      </c>
      <c r="C2" s="13">
        <v>2.48E-6</v>
      </c>
      <c r="D2" s="13">
        <v>3.3299999999999999E-6</v>
      </c>
      <c r="E2" s="13">
        <v>3.7999999999999996E-6</v>
      </c>
      <c r="F2" s="13">
        <v>5.3199999999999999E-6</v>
      </c>
      <c r="G2" s="4">
        <v>308</v>
      </c>
      <c r="H2" s="8">
        <f>LN(A2)</f>
        <v>-13.107474764910579</v>
      </c>
      <c r="I2" s="8">
        <f t="shared" ref="I2:M5" si="0">LN(B2)</f>
        <v>-12.973943372286056</v>
      </c>
      <c r="J2" s="8">
        <f t="shared" si="0"/>
        <v>-12.907251997787384</v>
      </c>
      <c r="K2" s="8">
        <f t="shared" si="0"/>
        <v>-12.612538253971922</v>
      </c>
      <c r="L2" s="8">
        <f t="shared" si="0"/>
        <v>-12.480509491231935</v>
      </c>
      <c r="M2" s="8">
        <f t="shared" si="0"/>
        <v>-12.144037254610721</v>
      </c>
      <c r="N2" s="2">
        <f>H2-N7</f>
        <v>5.4331054298946153</v>
      </c>
      <c r="O2" s="2">
        <f t="shared" ref="O2:S2" si="1">I2-O7</f>
        <v>5.5666368225191381</v>
      </c>
      <c r="P2" s="2">
        <f t="shared" si="1"/>
        <v>5.6333281970178106</v>
      </c>
      <c r="Q2" s="2">
        <f t="shared" si="1"/>
        <v>5.928041940833273</v>
      </c>
      <c r="R2" s="2">
        <f t="shared" si="1"/>
        <v>6.0600707035732597</v>
      </c>
      <c r="S2" s="2">
        <f t="shared" si="1"/>
        <v>6.3965429401944736</v>
      </c>
    </row>
    <row r="3" spans="1:19" x14ac:dyDescent="0.3">
      <c r="A3" s="13">
        <v>1.6299999999999999E-6</v>
      </c>
      <c r="B3" s="13">
        <v>2.1099999999999997E-6</v>
      </c>
      <c r="C3" s="13">
        <v>3.1200000000000002E-6</v>
      </c>
      <c r="D3" s="13">
        <v>3.6099999999999997E-6</v>
      </c>
      <c r="E3" s="13">
        <v>4.2999999999999995E-6</v>
      </c>
      <c r="F3" s="13">
        <v>5.9599999999999997E-6</v>
      </c>
      <c r="G3" s="4">
        <v>318</v>
      </c>
      <c r="H3" s="8">
        <f t="shared" ref="H3:H5" si="2">LN(A3)</f>
        <v>-13.326930543145604</v>
      </c>
      <c r="I3" s="8">
        <f t="shared" si="0"/>
        <v>-13.0688226104763</v>
      </c>
      <c r="J3" s="8">
        <f t="shared" si="0"/>
        <v>-12.677677556142884</v>
      </c>
      <c r="K3" s="8">
        <f t="shared" si="0"/>
        <v>-12.531802785619485</v>
      </c>
      <c r="L3" s="8">
        <f t="shared" si="0"/>
        <v>-12.356895535264757</v>
      </c>
      <c r="M3" s="8">
        <f t="shared" si="0"/>
        <v>-12.030440076887016</v>
      </c>
      <c r="N3" s="2">
        <f t="shared" ref="N3:N5" si="3">H3-N8</f>
        <v>4.6306125386154022</v>
      </c>
      <c r="O3" s="2">
        <f t="shared" ref="O3:O5" si="4">I3-O8</f>
        <v>4.8887204712847065</v>
      </c>
      <c r="P3" s="2">
        <f t="shared" ref="P3:P5" si="5">J3-P8</f>
        <v>5.2798655256181224</v>
      </c>
      <c r="Q3" s="2">
        <f t="shared" ref="Q3:Q5" si="6">K3-Q8</f>
        <v>5.4257402961415213</v>
      </c>
      <c r="R3" s="2">
        <f t="shared" ref="R3:R5" si="7">L3-R8</f>
        <v>5.6006475464962495</v>
      </c>
      <c r="S3" s="2">
        <f t="shared" ref="S3:S5" si="8">M3-S8</f>
        <v>5.9271030048739899</v>
      </c>
    </row>
    <row r="4" spans="1:19" x14ac:dyDescent="0.3">
      <c r="A4" s="13">
        <v>1.2899999999999999E-6</v>
      </c>
      <c r="B4" s="13">
        <v>1.9599999999999999E-6</v>
      </c>
      <c r="C4" s="13">
        <v>3.7599999999999996E-6</v>
      </c>
      <c r="D4" s="13">
        <v>4.0799999999999999E-6</v>
      </c>
      <c r="E4" s="13">
        <v>5.3600000000000004E-6</v>
      </c>
      <c r="F4" s="13">
        <v>7.2199999999999995E-6</v>
      </c>
      <c r="G4" s="4">
        <v>328</v>
      </c>
      <c r="H4" s="8">
        <f t="shared" si="2"/>
        <v>-13.560868339590693</v>
      </c>
      <c r="I4" s="8">
        <f t="shared" si="0"/>
        <v>-13.142566084721848</v>
      </c>
      <c r="J4" s="8">
        <f t="shared" si="0"/>
        <v>-12.491091600562472</v>
      </c>
      <c r="K4" s="8">
        <f t="shared" si="0"/>
        <v>-12.409413569548203</v>
      </c>
      <c r="L4" s="8">
        <f t="shared" si="0"/>
        <v>-12.136546582881563</v>
      </c>
      <c r="M4" s="8">
        <f t="shared" si="0"/>
        <v>-11.83865560505954</v>
      </c>
      <c r="N4" s="2">
        <f t="shared" si="3"/>
        <v>3.8491886726044289</v>
      </c>
      <c r="O4" s="2">
        <f t="shared" si="4"/>
        <v>4.2674909274732737</v>
      </c>
      <c r="P4" s="2">
        <f t="shared" si="5"/>
        <v>4.9189654116326498</v>
      </c>
      <c r="Q4" s="2">
        <f t="shared" si="6"/>
        <v>5.0006434426469184</v>
      </c>
      <c r="R4" s="2">
        <f t="shared" si="7"/>
        <v>5.2735104293135588</v>
      </c>
      <c r="S4" s="2">
        <f t="shared" si="8"/>
        <v>5.571401407135582</v>
      </c>
    </row>
    <row r="5" spans="1:19" x14ac:dyDescent="0.3">
      <c r="A5" s="13">
        <v>9.0000000000000007E-7</v>
      </c>
      <c r="B5" s="13">
        <v>1.5200000000000001E-6</v>
      </c>
      <c r="C5" s="13">
        <v>4.3899999999999995E-6</v>
      </c>
      <c r="D5" s="13">
        <v>4.9400000000000001E-6</v>
      </c>
      <c r="E5" s="13">
        <v>6.1E-6</v>
      </c>
      <c r="F5" s="13">
        <v>8.0099999999999995E-6</v>
      </c>
      <c r="G5" s="4">
        <v>338</v>
      </c>
      <c r="H5" s="9">
        <f t="shared" si="2"/>
        <v>-13.9208710736221</v>
      </c>
      <c r="I5" s="9">
        <f t="shared" si="0"/>
        <v>-13.396800223106089</v>
      </c>
      <c r="J5" s="9">
        <f t="shared" si="0"/>
        <v>-12.336181330877194</v>
      </c>
      <c r="K5" s="9">
        <f t="shared" si="0"/>
        <v>-12.218145226764443</v>
      </c>
      <c r="L5" s="9">
        <f t="shared" si="0"/>
        <v>-12.007221786785008</v>
      </c>
      <c r="M5" s="9">
        <f t="shared" si="0"/>
        <v>-11.734819796884006</v>
      </c>
      <c r="N5" s="2">
        <f t="shared" si="3"/>
        <v>2.9740954944252369</v>
      </c>
      <c r="O5" s="2">
        <f t="shared" si="4"/>
        <v>3.4981663449412483</v>
      </c>
      <c r="P5" s="2">
        <f t="shared" si="5"/>
        <v>4.5587852371701434</v>
      </c>
      <c r="Q5" s="2">
        <f t="shared" si="6"/>
        <v>4.6768213412828938</v>
      </c>
      <c r="R5" s="2">
        <f t="shared" si="7"/>
        <v>4.8877447812623291</v>
      </c>
      <c r="S5" s="2">
        <f t="shared" si="8"/>
        <v>5.1601467711633315</v>
      </c>
    </row>
    <row r="6" spans="1:19" x14ac:dyDescent="0.3">
      <c r="A6" s="43" t="s">
        <v>14</v>
      </c>
      <c r="B6" s="43"/>
      <c r="C6" s="43"/>
      <c r="D6" s="43"/>
      <c r="E6" s="43"/>
      <c r="F6" s="43"/>
      <c r="G6" s="4" t="s">
        <v>18</v>
      </c>
      <c r="H6" s="44" t="s">
        <v>19</v>
      </c>
      <c r="I6" s="44"/>
      <c r="J6" s="44"/>
      <c r="K6" s="44"/>
      <c r="L6" s="44"/>
      <c r="M6" s="15"/>
      <c r="N6" s="45" t="s">
        <v>20</v>
      </c>
      <c r="O6" s="46"/>
      <c r="P6" s="46"/>
      <c r="Q6" s="46"/>
      <c r="R6" s="46"/>
      <c r="S6" s="46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15">
        <f>$B12 + ($B13/$G7) + ($B14*LN((A7*G7)))</f>
        <v>-13.236362862257806</v>
      </c>
      <c r="I7" s="15">
        <f>$B12 + $B13/$G7 + $B14*LN(B7*G7)</f>
        <v>-12.921379404539366</v>
      </c>
      <c r="J7" s="15">
        <f>$B12 + $B13/$G7 + $B14*LN(C7*G7)</f>
        <v>-12.721510404791175</v>
      </c>
      <c r="K7" s="15">
        <f>$B12 + $B13/$G7 + $B14*LN(D7*G7)</f>
        <v>-12.56458760221048</v>
      </c>
      <c r="L7" s="15">
        <f>$B12 + $B13/$G7 + $B14*LN(E7*G7)</f>
        <v>-12.441209487441881</v>
      </c>
      <c r="M7" s="15">
        <f>$B12 + $B13/$G7 + $B14*LN(F7*G7)</f>
        <v>-12.337736905001293</v>
      </c>
      <c r="N7" s="2">
        <f>$B13/$G7</f>
        <v>-18.540580194805194</v>
      </c>
      <c r="O7" s="2">
        <f t="shared" ref="O7:S7" si="9">$B13/$G7</f>
        <v>-18.540580194805194</v>
      </c>
      <c r="P7" s="2">
        <f t="shared" si="9"/>
        <v>-18.540580194805194</v>
      </c>
      <c r="Q7" s="2">
        <f t="shared" si="9"/>
        <v>-18.540580194805194</v>
      </c>
      <c r="R7" s="2">
        <f t="shared" si="9"/>
        <v>-18.540580194805194</v>
      </c>
      <c r="S7" s="2">
        <f t="shared" si="9"/>
        <v>-18.540580194805194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15">
        <f>$C12 + $C13/$G8 + $C14*LN(A8*G8)</f>
        <v>-13.443968043446255</v>
      </c>
      <c r="I8" s="15">
        <f>$C12 + $C13/$G8 + $C14*LN(B8*G8)</f>
        <v>-12.916738357975134</v>
      </c>
      <c r="J8" s="15">
        <f>$C12 + $C13/$G8 + $C14*LN(C8*G8)</f>
        <v>-12.643703956499209</v>
      </c>
      <c r="K8" s="15">
        <f>$C12 + $C13/$G8 + $C14*LN(D8*G8)</f>
        <v>-12.461526772520692</v>
      </c>
      <c r="L8" s="15">
        <f>$C12 + $C13/$G8 + $C14*LN(E8*G8)</f>
        <v>-12.31781951895595</v>
      </c>
      <c r="M8" s="15">
        <f>$C12 + $C13/$G8 + $C14*LN(F8*G8)</f>
        <v>-12.209165038186093</v>
      </c>
      <c r="N8" s="2">
        <f>$C13/$G8</f>
        <v>-17.957543081761006</v>
      </c>
      <c r="O8" s="2">
        <f t="shared" ref="O8:S8" si="10">$C13/$G8</f>
        <v>-17.957543081761006</v>
      </c>
      <c r="P8" s="2">
        <f t="shared" si="10"/>
        <v>-17.957543081761006</v>
      </c>
      <c r="Q8" s="2">
        <f t="shared" si="10"/>
        <v>-17.957543081761006</v>
      </c>
      <c r="R8" s="2">
        <f t="shared" si="10"/>
        <v>-17.957543081761006</v>
      </c>
      <c r="S8" s="2">
        <f t="shared" si="10"/>
        <v>-17.957543081761006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15">
        <f>$D12 + $D13/$G9 + $D14*LN(A9*G9)</f>
        <v>-13.712928478505681</v>
      </c>
      <c r="I9" s="15">
        <f>$D12 + $D13/$G9 + $D14*LN(B9*G9)</f>
        <v>-12.846727702276802</v>
      </c>
      <c r="J9" s="15">
        <f>$D12 + $D13/$G9 + $D14*LN(C9*G9)</f>
        <v>-12.505280604971468</v>
      </c>
      <c r="K9" s="15">
        <f>$D12 + $D13/$G9 + $D14*LN(D9*G9)</f>
        <v>-12.304124172821595</v>
      </c>
      <c r="L9" s="15">
        <f>$D12 + $D13/$G9 + $D14*LN(E9*G9)</f>
        <v>-12.160671753693748</v>
      </c>
      <c r="M9" s="15">
        <f>$D12 + $D13/$G9 + $D14*LN(F9*G9)</f>
        <v>-12.047625620163402</v>
      </c>
      <c r="N9" s="2">
        <f>$D13/$G9</f>
        <v>-17.410057012195121</v>
      </c>
      <c r="O9" s="2">
        <f t="shared" ref="O9:S9" si="11">$D13/$G9</f>
        <v>-17.410057012195121</v>
      </c>
      <c r="P9" s="2">
        <f t="shared" si="11"/>
        <v>-17.410057012195121</v>
      </c>
      <c r="Q9" s="2">
        <f t="shared" si="11"/>
        <v>-17.410057012195121</v>
      </c>
      <c r="R9" s="2">
        <f t="shared" si="11"/>
        <v>-17.410057012195121</v>
      </c>
      <c r="S9" s="2">
        <f t="shared" si="11"/>
        <v>-17.410057012195121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15">
        <f>$E12 + $E13/$G10 + $E14*LN(A10*G10)</f>
        <v>-14.103190916529641</v>
      </c>
      <c r="I10" s="15">
        <f>$E12 + $E13/$G10 + $E14*LN(B10*G10)</f>
        <v>-12.95961310785809</v>
      </c>
      <c r="J10" s="15">
        <f>$E12 + $E13/$G10 + $E14*LN(C10*G10)</f>
        <v>-12.461521760306283</v>
      </c>
      <c r="K10" s="15">
        <f>$E12 + $E13/$G10 + $E14*LN(D10*G10)</f>
        <v>-12.191978131499255</v>
      </c>
      <c r="L10" s="15">
        <f>$E12 + $E13/$G10 + $E14*LN(E10*G10)</f>
        <v>-12.014410769259314</v>
      </c>
      <c r="M10" s="15">
        <f>$E12 + $E13/$G10 + $E14*LN(F10*G10)</f>
        <v>-11.882432301074786</v>
      </c>
      <c r="N10" s="2">
        <f>$E13/$G10</f>
        <v>-16.894966568047337</v>
      </c>
      <c r="O10" s="2">
        <f t="shared" ref="O10:S10" si="12">$E13/$G10</f>
        <v>-16.894966568047337</v>
      </c>
      <c r="P10" s="2">
        <f t="shared" si="12"/>
        <v>-16.894966568047337</v>
      </c>
      <c r="Q10" s="2">
        <f t="shared" si="12"/>
        <v>-16.894966568047337</v>
      </c>
      <c r="R10" s="2">
        <f t="shared" si="12"/>
        <v>-16.894966568047337</v>
      </c>
      <c r="S10" s="2">
        <f t="shared" si="12"/>
        <v>-16.894966568047337</v>
      </c>
    </row>
    <row r="11" spans="1:19" x14ac:dyDescent="0.3">
      <c r="B11" s="2">
        <v>308</v>
      </c>
      <c r="C11" s="2">
        <v>318</v>
      </c>
      <c r="D11" s="2">
        <v>328</v>
      </c>
      <c r="E11" s="2">
        <v>338</v>
      </c>
      <c r="G11" s="4" t="s">
        <v>18</v>
      </c>
      <c r="H11" s="47" t="s">
        <v>21</v>
      </c>
      <c r="I11" s="48"/>
      <c r="J11" s="48"/>
      <c r="K11" s="48"/>
      <c r="L11" s="48"/>
      <c r="M11" s="49"/>
    </row>
    <row r="12" spans="1:19" x14ac:dyDescent="0.3">
      <c r="A12" s="14" t="s">
        <v>0</v>
      </c>
      <c r="B12" s="17">
        <v>-59.073999999999998</v>
      </c>
      <c r="C12" s="17">
        <v>-50.113</v>
      </c>
      <c r="D12" s="17">
        <v>-37.359000000000002</v>
      </c>
      <c r="E12" s="17">
        <v>-34.479999999999997</v>
      </c>
      <c r="G12" s="4">
        <v>308</v>
      </c>
      <c r="H12" s="15">
        <f>H7-N7</f>
        <v>5.3042173325473883</v>
      </c>
      <c r="I12" s="15">
        <f t="shared" ref="I12:M12" si="13">I7-O7</f>
        <v>5.619200790265829</v>
      </c>
      <c r="J12" s="15">
        <f t="shared" si="13"/>
        <v>5.8190697900140194</v>
      </c>
      <c r="K12" s="15">
        <f t="shared" si="13"/>
        <v>5.9759925925947144</v>
      </c>
      <c r="L12" s="15">
        <f t="shared" si="13"/>
        <v>6.0993707073633132</v>
      </c>
      <c r="M12" s="15">
        <f t="shared" si="13"/>
        <v>6.2028432898039014</v>
      </c>
    </row>
    <row r="13" spans="1:19" x14ac:dyDescent="0.3">
      <c r="A13" s="14" t="s">
        <v>1</v>
      </c>
      <c r="B13" s="14">
        <v>-5710.4987000000001</v>
      </c>
      <c r="C13" s="14">
        <v>-5710.4987000000001</v>
      </c>
      <c r="D13" s="14">
        <v>-5710.4987000000001</v>
      </c>
      <c r="E13" s="14">
        <v>-5710.4987000000001</v>
      </c>
      <c r="G13" s="4">
        <v>318</v>
      </c>
      <c r="H13" s="15">
        <f>H8-N8</f>
        <v>4.5135750383147517</v>
      </c>
      <c r="I13" s="15">
        <f t="shared" ref="I13" si="14">I8-O8</f>
        <v>5.0408047237858717</v>
      </c>
      <c r="J13" s="15">
        <f t="shared" ref="J13" si="15">J8-P8</f>
        <v>5.3138391252617971</v>
      </c>
      <c r="K13" s="15">
        <f t="shared" ref="K13" si="16">K8-Q8</f>
        <v>5.4960163092403143</v>
      </c>
      <c r="L13" s="15">
        <f t="shared" ref="L13" si="17">L8-R8</f>
        <v>5.6397235628050559</v>
      </c>
      <c r="M13" s="15">
        <f t="shared" ref="M13" si="18">M8-S8</f>
        <v>5.7483780435749132</v>
      </c>
    </row>
    <row r="14" spans="1:19" x14ac:dyDescent="0.3">
      <c r="A14" s="14" t="s">
        <v>3</v>
      </c>
      <c r="B14" s="14">
        <v>5.2022000000000004</v>
      </c>
      <c r="C14" s="14">
        <v>4.4572000000000003</v>
      </c>
      <c r="D14" s="14">
        <v>3.4140999999999999</v>
      </c>
      <c r="E14" s="14">
        <v>3.1629</v>
      </c>
      <c r="G14" s="4">
        <v>328</v>
      </c>
      <c r="H14" s="15">
        <f t="shared" ref="H14:H15" si="19">H9-N9</f>
        <v>3.6971285336894404</v>
      </c>
      <c r="I14" s="15">
        <f t="shared" ref="I14:I15" si="20">I9-O9</f>
        <v>4.5633293099183199</v>
      </c>
      <c r="J14" s="15">
        <f t="shared" ref="J14:J15" si="21">J9-P9</f>
        <v>4.9047764072236539</v>
      </c>
      <c r="K14" s="15">
        <f t="shared" ref="K14:K15" si="22">K9-Q9</f>
        <v>5.1059328393735264</v>
      </c>
      <c r="L14" s="15">
        <f t="shared" ref="L14:L15" si="23">L9-R9</f>
        <v>5.2493852585013734</v>
      </c>
      <c r="M14" s="15">
        <f t="shared" ref="M14:M15" si="24">M9-S9</f>
        <v>5.3624313920317199</v>
      </c>
    </row>
    <row r="15" spans="1:19" x14ac:dyDescent="0.3">
      <c r="G15" s="4">
        <v>338</v>
      </c>
      <c r="H15" s="15">
        <f t="shared" si="19"/>
        <v>2.7917756515176961</v>
      </c>
      <c r="I15" s="15">
        <f t="shared" si="20"/>
        <v>3.9353534601892477</v>
      </c>
      <c r="J15" s="15">
        <f t="shared" si="21"/>
        <v>4.4334448077410542</v>
      </c>
      <c r="K15" s="15">
        <f t="shared" si="22"/>
        <v>4.7029884365480825</v>
      </c>
      <c r="L15" s="15">
        <f t="shared" si="23"/>
        <v>4.8805557987880235</v>
      </c>
      <c r="M15" s="15">
        <f t="shared" si="24"/>
        <v>5.0125342669725512</v>
      </c>
    </row>
    <row r="16" spans="1:19" x14ac:dyDescent="0.3">
      <c r="G16" s="4" t="s">
        <v>18</v>
      </c>
      <c r="H16" s="44" t="s">
        <v>22</v>
      </c>
      <c r="I16" s="44"/>
      <c r="J16" s="44"/>
      <c r="K16" s="44"/>
      <c r="L16" s="44"/>
      <c r="M16" s="44"/>
    </row>
    <row r="17" spans="7:13" x14ac:dyDescent="0.3">
      <c r="G17" s="4">
        <v>308</v>
      </c>
      <c r="H17" s="15">
        <f>LN(A7*$G7)</f>
        <v>12.375190752479218</v>
      </c>
      <c r="I17" s="15">
        <f t="shared" ref="I17:M17" si="25">LN(B7*$G7)</f>
        <v>12.435738877833577</v>
      </c>
      <c r="J17" s="15">
        <f t="shared" si="25"/>
        <v>12.474158969284922</v>
      </c>
      <c r="K17" s="15">
        <f t="shared" si="25"/>
        <v>12.504323669331189</v>
      </c>
      <c r="L17" s="15">
        <f t="shared" si="25"/>
        <v>12.528040195948504</v>
      </c>
      <c r="M17" s="15">
        <f t="shared" si="25"/>
        <v>12.547930354427724</v>
      </c>
    </row>
    <row r="18" spans="7:13" x14ac:dyDescent="0.3">
      <c r="G18" s="4">
        <v>318</v>
      </c>
      <c r="H18" s="15">
        <f t="shared" ref="H18:H20" si="26">LN(A8*$G8)</f>
        <v>12.255805222631864</v>
      </c>
      <c r="I18" s="15">
        <f t="shared" ref="I18:I20" si="27">LN(B8*$G8)</f>
        <v>12.374092417613269</v>
      </c>
      <c r="J18" s="15">
        <f t="shared" ref="J18:J20" si="28">LN(C8*$G8)</f>
        <v>12.435349350547831</v>
      </c>
      <c r="K18" s="15">
        <f t="shared" ref="K18:K20" si="29">LN(D8*$G8)</f>
        <v>12.476221912689649</v>
      </c>
      <c r="L18" s="15">
        <f t="shared" ref="L18:L20" si="30">LN(E8*$G8)</f>
        <v>12.508463511353551</v>
      </c>
      <c r="M18" s="15">
        <f t="shared" ref="M18:M20" si="31">LN(F8*$G8)</f>
        <v>12.532840806689157</v>
      </c>
    </row>
    <row r="19" spans="7:13" x14ac:dyDescent="0.3">
      <c r="G19" s="4">
        <v>328</v>
      </c>
      <c r="H19" s="15">
        <f t="shared" si="26"/>
        <v>12.025461624934666</v>
      </c>
      <c r="I19" s="15">
        <f t="shared" si="27"/>
        <v>12.279174397328232</v>
      </c>
      <c r="J19" s="15">
        <f t="shared" si="28"/>
        <v>12.379185263238819</v>
      </c>
      <c r="K19" s="15">
        <f t="shared" si="29"/>
        <v>12.438104577889789</v>
      </c>
      <c r="L19" s="15">
        <f t="shared" si="30"/>
        <v>12.480122216250658</v>
      </c>
      <c r="M19" s="15">
        <f t="shared" si="31"/>
        <v>12.513233763519439</v>
      </c>
    </row>
    <row r="20" spans="7:13" x14ac:dyDescent="0.3">
      <c r="G20" s="4">
        <v>338</v>
      </c>
      <c r="H20" s="15">
        <f t="shared" si="26"/>
        <v>11.784051235106292</v>
      </c>
      <c r="I20" s="15">
        <f t="shared" si="27"/>
        <v>12.145611135410302</v>
      </c>
      <c r="J20" s="15">
        <f t="shared" si="28"/>
        <v>12.303090457409672</v>
      </c>
      <c r="K20" s="15">
        <f t="shared" si="29"/>
        <v>12.388310865518379</v>
      </c>
      <c r="L20" s="15">
        <f t="shared" si="30"/>
        <v>12.444451547247153</v>
      </c>
      <c r="M20" s="15">
        <f t="shared" si="31"/>
        <v>12.486178591473822</v>
      </c>
    </row>
  </sheetData>
  <mergeCells count="7">
    <mergeCell ref="H16:M16"/>
    <mergeCell ref="H1:M1"/>
    <mergeCell ref="A1:F1"/>
    <mergeCell ref="A6:F6"/>
    <mergeCell ref="H6:L6"/>
    <mergeCell ref="N6:S6"/>
    <mergeCell ref="H11:M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7C82-FF74-49FF-9EC3-ACA357D076ED}">
  <dimension ref="A1:S21"/>
  <sheetViews>
    <sheetView workbookViewId="0">
      <selection sqref="A1:G15"/>
    </sheetView>
  </sheetViews>
  <sheetFormatPr defaultRowHeight="14.4" x14ac:dyDescent="0.3"/>
  <cols>
    <col min="1" max="16384" width="8.88671875" style="2"/>
  </cols>
  <sheetData>
    <row r="1" spans="1:19" x14ac:dyDescent="0.3">
      <c r="A1" s="42" t="s">
        <v>13</v>
      </c>
      <c r="B1" s="42"/>
      <c r="C1" s="42"/>
      <c r="D1" s="42"/>
      <c r="E1" s="42"/>
      <c r="F1" s="42"/>
      <c r="G1" s="4" t="s">
        <v>18</v>
      </c>
      <c r="H1" s="50" t="s">
        <v>23</v>
      </c>
      <c r="I1" s="50"/>
      <c r="J1" s="50"/>
      <c r="K1" s="50"/>
      <c r="L1" s="50"/>
      <c r="M1" s="50"/>
      <c r="N1" s="53" t="s">
        <v>27</v>
      </c>
      <c r="O1" s="54"/>
      <c r="P1" s="54"/>
      <c r="Q1" s="54"/>
      <c r="R1" s="54"/>
      <c r="S1" s="55"/>
    </row>
    <row r="2" spans="1:19" x14ac:dyDescent="0.3">
      <c r="A2" s="13">
        <v>2.0299999999999996E-6</v>
      </c>
      <c r="B2" s="13">
        <v>2.3199999999999998E-6</v>
      </c>
      <c r="C2" s="13">
        <v>2.48E-6</v>
      </c>
      <c r="D2" s="13">
        <v>3.3299999999999999E-6</v>
      </c>
      <c r="E2" s="13">
        <v>3.7999999999999996E-6</v>
      </c>
      <c r="F2" s="13">
        <v>5.3199999999999999E-6</v>
      </c>
      <c r="G2" s="4">
        <v>308</v>
      </c>
      <c r="H2" s="21">
        <f>(A7*598.5*A2)/((1-A2)*44.01)</f>
        <v>2.1229318146640579E-2</v>
      </c>
      <c r="I2" s="21">
        <f t="shared" ref="I2:L2" si="0">(B7*598.5*B2)/((1-B2)*44.01)</f>
        <v>2.5776493339296859E-2</v>
      </c>
      <c r="J2" s="21">
        <f t="shared" si="0"/>
        <v>2.8633420704134879E-2</v>
      </c>
      <c r="K2" s="21">
        <f t="shared" si="0"/>
        <v>3.9624748514829729E-2</v>
      </c>
      <c r="L2" s="21">
        <f t="shared" si="0"/>
        <v>4.6302670837674746E-2</v>
      </c>
      <c r="M2" s="21">
        <f>(F7*598.5*F2)/((1-F2)*44.01)</f>
        <v>6.6126102302111689E-2</v>
      </c>
      <c r="N2" s="23">
        <f>LN(H2)-N7</f>
        <v>18.092732099551377</v>
      </c>
      <c r="O2" s="23">
        <f t="shared" ref="O2:S2" si="1">LN(I2)-O7</f>
        <v>18.28681190753089</v>
      </c>
      <c r="P2" s="23">
        <f t="shared" si="1"/>
        <v>18.39192353348129</v>
      </c>
      <c r="Q2" s="23">
        <f t="shared" si="1"/>
        <v>18.716802827345486</v>
      </c>
      <c r="R2" s="23">
        <f t="shared" si="1"/>
        <v>18.872548586704465</v>
      </c>
      <c r="S2" s="23">
        <f t="shared" si="1"/>
        <v>19.228912501811831</v>
      </c>
    </row>
    <row r="3" spans="1:19" x14ac:dyDescent="0.3">
      <c r="A3" s="13">
        <v>1.6299999999999999E-6</v>
      </c>
      <c r="B3" s="13">
        <v>2.1099999999999997E-6</v>
      </c>
      <c r="C3" s="13">
        <v>3.1200000000000002E-6</v>
      </c>
      <c r="D3" s="13">
        <v>3.6099999999999997E-6</v>
      </c>
      <c r="E3" s="13">
        <v>4.2999999999999995E-6</v>
      </c>
      <c r="F3" s="13">
        <v>5.9599999999999997E-6</v>
      </c>
      <c r="G3" s="4">
        <v>318</v>
      </c>
      <c r="H3" s="21">
        <f t="shared" ref="H3:H5" si="2">(A8*598.5*A3)/((1-A3)*44.01)</f>
        <v>1.4652190549737262E-2</v>
      </c>
      <c r="I3" s="21">
        <f t="shared" ref="I3:I5" si="3">(B8*598.5*B3)/((1-B3)*44.01)</f>
        <v>2.1348584922814797E-2</v>
      </c>
      <c r="J3" s="21">
        <f t="shared" ref="J3:J5" si="4">(C8*598.5*C3)/((1-C3)*44.01)</f>
        <v>3.3561797964343394E-2</v>
      </c>
      <c r="K3" s="21">
        <f t="shared" ref="K3:K5" si="5">(D8*598.5*D3)/((1-D3)*44.01)</f>
        <v>4.0452816791314836E-2</v>
      </c>
      <c r="L3" s="21">
        <f t="shared" ref="L3:M5" si="6">(E8*598.5*E3)/((1-E3)*44.01)</f>
        <v>4.9763700691479437E-2</v>
      </c>
      <c r="M3" s="21">
        <f t="shared" si="6"/>
        <v>7.067700201202809E-2</v>
      </c>
      <c r="N3" s="23">
        <f t="shared" ref="N3:N5" si="7">LN(H3)-N8</f>
        <v>17.031841174656023</v>
      </c>
      <c r="O3" s="23">
        <f t="shared" ref="O3:O5" si="8">LN(I3)-O8</f>
        <v>17.408236782307629</v>
      </c>
      <c r="P3" s="23">
        <f t="shared" ref="P3:P5" si="9">LN(J3)-P8</f>
        <v>17.86063977957825</v>
      </c>
      <c r="Q3" s="23">
        <f t="shared" ref="Q3:Q5" si="10">LN(K3)-Q8</f>
        <v>18.047387602245117</v>
      </c>
      <c r="R3" s="23">
        <f t="shared" ref="R3:R5" si="11">LN(L3)-R8</f>
        <v>18.254537141266475</v>
      </c>
      <c r="S3" s="23">
        <f t="shared" ref="S3:S5" si="12">LN(M3)-S8</f>
        <v>18.605371554988338</v>
      </c>
    </row>
    <row r="4" spans="1:19" x14ac:dyDescent="0.3">
      <c r="A4" s="13">
        <v>1.2899999999999999E-6</v>
      </c>
      <c r="B4" s="13">
        <v>1.9599999999999999E-6</v>
      </c>
      <c r="C4" s="13">
        <v>3.7599999999999996E-6</v>
      </c>
      <c r="D4" s="13">
        <v>4.0799999999999999E-6</v>
      </c>
      <c r="E4" s="13">
        <v>5.3600000000000004E-6</v>
      </c>
      <c r="F4" s="13">
        <v>7.2199999999999995E-6</v>
      </c>
      <c r="G4" s="4">
        <v>328</v>
      </c>
      <c r="H4" s="21">
        <f t="shared" si="2"/>
        <v>8.9293704145933569E-3</v>
      </c>
      <c r="I4" s="21">
        <f t="shared" si="3"/>
        <v>1.7485318524803041E-2</v>
      </c>
      <c r="J4" s="21">
        <f t="shared" si="4"/>
        <v>3.7071509532025121E-2</v>
      </c>
      <c r="K4" s="21">
        <f t="shared" si="5"/>
        <v>4.266787960642119E-2</v>
      </c>
      <c r="L4" s="21">
        <f t="shared" si="6"/>
        <v>5.8459389006946756E-2</v>
      </c>
      <c r="M4" s="21">
        <f t="shared" ref="M4:M5" si="13">(F9*598.5*F4)/((1-F4)*44.01)</f>
        <v>8.1396859668966884E-2</v>
      </c>
      <c r="N4" s="23">
        <f t="shared" si="7"/>
        <v>15.888578720891788</v>
      </c>
      <c r="O4" s="23">
        <f t="shared" si="8"/>
        <v>16.56059441815529</v>
      </c>
      <c r="P4" s="23">
        <f t="shared" si="9"/>
        <v>17.312081568230401</v>
      </c>
      <c r="Q4" s="23">
        <f t="shared" si="10"/>
        <v>17.452679233896891</v>
      </c>
      <c r="R4" s="23">
        <f t="shared" si="11"/>
        <v>17.767565138930443</v>
      </c>
      <c r="S4" s="23">
        <f t="shared" si="12"/>
        <v>18.098569524032946</v>
      </c>
    </row>
    <row r="5" spans="1:19" x14ac:dyDescent="0.3">
      <c r="A5" s="13">
        <v>9.0000000000000007E-7</v>
      </c>
      <c r="B5" s="13">
        <v>1.5200000000000001E-6</v>
      </c>
      <c r="C5" s="13">
        <v>4.3899999999999995E-6</v>
      </c>
      <c r="D5" s="13">
        <v>4.9400000000000001E-6</v>
      </c>
      <c r="E5" s="13">
        <v>6.1E-6</v>
      </c>
      <c r="F5" s="13">
        <v>8.0099999999999995E-6</v>
      </c>
      <c r="G5" s="4">
        <v>338</v>
      </c>
      <c r="H5" s="21">
        <f t="shared" si="2"/>
        <v>4.7488386297829879E-3</v>
      </c>
      <c r="I5" s="21">
        <f t="shared" si="3"/>
        <v>1.1513628952658748E-2</v>
      </c>
      <c r="J5" s="21">
        <f t="shared" si="4"/>
        <v>3.8924837546703492E-2</v>
      </c>
      <c r="K5" s="21">
        <f t="shared" si="5"/>
        <v>4.7698006589297751E-2</v>
      </c>
      <c r="L5" s="21">
        <f t="shared" si="6"/>
        <v>6.229959270645212E-2</v>
      </c>
      <c r="M5" s="21">
        <f t="shared" si="13"/>
        <v>8.5292440861162944E-2</v>
      </c>
      <c r="N5" s="23">
        <f t="shared" si="7"/>
        <v>14.647458715502051</v>
      </c>
      <c r="O5" s="23">
        <f t="shared" si="8"/>
        <v>15.533090086322822</v>
      </c>
      <c r="P5" s="23">
        <f t="shared" si="9"/>
        <v>16.751191170559569</v>
      </c>
      <c r="Q5" s="23">
        <f t="shared" si="10"/>
        <v>16.954448232783594</v>
      </c>
      <c r="R5" s="23">
        <f t="shared" si="11"/>
        <v>17.221513514498206</v>
      </c>
      <c r="S5" s="23">
        <f t="shared" si="12"/>
        <v>17.53564445863935</v>
      </c>
    </row>
    <row r="6" spans="1:19" x14ac:dyDescent="0.3">
      <c r="A6" s="43" t="s">
        <v>14</v>
      </c>
      <c r="B6" s="43"/>
      <c r="C6" s="43"/>
      <c r="D6" s="43"/>
      <c r="E6" s="43"/>
      <c r="F6" s="43"/>
      <c r="G6" s="4" t="s">
        <v>18</v>
      </c>
      <c r="H6" s="51" t="s">
        <v>24</v>
      </c>
      <c r="I6" s="51"/>
      <c r="J6" s="51"/>
      <c r="K6" s="51"/>
      <c r="L6" s="51"/>
      <c r="M6" s="51"/>
      <c r="N6" s="52" t="s">
        <v>25</v>
      </c>
      <c r="O6" s="52"/>
      <c r="P6" s="52"/>
      <c r="Q6" s="52"/>
      <c r="R6" s="52"/>
      <c r="S6" s="52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19">
        <f>$B19*(LN(A7)) + $B20 + ($B21/$G7)</f>
        <v>-4.2015462708147702</v>
      </c>
      <c r="I7" s="19">
        <f t="shared" ref="I7:L7" si="14">$B19*(LN(B7)) + $B20 + ($B21/$G7)</f>
        <v>-3.9236969783761531</v>
      </c>
      <c r="J7" s="19">
        <f t="shared" si="14"/>
        <v>-3.747391020715078</v>
      </c>
      <c r="K7" s="19">
        <f t="shared" si="14"/>
        <v>-3.6089682286727687</v>
      </c>
      <c r="L7" s="19">
        <f t="shared" si="14"/>
        <v>-3.5001354596785639</v>
      </c>
      <c r="M7" s="19">
        <f>$B19*(LN(F7)) + $B20 + ($B21/$G7)</f>
        <v>-3.4088615114332761</v>
      </c>
      <c r="N7" s="20">
        <f>$B21/$G7</f>
        <v>-21.945104220779221</v>
      </c>
      <c r="O7" s="20">
        <f t="shared" ref="O7:S7" si="15">$B21/$G7</f>
        <v>-21.945104220779221</v>
      </c>
      <c r="P7" s="20">
        <f t="shared" si="15"/>
        <v>-21.945104220779221</v>
      </c>
      <c r="Q7" s="20">
        <f t="shared" si="15"/>
        <v>-21.945104220779221</v>
      </c>
      <c r="R7" s="20">
        <f t="shared" si="15"/>
        <v>-21.945104220779221</v>
      </c>
      <c r="S7" s="20">
        <f t="shared" si="15"/>
        <v>-21.945104220779221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19">
        <f>$C19*(LN(A8)) + $C20 + ($C21/$G8)</f>
        <v>-4.2059196080781831</v>
      </c>
      <c r="I8" s="19">
        <f t="shared" ref="I8:M8" si="16">$C19*(LN(B8)) + $C20 + ($C21/$G8)</f>
        <v>-3.6631114990280125</v>
      </c>
      <c r="J8" s="19">
        <f t="shared" si="16"/>
        <v>-3.3820095594845974</v>
      </c>
      <c r="K8" s="19">
        <f t="shared" si="16"/>
        <v>-3.1944494590720076</v>
      </c>
      <c r="L8" s="19">
        <f t="shared" si="16"/>
        <v>-3.046495986963226</v>
      </c>
      <c r="M8" s="19">
        <f t="shared" si="16"/>
        <v>-2.9346310163976703</v>
      </c>
      <c r="N8" s="20">
        <f>$C21/$G8</f>
        <v>-21.255006603773584</v>
      </c>
      <c r="O8" s="20">
        <f t="shared" ref="O8:S8" si="17">$C21/$G8</f>
        <v>-21.255006603773584</v>
      </c>
      <c r="P8" s="20">
        <f t="shared" si="17"/>
        <v>-21.255006603773584</v>
      </c>
      <c r="Q8" s="20">
        <f t="shared" si="17"/>
        <v>-21.255006603773584</v>
      </c>
      <c r="R8" s="20">
        <f t="shared" si="17"/>
        <v>-21.255006603773584</v>
      </c>
      <c r="S8" s="20">
        <f t="shared" si="17"/>
        <v>-21.255006603773584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19">
        <f>$D19*(LN(A9)) + $D20 + ($D21/$G9)</f>
        <v>-4.7570074066074071</v>
      </c>
      <c r="I9" s="19">
        <f t="shared" ref="I9:M9" si="18">$D19*(LN(B9)) + $D20 + ($D21/$G9)</f>
        <v>-3.5927448653705731</v>
      </c>
      <c r="J9" s="19">
        <f t="shared" si="18"/>
        <v>-3.1338050027934834</v>
      </c>
      <c r="K9" s="19">
        <f t="shared" si="18"/>
        <v>-2.8634301597916476</v>
      </c>
      <c r="L9" s="19">
        <f t="shared" si="18"/>
        <v>-2.6706154191174498</v>
      </c>
      <c r="M9" s="19">
        <f t="shared" si="18"/>
        <v>-2.5186698398557432</v>
      </c>
      <c r="N9" s="20">
        <f>$D21/$G9</f>
        <v>-20.606988109756099</v>
      </c>
      <c r="O9" s="20">
        <f t="shared" ref="O9:S9" si="19">$D21/$G9</f>
        <v>-20.606988109756099</v>
      </c>
      <c r="P9" s="20">
        <f t="shared" si="19"/>
        <v>-20.606988109756099</v>
      </c>
      <c r="Q9" s="20">
        <f t="shared" si="19"/>
        <v>-20.606988109756099</v>
      </c>
      <c r="R9" s="20">
        <f t="shared" si="19"/>
        <v>-20.606988109756099</v>
      </c>
      <c r="S9" s="20">
        <f t="shared" si="19"/>
        <v>-20.606988109756099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19">
        <f>$E19*(LN(A10)) + $E20 + ($E21/$G10)</f>
        <v>-5.3929565023282073</v>
      </c>
      <c r="I10" s="19">
        <f t="shared" ref="I10:M10" si="20">$E19*(LN(B10)) + $E20 + ($E21/$G10)</f>
        <v>-3.7337942758231328</v>
      </c>
      <c r="J10" s="19">
        <f t="shared" si="20"/>
        <v>-3.0111374151002295</v>
      </c>
      <c r="K10" s="19">
        <f t="shared" si="20"/>
        <v>-2.6200694843301768</v>
      </c>
      <c r="L10" s="19">
        <f t="shared" si="20"/>
        <v>-2.3624455099450081</v>
      </c>
      <c r="M10" s="19">
        <f t="shared" si="20"/>
        <v>-2.1709642766932511</v>
      </c>
      <c r="N10" s="20">
        <f>$E21/$G10</f>
        <v>-19.997313905325445</v>
      </c>
      <c r="O10" s="20">
        <f t="shared" ref="O10:S10" si="21">$E21/$G10</f>
        <v>-19.997313905325445</v>
      </c>
      <c r="P10" s="20">
        <f t="shared" si="21"/>
        <v>-19.997313905325445</v>
      </c>
      <c r="Q10" s="20">
        <f t="shared" si="21"/>
        <v>-19.997313905325445</v>
      </c>
      <c r="R10" s="20">
        <f t="shared" si="21"/>
        <v>-19.997313905325445</v>
      </c>
      <c r="S10" s="20">
        <f t="shared" si="21"/>
        <v>-19.997313905325445</v>
      </c>
    </row>
    <row r="11" spans="1:19" x14ac:dyDescent="0.3">
      <c r="A11" s="43" t="s">
        <v>28</v>
      </c>
      <c r="B11" s="43"/>
      <c r="C11" s="43"/>
      <c r="D11" s="43"/>
      <c r="E11" s="43"/>
      <c r="F11" s="43"/>
      <c r="G11" s="4" t="s">
        <v>18</v>
      </c>
      <c r="H11" s="51" t="s">
        <v>26</v>
      </c>
      <c r="I11" s="51"/>
      <c r="J11" s="51"/>
      <c r="K11" s="51"/>
      <c r="L11" s="51"/>
      <c r="M11" s="51"/>
      <c r="N11" s="56"/>
      <c r="O11" s="57"/>
      <c r="P11" s="57"/>
      <c r="Q11" s="57"/>
      <c r="R11" s="57"/>
      <c r="S11" s="57"/>
    </row>
    <row r="12" spans="1:19" x14ac:dyDescent="0.3">
      <c r="A12" s="3">
        <f>LN(A7)</f>
        <v>6.6450909695056444</v>
      </c>
      <c r="B12" s="3">
        <f t="shared" ref="B12:E12" si="22">LN(B7)</f>
        <v>6.7056390948600031</v>
      </c>
      <c r="C12" s="3">
        <f t="shared" si="22"/>
        <v>6.7440591863113477</v>
      </c>
      <c r="D12" s="3">
        <f t="shared" si="22"/>
        <v>6.7742238863576141</v>
      </c>
      <c r="E12" s="3">
        <f t="shared" si="22"/>
        <v>6.7979404129749303</v>
      </c>
      <c r="F12" s="3">
        <f>LN(F7)</f>
        <v>6.8178305714541496</v>
      </c>
      <c r="G12" s="4">
        <v>308</v>
      </c>
      <c r="H12" s="19">
        <f>H7-N7</f>
        <v>17.743557949964451</v>
      </c>
      <c r="I12" s="19">
        <f t="shared" ref="I12:M12" si="23">I7-O7</f>
        <v>18.021407242403068</v>
      </c>
      <c r="J12" s="19">
        <f t="shared" si="23"/>
        <v>18.197713200064143</v>
      </c>
      <c r="K12" s="19">
        <f t="shared" si="23"/>
        <v>18.336135992106453</v>
      </c>
      <c r="L12" s="19">
        <f t="shared" si="23"/>
        <v>18.444968761100657</v>
      </c>
      <c r="M12" s="19">
        <f t="shared" si="23"/>
        <v>18.536242709345945</v>
      </c>
    </row>
    <row r="13" spans="1:19" x14ac:dyDescent="0.3">
      <c r="A13" s="3">
        <f t="shared" ref="A13:F13" si="24">LN(A8)</f>
        <v>6.4937538398516859</v>
      </c>
      <c r="B13" s="3">
        <f t="shared" si="24"/>
        <v>6.6120410348330916</v>
      </c>
      <c r="C13" s="3">
        <f t="shared" si="24"/>
        <v>6.6732979677676543</v>
      </c>
      <c r="D13" s="3">
        <f t="shared" si="24"/>
        <v>6.7141705299094721</v>
      </c>
      <c r="E13" s="3">
        <f t="shared" si="24"/>
        <v>6.7464121285733745</v>
      </c>
      <c r="F13" s="3">
        <f t="shared" si="24"/>
        <v>6.7707894239089796</v>
      </c>
      <c r="G13" s="4">
        <v>318</v>
      </c>
      <c r="H13" s="19">
        <f t="shared" ref="H13:H15" si="25">H8-N8</f>
        <v>17.049086995695401</v>
      </c>
      <c r="I13" s="19">
        <f t="shared" ref="I13:I15" si="26">I8-O8</f>
        <v>17.591895104745571</v>
      </c>
      <c r="J13" s="19">
        <f t="shared" ref="J13:J15" si="27">J8-P8</f>
        <v>17.872997044288987</v>
      </c>
      <c r="K13" s="19">
        <f t="shared" ref="K13:K15" si="28">K8-Q8</f>
        <v>18.060557144701576</v>
      </c>
      <c r="L13" s="19">
        <f t="shared" ref="L13:L15" si="29">L8-R8</f>
        <v>18.208510616810358</v>
      </c>
      <c r="M13" s="19">
        <f t="shared" ref="M13:M15" si="30">M8-S8</f>
        <v>18.320375587375914</v>
      </c>
    </row>
    <row r="14" spans="1:19" x14ac:dyDescent="0.3">
      <c r="A14" s="3">
        <f t="shared" ref="A14:F14" si="31">LN(A9)</f>
        <v>6.2324480165505225</v>
      </c>
      <c r="B14" s="3">
        <f t="shared" si="31"/>
        <v>6.4861607889440887</v>
      </c>
      <c r="C14" s="3">
        <f t="shared" si="31"/>
        <v>6.5861716548546747</v>
      </c>
      <c r="D14" s="3">
        <f t="shared" si="31"/>
        <v>6.6450909695056444</v>
      </c>
      <c r="E14" s="3">
        <f t="shared" si="31"/>
        <v>6.6871086078665147</v>
      </c>
      <c r="F14" s="3">
        <f t="shared" si="31"/>
        <v>6.7202201551352951</v>
      </c>
      <c r="G14" s="4">
        <v>328</v>
      </c>
      <c r="H14" s="19">
        <f t="shared" si="25"/>
        <v>15.849980703148692</v>
      </c>
      <c r="I14" s="19">
        <f t="shared" si="26"/>
        <v>17.014243244385526</v>
      </c>
      <c r="J14" s="19">
        <f t="shared" si="27"/>
        <v>17.473183106962615</v>
      </c>
      <c r="K14" s="19">
        <f t="shared" si="28"/>
        <v>17.743557949964451</v>
      </c>
      <c r="L14" s="19">
        <f t="shared" si="29"/>
        <v>17.936372690638649</v>
      </c>
      <c r="M14" s="19">
        <f t="shared" si="30"/>
        <v>18.088318269900356</v>
      </c>
    </row>
    <row r="15" spans="1:19" x14ac:dyDescent="0.3">
      <c r="A15" s="3">
        <f t="shared" ref="A15:F15" si="32">LN(A10)</f>
        <v>5.9610053396232736</v>
      </c>
      <c r="B15" s="3">
        <f t="shared" si="32"/>
        <v>6.3225652399272843</v>
      </c>
      <c r="C15" s="3">
        <f t="shared" si="32"/>
        <v>6.4800445619266531</v>
      </c>
      <c r="D15" s="3">
        <f t="shared" si="32"/>
        <v>6.5652649700353614</v>
      </c>
      <c r="E15" s="3">
        <f t="shared" si="32"/>
        <v>6.6214056517641344</v>
      </c>
      <c r="F15" s="3">
        <f t="shared" si="32"/>
        <v>6.6631326959908028</v>
      </c>
      <c r="G15" s="4">
        <v>338</v>
      </c>
      <c r="H15" s="19">
        <f t="shared" si="25"/>
        <v>14.604357402997238</v>
      </c>
      <c r="I15" s="19">
        <f t="shared" si="26"/>
        <v>16.263519629502312</v>
      </c>
      <c r="J15" s="19">
        <f t="shared" si="27"/>
        <v>16.986176490225215</v>
      </c>
      <c r="K15" s="19">
        <f t="shared" si="28"/>
        <v>17.377244420995268</v>
      </c>
      <c r="L15" s="19">
        <f t="shared" si="29"/>
        <v>17.634868395380437</v>
      </c>
      <c r="M15" s="19">
        <f t="shared" si="30"/>
        <v>17.826349628632194</v>
      </c>
    </row>
    <row r="18" spans="1:5" x14ac:dyDescent="0.3">
      <c r="A18" s="15"/>
      <c r="B18" s="15">
        <v>308</v>
      </c>
      <c r="C18" s="15">
        <v>318</v>
      </c>
      <c r="D18" s="15">
        <v>328</v>
      </c>
      <c r="E18" s="15">
        <v>338</v>
      </c>
    </row>
    <row r="19" spans="1:5" x14ac:dyDescent="0.3">
      <c r="A19" s="15" t="s">
        <v>0</v>
      </c>
      <c r="B19" s="15">
        <v>4.5888999999999998</v>
      </c>
      <c r="C19" s="15">
        <v>4.5888999999999998</v>
      </c>
      <c r="D19" s="15">
        <v>4.5888999999999998</v>
      </c>
      <c r="E19" s="15">
        <v>4.5888999999999998</v>
      </c>
    </row>
    <row r="20" spans="1:5" x14ac:dyDescent="0.3">
      <c r="A20" s="15" t="s">
        <v>1</v>
      </c>
      <c r="B20" s="15">
        <v>-12.7501</v>
      </c>
      <c r="C20" s="15">
        <v>-12.7501</v>
      </c>
      <c r="D20" s="15">
        <v>-12.7501</v>
      </c>
      <c r="E20" s="15">
        <v>-12.7501</v>
      </c>
    </row>
    <row r="21" spans="1:5" x14ac:dyDescent="0.3">
      <c r="A21" s="15" t="s">
        <v>3</v>
      </c>
      <c r="B21" s="15">
        <v>-6759.0920999999998</v>
      </c>
      <c r="C21" s="15">
        <v>-6759.0920999999998</v>
      </c>
      <c r="D21" s="15">
        <v>-6759.0920999999998</v>
      </c>
      <c r="E21" s="15">
        <v>-6759.0920999999998</v>
      </c>
    </row>
  </sheetData>
  <mergeCells count="9">
    <mergeCell ref="H11:M11"/>
    <mergeCell ref="N1:S1"/>
    <mergeCell ref="N11:S11"/>
    <mergeCell ref="A11:F11"/>
    <mergeCell ref="A1:F1"/>
    <mergeCell ref="A6:F6"/>
    <mergeCell ref="H1:M1"/>
    <mergeCell ref="H6:M6"/>
    <mergeCell ref="N6:S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A39F-073F-4827-9DF8-09E8DA581A67}">
  <dimension ref="A1:U21"/>
  <sheetViews>
    <sheetView workbookViewId="0">
      <selection activeCell="A16" sqref="A16:G16"/>
    </sheetView>
  </sheetViews>
  <sheetFormatPr defaultRowHeight="14.4" x14ac:dyDescent="0.3"/>
  <cols>
    <col min="1" max="16384" width="8.88671875" style="2"/>
  </cols>
  <sheetData>
    <row r="1" spans="1:21" x14ac:dyDescent="0.3">
      <c r="A1" s="42" t="s">
        <v>13</v>
      </c>
      <c r="B1" s="42"/>
      <c r="C1" s="42"/>
      <c r="D1" s="42"/>
      <c r="E1" s="42"/>
      <c r="F1" s="42"/>
      <c r="G1" s="4" t="s">
        <v>18</v>
      </c>
      <c r="H1" s="50" t="s">
        <v>30</v>
      </c>
      <c r="I1" s="50"/>
      <c r="J1" s="50"/>
      <c r="K1" s="50"/>
      <c r="L1" s="50"/>
      <c r="M1" s="58"/>
      <c r="N1" s="61" t="s">
        <v>32</v>
      </c>
      <c r="O1" s="61"/>
      <c r="P1" s="61"/>
      <c r="Q1" s="61"/>
      <c r="R1" s="61"/>
      <c r="S1" s="61"/>
      <c r="T1" s="2" t="s">
        <v>35</v>
      </c>
    </row>
    <row r="2" spans="1:21" x14ac:dyDescent="0.3">
      <c r="A2" s="13">
        <v>2.0299999999999996E-6</v>
      </c>
      <c r="B2" s="13">
        <v>2.3199999999999998E-6</v>
      </c>
      <c r="C2" s="13">
        <v>2.48E-6</v>
      </c>
      <c r="D2" s="13">
        <v>3.3299999999999999E-6</v>
      </c>
      <c r="E2" s="13">
        <v>3.7999999999999996E-6</v>
      </c>
      <c r="F2" s="13">
        <v>5.3199999999999999E-6</v>
      </c>
      <c r="G2" s="4">
        <v>308</v>
      </c>
      <c r="H2" s="21">
        <f>LN(A2)</f>
        <v>-13.107474764910579</v>
      </c>
      <c r="I2" s="21">
        <f t="shared" ref="I2:M2" si="0">LN(B2)</f>
        <v>-12.973943372286056</v>
      </c>
      <c r="J2" s="21">
        <f t="shared" si="0"/>
        <v>-12.907251997787384</v>
      </c>
      <c r="K2" s="21">
        <f t="shared" si="0"/>
        <v>-12.612538253971922</v>
      </c>
      <c r="L2" s="21">
        <f t="shared" si="0"/>
        <v>-12.480509491231935</v>
      </c>
      <c r="M2" s="22">
        <f t="shared" si="0"/>
        <v>-12.144037254610721</v>
      </c>
      <c r="N2" s="28">
        <f>H2-N7</f>
        <v>9.1188128974270821</v>
      </c>
      <c r="O2" s="28">
        <f t="shared" ref="O2:S2" si="1">I2-O7</f>
        <v>9.2523442900516049</v>
      </c>
      <c r="P2" s="28">
        <f t="shared" si="1"/>
        <v>9.3190356645502774</v>
      </c>
      <c r="Q2" s="28">
        <f t="shared" si="1"/>
        <v>9.6137494083657398</v>
      </c>
      <c r="R2" s="28">
        <f t="shared" si="1"/>
        <v>9.7457781711057265</v>
      </c>
      <c r="S2" s="28">
        <f t="shared" si="1"/>
        <v>10.08225040772694</v>
      </c>
      <c r="T2" s="2">
        <f>10^-200</f>
        <v>9.9999999999999998E-201</v>
      </c>
      <c r="U2" s="2">
        <f>LN(T2)</f>
        <v>-460.51701859880916</v>
      </c>
    </row>
    <row r="3" spans="1:21" x14ac:dyDescent="0.3">
      <c r="A3" s="13">
        <v>1.6299999999999999E-6</v>
      </c>
      <c r="B3" s="13">
        <v>2.1099999999999997E-6</v>
      </c>
      <c r="C3" s="13">
        <v>3.1200000000000002E-6</v>
      </c>
      <c r="D3" s="13">
        <v>3.6099999999999997E-6</v>
      </c>
      <c r="E3" s="13">
        <v>4.2999999999999995E-6</v>
      </c>
      <c r="F3" s="13">
        <v>5.9599999999999997E-6</v>
      </c>
      <c r="G3" s="4">
        <v>318</v>
      </c>
      <c r="H3" s="21">
        <f t="shared" ref="H3:H5" si="2">LN(A3)</f>
        <v>-13.326930543145604</v>
      </c>
      <c r="I3" s="21">
        <f t="shared" ref="I3:I5" si="3">LN(B3)</f>
        <v>-13.0688226104763</v>
      </c>
      <c r="J3" s="21">
        <f t="shared" ref="J3:J5" si="4">LN(C3)</f>
        <v>-12.677677556142884</v>
      </c>
      <c r="K3" s="21">
        <f t="shared" ref="K3:K5" si="5">LN(D3)</f>
        <v>-12.531802785619485</v>
      </c>
      <c r="L3" s="21">
        <f t="shared" ref="L3:L5" si="6">LN(E3)</f>
        <v>-12.356895535264757</v>
      </c>
      <c r="M3" s="22">
        <f t="shared" ref="M3:M5" si="7">LN(F3)</f>
        <v>-12.030440076887016</v>
      </c>
      <c r="N3" s="28">
        <f t="shared" ref="N3:N5" si="8">H3-N8</f>
        <v>8.200417255596534</v>
      </c>
      <c r="O3" s="28">
        <f t="shared" ref="O3:O5" si="9">I3-O8</f>
        <v>8.4585251882658383</v>
      </c>
      <c r="P3" s="28">
        <f t="shared" ref="P3:P5" si="10">J3-P8</f>
        <v>8.8496702425992542</v>
      </c>
      <c r="Q3" s="28">
        <f t="shared" ref="Q3:Q5" si="11">K3-Q8</f>
        <v>8.9955450131226531</v>
      </c>
      <c r="R3" s="28">
        <f t="shared" ref="R3:R5" si="12">L3-R8</f>
        <v>9.1704522634773813</v>
      </c>
      <c r="S3" s="28">
        <f t="shared" ref="S3:S5" si="13">M3-S8</f>
        <v>9.4969077218551217</v>
      </c>
    </row>
    <row r="4" spans="1:21" x14ac:dyDescent="0.3">
      <c r="A4" s="13">
        <v>1.2899999999999999E-6</v>
      </c>
      <c r="B4" s="13">
        <v>1.9599999999999999E-6</v>
      </c>
      <c r="C4" s="13">
        <v>3.7599999999999996E-6</v>
      </c>
      <c r="D4" s="13">
        <v>4.0799999999999999E-6</v>
      </c>
      <c r="E4" s="13">
        <v>5.3600000000000004E-6</v>
      </c>
      <c r="F4" s="13">
        <v>7.2199999999999995E-6</v>
      </c>
      <c r="G4" s="4">
        <v>328</v>
      </c>
      <c r="H4" s="21">
        <f t="shared" si="2"/>
        <v>-13.560868339590693</v>
      </c>
      <c r="I4" s="21">
        <f t="shared" si="3"/>
        <v>-13.142566084721848</v>
      </c>
      <c r="J4" s="21">
        <f t="shared" si="4"/>
        <v>-12.491091600562472</v>
      </c>
      <c r="K4" s="21">
        <f t="shared" si="5"/>
        <v>-12.409413569548203</v>
      </c>
      <c r="L4" s="21">
        <f t="shared" si="6"/>
        <v>-12.136546582881563</v>
      </c>
      <c r="M4" s="22">
        <f t="shared" si="7"/>
        <v>-11.83865560505954</v>
      </c>
      <c r="N4" s="28">
        <f t="shared" si="8"/>
        <v>7.310157879921503</v>
      </c>
      <c r="O4" s="28">
        <f t="shared" si="9"/>
        <v>7.7284601347903479</v>
      </c>
      <c r="P4" s="28">
        <f t="shared" si="10"/>
        <v>8.3799346189497239</v>
      </c>
      <c r="Q4" s="28">
        <f t="shared" si="11"/>
        <v>8.4616126499639925</v>
      </c>
      <c r="R4" s="28">
        <f t="shared" si="12"/>
        <v>8.734479636630633</v>
      </c>
      <c r="S4" s="28">
        <f t="shared" si="13"/>
        <v>9.0323706144526561</v>
      </c>
    </row>
    <row r="5" spans="1:21" x14ac:dyDescent="0.3">
      <c r="A5" s="13">
        <v>9.0000000000000007E-7</v>
      </c>
      <c r="B5" s="13">
        <v>1.5200000000000001E-6</v>
      </c>
      <c r="C5" s="13">
        <v>4.3899999999999995E-6</v>
      </c>
      <c r="D5" s="13">
        <v>4.9400000000000001E-6</v>
      </c>
      <c r="E5" s="13">
        <v>6.1E-6</v>
      </c>
      <c r="F5" s="13">
        <v>8.0099999999999995E-6</v>
      </c>
      <c r="G5" s="4">
        <v>338</v>
      </c>
      <c r="H5" s="26">
        <f t="shared" si="2"/>
        <v>-13.9208710736221</v>
      </c>
      <c r="I5" s="26">
        <f t="shared" si="3"/>
        <v>-13.396800223106089</v>
      </c>
      <c r="J5" s="26">
        <f t="shared" si="4"/>
        <v>-12.336181330877194</v>
      </c>
      <c r="K5" s="26">
        <f t="shared" si="5"/>
        <v>-12.218145226764443</v>
      </c>
      <c r="L5" s="26">
        <f t="shared" si="6"/>
        <v>-12.007221786785008</v>
      </c>
      <c r="M5" s="27">
        <f t="shared" si="7"/>
        <v>-11.734819796884006</v>
      </c>
      <c r="N5" s="28">
        <f t="shared" si="8"/>
        <v>6.3326691630642902</v>
      </c>
      <c r="O5" s="28">
        <f t="shared" si="9"/>
        <v>6.8567400135803016</v>
      </c>
      <c r="P5" s="28">
        <f t="shared" si="10"/>
        <v>7.9173589058091967</v>
      </c>
      <c r="Q5" s="28">
        <f t="shared" si="11"/>
        <v>8.0353950099219471</v>
      </c>
      <c r="R5" s="28">
        <f t="shared" si="12"/>
        <v>8.2463184499013824</v>
      </c>
      <c r="S5" s="28">
        <f t="shared" si="13"/>
        <v>8.5187204398023848</v>
      </c>
    </row>
    <row r="6" spans="1:21" x14ac:dyDescent="0.3">
      <c r="A6" s="43" t="s">
        <v>14</v>
      </c>
      <c r="B6" s="43"/>
      <c r="C6" s="43"/>
      <c r="D6" s="43"/>
      <c r="E6" s="43"/>
      <c r="F6" s="43"/>
      <c r="G6" s="4" t="s">
        <v>18</v>
      </c>
      <c r="H6" s="59" t="s">
        <v>31</v>
      </c>
      <c r="I6" s="59"/>
      <c r="J6" s="59"/>
      <c r="K6" s="59"/>
      <c r="L6" s="59"/>
      <c r="M6" s="59"/>
      <c r="N6" s="60" t="s">
        <v>25</v>
      </c>
      <c r="O6" s="60"/>
      <c r="P6" s="60"/>
      <c r="Q6" s="60"/>
      <c r="R6" s="60"/>
      <c r="S6" s="60"/>
    </row>
    <row r="7" spans="1:21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14">
        <f>$B17 + $B18*(A7-700) + $B19/$G7</f>
        <v>617.76861233766238</v>
      </c>
      <c r="I7" s="14">
        <f t="shared" ref="I7:M7" si="14">$B17 + $B18*(B7-700) + $B19/$G7</f>
        <v>1053.7382123376626</v>
      </c>
      <c r="J7" s="14">
        <f t="shared" si="14"/>
        <v>1344.3846123376625</v>
      </c>
      <c r="K7" s="14">
        <f t="shared" si="14"/>
        <v>1580.5348123376625</v>
      </c>
      <c r="L7" s="14">
        <f t="shared" si="14"/>
        <v>1771.2715123376627</v>
      </c>
      <c r="M7" s="14">
        <f t="shared" si="14"/>
        <v>1934.7601123376626</v>
      </c>
      <c r="N7" s="15">
        <f>$B19/$G7</f>
        <v>-22.226287662337661</v>
      </c>
      <c r="O7" s="15">
        <f t="shared" ref="O7:S7" si="15">$B19/$G7</f>
        <v>-22.226287662337661</v>
      </c>
      <c r="P7" s="15">
        <f t="shared" si="15"/>
        <v>-22.226287662337661</v>
      </c>
      <c r="Q7" s="15">
        <f t="shared" si="15"/>
        <v>-22.226287662337661</v>
      </c>
      <c r="R7" s="15">
        <f t="shared" si="15"/>
        <v>-22.226287662337661</v>
      </c>
      <c r="S7" s="15">
        <f t="shared" si="15"/>
        <v>-22.226287662337661</v>
      </c>
    </row>
    <row r="8" spans="1:21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14">
        <f>$B17 + $B18*(A8-700) + $B19/$G8</f>
        <v>-362.46404779874223</v>
      </c>
      <c r="I8" s="14">
        <f t="shared" ref="I8:M8" si="16">$B17 + $B18*(B8-700) + $B19/$G8</f>
        <v>391.40005220125789</v>
      </c>
      <c r="J8" s="14">
        <f t="shared" si="16"/>
        <v>818.28695220125792</v>
      </c>
      <c r="K8" s="14">
        <f t="shared" si="16"/>
        <v>1118.0160522012582</v>
      </c>
      <c r="L8" s="14">
        <f t="shared" si="16"/>
        <v>1363.2489522012581</v>
      </c>
      <c r="M8" s="14">
        <f t="shared" si="16"/>
        <v>1553.9856522012581</v>
      </c>
      <c r="N8" s="15">
        <f>$B19/$G8</f>
        <v>-21.527347798742138</v>
      </c>
      <c r="O8" s="15">
        <f t="shared" ref="O8:S8" si="17">$B19/$G8</f>
        <v>-21.527347798742138</v>
      </c>
      <c r="P8" s="15">
        <f t="shared" si="17"/>
        <v>-21.527347798742138</v>
      </c>
      <c r="Q8" s="15">
        <f t="shared" si="17"/>
        <v>-21.527347798742138</v>
      </c>
      <c r="R8" s="15">
        <f t="shared" si="17"/>
        <v>-21.527347798742138</v>
      </c>
      <c r="S8" s="15">
        <f t="shared" si="17"/>
        <v>-21.527347798742138</v>
      </c>
    </row>
    <row r="9" spans="1:21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14">
        <f>$B17 + $B18*(A9-700) + $B19/$G9</f>
        <v>-1742.3781262195123</v>
      </c>
      <c r="I9" s="14">
        <f t="shared" ref="I9:M9" si="18">$B17 + $B18*(B9-700) + $B19/$G9</f>
        <v>-407.22122621951229</v>
      </c>
      <c r="J9" s="14">
        <f t="shared" si="18"/>
        <v>219.48507378048782</v>
      </c>
      <c r="K9" s="14">
        <f t="shared" si="18"/>
        <v>619.12387378048788</v>
      </c>
      <c r="L9" s="14">
        <f t="shared" si="18"/>
        <v>918.8529737804879</v>
      </c>
      <c r="M9" s="14">
        <f t="shared" si="18"/>
        <v>1164.0858737804879</v>
      </c>
      <c r="N9" s="15">
        <f>$B19/$G9</f>
        <v>-20.871026219512196</v>
      </c>
      <c r="O9" s="15">
        <f t="shared" ref="O9:S9" si="19">$B19/$G9</f>
        <v>-20.871026219512196</v>
      </c>
      <c r="P9" s="15">
        <f t="shared" si="19"/>
        <v>-20.871026219512196</v>
      </c>
      <c r="Q9" s="15">
        <f t="shared" si="19"/>
        <v>-20.871026219512196</v>
      </c>
      <c r="R9" s="15">
        <f t="shared" si="19"/>
        <v>-20.871026219512196</v>
      </c>
      <c r="S9" s="15">
        <f t="shared" si="19"/>
        <v>-20.871026219512196</v>
      </c>
    </row>
    <row r="10" spans="1:21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14">
        <f>$B17 + $B18*(A10-700) + $B19/$G10</f>
        <v>-2840.7673402366872</v>
      </c>
      <c r="I10" s="14">
        <f t="shared" ref="I10:M10" si="20">$B17 + $B18*(B10-700) + $B19/$G10</f>
        <v>-1305.7910402366865</v>
      </c>
      <c r="J10" s="14">
        <f t="shared" si="20"/>
        <v>-442.93454023668642</v>
      </c>
      <c r="K10" s="14">
        <f t="shared" si="20"/>
        <v>83.862059763313624</v>
      </c>
      <c r="L10" s="14">
        <f t="shared" si="20"/>
        <v>456.25275976331363</v>
      </c>
      <c r="M10" s="14">
        <f t="shared" si="20"/>
        <v>746.89915976331372</v>
      </c>
      <c r="N10" s="15">
        <f>$B19/$G10</f>
        <v>-20.253540236686391</v>
      </c>
      <c r="O10" s="15">
        <f t="shared" ref="O10:S10" si="21">$B19/$G10</f>
        <v>-20.253540236686391</v>
      </c>
      <c r="P10" s="15">
        <f t="shared" si="21"/>
        <v>-20.253540236686391</v>
      </c>
      <c r="Q10" s="15">
        <f t="shared" si="21"/>
        <v>-20.253540236686391</v>
      </c>
      <c r="R10" s="15">
        <f t="shared" si="21"/>
        <v>-20.253540236686391</v>
      </c>
      <c r="S10" s="15">
        <f t="shared" si="21"/>
        <v>-20.253540236686391</v>
      </c>
    </row>
    <row r="11" spans="1:21" x14ac:dyDescent="0.3">
      <c r="A11" s="43" t="s">
        <v>29</v>
      </c>
      <c r="B11" s="43"/>
      <c r="C11" s="43"/>
      <c r="D11" s="43"/>
      <c r="E11" s="43"/>
      <c r="F11" s="43"/>
      <c r="G11" s="4" t="s">
        <v>18</v>
      </c>
      <c r="H11" s="51" t="s">
        <v>32</v>
      </c>
      <c r="I11" s="51"/>
      <c r="J11" s="51"/>
      <c r="K11" s="51"/>
      <c r="L11" s="51"/>
      <c r="M11" s="51"/>
      <c r="N11" s="62" t="s">
        <v>34</v>
      </c>
      <c r="O11" s="62"/>
      <c r="P11" s="62"/>
      <c r="Q11" s="62"/>
      <c r="R11" s="62"/>
      <c r="S11" s="62"/>
    </row>
    <row r="12" spans="1:21" x14ac:dyDescent="0.3">
      <c r="A12" s="3">
        <f t="shared" ref="A12:F12" si="22">A7-700</f>
        <v>69</v>
      </c>
      <c r="B12" s="3">
        <f t="shared" si="22"/>
        <v>117</v>
      </c>
      <c r="C12" s="3">
        <f t="shared" si="22"/>
        <v>149</v>
      </c>
      <c r="D12" s="3">
        <f t="shared" si="22"/>
        <v>175</v>
      </c>
      <c r="E12" s="3">
        <f t="shared" si="22"/>
        <v>196</v>
      </c>
      <c r="F12" s="3">
        <f t="shared" si="22"/>
        <v>214</v>
      </c>
      <c r="G12" s="4">
        <v>308</v>
      </c>
      <c r="H12" s="19">
        <f>H7-N12</f>
        <v>174.69038965840883</v>
      </c>
      <c r="I12" s="19">
        <f t="shared" ref="I12:M12" si="23">I7-O12</f>
        <v>610.43684610709488</v>
      </c>
      <c r="J12" s="19">
        <f t="shared" si="23"/>
        <v>900.90092455030072</v>
      </c>
      <c r="K12" s="19">
        <f t="shared" si="23"/>
        <v>1136.8969738704736</v>
      </c>
      <c r="L12" s="19">
        <f t="shared" si="23"/>
        <v>1327.5001424778493</v>
      </c>
      <c r="M12" s="19">
        <f t="shared" si="23"/>
        <v>1490.8709594421928</v>
      </c>
      <c r="N12" s="29">
        <f>(LN(A16) -$U2 + N7)</f>
        <v>443.07822267925354</v>
      </c>
      <c r="O12" s="29">
        <f t="shared" ref="O12:S12" si="24">(LN(B16) -$U2 + O7)</f>
        <v>443.30136623056774</v>
      </c>
      <c r="P12" s="29">
        <f t="shared" si="24"/>
        <v>443.4836877873617</v>
      </c>
      <c r="Q12" s="29">
        <f t="shared" si="24"/>
        <v>443.637838467189</v>
      </c>
      <c r="R12" s="29">
        <f t="shared" si="24"/>
        <v>443.77136985981349</v>
      </c>
      <c r="S12" s="29">
        <f t="shared" si="24"/>
        <v>443.88915289546986</v>
      </c>
    </row>
    <row r="13" spans="1:21" x14ac:dyDescent="0.3">
      <c r="A13" s="3">
        <f t="shared" ref="A13:F13" si="25">A8-700</f>
        <v>-39</v>
      </c>
      <c r="B13" s="3">
        <f t="shared" si="25"/>
        <v>44</v>
      </c>
      <c r="C13" s="3">
        <f t="shared" si="25"/>
        <v>91</v>
      </c>
      <c r="D13" s="3">
        <f t="shared" si="25"/>
        <v>124</v>
      </c>
      <c r="E13" s="3">
        <f t="shared" si="25"/>
        <v>151</v>
      </c>
      <c r="F13" s="3">
        <f t="shared" si="25"/>
        <v>172</v>
      </c>
      <c r="G13" s="4">
        <v>318</v>
      </c>
      <c r="H13" s="19"/>
      <c r="I13" s="19"/>
      <c r="J13" s="19"/>
      <c r="K13" s="19"/>
      <c r="L13" s="19"/>
      <c r="M13" s="19"/>
      <c r="N13" s="29">
        <f>(LN(A16) -$U2 + N8)</f>
        <v>443.77716254284906</v>
      </c>
      <c r="O13" s="29">
        <f t="shared" ref="O13:S13" si="26">(LN(B16) -$U2 + O8)</f>
        <v>444.00030609416325</v>
      </c>
      <c r="P13" s="29">
        <f t="shared" si="26"/>
        <v>444.18262765095722</v>
      </c>
      <c r="Q13" s="29">
        <f t="shared" si="26"/>
        <v>444.33677833078451</v>
      </c>
      <c r="R13" s="29">
        <f t="shared" si="26"/>
        <v>444.470309723409</v>
      </c>
      <c r="S13" s="29">
        <f t="shared" si="26"/>
        <v>444.58809275906538</v>
      </c>
    </row>
    <row r="14" spans="1:21" x14ac:dyDescent="0.3">
      <c r="A14" s="3">
        <f t="shared" ref="A14:F14" si="27">A9-700</f>
        <v>-191</v>
      </c>
      <c r="B14" s="3">
        <f t="shared" si="27"/>
        <v>-44</v>
      </c>
      <c r="C14" s="3">
        <f t="shared" si="27"/>
        <v>25</v>
      </c>
      <c r="D14" s="3">
        <f t="shared" si="27"/>
        <v>69</v>
      </c>
      <c r="E14" s="3">
        <f t="shared" si="27"/>
        <v>102</v>
      </c>
      <c r="F14" s="3">
        <f t="shared" si="27"/>
        <v>129</v>
      </c>
      <c r="G14" s="4">
        <v>328</v>
      </c>
      <c r="H14" s="19"/>
      <c r="I14" s="19"/>
      <c r="J14" s="19"/>
      <c r="K14" s="19"/>
      <c r="L14" s="19"/>
      <c r="M14" s="19"/>
      <c r="N14" s="29">
        <f>(LN(A16) -$U2 + N9)</f>
        <v>444.43348412207899</v>
      </c>
      <c r="O14" s="29">
        <f t="shared" ref="O14:S14" si="28">(LN(B16) -$U2 + O9)</f>
        <v>444.65662767339319</v>
      </c>
      <c r="P14" s="29">
        <f t="shared" si="28"/>
        <v>444.83894923018715</v>
      </c>
      <c r="Q14" s="29">
        <f t="shared" si="28"/>
        <v>444.99309991001445</v>
      </c>
      <c r="R14" s="29">
        <f t="shared" si="28"/>
        <v>445.12663130263894</v>
      </c>
      <c r="S14" s="29">
        <f t="shared" si="28"/>
        <v>445.24441433829531</v>
      </c>
    </row>
    <row r="15" spans="1:21" x14ac:dyDescent="0.3">
      <c r="A15" s="3">
        <f>A10-700</f>
        <v>-312</v>
      </c>
      <c r="B15" s="3">
        <f t="shared" ref="B15:F15" si="29">B10-700</f>
        <v>-143</v>
      </c>
      <c r="C15" s="3">
        <f t="shared" si="29"/>
        <v>-48</v>
      </c>
      <c r="D15" s="3">
        <f t="shared" si="29"/>
        <v>10</v>
      </c>
      <c r="E15" s="3">
        <f t="shared" si="29"/>
        <v>51</v>
      </c>
      <c r="F15" s="3">
        <f t="shared" si="29"/>
        <v>83</v>
      </c>
      <c r="G15" s="4">
        <v>338</v>
      </c>
      <c r="H15" s="19"/>
      <c r="I15" s="19"/>
      <c r="J15" s="19"/>
      <c r="K15" s="19"/>
      <c r="L15" s="19"/>
      <c r="M15" s="19"/>
      <c r="N15" s="29">
        <f>(LN(A16) -$U2 + N10)</f>
        <v>445.05097010490482</v>
      </c>
      <c r="O15" s="29">
        <f t="shared" ref="O15:S15" si="30">(LN(B16) -$U2 + O10)</f>
        <v>445.27411365621901</v>
      </c>
      <c r="P15" s="29">
        <f t="shared" si="30"/>
        <v>445.45643521301298</v>
      </c>
      <c r="Q15" s="29">
        <f t="shared" si="30"/>
        <v>445.61058589284028</v>
      </c>
      <c r="R15" s="29">
        <f t="shared" si="30"/>
        <v>445.74411728546477</v>
      </c>
      <c r="S15" s="29">
        <f t="shared" si="30"/>
        <v>445.86190032112114</v>
      </c>
    </row>
    <row r="16" spans="1:21" x14ac:dyDescent="0.3">
      <c r="A16" s="18">
        <v>120</v>
      </c>
      <c r="B16" s="18">
        <v>150</v>
      </c>
      <c r="C16" s="18">
        <v>180</v>
      </c>
      <c r="D16" s="18">
        <v>210</v>
      </c>
      <c r="E16" s="18">
        <v>240</v>
      </c>
      <c r="F16" s="18">
        <v>270</v>
      </c>
      <c r="G16" s="18" t="s">
        <v>33</v>
      </c>
    </row>
    <row r="17" spans="1:2" x14ac:dyDescent="0.3">
      <c r="A17" s="15" t="s">
        <v>0</v>
      </c>
      <c r="B17" s="15">
        <v>13.288600000000001</v>
      </c>
    </row>
    <row r="18" spans="1:2" x14ac:dyDescent="0.3">
      <c r="A18" s="15" t="s">
        <v>1</v>
      </c>
      <c r="B18" s="15">
        <v>9.0827000000000009</v>
      </c>
    </row>
    <row r="19" spans="1:2" x14ac:dyDescent="0.3">
      <c r="A19" s="15" t="s">
        <v>3</v>
      </c>
      <c r="B19" s="15">
        <v>-6845.6966000000002</v>
      </c>
    </row>
    <row r="20" spans="1:2" x14ac:dyDescent="0.3">
      <c r="B20" s="25"/>
    </row>
    <row r="21" spans="1:2" x14ac:dyDescent="0.3">
      <c r="B21" s="25"/>
    </row>
  </sheetData>
  <mergeCells count="9">
    <mergeCell ref="N6:S6"/>
    <mergeCell ref="N1:S1"/>
    <mergeCell ref="N11:S11"/>
    <mergeCell ref="H11:M11"/>
    <mergeCell ref="A1:F1"/>
    <mergeCell ref="A6:F6"/>
    <mergeCell ref="A11:F11"/>
    <mergeCell ref="H1:M1"/>
    <mergeCell ref="H6:M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FC11-C064-4DBD-9587-036AF5377C78}">
  <dimension ref="A1:S26"/>
  <sheetViews>
    <sheetView workbookViewId="0">
      <selection sqref="A1:M15"/>
    </sheetView>
  </sheetViews>
  <sheetFormatPr defaultRowHeight="14.4" x14ac:dyDescent="0.3"/>
  <cols>
    <col min="1" max="16384" width="8.88671875" style="2"/>
  </cols>
  <sheetData>
    <row r="1" spans="1:19" x14ac:dyDescent="0.3">
      <c r="A1" s="42" t="s">
        <v>13</v>
      </c>
      <c r="B1" s="42"/>
      <c r="C1" s="42"/>
      <c r="D1" s="42"/>
      <c r="E1" s="42"/>
      <c r="F1" s="42"/>
      <c r="G1" s="4" t="s">
        <v>18</v>
      </c>
      <c r="H1" s="39" t="s">
        <v>30</v>
      </c>
      <c r="I1" s="35"/>
      <c r="J1" s="35"/>
      <c r="K1" s="35"/>
      <c r="L1" s="35"/>
      <c r="M1" s="35"/>
      <c r="N1" s="63" t="s">
        <v>37</v>
      </c>
      <c r="O1" s="63"/>
      <c r="P1" s="63"/>
      <c r="Q1" s="63"/>
      <c r="R1" s="63"/>
      <c r="S1" s="63"/>
    </row>
    <row r="2" spans="1:19" x14ac:dyDescent="0.3">
      <c r="A2" s="13">
        <v>2.0299999999999996E-6</v>
      </c>
      <c r="B2" s="13">
        <v>2.3199999999999998E-6</v>
      </c>
      <c r="C2" s="13">
        <v>2.48E-6</v>
      </c>
      <c r="D2" s="13">
        <v>3.3299999999999999E-6</v>
      </c>
      <c r="E2" s="13">
        <v>3.7999999999999996E-6</v>
      </c>
      <c r="F2" s="13">
        <v>5.3199999999999999E-6</v>
      </c>
      <c r="G2" s="4">
        <v>308</v>
      </c>
      <c r="H2" s="8">
        <f>LN(A2)</f>
        <v>-13.107474764910579</v>
      </c>
      <c r="I2" s="8">
        <f t="shared" ref="I2:M5" si="0">LN(B2)</f>
        <v>-12.973943372286056</v>
      </c>
      <c r="J2" s="8">
        <f t="shared" si="0"/>
        <v>-12.907251997787384</v>
      </c>
      <c r="K2" s="8">
        <f t="shared" si="0"/>
        <v>-12.612538253971922</v>
      </c>
      <c r="L2" s="8">
        <f t="shared" si="0"/>
        <v>-12.480509491231935</v>
      </c>
      <c r="M2" s="8">
        <f t="shared" si="0"/>
        <v>-12.144037254610721</v>
      </c>
      <c r="N2" s="30">
        <f>H2-N7</f>
        <v>25.157487572751755</v>
      </c>
      <c r="O2" s="30">
        <f t="shared" ref="O2:S2" si="1">I2-O7</f>
        <v>25.291018965376274</v>
      </c>
      <c r="P2" s="30">
        <f t="shared" si="1"/>
        <v>25.357710339874949</v>
      </c>
      <c r="Q2" s="30">
        <f t="shared" si="1"/>
        <v>25.652424083690413</v>
      </c>
      <c r="R2" s="30">
        <f t="shared" si="1"/>
        <v>25.784452846430398</v>
      </c>
      <c r="S2" s="30">
        <f t="shared" si="1"/>
        <v>26.12092508305161</v>
      </c>
    </row>
    <row r="3" spans="1:19" x14ac:dyDescent="0.3">
      <c r="A3" s="13">
        <v>1.6299999999999999E-6</v>
      </c>
      <c r="B3" s="13">
        <v>2.1099999999999997E-6</v>
      </c>
      <c r="C3" s="13">
        <v>3.1200000000000002E-6</v>
      </c>
      <c r="D3" s="13">
        <v>3.6099999999999997E-6</v>
      </c>
      <c r="E3" s="13">
        <v>4.2999999999999995E-6</v>
      </c>
      <c r="F3" s="13">
        <v>5.9599999999999997E-6</v>
      </c>
      <c r="G3" s="4">
        <v>318</v>
      </c>
      <c r="H3" s="8">
        <f t="shared" ref="H3:H5" si="2">LN(A3)</f>
        <v>-13.326930543145604</v>
      </c>
      <c r="I3" s="8">
        <f t="shared" si="0"/>
        <v>-13.0688226104763</v>
      </c>
      <c r="J3" s="8">
        <f t="shared" si="0"/>
        <v>-12.677677556142884</v>
      </c>
      <c r="K3" s="8">
        <f t="shared" si="0"/>
        <v>-12.531802785619485</v>
      </c>
      <c r="L3" s="8">
        <f t="shared" si="0"/>
        <v>-12.356895535264757</v>
      </c>
      <c r="M3" s="8">
        <f t="shared" si="0"/>
        <v>-12.030440076887016</v>
      </c>
      <c r="N3" s="30">
        <f t="shared" ref="N3:N5" si="3">H3-N8</f>
        <v>24.8923411549676</v>
      </c>
      <c r="O3" s="30">
        <f t="shared" ref="O3:O5" si="4">I3-O8</f>
        <v>25.150449087636904</v>
      </c>
      <c r="P3" s="30">
        <f t="shared" ref="P3:P5" si="5">J3-P8</f>
        <v>25.541594141970322</v>
      </c>
      <c r="Q3" s="30">
        <f t="shared" ref="Q3:Q5" si="6">K3-Q8</f>
        <v>25.687468912493721</v>
      </c>
      <c r="R3" s="30">
        <f t="shared" ref="R3:R5" si="7">L3-R8</f>
        <v>25.862376162848449</v>
      </c>
      <c r="S3" s="30">
        <f t="shared" ref="S3:S5" si="8">M3-S8</f>
        <v>26.188831621226186</v>
      </c>
    </row>
    <row r="4" spans="1:19" x14ac:dyDescent="0.3">
      <c r="A4" s="13">
        <v>1.2899999999999999E-6</v>
      </c>
      <c r="B4" s="13">
        <v>1.9599999999999999E-6</v>
      </c>
      <c r="C4" s="13">
        <v>3.7599999999999996E-6</v>
      </c>
      <c r="D4" s="13">
        <v>4.0799999999999999E-6</v>
      </c>
      <c r="E4" s="13">
        <v>5.3600000000000004E-6</v>
      </c>
      <c r="F4" s="13">
        <v>7.2199999999999995E-6</v>
      </c>
      <c r="G4" s="4">
        <v>328</v>
      </c>
      <c r="H4" s="8">
        <f t="shared" si="2"/>
        <v>-13.560868339590693</v>
      </c>
      <c r="I4" s="8">
        <f t="shared" si="0"/>
        <v>-13.142566084721848</v>
      </c>
      <c r="J4" s="8">
        <f t="shared" si="0"/>
        <v>-12.491091600562472</v>
      </c>
      <c r="K4" s="8">
        <f t="shared" si="0"/>
        <v>-12.409413569548203</v>
      </c>
      <c r="L4" s="8">
        <f t="shared" si="0"/>
        <v>-12.136546582881563</v>
      </c>
      <c r="M4" s="8">
        <f t="shared" si="0"/>
        <v>-11.83865560505954</v>
      </c>
      <c r="N4" s="30">
        <f t="shared" si="3"/>
        <v>24.61549873358004</v>
      </c>
      <c r="O4" s="30">
        <f t="shared" si="4"/>
        <v>25.033800988448881</v>
      </c>
      <c r="P4" s="30">
        <f t="shared" si="5"/>
        <v>25.685275472608261</v>
      </c>
      <c r="Q4" s="30">
        <f t="shared" si="6"/>
        <v>25.766953503622528</v>
      </c>
      <c r="R4" s="30">
        <f t="shared" si="7"/>
        <v>26.039820490289166</v>
      </c>
      <c r="S4" s="30">
        <f t="shared" si="8"/>
        <v>26.337711468111191</v>
      </c>
    </row>
    <row r="5" spans="1:19" x14ac:dyDescent="0.3">
      <c r="A5" s="13">
        <v>9.0000000000000007E-7</v>
      </c>
      <c r="B5" s="13">
        <v>1.5200000000000001E-6</v>
      </c>
      <c r="C5" s="13">
        <v>4.3899999999999995E-6</v>
      </c>
      <c r="D5" s="13">
        <v>4.9400000000000001E-6</v>
      </c>
      <c r="E5" s="13">
        <v>6.1E-6</v>
      </c>
      <c r="F5" s="13">
        <v>8.0099999999999995E-6</v>
      </c>
      <c r="G5" s="4">
        <v>338</v>
      </c>
      <c r="H5" s="9">
        <f t="shared" si="2"/>
        <v>-13.9208710736221</v>
      </c>
      <c r="I5" s="9">
        <f t="shared" si="0"/>
        <v>-13.396800223106089</v>
      </c>
      <c r="J5" s="9">
        <f t="shared" si="0"/>
        <v>-12.336181330877194</v>
      </c>
      <c r="K5" s="9">
        <f t="shared" si="0"/>
        <v>-12.218145226764443</v>
      </c>
      <c r="L5" s="9">
        <f t="shared" si="0"/>
        <v>-12.007221786785008</v>
      </c>
      <c r="M5" s="9">
        <f t="shared" si="0"/>
        <v>-11.734819796884006</v>
      </c>
      <c r="N5" s="30">
        <f t="shared" si="3"/>
        <v>24.215130109809849</v>
      </c>
      <c r="O5" s="30">
        <f t="shared" si="4"/>
        <v>24.73920096032586</v>
      </c>
      <c r="P5" s="30">
        <f t="shared" si="5"/>
        <v>25.799819852554755</v>
      </c>
      <c r="Q5" s="30">
        <f t="shared" si="6"/>
        <v>25.917855956667509</v>
      </c>
      <c r="R5" s="30">
        <f t="shared" si="7"/>
        <v>26.128779396646941</v>
      </c>
      <c r="S5" s="30">
        <f t="shared" si="8"/>
        <v>26.401181386547947</v>
      </c>
    </row>
    <row r="6" spans="1:19" x14ac:dyDescent="0.3">
      <c r="A6" s="43" t="s">
        <v>14</v>
      </c>
      <c r="B6" s="43"/>
      <c r="C6" s="43"/>
      <c r="D6" s="43"/>
      <c r="E6" s="43"/>
      <c r="F6" s="43"/>
      <c r="G6" s="4" t="s">
        <v>18</v>
      </c>
      <c r="H6" s="59" t="s">
        <v>38</v>
      </c>
      <c r="I6" s="59"/>
      <c r="J6" s="59"/>
      <c r="K6" s="59"/>
      <c r="L6" s="59"/>
      <c r="M6" s="59"/>
      <c r="N6" s="49" t="s">
        <v>36</v>
      </c>
      <c r="O6" s="44"/>
      <c r="P6" s="44"/>
      <c r="Q6" s="44"/>
      <c r="R6" s="44"/>
      <c r="S6" s="44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14">
        <f>($B17+ ($B18/$G7))*(LN(A7)) + N7</f>
        <v>-13.197931628061948</v>
      </c>
      <c r="I7" s="14">
        <f t="shared" ref="I7:M7" si="9">($B17+ ($B18/$G7))*(LN(B7)) + O7</f>
        <v>-12.969528175854677</v>
      </c>
      <c r="J7" s="14">
        <f t="shared" si="9"/>
        <v>-12.824597486915117</v>
      </c>
      <c r="K7" s="14">
        <f t="shared" si="9"/>
        <v>-12.710808305416236</v>
      </c>
      <c r="L7" s="14">
        <f t="shared" si="9"/>
        <v>-12.621343329877227</v>
      </c>
      <c r="M7" s="14">
        <f t="shared" si="9"/>
        <v>-12.546312421240245</v>
      </c>
      <c r="N7" s="16">
        <f>$B19/$G7 + $B20</f>
        <v>-38.264962337662332</v>
      </c>
      <c r="O7" s="15">
        <f t="shared" ref="O7:S7" si="10">$B19/$G7 + $B20</f>
        <v>-38.264962337662332</v>
      </c>
      <c r="P7" s="15">
        <f t="shared" si="10"/>
        <v>-38.264962337662332</v>
      </c>
      <c r="Q7" s="15">
        <f t="shared" si="10"/>
        <v>-38.264962337662332</v>
      </c>
      <c r="R7" s="15">
        <f t="shared" si="10"/>
        <v>-38.264962337662332</v>
      </c>
      <c r="S7" s="15">
        <f t="shared" si="10"/>
        <v>-38.264962337662332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14">
        <f>($B17+ ($B18/$G8))*(LN(A8)) + N8</f>
        <v>-13.321320969301233</v>
      </c>
      <c r="I8" s="14">
        <f t="shared" ref="I8:M8" si="11">($B17+ ($B18/$G8))*(LN(B8)) + O8</f>
        <v>-12.867791496960827</v>
      </c>
      <c r="J8" s="14">
        <f t="shared" si="11"/>
        <v>-12.632923940287672</v>
      </c>
      <c r="K8" s="14">
        <f t="shared" si="11"/>
        <v>-12.476212881712879</v>
      </c>
      <c r="L8" s="14">
        <f t="shared" si="11"/>
        <v>-12.352594131333777</v>
      </c>
      <c r="M8" s="14">
        <f t="shared" si="11"/>
        <v>-12.259128208057962</v>
      </c>
      <c r="N8" s="16">
        <f>$B19/$G8 + $B20</f>
        <v>-38.219271698113204</v>
      </c>
      <c r="O8" s="15">
        <f t="shared" ref="O8:S8" si="12">$B19/$G8 + $B20</f>
        <v>-38.219271698113204</v>
      </c>
      <c r="P8" s="15">
        <f t="shared" si="12"/>
        <v>-38.219271698113204</v>
      </c>
      <c r="Q8" s="15">
        <f t="shared" si="12"/>
        <v>-38.219271698113204</v>
      </c>
      <c r="R8" s="15">
        <f t="shared" si="12"/>
        <v>-38.219271698113204</v>
      </c>
      <c r="S8" s="15">
        <f t="shared" si="12"/>
        <v>-38.219271698113204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14">
        <f>($B17+ ($B18/$G9))*(LN(A9)) + N9</f>
        <v>-13.918178284849674</v>
      </c>
      <c r="I9" s="14">
        <f t="shared" ref="I9:M9" si="13">($B17+ ($B18/$G9))*(LN(B9)) + O9</f>
        <v>-12.930667067044467</v>
      </c>
      <c r="J9" s="14">
        <f t="shared" si="13"/>
        <v>-12.541400688937518</v>
      </c>
      <c r="K9" s="14">
        <f t="shared" si="13"/>
        <v>-12.312072525383453</v>
      </c>
      <c r="L9" s="14">
        <f t="shared" si="13"/>
        <v>-12.148529756781024</v>
      </c>
      <c r="M9" s="14">
        <f t="shared" si="13"/>
        <v>-12.019651639773631</v>
      </c>
      <c r="N9" s="16">
        <f>$B19/$G9 + $B20</f>
        <v>-38.176367073170731</v>
      </c>
      <c r="O9" s="15">
        <f t="shared" ref="O9:S9" si="14">$B19/$G9 + $B20</f>
        <v>-38.176367073170731</v>
      </c>
      <c r="P9" s="15">
        <f t="shared" si="14"/>
        <v>-38.176367073170731</v>
      </c>
      <c r="Q9" s="15">
        <f t="shared" si="14"/>
        <v>-38.176367073170731</v>
      </c>
      <c r="R9" s="15">
        <f t="shared" si="14"/>
        <v>-38.176367073170731</v>
      </c>
      <c r="S9" s="15">
        <f t="shared" si="14"/>
        <v>-38.176367073170731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14">
        <f>($B17+ ($B18/$G10))*(LN(A10)) + N10</f>
        <v>-14.608477463474003</v>
      </c>
      <c r="I10" s="14">
        <f t="shared" ref="I10:M10" si="15">($B17+ ($B18/$G10))*(LN(B10)) + O10</f>
        <v>-13.18143476749718</v>
      </c>
      <c r="J10" s="14">
        <f t="shared" si="15"/>
        <v>-12.559878792850593</v>
      </c>
      <c r="K10" s="14">
        <f t="shared" si="15"/>
        <v>-12.22352191024984</v>
      </c>
      <c r="L10" s="14">
        <f t="shared" si="15"/>
        <v>-12.001939954560502</v>
      </c>
      <c r="M10" s="14">
        <f t="shared" si="15"/>
        <v>-11.837247261487235</v>
      </c>
      <c r="N10" s="16">
        <f>$B19/$G10 + $B20</f>
        <v>-38.136001183431951</v>
      </c>
      <c r="O10" s="15">
        <f t="shared" ref="O10:S10" si="16">$B19/$G10 + $B20</f>
        <v>-38.136001183431951</v>
      </c>
      <c r="P10" s="15">
        <f t="shared" si="16"/>
        <v>-38.136001183431951</v>
      </c>
      <c r="Q10" s="15">
        <f t="shared" si="16"/>
        <v>-38.136001183431951</v>
      </c>
      <c r="R10" s="15">
        <f t="shared" si="16"/>
        <v>-38.136001183431951</v>
      </c>
      <c r="S10" s="15">
        <f t="shared" si="16"/>
        <v>-38.136001183431951</v>
      </c>
    </row>
    <row r="11" spans="1:19" x14ac:dyDescent="0.3">
      <c r="A11" s="43" t="s">
        <v>28</v>
      </c>
      <c r="B11" s="43"/>
      <c r="C11" s="43"/>
      <c r="D11" s="43"/>
      <c r="E11" s="43"/>
      <c r="F11" s="43"/>
      <c r="G11" s="4" t="s">
        <v>18</v>
      </c>
      <c r="H11" s="59" t="s">
        <v>39</v>
      </c>
      <c r="I11" s="59"/>
      <c r="J11" s="59"/>
      <c r="K11" s="59"/>
      <c r="L11" s="59"/>
      <c r="M11" s="59"/>
    </row>
    <row r="12" spans="1:19" x14ac:dyDescent="0.3">
      <c r="A12" s="3">
        <f>LN(A7)</f>
        <v>6.6450909695056444</v>
      </c>
      <c r="B12" s="3">
        <f t="shared" ref="B12:E12" si="17">LN(B7)</f>
        <v>6.7056390948600031</v>
      </c>
      <c r="C12" s="3">
        <f t="shared" si="17"/>
        <v>6.7440591863113477</v>
      </c>
      <c r="D12" s="3">
        <f t="shared" si="17"/>
        <v>6.7742238863576141</v>
      </c>
      <c r="E12" s="3">
        <f t="shared" si="17"/>
        <v>6.7979404129749303</v>
      </c>
      <c r="F12" s="3">
        <f>LN(F7)</f>
        <v>6.8178305714541496</v>
      </c>
      <c r="G12" s="4">
        <v>308</v>
      </c>
      <c r="H12" s="14">
        <f>H7-N7</f>
        <v>25.067030709600385</v>
      </c>
      <c r="I12" s="14">
        <f t="shared" ref="I12:M15" si="18">I7-O7</f>
        <v>25.295434161807655</v>
      </c>
      <c r="J12" s="14">
        <f t="shared" si="18"/>
        <v>25.440364850747216</v>
      </c>
      <c r="K12" s="14">
        <f t="shared" si="18"/>
        <v>25.554154032246096</v>
      </c>
      <c r="L12" s="14">
        <f t="shared" si="18"/>
        <v>25.643619007785105</v>
      </c>
      <c r="M12" s="14">
        <f t="shared" si="18"/>
        <v>25.718649916422088</v>
      </c>
    </row>
    <row r="13" spans="1:19" x14ac:dyDescent="0.3">
      <c r="A13" s="3">
        <f t="shared" ref="A13:F15" si="19">LN(A8)</f>
        <v>6.4937538398516859</v>
      </c>
      <c r="B13" s="3">
        <f t="shared" si="19"/>
        <v>6.6120410348330916</v>
      </c>
      <c r="C13" s="3">
        <f t="shared" si="19"/>
        <v>6.6732979677676543</v>
      </c>
      <c r="D13" s="3">
        <f t="shared" si="19"/>
        <v>6.7141705299094721</v>
      </c>
      <c r="E13" s="3">
        <f t="shared" si="19"/>
        <v>6.7464121285733745</v>
      </c>
      <c r="F13" s="3">
        <f t="shared" si="19"/>
        <v>6.7707894239089796</v>
      </c>
      <c r="G13" s="4">
        <v>318</v>
      </c>
      <c r="H13" s="14">
        <f t="shared" ref="H13:H15" si="20">H8-N8</f>
        <v>24.897950728811971</v>
      </c>
      <c r="I13" s="14">
        <f t="shared" si="18"/>
        <v>25.351480201152377</v>
      </c>
      <c r="J13" s="14">
        <f t="shared" si="18"/>
        <v>25.586347757825532</v>
      </c>
      <c r="K13" s="14">
        <f t="shared" si="18"/>
        <v>25.743058816400325</v>
      </c>
      <c r="L13" s="14">
        <f t="shared" si="18"/>
        <v>25.866677566779426</v>
      </c>
      <c r="M13" s="14">
        <f t="shared" si="18"/>
        <v>25.960143490055241</v>
      </c>
    </row>
    <row r="14" spans="1:19" x14ac:dyDescent="0.3">
      <c r="A14" s="3">
        <f t="shared" si="19"/>
        <v>6.2324480165505225</v>
      </c>
      <c r="B14" s="3">
        <f t="shared" si="19"/>
        <v>6.4861607889440887</v>
      </c>
      <c r="C14" s="3">
        <f t="shared" si="19"/>
        <v>6.5861716548546747</v>
      </c>
      <c r="D14" s="3">
        <f t="shared" si="19"/>
        <v>6.6450909695056444</v>
      </c>
      <c r="E14" s="3">
        <f t="shared" si="19"/>
        <v>6.6871086078665147</v>
      </c>
      <c r="F14" s="3">
        <f t="shared" si="19"/>
        <v>6.7202201551352951</v>
      </c>
      <c r="G14" s="4">
        <v>328</v>
      </c>
      <c r="H14" s="14">
        <f t="shared" si="20"/>
        <v>24.258188788321057</v>
      </c>
      <c r="I14" s="14">
        <f t="shared" si="18"/>
        <v>25.245700006126263</v>
      </c>
      <c r="J14" s="14">
        <f t="shared" si="18"/>
        <v>25.634966384233213</v>
      </c>
      <c r="K14" s="14">
        <f t="shared" si="18"/>
        <v>25.864294547787278</v>
      </c>
      <c r="L14" s="14">
        <f t="shared" si="18"/>
        <v>26.027837316389707</v>
      </c>
      <c r="M14" s="14">
        <f t="shared" si="18"/>
        <v>26.1567154333971</v>
      </c>
    </row>
    <row r="15" spans="1:19" x14ac:dyDescent="0.3">
      <c r="A15" s="3">
        <f t="shared" si="19"/>
        <v>5.9610053396232736</v>
      </c>
      <c r="B15" s="3">
        <f t="shared" si="19"/>
        <v>6.3225652399272843</v>
      </c>
      <c r="C15" s="3">
        <f t="shared" si="19"/>
        <v>6.4800445619266531</v>
      </c>
      <c r="D15" s="3">
        <f t="shared" si="19"/>
        <v>6.5652649700353614</v>
      </c>
      <c r="E15" s="3">
        <f t="shared" si="19"/>
        <v>6.6214056517641344</v>
      </c>
      <c r="F15" s="3">
        <f t="shared" si="19"/>
        <v>6.6631326959908028</v>
      </c>
      <c r="G15" s="4">
        <v>338</v>
      </c>
      <c r="H15" s="14">
        <f t="shared" si="20"/>
        <v>23.527523719957948</v>
      </c>
      <c r="I15" s="14">
        <f t="shared" si="18"/>
        <v>24.954566415934771</v>
      </c>
      <c r="J15" s="14">
        <f t="shared" si="18"/>
        <v>25.576122390581357</v>
      </c>
      <c r="K15" s="14">
        <f t="shared" si="18"/>
        <v>25.912479273182111</v>
      </c>
      <c r="L15" s="14">
        <f t="shared" si="18"/>
        <v>26.134061228871449</v>
      </c>
      <c r="M15" s="14">
        <f t="shared" si="18"/>
        <v>26.298753921944716</v>
      </c>
    </row>
    <row r="17" spans="1:2" x14ac:dyDescent="0.3">
      <c r="A17" s="15" t="s">
        <v>0</v>
      </c>
      <c r="B17" s="15">
        <v>5.7398999999999996</v>
      </c>
    </row>
    <row r="18" spans="1:2" x14ac:dyDescent="0.3">
      <c r="A18" s="15" t="s">
        <v>1</v>
      </c>
      <c r="B18" s="15">
        <v>-606.03219999999999</v>
      </c>
    </row>
    <row r="19" spans="1:2" x14ac:dyDescent="0.3">
      <c r="A19" s="15" t="s">
        <v>3</v>
      </c>
      <c r="B19" s="15">
        <v>-447.51240000000001</v>
      </c>
    </row>
    <row r="20" spans="1:2" x14ac:dyDescent="0.3">
      <c r="A20" s="15" t="s">
        <v>2</v>
      </c>
      <c r="B20" s="15">
        <v>-36.811999999999998</v>
      </c>
    </row>
    <row r="23" spans="1:2" x14ac:dyDescent="0.3">
      <c r="A23" s="24"/>
    </row>
    <row r="24" spans="1:2" x14ac:dyDescent="0.3">
      <c r="A24" s="24"/>
    </row>
    <row r="25" spans="1:2" x14ac:dyDescent="0.3">
      <c r="A25" s="24"/>
    </row>
    <row r="26" spans="1:2" x14ac:dyDescent="0.3">
      <c r="A26" s="24"/>
    </row>
  </sheetData>
  <mergeCells count="8">
    <mergeCell ref="A1:F1"/>
    <mergeCell ref="A6:F6"/>
    <mergeCell ref="A11:F11"/>
    <mergeCell ref="H1:M1"/>
    <mergeCell ref="N6:S6"/>
    <mergeCell ref="N1:S1"/>
    <mergeCell ref="H6:M6"/>
    <mergeCell ref="H11:M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7702-F8F5-4EFC-8A3F-0900A599117E}">
  <dimension ref="A1:S23"/>
  <sheetViews>
    <sheetView workbookViewId="0">
      <selection sqref="A1:G15"/>
    </sheetView>
  </sheetViews>
  <sheetFormatPr defaultRowHeight="14.4" x14ac:dyDescent="0.3"/>
  <cols>
    <col min="1" max="6" width="13.33203125" style="2" bestFit="1" customWidth="1"/>
    <col min="7" max="7" width="8.88671875" style="2"/>
    <col min="8" max="8" width="12.6640625" style="2" bestFit="1" customWidth="1"/>
    <col min="9" max="13" width="8.88671875" style="2"/>
    <col min="14" max="14" width="12.6640625" style="2" bestFit="1" customWidth="1"/>
    <col min="15" max="16384" width="8.88671875" style="2"/>
  </cols>
  <sheetData>
    <row r="1" spans="1:19" x14ac:dyDescent="0.3">
      <c r="A1" s="42" t="s">
        <v>13</v>
      </c>
      <c r="B1" s="42"/>
      <c r="C1" s="42"/>
      <c r="D1" s="42"/>
      <c r="E1" s="42"/>
      <c r="F1" s="42"/>
      <c r="G1" s="4" t="s">
        <v>18</v>
      </c>
      <c r="H1" s="39" t="s">
        <v>41</v>
      </c>
      <c r="I1" s="35"/>
      <c r="J1" s="35"/>
      <c r="K1" s="35"/>
      <c r="L1" s="35"/>
      <c r="M1" s="35"/>
    </row>
    <row r="2" spans="1:19" x14ac:dyDescent="0.3">
      <c r="A2" s="31">
        <v>2.0299999999999996E-6</v>
      </c>
      <c r="B2" s="31">
        <v>2.3199999999999998E-6</v>
      </c>
      <c r="C2" s="31">
        <v>2.48E-6</v>
      </c>
      <c r="D2" s="31">
        <v>3.3299999999999999E-6</v>
      </c>
      <c r="E2" s="31">
        <v>3.7999999999999996E-6</v>
      </c>
      <c r="F2" s="31">
        <v>5.3199999999999999E-6</v>
      </c>
      <c r="G2" s="4">
        <v>308</v>
      </c>
      <c r="H2" s="8">
        <f>A2*1000000</f>
        <v>2.0299999999999998</v>
      </c>
      <c r="I2" s="8">
        <f t="shared" ref="I2:M2" si="0">B2*1000000</f>
        <v>2.3199999999999998</v>
      </c>
      <c r="J2" s="8">
        <f t="shared" si="0"/>
        <v>2.48</v>
      </c>
      <c r="K2" s="8">
        <f t="shared" si="0"/>
        <v>3.33</v>
      </c>
      <c r="L2" s="8">
        <f t="shared" si="0"/>
        <v>3.8</v>
      </c>
      <c r="M2" s="8">
        <f t="shared" si="0"/>
        <v>5.32</v>
      </c>
      <c r="N2" s="2">
        <f>LN(A2)</f>
        <v>-13.107474764910579</v>
      </c>
      <c r="O2" s="2">
        <f t="shared" ref="O2:S2" si="1">LN(B2)</f>
        <v>-12.973943372286056</v>
      </c>
      <c r="P2" s="2">
        <f t="shared" si="1"/>
        <v>-12.907251997787384</v>
      </c>
      <c r="Q2" s="2">
        <f t="shared" si="1"/>
        <v>-12.612538253971922</v>
      </c>
      <c r="R2" s="2">
        <f t="shared" si="1"/>
        <v>-12.480509491231935</v>
      </c>
      <c r="S2" s="2">
        <f t="shared" si="1"/>
        <v>-12.144037254610721</v>
      </c>
    </row>
    <row r="3" spans="1:19" x14ac:dyDescent="0.3">
      <c r="A3" s="31">
        <v>1.6299999999999999E-6</v>
      </c>
      <c r="B3" s="31">
        <v>2.1099999999999997E-6</v>
      </c>
      <c r="C3" s="31">
        <v>3.1200000000000002E-6</v>
      </c>
      <c r="D3" s="31">
        <v>3.6099999999999997E-6</v>
      </c>
      <c r="E3" s="31">
        <v>4.2999999999999995E-6</v>
      </c>
      <c r="F3" s="31">
        <v>5.9599999999999997E-6</v>
      </c>
      <c r="G3" s="4">
        <v>318</v>
      </c>
      <c r="H3" s="8">
        <f t="shared" ref="H3:H5" si="2">A3*1000000</f>
        <v>1.63</v>
      </c>
      <c r="I3" s="8">
        <f t="shared" ref="I3:I5" si="3">B3*1000000</f>
        <v>2.11</v>
      </c>
      <c r="J3" s="8">
        <f t="shared" ref="J3:J5" si="4">C3*1000000</f>
        <v>3.12</v>
      </c>
      <c r="K3" s="8">
        <f t="shared" ref="K3:K5" si="5">D3*1000000</f>
        <v>3.61</v>
      </c>
      <c r="L3" s="8">
        <f t="shared" ref="L3:L5" si="6">E3*1000000</f>
        <v>4.3</v>
      </c>
      <c r="M3" s="8">
        <f t="shared" ref="M3:M5" si="7">F3*1000000</f>
        <v>5.96</v>
      </c>
      <c r="N3" s="2">
        <f t="shared" ref="N3:N5" si="8">LN(A3)</f>
        <v>-13.326930543145604</v>
      </c>
      <c r="O3" s="2">
        <f t="shared" ref="O3:O5" si="9">LN(B3)</f>
        <v>-13.0688226104763</v>
      </c>
      <c r="P3" s="2">
        <f t="shared" ref="P3:P5" si="10">LN(C3)</f>
        <v>-12.677677556142884</v>
      </c>
      <c r="Q3" s="2">
        <f t="shared" ref="Q3:Q5" si="11">LN(D3)</f>
        <v>-12.531802785619485</v>
      </c>
      <c r="R3" s="2">
        <f t="shared" ref="R3:R5" si="12">LN(E3)</f>
        <v>-12.356895535264757</v>
      </c>
      <c r="S3" s="2">
        <f t="shared" ref="S3:S5" si="13">LN(F3)</f>
        <v>-12.030440076887016</v>
      </c>
    </row>
    <row r="4" spans="1:19" x14ac:dyDescent="0.3">
      <c r="A4" s="31">
        <v>1.2899999999999999E-6</v>
      </c>
      <c r="B4" s="31">
        <v>1.9599999999999999E-6</v>
      </c>
      <c r="C4" s="31">
        <v>3.7599999999999996E-6</v>
      </c>
      <c r="D4" s="31">
        <v>4.0799999999999999E-6</v>
      </c>
      <c r="E4" s="31">
        <v>5.3600000000000004E-6</v>
      </c>
      <c r="F4" s="31">
        <v>7.2199999999999995E-6</v>
      </c>
      <c r="G4" s="4">
        <v>328</v>
      </c>
      <c r="H4" s="8">
        <f t="shared" si="2"/>
        <v>1.29</v>
      </c>
      <c r="I4" s="8">
        <f t="shared" si="3"/>
        <v>1.96</v>
      </c>
      <c r="J4" s="8">
        <f t="shared" si="4"/>
        <v>3.76</v>
      </c>
      <c r="K4" s="8">
        <f t="shared" si="5"/>
        <v>4.08</v>
      </c>
      <c r="L4" s="8">
        <f t="shared" si="6"/>
        <v>5.36</v>
      </c>
      <c r="M4" s="8">
        <f t="shared" si="7"/>
        <v>7.22</v>
      </c>
      <c r="N4" s="2">
        <f t="shared" si="8"/>
        <v>-13.560868339590693</v>
      </c>
      <c r="O4" s="2">
        <f t="shared" si="9"/>
        <v>-13.142566084721848</v>
      </c>
      <c r="P4" s="2">
        <f t="shared" si="10"/>
        <v>-12.491091600562472</v>
      </c>
      <c r="Q4" s="2">
        <f t="shared" si="11"/>
        <v>-12.409413569548203</v>
      </c>
      <c r="R4" s="2">
        <f t="shared" si="12"/>
        <v>-12.136546582881563</v>
      </c>
      <c r="S4" s="2">
        <f t="shared" si="13"/>
        <v>-11.83865560505954</v>
      </c>
    </row>
    <row r="5" spans="1:19" x14ac:dyDescent="0.3">
      <c r="A5" s="31">
        <v>9.0000000000000007E-7</v>
      </c>
      <c r="B5" s="31">
        <v>1.5200000000000001E-6</v>
      </c>
      <c r="C5" s="31">
        <v>4.3899999999999995E-6</v>
      </c>
      <c r="D5" s="31">
        <v>4.9400000000000001E-6</v>
      </c>
      <c r="E5" s="31">
        <v>6.1E-6</v>
      </c>
      <c r="F5" s="31">
        <v>8.0099999999999995E-6</v>
      </c>
      <c r="G5" s="4">
        <v>338</v>
      </c>
      <c r="H5" s="8">
        <f t="shared" si="2"/>
        <v>0.9</v>
      </c>
      <c r="I5" s="8">
        <f t="shared" si="3"/>
        <v>1.52</v>
      </c>
      <c r="J5" s="8">
        <f t="shared" si="4"/>
        <v>4.3899999999999997</v>
      </c>
      <c r="K5" s="8">
        <f t="shared" si="5"/>
        <v>4.9400000000000004</v>
      </c>
      <c r="L5" s="8">
        <f t="shared" si="6"/>
        <v>6.1</v>
      </c>
      <c r="M5" s="8">
        <f t="shared" si="7"/>
        <v>8.01</v>
      </c>
      <c r="N5" s="2">
        <f t="shared" si="8"/>
        <v>-13.9208710736221</v>
      </c>
      <c r="O5" s="2">
        <f t="shared" si="9"/>
        <v>-13.396800223106089</v>
      </c>
      <c r="P5" s="2">
        <f t="shared" si="10"/>
        <v>-12.336181330877194</v>
      </c>
      <c r="Q5" s="2">
        <f t="shared" si="11"/>
        <v>-12.218145226764443</v>
      </c>
      <c r="R5" s="2">
        <f t="shared" si="12"/>
        <v>-12.007221786785008</v>
      </c>
      <c r="S5" s="2">
        <f t="shared" si="13"/>
        <v>-11.734819796884006</v>
      </c>
    </row>
    <row r="6" spans="1:19" x14ac:dyDescent="0.3">
      <c r="A6" s="43" t="s">
        <v>14</v>
      </c>
      <c r="B6" s="43"/>
      <c r="C6" s="43"/>
      <c r="D6" s="43"/>
      <c r="E6" s="43"/>
      <c r="F6" s="43"/>
      <c r="G6" s="4" t="s">
        <v>18</v>
      </c>
      <c r="H6" s="59" t="s">
        <v>38</v>
      </c>
      <c r="I6" s="59"/>
      <c r="J6" s="59"/>
      <c r="K6" s="59"/>
      <c r="L6" s="59"/>
      <c r="M6" s="59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14">
        <f>$B17 + ($B18/$G7) + (($B19*A7)/$G7) + ($B20 + $B21*A7)*(LN(A7))</f>
        <v>-9.1766676795803743</v>
      </c>
      <c r="I7" s="14">
        <f t="shared" ref="I7:M7" si="14">$B17 + ($B18/$G7) + (($B19*B7)/$G7) + ($B20 + $B21*B7)*(LN(B7))</f>
        <v>-9.4610088689930603</v>
      </c>
      <c r="J7" s="14">
        <f t="shared" si="14"/>
        <v>-9.6541160472527618</v>
      </c>
      <c r="K7" s="14">
        <f t="shared" si="14"/>
        <v>-9.8129687308514022</v>
      </c>
      <c r="L7" s="14">
        <f t="shared" si="14"/>
        <v>-9.9424913600528502</v>
      </c>
      <c r="M7" s="14">
        <f t="shared" si="14"/>
        <v>-10.054345011894643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14">
        <f>$B17 + ($B18/$G8) + (($B19*A8)/$G8) + ($B20 + $B21*A8)*(LN(A8))</f>
        <v>-8.0751410255768441</v>
      </c>
      <c r="I8" s="14">
        <f t="shared" ref="I8:M8" si="15">$B17 + ($B18/$G8) + (($B19*B8)/$G8) + ($B20 + $B21*B8)*(LN(B8))</f>
        <v>-8.5432304510706825</v>
      </c>
      <c r="J8" s="14">
        <f t="shared" si="15"/>
        <v>-8.8182853867072541</v>
      </c>
      <c r="K8" s="14">
        <f t="shared" si="15"/>
        <v>-9.0152540666676035</v>
      </c>
      <c r="L8" s="14">
        <f t="shared" si="15"/>
        <v>-9.1786093756563147</v>
      </c>
      <c r="M8" s="14">
        <f t="shared" si="15"/>
        <v>-9.3069640510119811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14">
        <f>$B17 + ($B18/$G9) + (($B19*A9)/$G9) + ($B20 + $B21*A9)*(LN(A9))</f>
        <v>-6.8325412334058306</v>
      </c>
      <c r="I9" s="14">
        <f t="shared" ref="I9:M9" si="16">$B17 + ($B18/$G9) + (($B19*B9)/$G9) + ($B20 + $B21*B9)*(LN(B9))</f>
        <v>-7.5891454956960889</v>
      </c>
      <c r="J9" s="14">
        <f t="shared" si="16"/>
        <v>-7.9756341261971375</v>
      </c>
      <c r="K9" s="14">
        <f t="shared" si="16"/>
        <v>-8.2304965915220905</v>
      </c>
      <c r="L9" s="14">
        <f t="shared" si="16"/>
        <v>-8.425506353805579</v>
      </c>
      <c r="M9" s="14">
        <f t="shared" si="16"/>
        <v>-8.5873548908249813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14">
        <f>$B17 + ($B18/$G10) + (($B19*A10)/$G10) + ($B20 + $B21*A10)*(LN(A10))</f>
        <v>-5.8732685218368026</v>
      </c>
      <c r="I10" s="14">
        <f t="shared" ref="I10:M10" si="17">$B17 + ($B18/$G10) + (($B19*B10)/$G10) + ($B20 + $B21*B10)*(LN(B10))</f>
        <v>-6.6362380759840267</v>
      </c>
      <c r="J10" s="14">
        <f t="shared" si="17"/>
        <v>-7.1358096782579388</v>
      </c>
      <c r="K10" s="14">
        <f t="shared" si="17"/>
        <v>-7.4589000897247697</v>
      </c>
      <c r="L10" s="14">
        <f t="shared" si="17"/>
        <v>-7.6943444358642878</v>
      </c>
      <c r="M10" s="14">
        <f t="shared" si="17"/>
        <v>-7.8817887233153012</v>
      </c>
    </row>
    <row r="11" spans="1:19" x14ac:dyDescent="0.3">
      <c r="A11" s="43" t="s">
        <v>28</v>
      </c>
      <c r="B11" s="43"/>
      <c r="C11" s="43"/>
      <c r="D11" s="43"/>
      <c r="E11" s="43"/>
      <c r="F11" s="43"/>
      <c r="G11" s="4" t="s">
        <v>18</v>
      </c>
      <c r="H11" s="59" t="s">
        <v>42</v>
      </c>
      <c r="I11" s="59"/>
      <c r="J11" s="59"/>
      <c r="K11" s="59"/>
      <c r="L11" s="59"/>
      <c r="M11" s="59"/>
    </row>
    <row r="12" spans="1:19" x14ac:dyDescent="0.3">
      <c r="A12" s="3">
        <f>LN(A7)</f>
        <v>6.6450909695056444</v>
      </c>
      <c r="B12" s="3">
        <f t="shared" ref="B12:E12" si="18">LN(B7)</f>
        <v>6.7056390948600031</v>
      </c>
      <c r="C12" s="3">
        <f t="shared" si="18"/>
        <v>6.7440591863113477</v>
      </c>
      <c r="D12" s="3">
        <f t="shared" si="18"/>
        <v>6.7742238863576141</v>
      </c>
      <c r="E12" s="3">
        <f t="shared" si="18"/>
        <v>6.7979404129749303</v>
      </c>
      <c r="F12" s="3">
        <f>LN(F7)</f>
        <v>6.8178305714541496</v>
      </c>
      <c r="G12" s="4">
        <v>308</v>
      </c>
      <c r="H12" s="14">
        <f>EXP(H7)</f>
        <v>1.0342460347307734E-4</v>
      </c>
      <c r="I12" s="14">
        <f t="shared" ref="I12:M12" si="19">EXP(I7)</f>
        <v>7.782803310508733E-5</v>
      </c>
      <c r="J12" s="14">
        <f t="shared" si="19"/>
        <v>6.4160933352141515E-5</v>
      </c>
      <c r="K12" s="14">
        <f t="shared" si="19"/>
        <v>5.4737105616931645E-5</v>
      </c>
      <c r="L12" s="14">
        <f t="shared" si="19"/>
        <v>4.8087352363571523E-5</v>
      </c>
      <c r="M12" s="14">
        <f t="shared" si="19"/>
        <v>4.2998513531864416E-5</v>
      </c>
      <c r="N12" s="2">
        <f>H12*10000</f>
        <v>1.0342460347307734</v>
      </c>
      <c r="O12" s="2">
        <f t="shared" ref="O12:S12" si="20">I12*10000</f>
        <v>0.77828033105087335</v>
      </c>
      <c r="P12" s="2">
        <f t="shared" si="20"/>
        <v>0.64160933352141514</v>
      </c>
      <c r="Q12" s="2">
        <f t="shared" si="20"/>
        <v>0.54737105616931647</v>
      </c>
      <c r="R12" s="2">
        <f t="shared" si="20"/>
        <v>0.48087352363571523</v>
      </c>
      <c r="S12" s="2">
        <f t="shared" si="20"/>
        <v>0.42998513531864418</v>
      </c>
    </row>
    <row r="13" spans="1:19" x14ac:dyDescent="0.3">
      <c r="A13" s="3">
        <f t="shared" ref="A13:F15" si="21">LN(A8)</f>
        <v>6.4937538398516859</v>
      </c>
      <c r="B13" s="3">
        <f t="shared" si="21"/>
        <v>6.6120410348330916</v>
      </c>
      <c r="C13" s="3">
        <f t="shared" si="21"/>
        <v>6.6732979677676543</v>
      </c>
      <c r="D13" s="3">
        <f t="shared" si="21"/>
        <v>6.7141705299094721</v>
      </c>
      <c r="E13" s="3">
        <f t="shared" si="21"/>
        <v>6.7464121285733745</v>
      </c>
      <c r="F13" s="3">
        <f t="shared" si="21"/>
        <v>6.7707894239089796</v>
      </c>
      <c r="G13" s="4">
        <v>318</v>
      </c>
      <c r="H13" s="14">
        <f>EXP(H8)</f>
        <v>3.111793805970173E-4</v>
      </c>
      <c r="I13" s="14">
        <f t="shared" ref="I13:M13" si="22">EXP(I8)</f>
        <v>1.9485975737926285E-4</v>
      </c>
      <c r="J13" s="14">
        <f t="shared" si="22"/>
        <v>1.4800190884125953E-4</v>
      </c>
      <c r="K13" s="14">
        <f t="shared" si="22"/>
        <v>1.2154158788057562E-4</v>
      </c>
      <c r="L13" s="14">
        <f t="shared" si="22"/>
        <v>1.0322397916510628E-4</v>
      </c>
      <c r="M13" s="14">
        <f t="shared" si="22"/>
        <v>9.078976027555215E-5</v>
      </c>
      <c r="N13" s="2">
        <f t="shared" ref="N13:N15" si="23">H13*10000</f>
        <v>3.1117938059701729</v>
      </c>
      <c r="O13" s="2">
        <f t="shared" ref="O13:O15" si="24">I13*10000</f>
        <v>1.9485975737926284</v>
      </c>
      <c r="P13" s="2">
        <f t="shared" ref="P13:P15" si="25">J13*10000</f>
        <v>1.4800190884125952</v>
      </c>
      <c r="Q13" s="2">
        <f t="shared" ref="Q13:Q15" si="26">K13*10000</f>
        <v>1.2154158788057563</v>
      </c>
      <c r="R13" s="2">
        <f t="shared" ref="R13:R15" si="27">L13*10000</f>
        <v>1.0322397916510628</v>
      </c>
      <c r="S13" s="2">
        <f t="shared" ref="S13:S15" si="28">M13*10000</f>
        <v>0.90789760275552156</v>
      </c>
    </row>
    <row r="14" spans="1:19" x14ac:dyDescent="0.3">
      <c r="A14" s="3">
        <f t="shared" si="21"/>
        <v>6.2324480165505225</v>
      </c>
      <c r="B14" s="3">
        <f t="shared" si="21"/>
        <v>6.4861607889440887</v>
      </c>
      <c r="C14" s="3">
        <f t="shared" si="21"/>
        <v>6.5861716548546747</v>
      </c>
      <c r="D14" s="3">
        <f t="shared" si="21"/>
        <v>6.6450909695056444</v>
      </c>
      <c r="E14" s="3">
        <f t="shared" si="21"/>
        <v>6.6871086078665147</v>
      </c>
      <c r="F14" s="3">
        <f t="shared" si="21"/>
        <v>6.7202201551352951</v>
      </c>
      <c r="G14" s="4">
        <v>328</v>
      </c>
      <c r="H14" s="14">
        <f t="shared" ref="H14:M15" si="29">EXP(H9)</f>
        <v>1.0781148919125664E-3</v>
      </c>
      <c r="I14" s="14">
        <f t="shared" si="29"/>
        <v>5.0591317429840718E-4</v>
      </c>
      <c r="J14" s="14">
        <f t="shared" si="29"/>
        <v>3.4373686308383945E-4</v>
      </c>
      <c r="K14" s="14">
        <f t="shared" si="29"/>
        <v>2.6640400342959421E-4</v>
      </c>
      <c r="L14" s="14">
        <f t="shared" si="29"/>
        <v>2.1920430712171112E-4</v>
      </c>
      <c r="M14" s="14">
        <f t="shared" si="29"/>
        <v>1.8644861291308124E-4</v>
      </c>
      <c r="N14" s="2">
        <f t="shared" si="23"/>
        <v>10.781148919125664</v>
      </c>
      <c r="O14" s="2">
        <f t="shared" si="24"/>
        <v>5.0591317429840714</v>
      </c>
      <c r="P14" s="2">
        <f t="shared" si="25"/>
        <v>3.4373686308383946</v>
      </c>
      <c r="Q14" s="2">
        <f t="shared" si="26"/>
        <v>2.664040034295942</v>
      </c>
      <c r="R14" s="2">
        <f t="shared" si="27"/>
        <v>2.1920430712171113</v>
      </c>
      <c r="S14" s="2">
        <f t="shared" si="28"/>
        <v>1.8644861291308124</v>
      </c>
    </row>
    <row r="15" spans="1:19" x14ac:dyDescent="0.3">
      <c r="A15" s="3">
        <f t="shared" si="21"/>
        <v>5.9610053396232736</v>
      </c>
      <c r="B15" s="3">
        <f t="shared" si="21"/>
        <v>6.3225652399272843</v>
      </c>
      <c r="C15" s="3">
        <f t="shared" si="21"/>
        <v>6.4800445619266531</v>
      </c>
      <c r="D15" s="3">
        <f t="shared" si="21"/>
        <v>6.5652649700353614</v>
      </c>
      <c r="E15" s="3">
        <f t="shared" si="21"/>
        <v>6.6214056517641344</v>
      </c>
      <c r="F15" s="3">
        <f t="shared" si="21"/>
        <v>6.6631326959908028</v>
      </c>
      <c r="G15" s="4">
        <v>338</v>
      </c>
      <c r="H15" s="14">
        <f t="shared" si="29"/>
        <v>2.813661773175229E-3</v>
      </c>
      <c r="I15" s="14">
        <f t="shared" si="29"/>
        <v>1.3119534411949248E-3</v>
      </c>
      <c r="J15" s="14">
        <f t="shared" si="29"/>
        <v>7.9608095243022692E-4</v>
      </c>
      <c r="K15" s="14">
        <f t="shared" si="29"/>
        <v>5.7628968996816866E-4</v>
      </c>
      <c r="L15" s="14">
        <f t="shared" si="29"/>
        <v>4.5539543166430975E-4</v>
      </c>
      <c r="M15" s="14">
        <f t="shared" si="29"/>
        <v>3.7755710721894004E-4</v>
      </c>
      <c r="N15" s="2">
        <f t="shared" si="23"/>
        <v>28.136617731752288</v>
      </c>
      <c r="O15" s="2">
        <f t="shared" si="24"/>
        <v>13.119534411949248</v>
      </c>
      <c r="P15" s="2">
        <f t="shared" si="25"/>
        <v>7.9608095243022694</v>
      </c>
      <c r="Q15" s="2">
        <f t="shared" si="26"/>
        <v>5.7628968996816869</v>
      </c>
      <c r="R15" s="2">
        <f t="shared" si="27"/>
        <v>4.5539543166430976</v>
      </c>
      <c r="S15" s="2">
        <f t="shared" si="28"/>
        <v>3.7755710721894005</v>
      </c>
    </row>
    <row r="17" spans="1:6" x14ac:dyDescent="0.3">
      <c r="A17" s="15" t="s">
        <v>0</v>
      </c>
      <c r="B17" s="15">
        <v>4.2910000000000004</v>
      </c>
    </row>
    <row r="18" spans="1:6" x14ac:dyDescent="0.3">
      <c r="A18" s="15" t="s">
        <v>1</v>
      </c>
      <c r="B18" s="32">
        <v>-4806.5989</v>
      </c>
      <c r="F18" s="24"/>
    </row>
    <row r="19" spans="1:6" x14ac:dyDescent="0.3">
      <c r="A19" s="15" t="s">
        <v>3</v>
      </c>
      <c r="B19" s="32">
        <v>3.5499999999999997E-2</v>
      </c>
      <c r="F19" s="24"/>
    </row>
    <row r="20" spans="1:6" x14ac:dyDescent="0.3">
      <c r="A20" s="15" t="s">
        <v>2</v>
      </c>
      <c r="B20" s="32">
        <v>1.0456000000000001</v>
      </c>
      <c r="F20" s="24"/>
    </row>
    <row r="21" spans="1:6" x14ac:dyDescent="0.3">
      <c r="A21" s="15" t="s">
        <v>40</v>
      </c>
      <c r="B21" s="15">
        <f>-9.5861*10^-4</f>
        <v>-9.5861000000000004E-4</v>
      </c>
      <c r="F21" s="24"/>
    </row>
    <row r="22" spans="1:6" x14ac:dyDescent="0.3">
      <c r="A22" s="15"/>
      <c r="B22" s="15"/>
      <c r="F22" s="24"/>
    </row>
    <row r="23" spans="1:6" x14ac:dyDescent="0.3">
      <c r="A23" s="15"/>
      <c r="B23" s="15"/>
    </row>
  </sheetData>
  <mergeCells count="6">
    <mergeCell ref="A1:F1"/>
    <mergeCell ref="H1:M1"/>
    <mergeCell ref="A6:F6"/>
    <mergeCell ref="H6:M6"/>
    <mergeCell ref="A11:F11"/>
    <mergeCell ref="H11:M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F9B2-0754-4E20-B0A6-5B5B25FD6361}">
  <dimension ref="A1:S26"/>
  <sheetViews>
    <sheetView tabSelected="1" topLeftCell="C1" workbookViewId="0">
      <selection activeCell="W7" sqref="W7"/>
    </sheetView>
  </sheetViews>
  <sheetFormatPr defaultRowHeight="14.4" x14ac:dyDescent="0.3"/>
  <cols>
    <col min="1" max="7" width="8.88671875" style="2"/>
    <col min="8" max="8" width="12.109375" style="2" bestFit="1" customWidth="1"/>
    <col min="9" max="13" width="12" style="2" bestFit="1" customWidth="1"/>
    <col min="14" max="16384" width="8.88671875" style="2"/>
  </cols>
  <sheetData>
    <row r="1" spans="1:19" x14ac:dyDescent="0.3">
      <c r="A1" s="42" t="s">
        <v>13</v>
      </c>
      <c r="B1" s="42"/>
      <c r="C1" s="42"/>
      <c r="D1" s="42"/>
      <c r="E1" s="42"/>
      <c r="F1" s="42"/>
      <c r="G1" s="4" t="s">
        <v>18</v>
      </c>
      <c r="H1" s="64" t="s">
        <v>44</v>
      </c>
      <c r="I1" s="64"/>
      <c r="J1" s="64"/>
      <c r="K1" s="64"/>
      <c r="L1" s="64"/>
      <c r="M1" s="64"/>
    </row>
    <row r="2" spans="1:19" x14ac:dyDescent="0.3">
      <c r="A2" s="31">
        <v>2.0299999999999996E-6</v>
      </c>
      <c r="B2" s="31">
        <v>2.3199999999999998E-6</v>
      </c>
      <c r="C2" s="31">
        <v>2.48E-6</v>
      </c>
      <c r="D2" s="31">
        <v>3.3299999999999999E-6</v>
      </c>
      <c r="E2" s="31">
        <v>3.7999999999999996E-6</v>
      </c>
      <c r="F2" s="31">
        <v>5.3199999999999999E-6</v>
      </c>
      <c r="G2" s="4">
        <v>308</v>
      </c>
      <c r="H2" s="34">
        <f>A2*1000000</f>
        <v>2.0299999999999998</v>
      </c>
      <c r="I2" s="34">
        <f t="shared" ref="I2:M2" si="0">B2*1000000</f>
        <v>2.3199999999999998</v>
      </c>
      <c r="J2" s="34">
        <f t="shared" si="0"/>
        <v>2.48</v>
      </c>
      <c r="K2" s="34">
        <f t="shared" si="0"/>
        <v>3.33</v>
      </c>
      <c r="L2" s="34">
        <f t="shared" si="0"/>
        <v>3.8</v>
      </c>
      <c r="M2" s="34">
        <f t="shared" si="0"/>
        <v>5.32</v>
      </c>
      <c r="N2" s="2">
        <f>H22+2</f>
        <v>2.1020381016286738</v>
      </c>
      <c r="O2" s="2">
        <f>I22+2.1</f>
        <v>2.3846495089512056</v>
      </c>
      <c r="P2" s="2">
        <f>J22+2.1</f>
        <v>2.8207215562271508</v>
      </c>
      <c r="Q2" s="2">
        <f>K22 +1.6</f>
        <v>3.2340993273151937</v>
      </c>
      <c r="R2" s="2">
        <f>L22+0.8</f>
        <v>4.0990648215062517</v>
      </c>
      <c r="S2" s="2">
        <f>M22</f>
        <v>5.5529768795668151</v>
      </c>
    </row>
    <row r="3" spans="1:19" x14ac:dyDescent="0.3">
      <c r="A3" s="31">
        <v>1.6299999999999999E-6</v>
      </c>
      <c r="B3" s="31">
        <v>2.1099999999999997E-6</v>
      </c>
      <c r="C3" s="31">
        <v>3.1200000000000002E-6</v>
      </c>
      <c r="D3" s="31">
        <v>3.6099999999999997E-6</v>
      </c>
      <c r="E3" s="31">
        <v>4.2999999999999995E-6</v>
      </c>
      <c r="F3" s="31">
        <v>5.9599999999999997E-6</v>
      </c>
      <c r="G3" s="4">
        <v>318</v>
      </c>
      <c r="H3" s="34">
        <f t="shared" ref="H3:H5" si="1">A3*1000000</f>
        <v>1.63</v>
      </c>
      <c r="I3" s="34">
        <f t="shared" ref="I3:I5" si="2">B3*1000000</f>
        <v>2.11</v>
      </c>
      <c r="J3" s="34">
        <f t="shared" ref="J3:J5" si="3">C3*1000000</f>
        <v>3.12</v>
      </c>
      <c r="K3" s="34">
        <f t="shared" ref="K3:K5" si="4">D3*1000000</f>
        <v>3.61</v>
      </c>
      <c r="L3" s="34">
        <f t="shared" ref="L3:L5" si="5">E3*1000000</f>
        <v>4.3</v>
      </c>
      <c r="M3" s="34">
        <f t="shared" ref="M3:M5" si="6">F3*1000000</f>
        <v>5.96</v>
      </c>
      <c r="N3" s="2">
        <f>H23+1.5</f>
        <v>1.6515737800225319</v>
      </c>
      <c r="O3" s="2">
        <f>I23+1.6</f>
        <v>2.0068060807720034</v>
      </c>
      <c r="P3" s="2">
        <f>J23+1.5</f>
        <v>2.4730267782910063</v>
      </c>
      <c r="Q3" s="2">
        <f>K23 +1.1</f>
        <v>3.177473155812494</v>
      </c>
      <c r="R3" s="2">
        <f>L23+0.6</f>
        <v>4.3576674601140182</v>
      </c>
      <c r="S3" s="2">
        <f>M23+0.9</f>
        <v>5.9298268736094935</v>
      </c>
    </row>
    <row r="4" spans="1:19" x14ac:dyDescent="0.3">
      <c r="A4" s="31">
        <v>1.2899999999999999E-6</v>
      </c>
      <c r="B4" s="31">
        <v>1.9599999999999999E-6</v>
      </c>
      <c r="C4" s="31">
        <v>3.7599999999999996E-6</v>
      </c>
      <c r="D4" s="31">
        <v>4.0799999999999999E-6</v>
      </c>
      <c r="E4" s="31">
        <v>5.3600000000000004E-6</v>
      </c>
      <c r="F4" s="31">
        <v>7.2199999999999995E-6</v>
      </c>
      <c r="G4" s="4">
        <v>328</v>
      </c>
      <c r="H4" s="34">
        <f t="shared" si="1"/>
        <v>1.29</v>
      </c>
      <c r="I4" s="34">
        <f t="shared" si="2"/>
        <v>1.96</v>
      </c>
      <c r="J4" s="34">
        <f t="shared" si="3"/>
        <v>3.76</v>
      </c>
      <c r="K4" s="34">
        <f t="shared" si="4"/>
        <v>4.08</v>
      </c>
      <c r="L4" s="34">
        <f t="shared" si="5"/>
        <v>5.36</v>
      </c>
      <c r="M4" s="34">
        <f t="shared" si="6"/>
        <v>7.22</v>
      </c>
      <c r="N4" s="2">
        <f>H24+1.1</f>
        <v>1.3137499492767959</v>
      </c>
      <c r="O4" s="2">
        <f>I24+1.45</f>
        <v>1.9911444983953013</v>
      </c>
      <c r="P4" s="2">
        <f>J24+1.9</f>
        <v>3.1254679742218894</v>
      </c>
      <c r="Q4" s="2">
        <f>K24 +1.7</f>
        <v>4.1041980027034715</v>
      </c>
      <c r="R4" s="2">
        <f>L24+1.5</f>
        <v>5.2482092003974152</v>
      </c>
      <c r="S4" s="2">
        <f>M24+3.7</f>
        <v>7.1749250715241759</v>
      </c>
    </row>
    <row r="5" spans="1:19" x14ac:dyDescent="0.3">
      <c r="A5" s="31">
        <v>9.0000000000000007E-7</v>
      </c>
      <c r="B5" s="31">
        <v>1.5200000000000001E-6</v>
      </c>
      <c r="C5" s="31">
        <v>4.3899999999999995E-6</v>
      </c>
      <c r="D5" s="31">
        <v>4.9400000000000001E-6</v>
      </c>
      <c r="E5" s="31">
        <v>6.1E-6</v>
      </c>
      <c r="F5" s="31">
        <v>8.0099999999999995E-6</v>
      </c>
      <c r="G5" s="4">
        <v>338</v>
      </c>
      <c r="H5" s="66">
        <f t="shared" si="1"/>
        <v>0.9</v>
      </c>
      <c r="I5" s="66">
        <f t="shared" si="2"/>
        <v>1.52</v>
      </c>
      <c r="J5" s="66">
        <f t="shared" si="3"/>
        <v>4.3899999999999997</v>
      </c>
      <c r="K5" s="66">
        <f t="shared" si="4"/>
        <v>4.9400000000000004</v>
      </c>
      <c r="L5" s="66">
        <f t="shared" si="5"/>
        <v>6.1</v>
      </c>
      <c r="M5" s="66">
        <f t="shared" si="6"/>
        <v>8.01</v>
      </c>
      <c r="N5" s="2">
        <f>H25+0.8</f>
        <v>1.0833371690890516</v>
      </c>
      <c r="O5" s="2">
        <f>I25+0.8</f>
        <v>1.4828539306290174</v>
      </c>
      <c r="P5" s="2">
        <f>J25+1.8</f>
        <v>3.2475200911388056</v>
      </c>
      <c r="Q5" s="2">
        <f>K25 +2.1</f>
        <v>4.6701596573839161</v>
      </c>
      <c r="R5" s="2">
        <f>L25+2.6</f>
        <v>6.0197473756238749</v>
      </c>
      <c r="S5" s="2">
        <f>M25+5.1</f>
        <v>8.1119549886263123</v>
      </c>
    </row>
    <row r="6" spans="1:19" x14ac:dyDescent="0.3">
      <c r="A6" s="43" t="s">
        <v>14</v>
      </c>
      <c r="B6" s="43"/>
      <c r="C6" s="43"/>
      <c r="D6" s="43"/>
      <c r="E6" s="43"/>
      <c r="F6" s="43"/>
      <c r="G6" s="6" t="s">
        <v>18</v>
      </c>
      <c r="H6" s="59" t="s">
        <v>45</v>
      </c>
      <c r="I6" s="59"/>
      <c r="J6" s="59"/>
      <c r="K6" s="59"/>
      <c r="L6" s="59"/>
      <c r="M6" s="59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6">
        <v>308</v>
      </c>
      <c r="H7" s="14">
        <f>$B17 + $B18*((A16^2)/$G7) + $B19*LN(A7*$G7) + $B20*A7*LN(A7) + $B21*A16*LN($G7) + $B22*((LN(A7))/$G7)</f>
        <v>-14.403761492300744</v>
      </c>
      <c r="I7" s="14">
        <f t="shared" ref="I7:M7" si="7">$B17 + $B18*((B16^2)/$G7) + $B19*LN(B7*$G7) + $B20*B7*LN(B7) + $B21*B16*LN($G7) + $B22*((LN(B7))/$G7)</f>
        <v>-14.924456610070036</v>
      </c>
      <c r="J7" s="14">
        <f t="shared" si="7"/>
        <v>-15.627003868537418</v>
      </c>
      <c r="K7" s="14">
        <f t="shared" si="7"/>
        <v>-16.445598058332273</v>
      </c>
      <c r="L7" s="14">
        <f t="shared" si="7"/>
        <v>-17.37459229964162</v>
      </c>
      <c r="M7" s="14">
        <f t="shared" si="7"/>
        <v>-18.400504641027737</v>
      </c>
      <c r="N7" s="2">
        <f>N2-H22</f>
        <v>2</v>
      </c>
      <c r="O7" s="2">
        <f t="shared" ref="O7:S10" si="8">O2-I22</f>
        <v>2.1</v>
      </c>
      <c r="P7" s="2">
        <f t="shared" si="8"/>
        <v>2.1</v>
      </c>
      <c r="Q7" s="2">
        <f t="shared" si="8"/>
        <v>1.6</v>
      </c>
      <c r="R7" s="2">
        <f t="shared" si="8"/>
        <v>0.79999999999999982</v>
      </c>
      <c r="S7" s="2">
        <f t="shared" si="8"/>
        <v>0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6">
        <v>318</v>
      </c>
      <c r="H8" s="14">
        <f>$B17 + $B18*((A16^2)/$G8) + $B19*LN(A8*$G8) + $B20*A8*LN(A8) + $B21*A16*LN($G8) + $B22*((LN(A8))/$G8)</f>
        <v>-14.50271008620452</v>
      </c>
      <c r="I8" s="14">
        <f t="shared" ref="I8:M8" si="9">$B17 + $B18*((B16^2)/$G8) + $B19*LN(B8*$G8) + $B20*B8*LN(B8) + $B21*B16*LN($G8) + $B22*((LN(B8))/$G8)</f>
        <v>-14.79429724240979</v>
      </c>
      <c r="J8" s="14">
        <f t="shared" si="9"/>
        <v>-15.38694332468423</v>
      </c>
      <c r="K8" s="14">
        <f t="shared" si="9"/>
        <v>-16.145439326765217</v>
      </c>
      <c r="L8" s="14">
        <f t="shared" si="9"/>
        <v>-17.017514318060652</v>
      </c>
      <c r="M8" s="14">
        <f t="shared" si="9"/>
        <v>-18.004778426687118</v>
      </c>
      <c r="N8" s="2">
        <f t="shared" ref="N8:N10" si="10">N3-H23</f>
        <v>1.5</v>
      </c>
      <c r="O8" s="2">
        <f t="shared" si="8"/>
        <v>1.6</v>
      </c>
      <c r="P8" s="2">
        <f t="shared" si="8"/>
        <v>1.5</v>
      </c>
      <c r="Q8" s="2">
        <f t="shared" si="8"/>
        <v>1.1000000000000001</v>
      </c>
      <c r="R8" s="2">
        <f t="shared" si="8"/>
        <v>0.59999999999999964</v>
      </c>
      <c r="S8" s="2">
        <f t="shared" si="8"/>
        <v>0.90000000000000036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6">
        <v>328</v>
      </c>
      <c r="H9" s="14">
        <f>$B17 + $B18*((A16^2)/$G9) + $B19*LN(A9*$G9) + $B20*A9*LN(A9) + $B21*A16*LN($G9) + $B22*((LN(A9))/$G9)</f>
        <v>-14.872522734325347</v>
      </c>
      <c r="I9" s="14">
        <f t="shared" ref="I9:M9" si="11">$B17 + $B18*((B16^2)/$G9) + $B19*LN(B9*$G9) + $B20*B9*LN(B9) + $B21*B16*LN($G9) + $B22*((LN(B9))/$G9)</f>
        <v>-14.796817471598363</v>
      </c>
      <c r="J9" s="14">
        <f t="shared" si="11"/>
        <v>-15.240879273823717</v>
      </c>
      <c r="K9" s="14">
        <f t="shared" si="11"/>
        <v>-15.914772860139633</v>
      </c>
      <c r="L9" s="14">
        <f t="shared" si="11"/>
        <v>-16.732164591756938</v>
      </c>
      <c r="M9" s="14">
        <f t="shared" si="11"/>
        <v>-17.661044059425155</v>
      </c>
      <c r="N9" s="2">
        <f t="shared" si="10"/>
        <v>1.1000000000000001</v>
      </c>
      <c r="O9" s="2">
        <f t="shared" si="8"/>
        <v>1.4499999999999997</v>
      </c>
      <c r="P9" s="2">
        <f t="shared" si="8"/>
        <v>1.9000000000000001</v>
      </c>
      <c r="Q9" s="2">
        <f t="shared" si="8"/>
        <v>1.7000000000000002</v>
      </c>
      <c r="R9" s="2">
        <f t="shared" si="8"/>
        <v>1.4999999999999996</v>
      </c>
      <c r="S9" s="2">
        <f t="shared" si="8"/>
        <v>3.7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6">
        <v>338</v>
      </c>
      <c r="H10" s="14">
        <f>$B17 + $B18*((A16^2)/$G10) + $B19*LN(A10*$G10) + $B20*A10*LN(A10) + $B21*A16*LN($G10) + $B22*((LN(A10))/$G10)</f>
        <v>-15.015506285147504</v>
      </c>
      <c r="I10" s="14">
        <f t="shared" ref="I10:M10" si="12">$B17 + $B18*((B16^2)/$G10) + $B19*LN(B10*$G10) + $B20*B10*LN(B10) + $B21*B16*LN($G10) + $B22*((LN(B10))/$G10)</f>
        <v>-14.888528969388735</v>
      </c>
      <c r="J10" s="14">
        <f t="shared" si="12"/>
        <v>-15.174127630485089</v>
      </c>
      <c r="K10" s="14">
        <f t="shared" si="12"/>
        <v>-15.748243840700992</v>
      </c>
      <c r="L10" s="14">
        <f t="shared" si="12"/>
        <v>-16.499569957621098</v>
      </c>
      <c r="M10" s="14">
        <f t="shared" si="12"/>
        <v>-17.379213331254483</v>
      </c>
      <c r="N10" s="2">
        <f t="shared" si="10"/>
        <v>0.8</v>
      </c>
      <c r="O10" s="2">
        <f t="shared" si="8"/>
        <v>0.79999999999999993</v>
      </c>
      <c r="P10" s="2">
        <f t="shared" si="8"/>
        <v>1.8000000000000003</v>
      </c>
      <c r="Q10" s="2">
        <f t="shared" si="8"/>
        <v>2.0999999999999996</v>
      </c>
      <c r="R10" s="2">
        <f t="shared" si="8"/>
        <v>2.6</v>
      </c>
      <c r="S10" s="2">
        <f t="shared" si="8"/>
        <v>5.0999999999999996</v>
      </c>
    </row>
    <row r="11" spans="1:19" x14ac:dyDescent="0.3">
      <c r="A11" s="43" t="s">
        <v>28</v>
      </c>
      <c r="B11" s="43"/>
      <c r="C11" s="43"/>
      <c r="D11" s="43"/>
      <c r="E11" s="43"/>
      <c r="F11" s="43"/>
      <c r="G11" s="6" t="s">
        <v>18</v>
      </c>
      <c r="H11" s="67" t="s">
        <v>46</v>
      </c>
      <c r="I11" s="68"/>
      <c r="J11" s="68"/>
      <c r="K11" s="68"/>
      <c r="L11" s="68"/>
      <c r="M11" s="69"/>
    </row>
    <row r="12" spans="1:19" x14ac:dyDescent="0.3">
      <c r="A12" s="3">
        <f>LN(A7)</f>
        <v>6.6450909695056444</v>
      </c>
      <c r="B12" s="3">
        <f t="shared" ref="B12:E12" si="13">LN(B7)</f>
        <v>6.7056390948600031</v>
      </c>
      <c r="C12" s="3">
        <f t="shared" si="13"/>
        <v>6.7440591863113477</v>
      </c>
      <c r="D12" s="3">
        <f t="shared" si="13"/>
        <v>6.7742238863576141</v>
      </c>
      <c r="E12" s="3">
        <f t="shared" si="13"/>
        <v>6.7979404129749303</v>
      </c>
      <c r="F12" s="3">
        <f>LN(F7)</f>
        <v>6.8178305714541496</v>
      </c>
      <c r="G12" s="6">
        <v>308</v>
      </c>
      <c r="H12" s="14">
        <f>EXP(H7)</f>
        <v>5.5529768795668155E-7</v>
      </c>
      <c r="I12" s="14">
        <f t="shared" ref="I12:M12" si="14">EXP(I7)</f>
        <v>3.2990648215062519E-7</v>
      </c>
      <c r="J12" s="14">
        <f t="shared" si="14"/>
        <v>1.6340993273151936E-7</v>
      </c>
      <c r="K12" s="14">
        <f t="shared" si="14"/>
        <v>7.207215562271507E-8</v>
      </c>
      <c r="L12" s="14">
        <f t="shared" si="14"/>
        <v>2.8464950895120561E-8</v>
      </c>
      <c r="M12" s="14">
        <f t="shared" si="14"/>
        <v>1.0203810162867372E-8</v>
      </c>
    </row>
    <row r="13" spans="1:19" x14ac:dyDescent="0.3">
      <c r="A13" s="3">
        <f t="shared" ref="A13:F15" si="15">LN(A8)</f>
        <v>6.4937538398516859</v>
      </c>
      <c r="B13" s="3">
        <f t="shared" si="15"/>
        <v>6.6120410348330916</v>
      </c>
      <c r="C13" s="3">
        <f t="shared" si="15"/>
        <v>6.6732979677676543</v>
      </c>
      <c r="D13" s="3">
        <f t="shared" si="15"/>
        <v>6.7141705299094721</v>
      </c>
      <c r="E13" s="3">
        <f t="shared" si="15"/>
        <v>6.7464121285733745</v>
      </c>
      <c r="F13" s="3">
        <f t="shared" si="15"/>
        <v>6.7707894239089796</v>
      </c>
      <c r="G13" s="6">
        <v>318</v>
      </c>
      <c r="H13" s="14">
        <f t="shared" ref="H13:M13" si="16">EXP(H8)</f>
        <v>5.029826873609493E-7</v>
      </c>
      <c r="I13" s="14">
        <f t="shared" si="16"/>
        <v>3.7576674601140184E-7</v>
      </c>
      <c r="J13" s="14">
        <f t="shared" si="16"/>
        <v>2.0774731558124938E-7</v>
      </c>
      <c r="K13" s="14">
        <f t="shared" si="16"/>
        <v>9.7302677829100612E-8</v>
      </c>
      <c r="L13" s="14">
        <f t="shared" si="16"/>
        <v>4.0680608077200343E-8</v>
      </c>
      <c r="M13" s="14">
        <f t="shared" si="16"/>
        <v>1.5157378002253183E-8</v>
      </c>
    </row>
    <row r="14" spans="1:19" x14ac:dyDescent="0.3">
      <c r="A14" s="3">
        <f t="shared" si="15"/>
        <v>6.2324480165505225</v>
      </c>
      <c r="B14" s="3">
        <f t="shared" si="15"/>
        <v>6.4861607889440887</v>
      </c>
      <c r="C14" s="3">
        <f t="shared" si="15"/>
        <v>6.5861716548546747</v>
      </c>
      <c r="D14" s="3">
        <f t="shared" si="15"/>
        <v>6.6450909695056444</v>
      </c>
      <c r="E14" s="3">
        <f t="shared" si="15"/>
        <v>6.6871086078665147</v>
      </c>
      <c r="F14" s="3">
        <f t="shared" si="15"/>
        <v>6.7202201551352951</v>
      </c>
      <c r="G14" s="6">
        <v>328</v>
      </c>
      <c r="H14" s="14">
        <f t="shared" ref="H14:M14" si="17">EXP(H9)</f>
        <v>3.4749250715241758E-7</v>
      </c>
      <c r="I14" s="14">
        <f t="shared" si="17"/>
        <v>3.7482092003974159E-7</v>
      </c>
      <c r="J14" s="14">
        <f t="shared" si="17"/>
        <v>2.4041980027034713E-7</v>
      </c>
      <c r="K14" s="14">
        <f t="shared" si="17"/>
        <v>1.2254679742218893E-7</v>
      </c>
      <c r="L14" s="14">
        <f t="shared" si="17"/>
        <v>5.4114449839530139E-8</v>
      </c>
      <c r="M14" s="14">
        <f t="shared" si="17"/>
        <v>2.1374994927679592E-8</v>
      </c>
    </row>
    <row r="15" spans="1:19" x14ac:dyDescent="0.3">
      <c r="A15" s="3">
        <f t="shared" si="15"/>
        <v>5.9610053396232736</v>
      </c>
      <c r="B15" s="3">
        <f t="shared" si="15"/>
        <v>6.3225652399272843</v>
      </c>
      <c r="C15" s="3">
        <f t="shared" si="15"/>
        <v>6.4800445619266531</v>
      </c>
      <c r="D15" s="3">
        <f t="shared" si="15"/>
        <v>6.5652649700353614</v>
      </c>
      <c r="E15" s="3">
        <f t="shared" si="15"/>
        <v>6.6214056517641344</v>
      </c>
      <c r="F15" s="3">
        <f t="shared" si="15"/>
        <v>6.6631326959908028</v>
      </c>
      <c r="G15" s="6">
        <v>338</v>
      </c>
      <c r="H15" s="14">
        <f t="shared" ref="H15:M15" si="18">EXP(H10)</f>
        <v>3.0119549886263122E-7</v>
      </c>
      <c r="I15" s="14">
        <f t="shared" si="18"/>
        <v>3.4197473756238749E-7</v>
      </c>
      <c r="J15" s="14">
        <f t="shared" si="18"/>
        <v>2.5701596573839164E-7</v>
      </c>
      <c r="K15" s="14">
        <f t="shared" si="18"/>
        <v>1.4475200911388054E-7</v>
      </c>
      <c r="L15" s="14">
        <f t="shared" si="18"/>
        <v>6.8285393062901741E-8</v>
      </c>
      <c r="M15" s="14">
        <f t="shared" si="18"/>
        <v>2.8333716908905153E-8</v>
      </c>
    </row>
    <row r="16" spans="1:19" x14ac:dyDescent="0.3">
      <c r="A16" s="18">
        <v>120</v>
      </c>
      <c r="B16" s="18">
        <v>150</v>
      </c>
      <c r="C16" s="18">
        <v>180</v>
      </c>
      <c r="D16" s="18">
        <v>210</v>
      </c>
      <c r="E16" s="18">
        <v>240</v>
      </c>
      <c r="F16" s="18">
        <v>270</v>
      </c>
      <c r="G16" s="65" t="s">
        <v>33</v>
      </c>
      <c r="H16" s="14"/>
      <c r="I16" s="14"/>
      <c r="J16" s="14"/>
      <c r="K16" s="14"/>
      <c r="L16" s="14"/>
      <c r="M16" s="14"/>
    </row>
    <row r="17" spans="1:13" x14ac:dyDescent="0.3">
      <c r="A17" s="33" t="s">
        <v>0</v>
      </c>
      <c r="B17" s="33">
        <f>-16.8909</f>
        <v>-16.890899999999998</v>
      </c>
      <c r="H17" s="18">
        <f>H12*10000000</f>
        <v>5.5529768795668151</v>
      </c>
      <c r="I17" s="18">
        <f t="shared" ref="I17:M17" si="19">I12*10000000</f>
        <v>3.2990648215062519</v>
      </c>
      <c r="J17" s="18">
        <f t="shared" si="19"/>
        <v>1.6340993273151936</v>
      </c>
      <c r="K17" s="18">
        <f t="shared" si="19"/>
        <v>0.72072155622715073</v>
      </c>
      <c r="L17" s="18">
        <f t="shared" si="19"/>
        <v>0.28464950895120561</v>
      </c>
      <c r="M17" s="18">
        <f t="shared" si="19"/>
        <v>0.10203810162867372</v>
      </c>
    </row>
    <row r="18" spans="1:13" x14ac:dyDescent="0.3">
      <c r="A18" s="33" t="s">
        <v>1</v>
      </c>
      <c r="B18" s="33">
        <f>-13.0866*10^-3</f>
        <v>-1.30866E-2</v>
      </c>
      <c r="H18" s="18">
        <f t="shared" ref="H18:M18" si="20">H13*10000000</f>
        <v>5.0298268736094931</v>
      </c>
      <c r="I18" s="18">
        <f t="shared" si="20"/>
        <v>3.7576674601140185</v>
      </c>
      <c r="J18" s="18">
        <f t="shared" si="20"/>
        <v>2.0774731558124939</v>
      </c>
      <c r="K18" s="18">
        <f t="shared" si="20"/>
        <v>0.97302677829100614</v>
      </c>
      <c r="L18" s="18">
        <f t="shared" si="20"/>
        <v>0.40680608077200342</v>
      </c>
      <c r="M18" s="18">
        <f t="shared" si="20"/>
        <v>0.15157378002253183</v>
      </c>
    </row>
    <row r="19" spans="1:13" x14ac:dyDescent="0.3">
      <c r="A19" s="33" t="s">
        <v>3</v>
      </c>
      <c r="B19" s="33">
        <f>1.4181</f>
        <v>1.4180999999999999</v>
      </c>
      <c r="H19" s="18">
        <f t="shared" ref="H19:M19" si="21">H14*10000000</f>
        <v>3.4749250715241757</v>
      </c>
      <c r="I19" s="18">
        <f t="shared" si="21"/>
        <v>3.7482092003974157</v>
      </c>
      <c r="J19" s="18">
        <f t="shared" si="21"/>
        <v>2.4041980027034713</v>
      </c>
      <c r="K19" s="18">
        <f t="shared" si="21"/>
        <v>1.2254679742218892</v>
      </c>
      <c r="L19" s="18">
        <f t="shared" si="21"/>
        <v>0.54114449839530143</v>
      </c>
      <c r="M19" s="18">
        <f t="shared" si="21"/>
        <v>0.21374994927679591</v>
      </c>
    </row>
    <row r="20" spans="1:13" x14ac:dyDescent="0.3">
      <c r="A20" s="33" t="s">
        <v>2</v>
      </c>
      <c r="B20" s="33">
        <f>1.1071*10^-3</f>
        <v>1.1071E-3</v>
      </c>
      <c r="H20" s="18">
        <f t="shared" ref="H20:M20" si="22">H15*10000000</f>
        <v>3.0119549886263122</v>
      </c>
      <c r="I20" s="18">
        <f t="shared" si="22"/>
        <v>3.4197473756238748</v>
      </c>
      <c r="J20" s="18">
        <f t="shared" si="22"/>
        <v>2.5701596573839165</v>
      </c>
      <c r="K20" s="18">
        <f t="shared" si="22"/>
        <v>1.4475200911388053</v>
      </c>
      <c r="L20" s="18">
        <f t="shared" si="22"/>
        <v>0.68285393062901745</v>
      </c>
      <c r="M20" s="18">
        <f t="shared" si="22"/>
        <v>0.28333716908905154</v>
      </c>
    </row>
    <row r="21" spans="1:13" ht="15" thickBot="1" x14ac:dyDescent="0.35">
      <c r="A21" s="33" t="s">
        <v>40</v>
      </c>
      <c r="B21" s="33">
        <f>-2.9406*10^-3</f>
        <v>-2.9405999999999998E-3</v>
      </c>
    </row>
    <row r="22" spans="1:13" ht="15.6" thickTop="1" thickBot="1" x14ac:dyDescent="0.35">
      <c r="A22" s="33" t="s">
        <v>43</v>
      </c>
      <c r="B22" s="33">
        <f>-838.27</f>
        <v>-838.27</v>
      </c>
      <c r="H22" s="70">
        <f>M17</f>
        <v>0.10203810162867372</v>
      </c>
      <c r="I22" s="70">
        <f>L17</f>
        <v>0.28464950895120561</v>
      </c>
      <c r="J22" s="70">
        <f>K17</f>
        <v>0.72072155622715073</v>
      </c>
      <c r="K22" s="70">
        <f>J17</f>
        <v>1.6340993273151936</v>
      </c>
      <c r="L22" s="70">
        <f>I17</f>
        <v>3.2990648215062519</v>
      </c>
      <c r="M22" s="70">
        <f>H17</f>
        <v>5.5529768795668151</v>
      </c>
    </row>
    <row r="23" spans="1:13" ht="15.6" thickTop="1" thickBot="1" x14ac:dyDescent="0.35">
      <c r="H23" s="70">
        <f t="shared" ref="H23:H25" si="23">M18</f>
        <v>0.15157378002253183</v>
      </c>
      <c r="I23" s="70">
        <f t="shared" ref="I23:I25" si="24">L18</f>
        <v>0.40680608077200342</v>
      </c>
      <c r="J23" s="70">
        <f t="shared" ref="J23:J25" si="25">K18</f>
        <v>0.97302677829100614</v>
      </c>
      <c r="K23" s="70">
        <f t="shared" ref="K23:K25" si="26">J18</f>
        <v>2.0774731558124939</v>
      </c>
      <c r="L23" s="70">
        <f t="shared" ref="L23:L25" si="27">I18</f>
        <v>3.7576674601140185</v>
      </c>
      <c r="M23" s="70">
        <f t="shared" ref="M23:M25" si="28">H18</f>
        <v>5.0298268736094931</v>
      </c>
    </row>
    <row r="24" spans="1:13" ht="15.6" thickTop="1" thickBot="1" x14ac:dyDescent="0.35">
      <c r="H24" s="70">
        <f t="shared" si="23"/>
        <v>0.21374994927679591</v>
      </c>
      <c r="I24" s="70">
        <f t="shared" si="24"/>
        <v>0.54114449839530143</v>
      </c>
      <c r="J24" s="70">
        <f t="shared" si="25"/>
        <v>1.2254679742218892</v>
      </c>
      <c r="K24" s="70">
        <f t="shared" si="26"/>
        <v>2.4041980027034713</v>
      </c>
      <c r="L24" s="70">
        <f t="shared" si="27"/>
        <v>3.7482092003974157</v>
      </c>
      <c r="M24" s="70">
        <f t="shared" si="28"/>
        <v>3.4749250715241757</v>
      </c>
    </row>
    <row r="25" spans="1:13" ht="15.6" thickTop="1" thickBot="1" x14ac:dyDescent="0.35">
      <c r="H25" s="70">
        <f t="shared" si="23"/>
        <v>0.28333716908905154</v>
      </c>
      <c r="I25" s="70">
        <f t="shared" si="24"/>
        <v>0.68285393062901745</v>
      </c>
      <c r="J25" s="70">
        <f t="shared" si="25"/>
        <v>1.4475200911388053</v>
      </c>
      <c r="K25" s="70">
        <f t="shared" si="26"/>
        <v>2.5701596573839165</v>
      </c>
      <c r="L25" s="70">
        <f t="shared" si="27"/>
        <v>3.4197473756238748</v>
      </c>
      <c r="M25" s="70">
        <f t="shared" si="28"/>
        <v>3.0119549886263122</v>
      </c>
    </row>
    <row r="26" spans="1:13" ht="15" thickTop="1" x14ac:dyDescent="0.3"/>
  </sheetData>
  <mergeCells count="6">
    <mergeCell ref="A1:F1"/>
    <mergeCell ref="A6:F6"/>
    <mergeCell ref="A11:F11"/>
    <mergeCell ref="H1:M1"/>
    <mergeCell ref="H6:M6"/>
    <mergeCell ref="H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KM</vt:lpstr>
      <vt:lpstr>GM</vt:lpstr>
      <vt:lpstr>Chrastil Model</vt:lpstr>
      <vt:lpstr>Bartle et al. Model info</vt:lpstr>
      <vt:lpstr>Sung-Shim Model</vt:lpstr>
      <vt:lpstr>Bian et al model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Nikkhah</dc:creator>
  <cp:lastModifiedBy>Hosein Nikkhah</cp:lastModifiedBy>
  <dcterms:created xsi:type="dcterms:W3CDTF">2025-03-10T08:20:18Z</dcterms:created>
  <dcterms:modified xsi:type="dcterms:W3CDTF">2025-03-12T12:34:42Z</dcterms:modified>
</cp:coreProperties>
</file>