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Projet BTP\Livrables A2\"/>
    </mc:Choice>
  </mc:AlternateContent>
  <xr:revisionPtr revIDLastSave="0" documentId="13_ncr:1_{724CAC9D-3D54-4315-B338-604E9EC1EED0}" xr6:coauthVersionLast="47" xr6:coauthVersionMax="47" xr10:uidLastSave="{00000000-0000-0000-0000-000000000000}"/>
  <bookViews>
    <workbookView xWindow="-108" yWindow="-108" windowWidth="23256" windowHeight="12576" activeTab="2" xr2:uid="{889AA0E8-EF15-4F26-B094-B00B818E6094}"/>
  </bookViews>
  <sheets>
    <sheet name="Solive" sheetId="1" r:id="rId1"/>
    <sheet name="Poutre" sheetId="3" r:id="rId2"/>
    <sheet name="Terrass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4" l="1"/>
  <c r="C11" i="4" s="1"/>
  <c r="AA4" i="4"/>
  <c r="AA5" i="4" s="1"/>
  <c r="AA6" i="4" s="1"/>
  <c r="AA7" i="4" s="1"/>
  <c r="AA8" i="4" s="1"/>
  <c r="AA9" i="4" s="1"/>
  <c r="AA10" i="4" s="1"/>
  <c r="AA11" i="4" s="1"/>
  <c r="AA12" i="4" s="1"/>
  <c r="AA13" i="4" s="1"/>
  <c r="AA14" i="4" s="1"/>
  <c r="AA15" i="4" s="1"/>
  <c r="AA16" i="4" s="1"/>
  <c r="AA17" i="4" s="1"/>
  <c r="AA18" i="4" s="1"/>
  <c r="AA19" i="4" s="1"/>
  <c r="AA20" i="4" s="1"/>
  <c r="AA21" i="4" s="1"/>
  <c r="AA22" i="4" s="1"/>
  <c r="AA23" i="4" s="1"/>
  <c r="AA24" i="4" s="1"/>
  <c r="AA25" i="4" s="1"/>
  <c r="AA26" i="4" s="1"/>
  <c r="AA27" i="4" s="1"/>
  <c r="AA28" i="4" s="1"/>
  <c r="AA29" i="4" s="1"/>
  <c r="AA30" i="4" s="1"/>
  <c r="AA31" i="4" s="1"/>
  <c r="AA32" i="4" s="1"/>
  <c r="AA33" i="4" s="1"/>
  <c r="AA34" i="4" s="1"/>
  <c r="AA35" i="4" s="1"/>
  <c r="AA36" i="4" s="1"/>
  <c r="AA37" i="4" s="1"/>
  <c r="AA38" i="4" s="1"/>
  <c r="AA39" i="4" s="1"/>
  <c r="AA40" i="4" s="1"/>
  <c r="AA41" i="4" s="1"/>
  <c r="AA42" i="4" s="1"/>
  <c r="AA43" i="4" s="1"/>
  <c r="AA44" i="4" s="1"/>
  <c r="AA45" i="4" s="1"/>
  <c r="AA46" i="4" s="1"/>
  <c r="AA47" i="4" s="1"/>
  <c r="AA48" i="4" s="1"/>
  <c r="AA49" i="4" s="1"/>
  <c r="AA50" i="4" s="1"/>
  <c r="AA51" i="4" s="1"/>
  <c r="AA52" i="4" s="1"/>
  <c r="AA53" i="4" s="1"/>
  <c r="AA54" i="4" s="1"/>
  <c r="AA55" i="4" s="1"/>
  <c r="AA56" i="4" s="1"/>
  <c r="AA57" i="4" s="1"/>
  <c r="AA58" i="4" s="1"/>
  <c r="AA59" i="4" s="1"/>
  <c r="AA60" i="4" s="1"/>
  <c r="AA61" i="4" s="1"/>
  <c r="AA62" i="4" s="1"/>
  <c r="AA63" i="4" s="1"/>
  <c r="AA3" i="4"/>
  <c r="S6" i="4"/>
  <c r="S11" i="4"/>
  <c r="S2" i="4"/>
  <c r="P3" i="4"/>
  <c r="P4" i="4" s="1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S63" i="4" s="1"/>
  <c r="E3" i="4"/>
  <c r="E4" i="4" s="1"/>
  <c r="E5" i="4" s="1"/>
  <c r="E6" i="4" s="1"/>
  <c r="E7" i="4" s="1"/>
  <c r="E8" i="4" s="1"/>
  <c r="E9" i="4" s="1"/>
  <c r="S3" i="4" l="1"/>
  <c r="S19" i="4"/>
  <c r="S18" i="4"/>
  <c r="S14" i="4"/>
  <c r="S10" i="4"/>
  <c r="S55" i="4"/>
  <c r="S47" i="4"/>
  <c r="S39" i="4"/>
  <c r="S31" i="4"/>
  <c r="S23" i="4"/>
  <c r="S17" i="4"/>
  <c r="S9" i="4"/>
  <c r="S62" i="4"/>
  <c r="S54" i="4"/>
  <c r="S46" i="4"/>
  <c r="S38" i="4"/>
  <c r="S30" i="4"/>
  <c r="S22" i="4"/>
  <c r="S16" i="4"/>
  <c r="S8" i="4"/>
  <c r="S61" i="4"/>
  <c r="S53" i="4"/>
  <c r="S45" i="4"/>
  <c r="S37" i="4"/>
  <c r="S29" i="4"/>
  <c r="S21" i="4"/>
  <c r="S15" i="4"/>
  <c r="S7" i="4"/>
  <c r="S60" i="4"/>
  <c r="S52" i="4"/>
  <c r="S44" i="4"/>
  <c r="S36" i="4"/>
  <c r="S28" i="4"/>
  <c r="S20" i="4"/>
  <c r="S13" i="4"/>
  <c r="S5" i="4"/>
  <c r="S58" i="4"/>
  <c r="S50" i="4"/>
  <c r="S42" i="4"/>
  <c r="S34" i="4"/>
  <c r="S26" i="4"/>
  <c r="S51" i="4"/>
  <c r="S43" i="4"/>
  <c r="S35" i="4"/>
  <c r="S27" i="4"/>
  <c r="S12" i="4"/>
  <c r="S4" i="4"/>
  <c r="S57" i="4"/>
  <c r="S49" i="4"/>
  <c r="S41" i="4"/>
  <c r="S33" i="4"/>
  <c r="S25" i="4"/>
  <c r="S59" i="4"/>
  <c r="S56" i="4"/>
  <c r="S48" i="4"/>
  <c r="S40" i="4"/>
  <c r="S32" i="4"/>
  <c r="S24" i="4"/>
  <c r="C12" i="4"/>
  <c r="H8" i="4" s="1"/>
  <c r="E10" i="4"/>
  <c r="E11" i="4" s="1"/>
  <c r="E12" i="4" s="1"/>
  <c r="E13" i="4" s="1"/>
  <c r="E14" i="4" s="1"/>
  <c r="E15" i="4" s="1"/>
  <c r="E16" i="4" s="1"/>
  <c r="E17" i="4" s="1"/>
  <c r="V5" i="3"/>
  <c r="V6" i="3"/>
  <c r="V7" i="3" s="1"/>
  <c r="V8" i="3" s="1"/>
  <c r="V9" i="3" s="1"/>
  <c r="V10" i="3" s="1"/>
  <c r="V11" i="3" s="1"/>
  <c r="V12" i="3" s="1"/>
  <c r="V13" i="3" s="1"/>
  <c r="V14" i="3" s="1"/>
  <c r="V15" i="3" s="1"/>
  <c r="V16" i="3" s="1"/>
  <c r="V17" i="3" s="1"/>
  <c r="V18" i="3" s="1"/>
  <c r="V19" i="3" s="1"/>
  <c r="V20" i="3" s="1"/>
  <c r="V21" i="3" s="1"/>
  <c r="V22" i="3" s="1"/>
  <c r="V23" i="3" s="1"/>
  <c r="V24" i="3" s="1"/>
  <c r="V25" i="3" s="1"/>
  <c r="V26" i="3" s="1"/>
  <c r="V27" i="3" s="1"/>
  <c r="V28" i="3" s="1"/>
  <c r="V29" i="3" s="1"/>
  <c r="V30" i="3" s="1"/>
  <c r="V31" i="3" s="1"/>
  <c r="V32" i="3" s="1"/>
  <c r="V33" i="3" s="1"/>
  <c r="V34" i="3" s="1"/>
  <c r="V35" i="3" s="1"/>
  <c r="V36" i="3" s="1"/>
  <c r="V37" i="3" s="1"/>
  <c r="V38" i="3" s="1"/>
  <c r="V39" i="3" s="1"/>
  <c r="V40" i="3" s="1"/>
  <c r="V41" i="3" s="1"/>
  <c r="V42" i="3" s="1"/>
  <c r="V43" i="3" s="1"/>
  <c r="V44" i="3" s="1"/>
  <c r="V45" i="3" s="1"/>
  <c r="V46" i="3" s="1"/>
  <c r="V47" i="3" s="1"/>
  <c r="V48" i="3" s="1"/>
  <c r="V49" i="3" s="1"/>
  <c r="V50" i="3" s="1"/>
  <c r="V51" i="3" s="1"/>
  <c r="V52" i="3" s="1"/>
  <c r="V53" i="3" s="1"/>
  <c r="V54" i="3" s="1"/>
  <c r="V55" i="3" s="1"/>
  <c r="V56" i="3" s="1"/>
  <c r="V57" i="3" s="1"/>
  <c r="V58" i="3" s="1"/>
  <c r="V59" i="3" s="1"/>
  <c r="V60" i="3" s="1"/>
  <c r="V61" i="3" s="1"/>
  <c r="V62" i="3" s="1"/>
  <c r="V63" i="3" s="1"/>
  <c r="V4" i="3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" i="1"/>
  <c r="AS11" i="1"/>
  <c r="AS10" i="1"/>
  <c r="AS9" i="1"/>
  <c r="AU7" i="1"/>
  <c r="AW25" i="1"/>
  <c r="AW26" i="1" s="1"/>
  <c r="AW22" i="1"/>
  <c r="AW23" i="1" s="1"/>
  <c r="AW24" i="1" s="1"/>
  <c r="AW4" i="1"/>
  <c r="AW5" i="1"/>
  <c r="AW6" i="1" s="1"/>
  <c r="AW7" i="1" s="1"/>
  <c r="AW8" i="1" s="1"/>
  <c r="AW9" i="1" s="1"/>
  <c r="AW10" i="1" s="1"/>
  <c r="AW11" i="1" s="1"/>
  <c r="AW12" i="1" s="1"/>
  <c r="AW13" i="1" s="1"/>
  <c r="AW14" i="1" s="1"/>
  <c r="AW15" i="1" s="1"/>
  <c r="AW16" i="1" s="1"/>
  <c r="AW17" i="1" s="1"/>
  <c r="AW18" i="1" s="1"/>
  <c r="AW19" i="1" s="1"/>
  <c r="AW20" i="1" s="1"/>
  <c r="AW21" i="1" s="1"/>
  <c r="AW3" i="1"/>
  <c r="AU5" i="1"/>
  <c r="AU4" i="1"/>
  <c r="AU3" i="1"/>
  <c r="AK20" i="1"/>
  <c r="AK21" i="1"/>
  <c r="AK22" i="1"/>
  <c r="AK23" i="1"/>
  <c r="AK24" i="1"/>
  <c r="AK25" i="1"/>
  <c r="AK26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3" i="1"/>
  <c r="AJ4" i="1"/>
  <c r="AJ5" i="1"/>
  <c r="AJ6" i="1"/>
  <c r="AJ7" i="1"/>
  <c r="AJ8" i="1"/>
  <c r="AJ2" i="1"/>
  <c r="AH25" i="1"/>
  <c r="AH26" i="1" s="1"/>
  <c r="AH20" i="1"/>
  <c r="AH21" i="1" s="1"/>
  <c r="AH22" i="1" s="1"/>
  <c r="AH23" i="1" s="1"/>
  <c r="AH24" i="1" s="1"/>
  <c r="AH4" i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H3" i="1"/>
  <c r="AF17" i="1"/>
  <c r="AF15" i="1"/>
  <c r="AF10" i="1"/>
  <c r="R7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C15" i="1"/>
  <c r="R12" i="4" l="1"/>
  <c r="R20" i="4"/>
  <c r="AD55" i="4"/>
  <c r="AD63" i="4"/>
  <c r="AD45" i="4"/>
  <c r="AD53" i="4"/>
  <c r="AD10" i="4"/>
  <c r="AD18" i="4"/>
  <c r="AD26" i="4"/>
  <c r="AD34" i="4"/>
  <c r="AC59" i="4"/>
  <c r="AC6" i="4"/>
  <c r="AC14" i="4"/>
  <c r="AC22" i="4"/>
  <c r="AC30" i="4"/>
  <c r="AC38" i="4"/>
  <c r="AC46" i="4"/>
  <c r="AC54" i="4"/>
  <c r="AD56" i="4"/>
  <c r="AD38" i="4"/>
  <c r="AD46" i="4"/>
  <c r="AD3" i="4"/>
  <c r="AD11" i="4"/>
  <c r="AD19" i="4"/>
  <c r="AD27" i="4"/>
  <c r="AD35" i="4"/>
  <c r="AC60" i="4"/>
  <c r="AC7" i="4"/>
  <c r="AC15" i="4"/>
  <c r="AC23" i="4"/>
  <c r="AC31" i="4"/>
  <c r="AC39" i="4"/>
  <c r="AC47" i="4"/>
  <c r="AC55" i="4"/>
  <c r="AD57" i="4"/>
  <c r="AD39" i="4"/>
  <c r="AD47" i="4"/>
  <c r="AD4" i="4"/>
  <c r="AD12" i="4"/>
  <c r="AD20" i="4"/>
  <c r="AD28" i="4"/>
  <c r="AD36" i="4"/>
  <c r="AC61" i="4"/>
  <c r="AC8" i="4"/>
  <c r="AC16" i="4"/>
  <c r="AC24" i="4"/>
  <c r="AC32" i="4"/>
  <c r="AC40" i="4"/>
  <c r="AC48" i="4"/>
  <c r="AC2" i="4"/>
  <c r="AD59" i="4"/>
  <c r="AD49" i="4"/>
  <c r="AD6" i="4"/>
  <c r="AD14" i="4"/>
  <c r="AD22" i="4"/>
  <c r="AD2" i="4"/>
  <c r="AC63" i="4"/>
  <c r="AC18" i="4"/>
  <c r="AC26" i="4"/>
  <c r="AC42" i="4"/>
  <c r="AD58" i="4"/>
  <c r="AD40" i="4"/>
  <c r="AD48" i="4"/>
  <c r="AD5" i="4"/>
  <c r="AD13" i="4"/>
  <c r="AD21" i="4"/>
  <c r="AD29" i="4"/>
  <c r="AD37" i="4"/>
  <c r="AC62" i="4"/>
  <c r="AC9" i="4"/>
  <c r="AC17" i="4"/>
  <c r="AC25" i="4"/>
  <c r="AC33" i="4"/>
  <c r="AC41" i="4"/>
  <c r="AC49" i="4"/>
  <c r="AD41" i="4"/>
  <c r="AD30" i="4"/>
  <c r="AC10" i="4"/>
  <c r="AC34" i="4"/>
  <c r="AC50" i="4"/>
  <c r="AD54" i="4"/>
  <c r="AD62" i="4"/>
  <c r="AD44" i="4"/>
  <c r="AD52" i="4"/>
  <c r="AD9" i="4"/>
  <c r="AD17" i="4"/>
  <c r="AD25" i="4"/>
  <c r="AD33" i="4"/>
  <c r="AC58" i="4"/>
  <c r="AC5" i="4"/>
  <c r="AC13" i="4"/>
  <c r="AC21" i="4"/>
  <c r="AC29" i="4"/>
  <c r="AC37" i="4"/>
  <c r="AC45" i="4"/>
  <c r="AC53" i="4"/>
  <c r="AD60" i="4"/>
  <c r="AD42" i="4"/>
  <c r="AD50" i="4"/>
  <c r="AD7" i="4"/>
  <c r="AD15" i="4"/>
  <c r="AD23" i="4"/>
  <c r="AD31" i="4"/>
  <c r="AC56" i="4"/>
  <c r="AC3" i="4"/>
  <c r="AC11" i="4"/>
  <c r="AC19" i="4"/>
  <c r="AC27" i="4"/>
  <c r="AC35" i="4"/>
  <c r="AC43" i="4"/>
  <c r="AC51" i="4"/>
  <c r="AD61" i="4"/>
  <c r="AD43" i="4"/>
  <c r="AD51" i="4"/>
  <c r="AD8" i="4"/>
  <c r="AD16" i="4"/>
  <c r="AD24" i="4"/>
  <c r="AD32" i="4"/>
  <c r="AC57" i="4"/>
  <c r="AC4" i="4"/>
  <c r="AC12" i="4"/>
  <c r="AC20" i="4"/>
  <c r="AC28" i="4"/>
  <c r="AC36" i="4"/>
  <c r="AC44" i="4"/>
  <c r="AC52" i="4"/>
  <c r="G32" i="4"/>
  <c r="G31" i="4"/>
  <c r="R53" i="4"/>
  <c r="R6" i="4"/>
  <c r="G18" i="4"/>
  <c r="G42" i="4"/>
  <c r="R19" i="4"/>
  <c r="G7" i="4"/>
  <c r="R14" i="4"/>
  <c r="G49" i="4"/>
  <c r="R16" i="4"/>
  <c r="R43" i="4"/>
  <c r="G15" i="4"/>
  <c r="R46" i="4"/>
  <c r="R15" i="4"/>
  <c r="G3" i="4"/>
  <c r="R44" i="4"/>
  <c r="R8" i="4"/>
  <c r="G14" i="4"/>
  <c r="G47" i="4"/>
  <c r="R2" i="4"/>
  <c r="R23" i="4"/>
  <c r="G11" i="4"/>
  <c r="R11" i="4"/>
  <c r="G48" i="4"/>
  <c r="H5" i="4"/>
  <c r="G22" i="4"/>
  <c r="R13" i="4"/>
  <c r="G25" i="4"/>
  <c r="R47" i="4"/>
  <c r="R54" i="4"/>
  <c r="G46" i="4"/>
  <c r="R21" i="4"/>
  <c r="R57" i="4"/>
  <c r="G10" i="4"/>
  <c r="R62" i="4"/>
  <c r="H16" i="4"/>
  <c r="R56" i="4"/>
  <c r="R63" i="4"/>
  <c r="G5" i="4"/>
  <c r="G61" i="4"/>
  <c r="R10" i="4"/>
  <c r="G13" i="4"/>
  <c r="R18" i="4"/>
  <c r="G21" i="4"/>
  <c r="G29" i="4"/>
  <c r="R26" i="4"/>
  <c r="G60" i="4"/>
  <c r="R34" i="4"/>
  <c r="G37" i="4"/>
  <c r="R42" i="4"/>
  <c r="G45" i="4"/>
  <c r="R50" i="4"/>
  <c r="G53" i="4"/>
  <c r="R55" i="4"/>
  <c r="R27" i="4"/>
  <c r="G30" i="4"/>
  <c r="R28" i="4"/>
  <c r="G23" i="4"/>
  <c r="R29" i="4"/>
  <c r="G2" i="4"/>
  <c r="H13" i="4"/>
  <c r="R5" i="4"/>
  <c r="G17" i="4"/>
  <c r="R31" i="4"/>
  <c r="G26" i="4"/>
  <c r="R24" i="4"/>
  <c r="G19" i="4"/>
  <c r="R9" i="4"/>
  <c r="G4" i="4"/>
  <c r="R35" i="4"/>
  <c r="G38" i="4"/>
  <c r="R36" i="4"/>
  <c r="G39" i="4"/>
  <c r="R37" i="4"/>
  <c r="R59" i="4"/>
  <c r="G9" i="4"/>
  <c r="R45" i="4"/>
  <c r="G33" i="4"/>
  <c r="R39" i="4"/>
  <c r="G34" i="4"/>
  <c r="R32" i="4"/>
  <c r="G27" i="4"/>
  <c r="R17" i="4"/>
  <c r="G12" i="4"/>
  <c r="R40" i="4"/>
  <c r="G35" i="4"/>
  <c r="R25" i="4"/>
  <c r="R51" i="4"/>
  <c r="G54" i="4"/>
  <c r="R52" i="4"/>
  <c r="H4" i="4"/>
  <c r="R22" i="4"/>
  <c r="G41" i="4"/>
  <c r="G16" i="4"/>
  <c r="G57" i="4"/>
  <c r="H6" i="4"/>
  <c r="G50" i="4"/>
  <c r="R48" i="4"/>
  <c r="G43" i="4"/>
  <c r="G36" i="4"/>
  <c r="H10" i="4"/>
  <c r="G62" i="4"/>
  <c r="H3" i="4"/>
  <c r="G63" i="4"/>
  <c r="G8" i="4"/>
  <c r="R30" i="4"/>
  <c r="G28" i="4"/>
  <c r="G40" i="4"/>
  <c r="R60" i="4"/>
  <c r="H14" i="4"/>
  <c r="G58" i="4"/>
  <c r="H7" i="4"/>
  <c r="G51" i="4"/>
  <c r="R41" i="4"/>
  <c r="G52" i="4"/>
  <c r="H12" i="4"/>
  <c r="G20" i="4"/>
  <c r="G55" i="4"/>
  <c r="R33" i="4"/>
  <c r="R3" i="4"/>
  <c r="G6" i="4"/>
  <c r="R4" i="4"/>
  <c r="H11" i="4"/>
  <c r="R58" i="4"/>
  <c r="G24" i="4"/>
  <c r="R38" i="4"/>
  <c r="G44" i="4"/>
  <c r="G56" i="4"/>
  <c r="R7" i="4"/>
  <c r="H2" i="4"/>
  <c r="R61" i="4"/>
  <c r="H15" i="4"/>
  <c r="G59" i="4"/>
  <c r="R49" i="4"/>
  <c r="H9" i="4"/>
  <c r="E18" i="4"/>
  <c r="H17" i="4"/>
  <c r="K34" i="3"/>
  <c r="E19" i="4" l="1"/>
  <c r="H18" i="4"/>
  <c r="J3" i="3"/>
  <c r="J4" i="3" s="1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E5" i="3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4" i="3"/>
  <c r="C9" i="3"/>
  <c r="C7" i="3"/>
  <c r="C3" i="3"/>
  <c r="C2" i="3" s="1"/>
  <c r="C11" i="3" s="1"/>
  <c r="E20" i="4" l="1"/>
  <c r="H19" i="4"/>
  <c r="H3" i="3"/>
  <c r="H11" i="3"/>
  <c r="H19" i="3"/>
  <c r="H27" i="3"/>
  <c r="G3" i="3"/>
  <c r="G11" i="3"/>
  <c r="G19" i="3"/>
  <c r="G27" i="3"/>
  <c r="H4" i="3"/>
  <c r="H12" i="3"/>
  <c r="H20" i="3"/>
  <c r="H28" i="3"/>
  <c r="G4" i="3"/>
  <c r="G12" i="3"/>
  <c r="G20" i="3"/>
  <c r="G28" i="3"/>
  <c r="H5" i="3"/>
  <c r="H13" i="3"/>
  <c r="H21" i="3"/>
  <c r="H29" i="3"/>
  <c r="G5" i="3"/>
  <c r="G13" i="3"/>
  <c r="G21" i="3"/>
  <c r="G29" i="3"/>
  <c r="H8" i="3"/>
  <c r="H32" i="3"/>
  <c r="G24" i="3"/>
  <c r="H9" i="3"/>
  <c r="H33" i="3"/>
  <c r="G17" i="3"/>
  <c r="H10" i="3"/>
  <c r="H26" i="3"/>
  <c r="G10" i="3"/>
  <c r="G26" i="3"/>
  <c r="H6" i="3"/>
  <c r="H14" i="3"/>
  <c r="H22" i="3"/>
  <c r="H30" i="3"/>
  <c r="G6" i="3"/>
  <c r="G14" i="3"/>
  <c r="G22" i="3"/>
  <c r="G30" i="3"/>
  <c r="H16" i="3"/>
  <c r="G16" i="3"/>
  <c r="H17" i="3"/>
  <c r="G9" i="3"/>
  <c r="G33" i="3"/>
  <c r="H18" i="3"/>
  <c r="H34" i="3"/>
  <c r="G18" i="3"/>
  <c r="G34" i="3"/>
  <c r="H7" i="3"/>
  <c r="H15" i="3"/>
  <c r="H23" i="3"/>
  <c r="H31" i="3"/>
  <c r="G7" i="3"/>
  <c r="G15" i="3"/>
  <c r="G23" i="3"/>
  <c r="G31" i="3"/>
  <c r="H24" i="3"/>
  <c r="G8" i="3"/>
  <c r="G32" i="3"/>
  <c r="H25" i="3"/>
  <c r="G25" i="3"/>
  <c r="M4" i="3"/>
  <c r="J5" i="3"/>
  <c r="C17" i="3"/>
  <c r="C4" i="3"/>
  <c r="C13" i="3" s="1"/>
  <c r="L4" i="3" s="1"/>
  <c r="C19" i="3"/>
  <c r="C20" i="3" s="1"/>
  <c r="M3" i="3"/>
  <c r="E21" i="4" l="1"/>
  <c r="H20" i="4"/>
  <c r="C8" i="3"/>
  <c r="W3" i="3" s="1"/>
  <c r="L3" i="3"/>
  <c r="J6" i="3"/>
  <c r="M5" i="3"/>
  <c r="L5" i="3"/>
  <c r="E22" i="4" l="1"/>
  <c r="H21" i="4"/>
  <c r="W46" i="3"/>
  <c r="W40" i="3"/>
  <c r="W44" i="3"/>
  <c r="W38" i="3"/>
  <c r="W57" i="3"/>
  <c r="W56" i="3"/>
  <c r="W51" i="3"/>
  <c r="W45" i="3"/>
  <c r="W39" i="3"/>
  <c r="W55" i="3"/>
  <c r="W49" i="3"/>
  <c r="W61" i="3"/>
  <c r="W47" i="3"/>
  <c r="W53" i="3"/>
  <c r="W41" i="3"/>
  <c r="W43" i="3"/>
  <c r="W50" i="3"/>
  <c r="W60" i="3"/>
  <c r="W59" i="3"/>
  <c r="W36" i="3"/>
  <c r="W62" i="3"/>
  <c r="W54" i="3"/>
  <c r="W58" i="3"/>
  <c r="W42" i="3"/>
  <c r="W63" i="3"/>
  <c r="W37" i="3"/>
  <c r="W52" i="3"/>
  <c r="W48" i="3"/>
  <c r="W35" i="3"/>
  <c r="W22" i="3"/>
  <c r="W20" i="3"/>
  <c r="W14" i="3"/>
  <c r="W6" i="3"/>
  <c r="W4" i="3"/>
  <c r="W28" i="3"/>
  <c r="W24" i="3"/>
  <c r="W7" i="3"/>
  <c r="W5" i="3"/>
  <c r="W34" i="3"/>
  <c r="W18" i="3"/>
  <c r="W13" i="3"/>
  <c r="W10" i="3"/>
  <c r="W30" i="3"/>
  <c r="W9" i="3"/>
  <c r="W21" i="3"/>
  <c r="W31" i="3"/>
  <c r="W26" i="3"/>
  <c r="W23" i="3"/>
  <c r="W19" i="3"/>
  <c r="W33" i="3"/>
  <c r="W17" i="3"/>
  <c r="W12" i="3"/>
  <c r="W16" i="3"/>
  <c r="W29" i="3"/>
  <c r="W15" i="3"/>
  <c r="W8" i="3"/>
  <c r="W11" i="3"/>
  <c r="W32" i="3"/>
  <c r="W27" i="3"/>
  <c r="W25" i="3"/>
  <c r="J7" i="3"/>
  <c r="M6" i="3"/>
  <c r="L6" i="3"/>
  <c r="E23" i="4" l="1"/>
  <c r="H22" i="4"/>
  <c r="J8" i="3"/>
  <c r="M7" i="3"/>
  <c r="L7" i="3"/>
  <c r="E24" i="4" l="1"/>
  <c r="H23" i="4"/>
  <c r="J9" i="3"/>
  <c r="M8" i="3"/>
  <c r="L8" i="3"/>
  <c r="R3" i="1"/>
  <c r="T3" i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" i="1"/>
  <c r="E25" i="4" l="1"/>
  <c r="H24" i="4"/>
  <c r="R10" i="1"/>
  <c r="R9" i="1"/>
  <c r="J10" i="3"/>
  <c r="M9" i="3"/>
  <c r="L9" i="3"/>
  <c r="E26" i="4" l="1"/>
  <c r="H25" i="4"/>
  <c r="U6" i="1"/>
  <c r="U14" i="1"/>
  <c r="U22" i="1"/>
  <c r="U7" i="1"/>
  <c r="U15" i="1"/>
  <c r="U23" i="1"/>
  <c r="U8" i="1"/>
  <c r="U16" i="1"/>
  <c r="U24" i="1"/>
  <c r="U21" i="1"/>
  <c r="U9" i="1"/>
  <c r="U17" i="1"/>
  <c r="U25" i="1"/>
  <c r="U10" i="1"/>
  <c r="U18" i="1"/>
  <c r="U26" i="1"/>
  <c r="U3" i="1"/>
  <c r="U11" i="1"/>
  <c r="U19" i="1"/>
  <c r="U2" i="1"/>
  <c r="U4" i="1"/>
  <c r="U12" i="1"/>
  <c r="U20" i="1"/>
  <c r="U5" i="1"/>
  <c r="U13" i="1"/>
  <c r="J11" i="3"/>
  <c r="M10" i="3"/>
  <c r="L10" i="3"/>
  <c r="R5" i="1"/>
  <c r="R4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C17" i="1"/>
  <c r="E27" i="4" l="1"/>
  <c r="H26" i="4"/>
  <c r="J12" i="3"/>
  <c r="M11" i="3"/>
  <c r="L11" i="3"/>
  <c r="E20" i="1"/>
  <c r="E28" i="4" l="1"/>
  <c r="H27" i="4"/>
  <c r="J13" i="3"/>
  <c r="M12" i="3"/>
  <c r="L12" i="3"/>
  <c r="E21" i="1"/>
  <c r="E29" i="4" l="1"/>
  <c r="H28" i="4"/>
  <c r="J14" i="3"/>
  <c r="M13" i="3"/>
  <c r="L13" i="3"/>
  <c r="E22" i="1"/>
  <c r="E30" i="4" l="1"/>
  <c r="H29" i="4"/>
  <c r="J15" i="3"/>
  <c r="M14" i="3"/>
  <c r="L14" i="3"/>
  <c r="E23" i="1"/>
  <c r="E31" i="4" l="1"/>
  <c r="H30" i="4"/>
  <c r="J16" i="3"/>
  <c r="M15" i="3"/>
  <c r="L15" i="3"/>
  <c r="E24" i="1"/>
  <c r="E32" i="4" l="1"/>
  <c r="H31" i="4"/>
  <c r="J17" i="3"/>
  <c r="M16" i="3"/>
  <c r="L16" i="3"/>
  <c r="E25" i="1"/>
  <c r="E33" i="4" l="1"/>
  <c r="H32" i="4"/>
  <c r="J18" i="3"/>
  <c r="M17" i="3"/>
  <c r="L17" i="3"/>
  <c r="E26" i="1"/>
  <c r="E34" i="4" l="1"/>
  <c r="H33" i="4"/>
  <c r="J19" i="3"/>
  <c r="M18" i="3"/>
  <c r="L18" i="3"/>
  <c r="E35" i="4" l="1"/>
  <c r="H34" i="4"/>
  <c r="J20" i="3"/>
  <c r="M19" i="3"/>
  <c r="L19" i="3"/>
  <c r="E36" i="4" l="1"/>
  <c r="H35" i="4"/>
  <c r="J21" i="3"/>
  <c r="M20" i="3"/>
  <c r="L20" i="3"/>
  <c r="E37" i="4" l="1"/>
  <c r="H36" i="4"/>
  <c r="J22" i="3"/>
  <c r="M21" i="3"/>
  <c r="L21" i="3"/>
  <c r="E38" i="4" l="1"/>
  <c r="H37" i="4"/>
  <c r="J23" i="3"/>
  <c r="M22" i="3"/>
  <c r="L22" i="3"/>
  <c r="E39" i="4" l="1"/>
  <c r="H38" i="4"/>
  <c r="J24" i="3"/>
  <c r="M23" i="3"/>
  <c r="L23" i="3"/>
  <c r="E40" i="4" l="1"/>
  <c r="H39" i="4"/>
  <c r="J25" i="3"/>
  <c r="M24" i="3"/>
  <c r="L24" i="3"/>
  <c r="E41" i="4" l="1"/>
  <c r="H40" i="4"/>
  <c r="J26" i="3"/>
  <c r="M25" i="3"/>
  <c r="L25" i="3"/>
  <c r="E42" i="4" l="1"/>
  <c r="H41" i="4"/>
  <c r="J27" i="3"/>
  <c r="M26" i="3"/>
  <c r="L26" i="3"/>
  <c r="E43" i="4" l="1"/>
  <c r="H42" i="4"/>
  <c r="J28" i="3"/>
  <c r="M27" i="3"/>
  <c r="L27" i="3"/>
  <c r="E44" i="4" l="1"/>
  <c r="H43" i="4"/>
  <c r="J29" i="3"/>
  <c r="M28" i="3"/>
  <c r="L28" i="3"/>
  <c r="E45" i="4" l="1"/>
  <c r="H44" i="4"/>
  <c r="J30" i="3"/>
  <c r="M29" i="3"/>
  <c r="L29" i="3"/>
  <c r="E46" i="4" l="1"/>
  <c r="H45" i="4"/>
  <c r="J31" i="3"/>
  <c r="M30" i="3"/>
  <c r="L30" i="3"/>
  <c r="E47" i="4" l="1"/>
  <c r="H46" i="4"/>
  <c r="J32" i="3"/>
  <c r="M31" i="3"/>
  <c r="L31" i="3"/>
  <c r="E48" i="4" l="1"/>
  <c r="H47" i="4"/>
  <c r="J33" i="3"/>
  <c r="M32" i="3"/>
  <c r="L32" i="3"/>
  <c r="E49" i="4" l="1"/>
  <c r="H48" i="4"/>
  <c r="J34" i="3"/>
  <c r="M33" i="3"/>
  <c r="L33" i="3"/>
  <c r="E50" i="4" l="1"/>
  <c r="H49" i="4"/>
  <c r="M34" i="3"/>
  <c r="L34" i="3"/>
  <c r="E51" i="4" l="1"/>
  <c r="H50" i="4"/>
  <c r="E52" i="4" l="1"/>
  <c r="H51" i="4"/>
  <c r="E53" i="4" l="1"/>
  <c r="H52" i="4"/>
  <c r="E54" i="4" l="1"/>
  <c r="H53" i="4"/>
  <c r="E55" i="4" l="1"/>
  <c r="H54" i="4"/>
  <c r="E56" i="4" l="1"/>
  <c r="H55" i="4"/>
  <c r="E57" i="4" l="1"/>
  <c r="H56" i="4"/>
  <c r="E58" i="4" l="1"/>
  <c r="H57" i="4"/>
  <c r="E59" i="4" l="1"/>
  <c r="H58" i="4"/>
  <c r="E60" i="4" l="1"/>
  <c r="H59" i="4"/>
  <c r="E61" i="4" l="1"/>
  <c r="H60" i="4"/>
  <c r="E62" i="4" l="1"/>
  <c r="H61" i="4"/>
  <c r="E63" i="4" l="1"/>
  <c r="H63" i="4" s="1"/>
  <c r="H62" i="4"/>
</calcChain>
</file>

<file path=xl/sharedStrings.xml><?xml version="1.0" encoding="utf-8"?>
<sst xmlns="http://schemas.openxmlformats.org/spreadsheetml/2006/main" count="135" uniqueCount="72">
  <si>
    <t>G</t>
  </si>
  <si>
    <t>masse conteneur</t>
  </si>
  <si>
    <t>surface conteneur</t>
  </si>
  <si>
    <t>entraxe</t>
  </si>
  <si>
    <t xml:space="preserve">bande de charge </t>
  </si>
  <si>
    <t>charge conteneur</t>
  </si>
  <si>
    <t>charge d'exploitation</t>
  </si>
  <si>
    <t>charge propre</t>
  </si>
  <si>
    <t>charge lineique totale</t>
  </si>
  <si>
    <t>longeur de la solive</t>
  </si>
  <si>
    <t>module d'elasticité</t>
  </si>
  <si>
    <r>
      <t>Kg.m.s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 xml:space="preserve"> </t>
    </r>
  </si>
  <si>
    <t>Kg</t>
  </si>
  <si>
    <t>m²</t>
  </si>
  <si>
    <t>m</t>
  </si>
  <si>
    <t>Gpa</t>
  </si>
  <si>
    <r>
      <t>R</t>
    </r>
    <r>
      <rPr>
        <vertAlign val="subscript"/>
        <sz val="11"/>
        <color theme="1"/>
        <rFont val="Calibri"/>
        <family val="2"/>
        <scheme val="minor"/>
      </rPr>
      <t>ay</t>
    </r>
  </si>
  <si>
    <r>
      <t>R</t>
    </r>
    <r>
      <rPr>
        <vertAlign val="subscript"/>
        <sz val="11"/>
        <color theme="1"/>
        <rFont val="Calibri"/>
        <family val="2"/>
        <scheme val="minor"/>
      </rPr>
      <t>by</t>
    </r>
  </si>
  <si>
    <r>
      <t>R</t>
    </r>
    <r>
      <rPr>
        <vertAlign val="subscript"/>
        <sz val="11"/>
        <color theme="1"/>
        <rFont val="Calibri"/>
        <family val="2"/>
        <scheme val="minor"/>
      </rPr>
      <t>ax</t>
    </r>
  </si>
  <si>
    <t>N(x)</t>
  </si>
  <si>
    <t>V(x)</t>
  </si>
  <si>
    <t>M(x)</t>
  </si>
  <si>
    <t>X</t>
  </si>
  <si>
    <t>Données</t>
  </si>
  <si>
    <t>q</t>
  </si>
  <si>
    <t>l</t>
  </si>
  <si>
    <t>E</t>
  </si>
  <si>
    <r>
      <t>I</t>
    </r>
    <r>
      <rPr>
        <vertAlign val="subscript"/>
        <sz val="11"/>
        <color theme="1"/>
        <rFont val="Calibri"/>
        <family val="2"/>
        <scheme val="minor"/>
      </rPr>
      <t>gz</t>
    </r>
  </si>
  <si>
    <r>
      <t>m</t>
    </r>
    <r>
      <rPr>
        <vertAlign val="superscript"/>
        <sz val="11"/>
        <color theme="1"/>
        <rFont val="Calibri"/>
        <family val="2"/>
        <scheme val="minor"/>
      </rPr>
      <t>4</t>
    </r>
  </si>
  <si>
    <t>Nab(x)</t>
  </si>
  <si>
    <t>Vab(x)</t>
  </si>
  <si>
    <t>Mab(x)</t>
  </si>
  <si>
    <t>Nbc(x)</t>
  </si>
  <si>
    <t>Mbc(x)</t>
  </si>
  <si>
    <t>Vbc(x)</t>
  </si>
  <si>
    <t>Charge P1</t>
  </si>
  <si>
    <t>Cahrge P2</t>
  </si>
  <si>
    <t>Charge P3</t>
  </si>
  <si>
    <t>l/2</t>
  </si>
  <si>
    <t>Ray</t>
  </si>
  <si>
    <t>Igz</t>
  </si>
  <si>
    <t>Rcy</t>
  </si>
  <si>
    <t>Segment AB</t>
  </si>
  <si>
    <t>Segment BC</t>
  </si>
  <si>
    <r>
      <t>W</t>
    </r>
    <r>
      <rPr>
        <vertAlign val="subscript"/>
        <sz val="11"/>
        <color theme="1"/>
        <rFont val="Calibri"/>
        <family val="2"/>
        <scheme val="minor"/>
      </rPr>
      <t>0</t>
    </r>
  </si>
  <si>
    <r>
      <t>W</t>
    </r>
    <r>
      <rPr>
        <vertAlign val="subscript"/>
        <sz val="11"/>
        <color theme="1"/>
        <rFont val="Calibri"/>
        <family val="2"/>
        <scheme val="minor"/>
      </rPr>
      <t>1</t>
    </r>
  </si>
  <si>
    <r>
      <t>C</t>
    </r>
    <r>
      <rPr>
        <vertAlign val="subscript"/>
        <sz val="11"/>
        <color theme="1"/>
        <rFont val="Calibri"/>
        <family val="2"/>
        <scheme val="minor"/>
      </rPr>
      <t>0</t>
    </r>
  </si>
  <si>
    <r>
      <t>C</t>
    </r>
    <r>
      <rPr>
        <vertAlign val="subscript"/>
        <sz val="11"/>
        <color theme="1"/>
        <rFont val="Calibri"/>
        <family val="2"/>
        <scheme val="minor"/>
      </rPr>
      <t>1</t>
    </r>
  </si>
  <si>
    <t>constantes</t>
  </si>
  <si>
    <t>Charge Propre de la poutre (q)</t>
  </si>
  <si>
    <t>1/Eigz</t>
  </si>
  <si>
    <t>q*l/12</t>
  </si>
  <si>
    <t>q*l^3/24</t>
  </si>
  <si>
    <t>1/E*Igz</t>
  </si>
  <si>
    <t>ù</t>
  </si>
  <si>
    <t>Gravité</t>
  </si>
  <si>
    <t>Unité</t>
  </si>
  <si>
    <t>Valeur</t>
  </si>
  <si>
    <t>kg.m.S-²</t>
  </si>
  <si>
    <t>Masse de la table</t>
  </si>
  <si>
    <t>K</t>
  </si>
  <si>
    <t>Pa</t>
  </si>
  <si>
    <t>m^4</t>
  </si>
  <si>
    <t>Rax</t>
  </si>
  <si>
    <t>P*((2λ+K)/l)</t>
  </si>
  <si>
    <t>Charge d'un pied</t>
  </si>
  <si>
    <t>N</t>
  </si>
  <si>
    <t>Rby</t>
  </si>
  <si>
    <t>p*(2l-2λ-K)/l</t>
  </si>
  <si>
    <t>V(X)</t>
  </si>
  <si>
    <t>N(X)</t>
  </si>
  <si>
    <t>M(X)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</si>
</sst>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0" fillId="0" borderId="0" xfId="0" applyFont="1"/>
    <xf numFmtId="0" fontId="0" fillId="0" borderId="0" xfId="0" applyFill="1" applyBorder="1"/>
    <xf numFmtId="0" fontId="0" fillId="0" borderId="0" xfId="0" applyFill="1"/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11" fontId="0" fillId="0" borderId="1" xfId="0" applyNumberFormat="1" applyBorder="1"/>
    <xf numFmtId="0" fontId="0" fillId="2" borderId="0" xfId="0" applyFill="1" applyBorder="1"/>
    <xf numFmtId="11" fontId="0" fillId="0" borderId="0" xfId="0" applyNumberFormat="1" applyAlignment="1">
      <alignment horizontal="center"/>
    </xf>
    <xf numFmtId="11" fontId="0" fillId="5" borderId="1" xfId="0" applyNumberFormat="1" applyFont="1" applyFill="1" applyBorder="1" applyAlignment="1">
      <alignment horizontal="center" vertical="center"/>
    </xf>
    <xf numFmtId="0" fontId="0" fillId="2" borderId="2" xfId="0" applyFill="1" applyBorder="1"/>
    <xf numFmtId="11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0" xfId="0" applyFill="1"/>
    <xf numFmtId="0" fontId="0" fillId="3" borderId="0" xfId="0" applyFill="1"/>
    <xf numFmtId="0" fontId="4" fillId="6" borderId="0" xfId="0" applyFont="1" applyFill="1"/>
  </cellXfs>
  <cellStyles count="1">
    <cellStyle name="Normal" xfId="0" builtinId="0"/>
  </cellStyles>
  <dxfs count="22"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0000"/>
      <alignment horizontal="center" vertical="center" textRotation="0" wrapText="0" indent="0" justifyLastLine="0" shrinkToFit="0" readingOrder="0"/>
    </dxf>
    <dxf>
      <numFmt numFmtId="164" formatCode="0.0000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Solive!$F$1</c:f>
              <c:strCache>
                <c:ptCount val="1"/>
                <c:pt idx="0">
                  <c:v>N(x)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Solive!$E$2:$E$26</c:f>
              <c:numCache>
                <c:formatCode>General</c:formatCode>
                <c:ptCount val="2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</c:numCache>
            </c:numRef>
          </c:xVal>
          <c:yVal>
            <c:numRef>
              <c:f>Solive!$F$2:$F$26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1E-40D0-9420-5731D517E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7551263"/>
        <c:axId val="674278191"/>
      </c:scatterChart>
      <c:valAx>
        <c:axId val="1327551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4278191"/>
        <c:crosses val="autoZero"/>
        <c:crossBetween val="midCat"/>
      </c:valAx>
      <c:valAx>
        <c:axId val="67427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7551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Poutre!$G$2</c:f>
              <c:strCache>
                <c:ptCount val="1"/>
                <c:pt idx="0">
                  <c:v>Vab(x)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Poutre!$E$3:$E$34</c:f>
              <c:numCache>
                <c:formatCode>General</c:formatCode>
                <c:ptCount val="3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</c:numCache>
            </c:numRef>
          </c:xVal>
          <c:yVal>
            <c:numRef>
              <c:f>Poutre!$G$3:$G$34</c:f>
              <c:numCache>
                <c:formatCode>General</c:formatCode>
                <c:ptCount val="32"/>
                <c:pt idx="0">
                  <c:v>11725.470000000001</c:v>
                </c:pt>
                <c:pt idx="1">
                  <c:v>11668.87</c:v>
                </c:pt>
                <c:pt idx="2">
                  <c:v>11612.27</c:v>
                </c:pt>
                <c:pt idx="3">
                  <c:v>11555.670000000002</c:v>
                </c:pt>
                <c:pt idx="4">
                  <c:v>11499.070000000002</c:v>
                </c:pt>
                <c:pt idx="5">
                  <c:v>11442.470000000001</c:v>
                </c:pt>
                <c:pt idx="6">
                  <c:v>11385.87</c:v>
                </c:pt>
                <c:pt idx="7">
                  <c:v>11329.27</c:v>
                </c:pt>
                <c:pt idx="8">
                  <c:v>11272.670000000002</c:v>
                </c:pt>
                <c:pt idx="9">
                  <c:v>11216.070000000002</c:v>
                </c:pt>
                <c:pt idx="10">
                  <c:v>11159.470000000001</c:v>
                </c:pt>
                <c:pt idx="11">
                  <c:v>11102.87</c:v>
                </c:pt>
                <c:pt idx="12">
                  <c:v>11046.27</c:v>
                </c:pt>
                <c:pt idx="13">
                  <c:v>10989.670000000002</c:v>
                </c:pt>
                <c:pt idx="14">
                  <c:v>10933.070000000002</c:v>
                </c:pt>
                <c:pt idx="15">
                  <c:v>10876.470000000001</c:v>
                </c:pt>
                <c:pt idx="16">
                  <c:v>10819.87</c:v>
                </c:pt>
                <c:pt idx="17">
                  <c:v>10763.27</c:v>
                </c:pt>
                <c:pt idx="18">
                  <c:v>10706.67</c:v>
                </c:pt>
                <c:pt idx="19">
                  <c:v>10650.070000000002</c:v>
                </c:pt>
                <c:pt idx="20">
                  <c:v>10593.470000000001</c:v>
                </c:pt>
                <c:pt idx="21">
                  <c:v>10536.87</c:v>
                </c:pt>
                <c:pt idx="22">
                  <c:v>10480.27</c:v>
                </c:pt>
                <c:pt idx="23">
                  <c:v>10423.67</c:v>
                </c:pt>
                <c:pt idx="24">
                  <c:v>10367.07</c:v>
                </c:pt>
                <c:pt idx="25">
                  <c:v>10310.470000000001</c:v>
                </c:pt>
                <c:pt idx="26">
                  <c:v>10253.870000000001</c:v>
                </c:pt>
                <c:pt idx="27">
                  <c:v>10197.27</c:v>
                </c:pt>
                <c:pt idx="28">
                  <c:v>10140.67</c:v>
                </c:pt>
                <c:pt idx="29">
                  <c:v>10084.07</c:v>
                </c:pt>
                <c:pt idx="30">
                  <c:v>10027.470000000001</c:v>
                </c:pt>
                <c:pt idx="31">
                  <c:v>9970.8700000000008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BD-4802-916D-247E5E744924}"/>
            </c:ext>
          </c:extLst>
        </c:ser>
        <c:ser>
          <c:idx val="1"/>
          <c:order val="1"/>
          <c:tx>
            <c:strRef>
              <c:f>Poutre!$L$2</c:f>
              <c:strCache>
                <c:ptCount val="1"/>
                <c:pt idx="0">
                  <c:v>Vbc(x)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Poutre!$J$3:$J$34</c:f>
              <c:numCache>
                <c:formatCode>General</c:formatCode>
                <c:ptCount val="32"/>
                <c:pt idx="0">
                  <c:v>3.0449999999999999</c:v>
                </c:pt>
                <c:pt idx="1">
                  <c:v>3.145</c:v>
                </c:pt>
                <c:pt idx="2">
                  <c:v>3.2450000000000001</c:v>
                </c:pt>
                <c:pt idx="3">
                  <c:v>3.3450000000000002</c:v>
                </c:pt>
                <c:pt idx="4">
                  <c:v>3.4450000000000003</c:v>
                </c:pt>
                <c:pt idx="5">
                  <c:v>3.5450000000000004</c:v>
                </c:pt>
                <c:pt idx="6">
                  <c:v>3.6450000000000005</c:v>
                </c:pt>
                <c:pt idx="7">
                  <c:v>3.7450000000000006</c:v>
                </c:pt>
                <c:pt idx="8">
                  <c:v>3.8450000000000006</c:v>
                </c:pt>
                <c:pt idx="9">
                  <c:v>3.9450000000000007</c:v>
                </c:pt>
                <c:pt idx="10">
                  <c:v>4.0450000000000008</c:v>
                </c:pt>
                <c:pt idx="11">
                  <c:v>4.1450000000000005</c:v>
                </c:pt>
                <c:pt idx="12">
                  <c:v>4.2450000000000001</c:v>
                </c:pt>
                <c:pt idx="13">
                  <c:v>4.3449999999999998</c:v>
                </c:pt>
                <c:pt idx="14">
                  <c:v>4.4449999999999994</c:v>
                </c:pt>
                <c:pt idx="15">
                  <c:v>4.544999999999999</c:v>
                </c:pt>
                <c:pt idx="16">
                  <c:v>4.6449999999999987</c:v>
                </c:pt>
                <c:pt idx="17">
                  <c:v>4.7449999999999983</c:v>
                </c:pt>
                <c:pt idx="18">
                  <c:v>4.844999999999998</c:v>
                </c:pt>
                <c:pt idx="19">
                  <c:v>4.9449999999999976</c:v>
                </c:pt>
                <c:pt idx="20">
                  <c:v>5.0449999999999973</c:v>
                </c:pt>
                <c:pt idx="21">
                  <c:v>5.1449999999999969</c:v>
                </c:pt>
                <c:pt idx="22">
                  <c:v>5.2449999999999966</c:v>
                </c:pt>
                <c:pt idx="23">
                  <c:v>5.3449999999999962</c:v>
                </c:pt>
                <c:pt idx="24">
                  <c:v>5.4449999999999958</c:v>
                </c:pt>
                <c:pt idx="25">
                  <c:v>5.5449999999999955</c:v>
                </c:pt>
                <c:pt idx="26">
                  <c:v>5.6449999999999951</c:v>
                </c:pt>
                <c:pt idx="27">
                  <c:v>5.7449999999999948</c:v>
                </c:pt>
                <c:pt idx="28">
                  <c:v>5.8449999999999944</c:v>
                </c:pt>
                <c:pt idx="29">
                  <c:v>5.9449999999999941</c:v>
                </c:pt>
                <c:pt idx="30">
                  <c:v>6.0449999999999937</c:v>
                </c:pt>
                <c:pt idx="31">
                  <c:v>6.1449999999999934</c:v>
                </c:pt>
              </c:numCache>
            </c:numRef>
          </c:xVal>
          <c:yVal>
            <c:numRef>
              <c:f>Poutre!$L$3:$L$34</c:f>
              <c:numCache>
                <c:formatCode>General</c:formatCode>
                <c:ptCount val="32"/>
                <c:pt idx="0">
                  <c:v>-10002.000000000002</c:v>
                </c:pt>
                <c:pt idx="1">
                  <c:v>-10058.600000000002</c:v>
                </c:pt>
                <c:pt idx="2">
                  <c:v>-10115.200000000001</c:v>
                </c:pt>
                <c:pt idx="3">
                  <c:v>-10171.800000000001</c:v>
                </c:pt>
                <c:pt idx="4">
                  <c:v>-10228.400000000001</c:v>
                </c:pt>
                <c:pt idx="5">
                  <c:v>-10285.000000000002</c:v>
                </c:pt>
                <c:pt idx="6">
                  <c:v>-10341.600000000002</c:v>
                </c:pt>
                <c:pt idx="7">
                  <c:v>-10398.200000000001</c:v>
                </c:pt>
                <c:pt idx="8">
                  <c:v>-10454.800000000001</c:v>
                </c:pt>
                <c:pt idx="9">
                  <c:v>-10511.400000000001</c:v>
                </c:pt>
                <c:pt idx="10">
                  <c:v>-10568.000000000002</c:v>
                </c:pt>
                <c:pt idx="11">
                  <c:v>-10624.600000000002</c:v>
                </c:pt>
                <c:pt idx="12">
                  <c:v>-10681.2</c:v>
                </c:pt>
                <c:pt idx="13">
                  <c:v>-10737.800000000001</c:v>
                </c:pt>
                <c:pt idx="14">
                  <c:v>-10794.400000000001</c:v>
                </c:pt>
                <c:pt idx="15">
                  <c:v>-10851</c:v>
                </c:pt>
                <c:pt idx="16">
                  <c:v>-10907.6</c:v>
                </c:pt>
                <c:pt idx="17">
                  <c:v>-10964.2</c:v>
                </c:pt>
                <c:pt idx="18">
                  <c:v>-11020.8</c:v>
                </c:pt>
                <c:pt idx="19">
                  <c:v>-11077.4</c:v>
                </c:pt>
                <c:pt idx="20">
                  <c:v>-11134</c:v>
                </c:pt>
                <c:pt idx="21">
                  <c:v>-11190.599999999999</c:v>
                </c:pt>
                <c:pt idx="22">
                  <c:v>-11247.199999999999</c:v>
                </c:pt>
                <c:pt idx="23">
                  <c:v>-11303.8</c:v>
                </c:pt>
                <c:pt idx="24">
                  <c:v>-11360.4</c:v>
                </c:pt>
                <c:pt idx="25">
                  <c:v>-11416.999999999998</c:v>
                </c:pt>
                <c:pt idx="26">
                  <c:v>-11473.599999999999</c:v>
                </c:pt>
                <c:pt idx="27">
                  <c:v>-11530.199999999999</c:v>
                </c:pt>
                <c:pt idx="28">
                  <c:v>-11586.799999999997</c:v>
                </c:pt>
                <c:pt idx="29">
                  <c:v>-11643.399999999998</c:v>
                </c:pt>
                <c:pt idx="30">
                  <c:v>-11699.999999999998</c:v>
                </c:pt>
                <c:pt idx="31">
                  <c:v>-11756.599999999997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BD-4802-916D-247E5E74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2115872"/>
        <c:axId val="1468262224"/>
      </c:scatterChart>
      <c:valAx>
        <c:axId val="142211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8262224"/>
        <c:crosses val="autoZero"/>
        <c:crossBetween val="midCat"/>
      </c:valAx>
      <c:valAx>
        <c:axId val="146826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2211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90048118985126"/>
          <c:y val="5.0917500618928281E-2"/>
          <c:w val="0.85087729658792655"/>
          <c:h val="0.906651248865298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Poutre!$H$2</c:f>
              <c:strCache>
                <c:ptCount val="1"/>
                <c:pt idx="0">
                  <c:v>Mab(x)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Poutre!$E$3:$E$34</c:f>
              <c:numCache>
                <c:formatCode>General</c:formatCode>
                <c:ptCount val="3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</c:numCache>
            </c:numRef>
          </c:xVal>
          <c:yVal>
            <c:numRef>
              <c:f>Poutre!$H$3:$H$34</c:f>
              <c:numCache>
                <c:formatCode>General</c:formatCode>
                <c:ptCount val="32"/>
                <c:pt idx="0">
                  <c:v>0</c:v>
                </c:pt>
                <c:pt idx="1">
                  <c:v>1169.7170000000003</c:v>
                </c:pt>
                <c:pt idx="2">
                  <c:v>2333.7740000000003</c:v>
                </c:pt>
                <c:pt idx="3">
                  <c:v>3492.1710000000007</c:v>
                </c:pt>
                <c:pt idx="4">
                  <c:v>4644.9080000000013</c:v>
                </c:pt>
                <c:pt idx="5">
                  <c:v>5791.9850000000006</c:v>
                </c:pt>
                <c:pt idx="6">
                  <c:v>6933.402</c:v>
                </c:pt>
                <c:pt idx="7">
                  <c:v>8069.1589999999997</c:v>
                </c:pt>
                <c:pt idx="8">
                  <c:v>9199.2559999999994</c:v>
                </c:pt>
                <c:pt idx="9">
                  <c:v>10323.692999999999</c:v>
                </c:pt>
                <c:pt idx="10">
                  <c:v>11442.47</c:v>
                </c:pt>
                <c:pt idx="11">
                  <c:v>12555.586999999998</c:v>
                </c:pt>
                <c:pt idx="12">
                  <c:v>13663.044</c:v>
                </c:pt>
                <c:pt idx="13">
                  <c:v>14764.841000000002</c:v>
                </c:pt>
                <c:pt idx="14">
                  <c:v>15860.978000000003</c:v>
                </c:pt>
                <c:pt idx="15">
                  <c:v>16951.455000000002</c:v>
                </c:pt>
                <c:pt idx="16">
                  <c:v>18036.272000000008</c:v>
                </c:pt>
                <c:pt idx="17">
                  <c:v>19115.429000000004</c:v>
                </c:pt>
                <c:pt idx="18">
                  <c:v>20188.926000000003</c:v>
                </c:pt>
                <c:pt idx="19">
                  <c:v>21256.763000000006</c:v>
                </c:pt>
                <c:pt idx="20">
                  <c:v>22318.940000000006</c:v>
                </c:pt>
                <c:pt idx="21">
                  <c:v>23375.457000000009</c:v>
                </c:pt>
                <c:pt idx="22">
                  <c:v>24426.314000000009</c:v>
                </c:pt>
                <c:pt idx="23">
                  <c:v>25471.511000000013</c:v>
                </c:pt>
                <c:pt idx="24">
                  <c:v>26511.048000000013</c:v>
                </c:pt>
                <c:pt idx="25">
                  <c:v>27544.925000000017</c:v>
                </c:pt>
                <c:pt idx="26">
                  <c:v>28573.142000000018</c:v>
                </c:pt>
                <c:pt idx="27">
                  <c:v>29595.699000000008</c:v>
                </c:pt>
                <c:pt idx="28">
                  <c:v>30612.596000000012</c:v>
                </c:pt>
                <c:pt idx="29">
                  <c:v>31623.83300000001</c:v>
                </c:pt>
                <c:pt idx="30">
                  <c:v>32629.410000000018</c:v>
                </c:pt>
                <c:pt idx="31">
                  <c:v>33629.327000000019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04-4DAE-9C35-E53D6848D213}"/>
            </c:ext>
          </c:extLst>
        </c:ser>
        <c:ser>
          <c:idx val="1"/>
          <c:order val="1"/>
          <c:tx>
            <c:strRef>
              <c:f>Poutre!$M$2</c:f>
              <c:strCache>
                <c:ptCount val="1"/>
                <c:pt idx="0">
                  <c:v>Mbc(x)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Poutre!$J$3:$J$34</c:f>
              <c:numCache>
                <c:formatCode>General</c:formatCode>
                <c:ptCount val="32"/>
                <c:pt idx="0">
                  <c:v>3.0449999999999999</c:v>
                </c:pt>
                <c:pt idx="1">
                  <c:v>3.145</c:v>
                </c:pt>
                <c:pt idx="2">
                  <c:v>3.2450000000000001</c:v>
                </c:pt>
                <c:pt idx="3">
                  <c:v>3.3450000000000002</c:v>
                </c:pt>
                <c:pt idx="4">
                  <c:v>3.4450000000000003</c:v>
                </c:pt>
                <c:pt idx="5">
                  <c:v>3.5450000000000004</c:v>
                </c:pt>
                <c:pt idx="6">
                  <c:v>3.6450000000000005</c:v>
                </c:pt>
                <c:pt idx="7">
                  <c:v>3.7450000000000006</c:v>
                </c:pt>
                <c:pt idx="8">
                  <c:v>3.8450000000000006</c:v>
                </c:pt>
                <c:pt idx="9">
                  <c:v>3.9450000000000007</c:v>
                </c:pt>
                <c:pt idx="10">
                  <c:v>4.0450000000000008</c:v>
                </c:pt>
                <c:pt idx="11">
                  <c:v>4.1450000000000005</c:v>
                </c:pt>
                <c:pt idx="12">
                  <c:v>4.2450000000000001</c:v>
                </c:pt>
                <c:pt idx="13">
                  <c:v>4.3449999999999998</c:v>
                </c:pt>
                <c:pt idx="14">
                  <c:v>4.4449999999999994</c:v>
                </c:pt>
                <c:pt idx="15">
                  <c:v>4.544999999999999</c:v>
                </c:pt>
                <c:pt idx="16">
                  <c:v>4.6449999999999987</c:v>
                </c:pt>
                <c:pt idx="17">
                  <c:v>4.7449999999999983</c:v>
                </c:pt>
                <c:pt idx="18">
                  <c:v>4.844999999999998</c:v>
                </c:pt>
                <c:pt idx="19">
                  <c:v>4.9449999999999976</c:v>
                </c:pt>
                <c:pt idx="20">
                  <c:v>5.0449999999999973</c:v>
                </c:pt>
                <c:pt idx="21">
                  <c:v>5.1449999999999969</c:v>
                </c:pt>
                <c:pt idx="22">
                  <c:v>5.2449999999999966</c:v>
                </c:pt>
                <c:pt idx="23">
                  <c:v>5.3449999999999962</c:v>
                </c:pt>
                <c:pt idx="24">
                  <c:v>5.4449999999999958</c:v>
                </c:pt>
                <c:pt idx="25">
                  <c:v>5.5449999999999955</c:v>
                </c:pt>
                <c:pt idx="26">
                  <c:v>5.6449999999999951</c:v>
                </c:pt>
                <c:pt idx="27">
                  <c:v>5.7449999999999948</c:v>
                </c:pt>
                <c:pt idx="28">
                  <c:v>5.8449999999999944</c:v>
                </c:pt>
                <c:pt idx="29">
                  <c:v>5.9449999999999941</c:v>
                </c:pt>
                <c:pt idx="30">
                  <c:v>6.0449999999999937</c:v>
                </c:pt>
                <c:pt idx="31">
                  <c:v>6.1449999999999934</c:v>
                </c:pt>
              </c:numCache>
            </c:numRef>
          </c:xVal>
          <c:yVal>
            <c:numRef>
              <c:f>Poutre!$M$3:$M$34</c:f>
              <c:numCache>
                <c:formatCode>General</c:formatCode>
                <c:ptCount val="32"/>
                <c:pt idx="0">
                  <c:v>33080.073075000008</c:v>
                </c:pt>
                <c:pt idx="1">
                  <c:v>32077.043075000001</c:v>
                </c:pt>
                <c:pt idx="2">
                  <c:v>31068.353075000006</c:v>
                </c:pt>
                <c:pt idx="3">
                  <c:v>30054.003075000004</c:v>
                </c:pt>
                <c:pt idx="4">
                  <c:v>29033.993074999998</c:v>
                </c:pt>
                <c:pt idx="5">
                  <c:v>28008.323075000004</c:v>
                </c:pt>
                <c:pt idx="6">
                  <c:v>26976.993075000002</c:v>
                </c:pt>
                <c:pt idx="7">
                  <c:v>25940.003074999997</c:v>
                </c:pt>
                <c:pt idx="8">
                  <c:v>24897.353075000003</c:v>
                </c:pt>
                <c:pt idx="9">
                  <c:v>23849.043074999994</c:v>
                </c:pt>
                <c:pt idx="10">
                  <c:v>22795.073074999993</c:v>
                </c:pt>
                <c:pt idx="11">
                  <c:v>21735.443074999996</c:v>
                </c:pt>
                <c:pt idx="12">
                  <c:v>20670.153075000006</c:v>
                </c:pt>
                <c:pt idx="13">
                  <c:v>19599.203075000005</c:v>
                </c:pt>
                <c:pt idx="14">
                  <c:v>18522.593075000012</c:v>
                </c:pt>
                <c:pt idx="15">
                  <c:v>17440.323075000011</c:v>
                </c:pt>
                <c:pt idx="16">
                  <c:v>16352.393075000018</c:v>
                </c:pt>
                <c:pt idx="17">
                  <c:v>15258.803075000025</c:v>
                </c:pt>
                <c:pt idx="18">
                  <c:v>14159.553075000025</c:v>
                </c:pt>
                <c:pt idx="19">
                  <c:v>13054.643075000031</c:v>
                </c:pt>
                <c:pt idx="20">
                  <c:v>11944.073075000037</c:v>
                </c:pt>
                <c:pt idx="21">
                  <c:v>10827.843075000041</c:v>
                </c:pt>
                <c:pt idx="22">
                  <c:v>9705.9530750000486</c:v>
                </c:pt>
                <c:pt idx="23">
                  <c:v>8578.4030750000456</c:v>
                </c:pt>
                <c:pt idx="24">
                  <c:v>7445.193075000052</c:v>
                </c:pt>
                <c:pt idx="25">
                  <c:v>6306.3230750000566</c:v>
                </c:pt>
                <c:pt idx="26">
                  <c:v>5161.7930750000633</c:v>
                </c:pt>
                <c:pt idx="27">
                  <c:v>4011.60307500007</c:v>
                </c:pt>
                <c:pt idx="28">
                  <c:v>2855.7530750000697</c:v>
                </c:pt>
                <c:pt idx="29">
                  <c:v>1694.2430750000822</c:v>
                </c:pt>
                <c:pt idx="30">
                  <c:v>527.07307500008028</c:v>
                </c:pt>
                <c:pt idx="31">
                  <c:v>-645.75692499992147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04-4DAE-9C35-E53D6848D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696432"/>
        <c:axId val="1465262304"/>
      </c:scatterChart>
      <c:valAx>
        <c:axId val="146869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5262304"/>
        <c:crosses val="autoZero"/>
        <c:crossBetween val="midCat"/>
      </c:valAx>
      <c:valAx>
        <c:axId val="146526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869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Poutre!$W$2</c:f>
              <c:strCache>
                <c:ptCount val="1"/>
                <c:pt idx="0">
                  <c:v>Vab(x)</c:v>
                </c:pt>
              </c:strCache>
            </c:strRef>
          </c:tx>
          <c:spPr>
            <a:ln w="19050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Poutre!$V$3:$V$269</c:f>
              <c:numCache>
                <c:formatCode>General</c:formatCode>
                <c:ptCount val="26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</c:numCache>
            </c:numRef>
          </c:xVal>
          <c:yVal>
            <c:numRef>
              <c:f>Poutre!$W$3:$W$269</c:f>
              <c:numCache>
                <c:formatCode>General</c:formatCode>
                <c:ptCount val="267"/>
                <c:pt idx="0">
                  <c:v>0</c:v>
                </c:pt>
                <c:pt idx="1">
                  <c:v>-1.5091524437923116E-3</c:v>
                </c:pt>
                <c:pt idx="2">
                  <c:v>-3.0148902459706758E-3</c:v>
                </c:pt>
                <c:pt idx="3">
                  <c:v>-4.5138139168301606E-3</c:v>
                </c:pt>
                <c:pt idx="4">
                  <c:v>-6.0025404960211224E-3</c:v>
                </c:pt>
                <c:pt idx="5">
                  <c:v>-7.4777035525492074E-3</c:v>
                </c:pt>
                <c:pt idx="6">
                  <c:v>-8.935953184775353E-3</c:v>
                </c:pt>
                <c:pt idx="7">
                  <c:v>-1.0373956020415782E-2</c:v>
                </c:pt>
                <c:pt idx="8">
                  <c:v>-1.1788395216542008E-2</c:v>
                </c:pt>
                <c:pt idx="9">
                  <c:v>-1.3175970459580834E-2</c:v>
                </c:pt>
                <c:pt idx="10">
                  <c:v>-1.4533397965314358E-2</c:v>
                </c:pt>
                <c:pt idx="11">
                  <c:v>-1.5857410478879955E-2</c:v>
                </c:pt>
                <c:pt idx="12">
                  <c:v>-1.71447572747703E-2</c:v>
                </c:pt>
                <c:pt idx="13">
                  <c:v>-1.8392204156833351E-2</c:v>
                </c:pt>
                <c:pt idx="14">
                  <c:v>-1.9596533458272357E-2</c:v>
                </c:pt>
                <c:pt idx="15">
                  <c:v>-2.0754544041645857E-2</c:v>
                </c:pt>
                <c:pt idx="16">
                  <c:v>-2.1863051298867679E-2</c:v>
                </c:pt>
                <c:pt idx="17">
                  <c:v>-2.2918887151206942E-2</c:v>
                </c:pt>
                <c:pt idx="18">
                  <c:v>-2.3918900049288049E-2</c:v>
                </c:pt>
                <c:pt idx="19">
                  <c:v>-2.4859954973090691E-2</c:v>
                </c:pt>
                <c:pt idx="20">
                  <c:v>-2.5738933431949867E-2</c:v>
                </c:pt>
                <c:pt idx="21">
                  <c:v>-2.6552733464555837E-2</c:v>
                </c:pt>
                <c:pt idx="22">
                  <c:v>-2.7298269638954171E-2</c:v>
                </c:pt>
                <c:pt idx="23">
                  <c:v>-2.7972473052545719E-2</c:v>
                </c:pt>
                <c:pt idx="24">
                  <c:v>-2.8572291332086629E-2</c:v>
                </c:pt>
                <c:pt idx="25">
                  <c:v>-2.9094688633688321E-2</c:v>
                </c:pt>
                <c:pt idx="26">
                  <c:v>-2.9536645642817522E-2</c:v>
                </c:pt>
                <c:pt idx="27">
                  <c:v>-2.989515957429624E-2</c:v>
                </c:pt>
                <c:pt idx="28">
                  <c:v>-3.0167244172301769E-2</c:v>
                </c:pt>
                <c:pt idx="29">
                  <c:v>-3.0349929710366708E-2</c:v>
                </c:pt>
                <c:pt idx="30">
                  <c:v>-3.044026299137893E-2</c:v>
                </c:pt>
                <c:pt idx="31">
                  <c:v>-3.0435307347581597E-2</c:v>
                </c:pt>
                <c:pt idx="32">
                  <c:v>-3.0332142640573163E-2</c:v>
                </c:pt>
                <c:pt idx="33">
                  <c:v>-3.0127865261307368E-2</c:v>
                </c:pt>
                <c:pt idx="34">
                  <c:v>-2.9819588130093264E-2</c:v>
                </c:pt>
                <c:pt idx="35">
                  <c:v>-2.940444069659516E-2</c:v>
                </c:pt>
                <c:pt idx="36">
                  <c:v>-2.8879568939832671E-2</c:v>
                </c:pt>
                <c:pt idx="37">
                  <c:v>-2.824213536818071E-2</c:v>
                </c:pt>
                <c:pt idx="38">
                  <c:v>-2.7489319019369452E-2</c:v>
                </c:pt>
                <c:pt idx="39">
                  <c:v>-2.6618315460484376E-2</c:v>
                </c:pt>
                <c:pt idx="40">
                  <c:v>-2.5626336787966272E-2</c:v>
                </c:pt>
                <c:pt idx="41">
                  <c:v>-2.4510611627611173E-2</c:v>
                </c:pt>
                <c:pt idx="42">
                  <c:v>-2.3268385134570468E-2</c:v>
                </c:pt>
                <c:pt idx="43">
                  <c:v>-2.1896918993350743E-2</c:v>
                </c:pt>
                <c:pt idx="44">
                  <c:v>-2.039349141781395E-2</c:v>
                </c:pt>
                <c:pt idx="45">
                  <c:v>-1.87553971511773E-2</c:v>
                </c:pt>
                <c:pt idx="46">
                  <c:v>-1.6979947466013307E-2</c:v>
                </c:pt>
                <c:pt idx="47">
                  <c:v>-1.5064470164249761E-2</c:v>
                </c:pt>
                <c:pt idx="48">
                  <c:v>-1.3006309577169735E-2</c:v>
                </c:pt>
                <c:pt idx="49">
                  <c:v>-1.0802826565411599E-2</c:v>
                </c:pt>
                <c:pt idx="50">
                  <c:v>-8.4513985189690385E-3</c:v>
                </c:pt>
                <c:pt idx="51">
                  <c:v>-5.9494193571909965E-3</c:v>
                </c:pt>
                <c:pt idx="52">
                  <c:v>-3.2942995287816856E-3</c:v>
                </c:pt>
                <c:pt idx="53">
                  <c:v>-4.8346601180063365E-4</c:v>
                </c:pt>
                <c:pt idx="54">
                  <c:v>2.4856376863372697E-3</c:v>
                </c:pt>
                <c:pt idx="55">
                  <c:v>5.6155515288619871E-3</c:v>
                </c:pt>
                <c:pt idx="56">
                  <c:v>8.9087989496480866E-3</c:v>
                </c:pt>
                <c:pt idx="57">
                  <c:v>1.2367886853214896E-2</c:v>
                </c:pt>
                <c:pt idx="58">
                  <c:v>1.5995305614726434E-2</c:v>
                </c:pt>
                <c:pt idx="59">
                  <c:v>1.9793529079991441E-2</c:v>
                </c:pt>
                <c:pt idx="60">
                  <c:v>2.3765014565463399E-2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16-4D67-8361-57EAA2C0A046}"/>
            </c:ext>
          </c:extLst>
        </c:ser>
        <c:ser>
          <c:idx val="1"/>
          <c:order val="1"/>
          <c:tx>
            <c:strRef>
              <c:f>Poutre!$Z$2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Poutre!$Y$3:$Y$34</c:f>
              <c:numCache>
                <c:formatCode>General</c:formatCode>
                <c:ptCount val="32"/>
              </c:numCache>
            </c:numRef>
          </c:xVal>
          <c:yVal>
            <c:numRef>
              <c:f>Poutre!$Z$3:$Z$34</c:f>
              <c:numCache>
                <c:formatCode>General</c:formatCode>
                <c:ptCount val="3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F16-4D67-8361-57EAA2C0A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59984"/>
        <c:axId val="530698544"/>
      </c:scatterChart>
      <c:valAx>
        <c:axId val="53015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0698544"/>
        <c:crosses val="autoZero"/>
        <c:crossBetween val="midCat"/>
      </c:valAx>
      <c:valAx>
        <c:axId val="53069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015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Poutre!$F$2</c:f>
              <c:strCache>
                <c:ptCount val="1"/>
                <c:pt idx="0">
                  <c:v>Nab(x)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Poutre!$E$3:$E$34</c:f>
              <c:numCache>
                <c:formatCode>General</c:formatCode>
                <c:ptCount val="3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</c:numCache>
            </c:numRef>
          </c:cat>
          <c:val>
            <c:numRef>
              <c:f>Poutre!$F$3:$F$34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67-4AEE-8E3D-377A5B57F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370015"/>
        <c:axId val="641369599"/>
      </c:lineChart>
      <c:catAx>
        <c:axId val="64137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1369599"/>
        <c:crosses val="autoZero"/>
        <c:auto val="1"/>
        <c:lblAlgn val="ctr"/>
        <c:lblOffset val="100"/>
        <c:noMultiLvlLbl val="0"/>
      </c:catAx>
      <c:valAx>
        <c:axId val="64136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1370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Poutre!$G$2</c:f>
              <c:strCache>
                <c:ptCount val="1"/>
                <c:pt idx="0">
                  <c:v>Vab(x)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Poutre!$E$3:$E$34</c:f>
              <c:numCache>
                <c:formatCode>General</c:formatCode>
                <c:ptCount val="3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</c:numCache>
            </c:numRef>
          </c:cat>
          <c:val>
            <c:numRef>
              <c:f>Poutre!$G$3:$G$34</c:f>
              <c:numCache>
                <c:formatCode>General</c:formatCode>
                <c:ptCount val="32"/>
                <c:pt idx="0">
                  <c:v>11725.470000000001</c:v>
                </c:pt>
                <c:pt idx="1">
                  <c:v>11668.87</c:v>
                </c:pt>
                <c:pt idx="2">
                  <c:v>11612.27</c:v>
                </c:pt>
                <c:pt idx="3">
                  <c:v>11555.670000000002</c:v>
                </c:pt>
                <c:pt idx="4">
                  <c:v>11499.070000000002</c:v>
                </c:pt>
                <c:pt idx="5">
                  <c:v>11442.470000000001</c:v>
                </c:pt>
                <c:pt idx="6">
                  <c:v>11385.87</c:v>
                </c:pt>
                <c:pt idx="7">
                  <c:v>11329.27</c:v>
                </c:pt>
                <c:pt idx="8">
                  <c:v>11272.670000000002</c:v>
                </c:pt>
                <c:pt idx="9">
                  <c:v>11216.070000000002</c:v>
                </c:pt>
                <c:pt idx="10">
                  <c:v>11159.470000000001</c:v>
                </c:pt>
                <c:pt idx="11">
                  <c:v>11102.87</c:v>
                </c:pt>
                <c:pt idx="12">
                  <c:v>11046.27</c:v>
                </c:pt>
                <c:pt idx="13">
                  <c:v>10989.670000000002</c:v>
                </c:pt>
                <c:pt idx="14">
                  <c:v>10933.070000000002</c:v>
                </c:pt>
                <c:pt idx="15">
                  <c:v>10876.470000000001</c:v>
                </c:pt>
                <c:pt idx="16">
                  <c:v>10819.87</c:v>
                </c:pt>
                <c:pt idx="17">
                  <c:v>10763.27</c:v>
                </c:pt>
                <c:pt idx="18">
                  <c:v>10706.67</c:v>
                </c:pt>
                <c:pt idx="19">
                  <c:v>10650.070000000002</c:v>
                </c:pt>
                <c:pt idx="20">
                  <c:v>10593.470000000001</c:v>
                </c:pt>
                <c:pt idx="21">
                  <c:v>10536.87</c:v>
                </c:pt>
                <c:pt idx="22">
                  <c:v>10480.27</c:v>
                </c:pt>
                <c:pt idx="23">
                  <c:v>10423.67</c:v>
                </c:pt>
                <c:pt idx="24">
                  <c:v>10367.07</c:v>
                </c:pt>
                <c:pt idx="25">
                  <c:v>10310.470000000001</c:v>
                </c:pt>
                <c:pt idx="26">
                  <c:v>10253.870000000001</c:v>
                </c:pt>
                <c:pt idx="27">
                  <c:v>10197.27</c:v>
                </c:pt>
                <c:pt idx="28">
                  <c:v>10140.67</c:v>
                </c:pt>
                <c:pt idx="29">
                  <c:v>10084.07</c:v>
                </c:pt>
                <c:pt idx="30">
                  <c:v>10027.470000000001</c:v>
                </c:pt>
                <c:pt idx="31">
                  <c:v>9970.8700000000008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16-44DF-9A14-0615CF771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518207"/>
        <c:axId val="294519455"/>
      </c:lineChart>
      <c:catAx>
        <c:axId val="29451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4519455"/>
        <c:crosses val="autoZero"/>
        <c:auto val="1"/>
        <c:lblAlgn val="ctr"/>
        <c:lblOffset val="100"/>
        <c:noMultiLvlLbl val="0"/>
      </c:catAx>
      <c:valAx>
        <c:axId val="29451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451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Poutre!$H$2</c:f>
              <c:strCache>
                <c:ptCount val="1"/>
                <c:pt idx="0">
                  <c:v>Mab(x)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Poutre!$E$3:$E$34</c:f>
              <c:numCache>
                <c:formatCode>General</c:formatCode>
                <c:ptCount val="3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</c:numCache>
            </c:numRef>
          </c:cat>
          <c:val>
            <c:numRef>
              <c:f>Poutre!$H$3:$H$34</c:f>
              <c:numCache>
                <c:formatCode>General</c:formatCode>
                <c:ptCount val="32"/>
                <c:pt idx="0">
                  <c:v>0</c:v>
                </c:pt>
                <c:pt idx="1">
                  <c:v>1169.7170000000003</c:v>
                </c:pt>
                <c:pt idx="2">
                  <c:v>2333.7740000000003</c:v>
                </c:pt>
                <c:pt idx="3">
                  <c:v>3492.1710000000007</c:v>
                </c:pt>
                <c:pt idx="4">
                  <c:v>4644.9080000000013</c:v>
                </c:pt>
                <c:pt idx="5">
                  <c:v>5791.9850000000006</c:v>
                </c:pt>
                <c:pt idx="6">
                  <c:v>6933.402</c:v>
                </c:pt>
                <c:pt idx="7">
                  <c:v>8069.1589999999997</c:v>
                </c:pt>
                <c:pt idx="8">
                  <c:v>9199.2559999999994</c:v>
                </c:pt>
                <c:pt idx="9">
                  <c:v>10323.692999999999</c:v>
                </c:pt>
                <c:pt idx="10">
                  <c:v>11442.47</c:v>
                </c:pt>
                <c:pt idx="11">
                  <c:v>12555.586999999998</c:v>
                </c:pt>
                <c:pt idx="12">
                  <c:v>13663.044</c:v>
                </c:pt>
                <c:pt idx="13">
                  <c:v>14764.841000000002</c:v>
                </c:pt>
                <c:pt idx="14">
                  <c:v>15860.978000000003</c:v>
                </c:pt>
                <c:pt idx="15">
                  <c:v>16951.455000000002</c:v>
                </c:pt>
                <c:pt idx="16">
                  <c:v>18036.272000000008</c:v>
                </c:pt>
                <c:pt idx="17">
                  <c:v>19115.429000000004</c:v>
                </c:pt>
                <c:pt idx="18">
                  <c:v>20188.926000000003</c:v>
                </c:pt>
                <c:pt idx="19">
                  <c:v>21256.763000000006</c:v>
                </c:pt>
                <c:pt idx="20">
                  <c:v>22318.940000000006</c:v>
                </c:pt>
                <c:pt idx="21">
                  <c:v>23375.457000000009</c:v>
                </c:pt>
                <c:pt idx="22">
                  <c:v>24426.314000000009</c:v>
                </c:pt>
                <c:pt idx="23">
                  <c:v>25471.511000000013</c:v>
                </c:pt>
                <c:pt idx="24">
                  <c:v>26511.048000000013</c:v>
                </c:pt>
                <c:pt idx="25">
                  <c:v>27544.925000000017</c:v>
                </c:pt>
                <c:pt idx="26">
                  <c:v>28573.142000000018</c:v>
                </c:pt>
                <c:pt idx="27">
                  <c:v>29595.699000000008</c:v>
                </c:pt>
                <c:pt idx="28">
                  <c:v>30612.596000000012</c:v>
                </c:pt>
                <c:pt idx="29">
                  <c:v>31623.83300000001</c:v>
                </c:pt>
                <c:pt idx="30">
                  <c:v>32629.410000000018</c:v>
                </c:pt>
                <c:pt idx="31">
                  <c:v>33629.327000000019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84-4BE8-A5B4-1FD1D74D5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98623"/>
        <c:axId val="509000287"/>
      </c:lineChart>
      <c:catAx>
        <c:axId val="50899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9000287"/>
        <c:crosses val="autoZero"/>
        <c:auto val="1"/>
        <c:lblAlgn val="ctr"/>
        <c:lblOffset val="100"/>
        <c:noMultiLvlLbl val="0"/>
      </c:catAx>
      <c:valAx>
        <c:axId val="50900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8998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Poutre!$W$2</c:f>
              <c:strCache>
                <c:ptCount val="1"/>
                <c:pt idx="0">
                  <c:v>Vab(x)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Poutre!$V$3:$V$63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</c:numCache>
            </c:numRef>
          </c:cat>
          <c:val>
            <c:numRef>
              <c:f>Poutre!$W$3:$W$63</c:f>
              <c:numCache>
                <c:formatCode>General</c:formatCode>
                <c:ptCount val="61"/>
                <c:pt idx="0">
                  <c:v>0</c:v>
                </c:pt>
                <c:pt idx="1">
                  <c:v>-1.5091524437923116E-3</c:v>
                </c:pt>
                <c:pt idx="2">
                  <c:v>-3.0148902459706758E-3</c:v>
                </c:pt>
                <c:pt idx="3">
                  <c:v>-4.5138139168301606E-3</c:v>
                </c:pt>
                <c:pt idx="4">
                  <c:v>-6.0025404960211224E-3</c:v>
                </c:pt>
                <c:pt idx="5">
                  <c:v>-7.4777035525492074E-3</c:v>
                </c:pt>
                <c:pt idx="6">
                  <c:v>-8.935953184775353E-3</c:v>
                </c:pt>
                <c:pt idx="7">
                  <c:v>-1.0373956020415782E-2</c:v>
                </c:pt>
                <c:pt idx="8">
                  <c:v>-1.1788395216542008E-2</c:v>
                </c:pt>
                <c:pt idx="9">
                  <c:v>-1.3175970459580834E-2</c:v>
                </c:pt>
                <c:pt idx="10">
                  <c:v>-1.4533397965314358E-2</c:v>
                </c:pt>
                <c:pt idx="11">
                  <c:v>-1.5857410478879955E-2</c:v>
                </c:pt>
                <c:pt idx="12">
                  <c:v>-1.71447572747703E-2</c:v>
                </c:pt>
                <c:pt idx="13">
                  <c:v>-1.8392204156833351E-2</c:v>
                </c:pt>
                <c:pt idx="14">
                  <c:v>-1.9596533458272357E-2</c:v>
                </c:pt>
                <c:pt idx="15">
                  <c:v>-2.0754544041645857E-2</c:v>
                </c:pt>
                <c:pt idx="16">
                  <c:v>-2.1863051298867679E-2</c:v>
                </c:pt>
                <c:pt idx="17">
                  <c:v>-2.2918887151206942E-2</c:v>
                </c:pt>
                <c:pt idx="18">
                  <c:v>-2.3918900049288049E-2</c:v>
                </c:pt>
                <c:pt idx="19">
                  <c:v>-2.4859954973090691E-2</c:v>
                </c:pt>
                <c:pt idx="20">
                  <c:v>-2.5738933431949867E-2</c:v>
                </c:pt>
                <c:pt idx="21">
                  <c:v>-2.6552733464555837E-2</c:v>
                </c:pt>
                <c:pt idx="22">
                  <c:v>-2.7298269638954171E-2</c:v>
                </c:pt>
                <c:pt idx="23">
                  <c:v>-2.7972473052545719E-2</c:v>
                </c:pt>
                <c:pt idx="24">
                  <c:v>-2.8572291332086629E-2</c:v>
                </c:pt>
                <c:pt idx="25">
                  <c:v>-2.9094688633688321E-2</c:v>
                </c:pt>
                <c:pt idx="26">
                  <c:v>-2.9536645642817522E-2</c:v>
                </c:pt>
                <c:pt idx="27">
                  <c:v>-2.989515957429624E-2</c:v>
                </c:pt>
                <c:pt idx="28">
                  <c:v>-3.0167244172301769E-2</c:v>
                </c:pt>
                <c:pt idx="29">
                  <c:v>-3.0349929710366708E-2</c:v>
                </c:pt>
                <c:pt idx="30">
                  <c:v>-3.044026299137893E-2</c:v>
                </c:pt>
                <c:pt idx="31">
                  <c:v>-3.0435307347581597E-2</c:v>
                </c:pt>
                <c:pt idx="32">
                  <c:v>-3.0332142640573163E-2</c:v>
                </c:pt>
                <c:pt idx="33">
                  <c:v>-3.0127865261307368E-2</c:v>
                </c:pt>
                <c:pt idx="34">
                  <c:v>-2.9819588130093264E-2</c:v>
                </c:pt>
                <c:pt idx="35">
                  <c:v>-2.940444069659516E-2</c:v>
                </c:pt>
                <c:pt idx="36">
                  <c:v>-2.8879568939832671E-2</c:v>
                </c:pt>
                <c:pt idx="37">
                  <c:v>-2.824213536818071E-2</c:v>
                </c:pt>
                <c:pt idx="38">
                  <c:v>-2.7489319019369452E-2</c:v>
                </c:pt>
                <c:pt idx="39">
                  <c:v>-2.6618315460484376E-2</c:v>
                </c:pt>
                <c:pt idx="40">
                  <c:v>-2.5626336787966272E-2</c:v>
                </c:pt>
                <c:pt idx="41">
                  <c:v>-2.4510611627611173E-2</c:v>
                </c:pt>
                <c:pt idx="42">
                  <c:v>-2.3268385134570468E-2</c:v>
                </c:pt>
                <c:pt idx="43">
                  <c:v>-2.1896918993350743E-2</c:v>
                </c:pt>
                <c:pt idx="44">
                  <c:v>-2.039349141781395E-2</c:v>
                </c:pt>
                <c:pt idx="45">
                  <c:v>-1.87553971511773E-2</c:v>
                </c:pt>
                <c:pt idx="46">
                  <c:v>-1.6979947466013307E-2</c:v>
                </c:pt>
                <c:pt idx="47">
                  <c:v>-1.5064470164249761E-2</c:v>
                </c:pt>
                <c:pt idx="48">
                  <c:v>-1.3006309577169735E-2</c:v>
                </c:pt>
                <c:pt idx="49">
                  <c:v>-1.0802826565411599E-2</c:v>
                </c:pt>
                <c:pt idx="50">
                  <c:v>-8.4513985189690385E-3</c:v>
                </c:pt>
                <c:pt idx="51">
                  <c:v>-5.9494193571909965E-3</c:v>
                </c:pt>
                <c:pt idx="52">
                  <c:v>-3.2942995287816856E-3</c:v>
                </c:pt>
                <c:pt idx="53">
                  <c:v>-4.8346601180063365E-4</c:v>
                </c:pt>
                <c:pt idx="54">
                  <c:v>2.4856376863372697E-3</c:v>
                </c:pt>
                <c:pt idx="55">
                  <c:v>5.6155515288619871E-3</c:v>
                </c:pt>
                <c:pt idx="56">
                  <c:v>8.9087989496480866E-3</c:v>
                </c:pt>
                <c:pt idx="57">
                  <c:v>1.2367886853214896E-2</c:v>
                </c:pt>
                <c:pt idx="58">
                  <c:v>1.5995305614726434E-2</c:v>
                </c:pt>
                <c:pt idx="59">
                  <c:v>1.9793529079991441E-2</c:v>
                </c:pt>
                <c:pt idx="60">
                  <c:v>2.3765014565463399E-2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0-40A8-99DB-1DB4FCE36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48784"/>
        <c:axId val="93041296"/>
      </c:lineChart>
      <c:catAx>
        <c:axId val="9304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041296"/>
        <c:crosses val="autoZero"/>
        <c:auto val="1"/>
        <c:lblAlgn val="ctr"/>
        <c:lblOffset val="100"/>
        <c:noMultiLvlLbl val="0"/>
      </c:catAx>
      <c:valAx>
        <c:axId val="9304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04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Terrasse!$F$1</c:f>
              <c:strCache>
                <c:ptCount val="1"/>
                <c:pt idx="0">
                  <c:v>N(X)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Terrasse!$E$2:$E$63</c:f>
              <c:numCache>
                <c:formatCode>General</c:formatCode>
                <c:ptCount val="6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</c:numCache>
            </c:numRef>
          </c:cat>
          <c:val>
            <c:numRef>
              <c:f>Terrasse!$F$2:$F$63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B4-4B46-8013-337B9D764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645696"/>
        <c:axId val="183656928"/>
      </c:lineChart>
      <c:catAx>
        <c:axId val="18364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3656928"/>
        <c:crosses val="autoZero"/>
        <c:auto val="1"/>
        <c:lblAlgn val="ctr"/>
        <c:lblOffset val="100"/>
        <c:noMultiLvlLbl val="0"/>
      </c:catAx>
      <c:valAx>
        <c:axId val="18365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364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Terrasse!$G$1</c:f>
              <c:strCache>
                <c:ptCount val="1"/>
                <c:pt idx="0">
                  <c:v>V(X)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Terrasse!$E$2:$E$63</c:f>
              <c:numCache>
                <c:formatCode>General</c:formatCode>
                <c:ptCount val="6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</c:numCache>
            </c:numRef>
          </c:cat>
          <c:val>
            <c:numRef>
              <c:f>Terrasse!$G$2:$G$63</c:f>
              <c:numCache>
                <c:formatCode>General</c:formatCode>
                <c:ptCount val="62"/>
                <c:pt idx="0">
                  <c:v>17.902123823725159</c:v>
                </c:pt>
                <c:pt idx="1">
                  <c:v>17.902123823725159</c:v>
                </c:pt>
                <c:pt idx="2">
                  <c:v>17.902123823725159</c:v>
                </c:pt>
                <c:pt idx="3">
                  <c:v>17.902123823725159</c:v>
                </c:pt>
                <c:pt idx="4">
                  <c:v>17.902123823725159</c:v>
                </c:pt>
                <c:pt idx="5">
                  <c:v>17.902123823725159</c:v>
                </c:pt>
                <c:pt idx="6">
                  <c:v>17.902123823725159</c:v>
                </c:pt>
                <c:pt idx="7">
                  <c:v>17.902123823725159</c:v>
                </c:pt>
                <c:pt idx="8">
                  <c:v>17.902123823725159</c:v>
                </c:pt>
                <c:pt idx="9">
                  <c:v>17.902123823725159</c:v>
                </c:pt>
                <c:pt idx="10">
                  <c:v>17.902123823725159</c:v>
                </c:pt>
                <c:pt idx="11">
                  <c:v>17.902123823725159</c:v>
                </c:pt>
                <c:pt idx="12">
                  <c:v>17.902123823725159</c:v>
                </c:pt>
                <c:pt idx="13">
                  <c:v>17.902123823725159</c:v>
                </c:pt>
                <c:pt idx="14">
                  <c:v>17.902123823725159</c:v>
                </c:pt>
                <c:pt idx="15">
                  <c:v>17.902123823725159</c:v>
                </c:pt>
                <c:pt idx="16">
                  <c:v>17.902123823725159</c:v>
                </c:pt>
                <c:pt idx="17">
                  <c:v>17.902123823725159</c:v>
                </c:pt>
                <c:pt idx="18">
                  <c:v>17.902123823725159</c:v>
                </c:pt>
                <c:pt idx="19">
                  <c:v>17.902123823725159</c:v>
                </c:pt>
                <c:pt idx="20">
                  <c:v>17.902123823725159</c:v>
                </c:pt>
                <c:pt idx="21">
                  <c:v>17.902123823725159</c:v>
                </c:pt>
                <c:pt idx="22">
                  <c:v>17.902123823725159</c:v>
                </c:pt>
                <c:pt idx="23">
                  <c:v>17.902123823725159</c:v>
                </c:pt>
                <c:pt idx="24">
                  <c:v>17.902123823725159</c:v>
                </c:pt>
                <c:pt idx="25">
                  <c:v>17.902123823725159</c:v>
                </c:pt>
                <c:pt idx="26">
                  <c:v>17.902123823725159</c:v>
                </c:pt>
                <c:pt idx="27">
                  <c:v>17.902123823725159</c:v>
                </c:pt>
                <c:pt idx="28">
                  <c:v>17.902123823725159</c:v>
                </c:pt>
                <c:pt idx="29">
                  <c:v>17.902123823725159</c:v>
                </c:pt>
                <c:pt idx="30">
                  <c:v>17.902123823725159</c:v>
                </c:pt>
                <c:pt idx="31">
                  <c:v>17.902123823725159</c:v>
                </c:pt>
                <c:pt idx="32">
                  <c:v>17.902123823725159</c:v>
                </c:pt>
                <c:pt idx="33">
                  <c:v>17.902123823725159</c:v>
                </c:pt>
                <c:pt idx="34">
                  <c:v>17.902123823725159</c:v>
                </c:pt>
                <c:pt idx="35">
                  <c:v>17.902123823725159</c:v>
                </c:pt>
                <c:pt idx="36">
                  <c:v>17.902123823725159</c:v>
                </c:pt>
                <c:pt idx="37">
                  <c:v>17.902123823725159</c:v>
                </c:pt>
                <c:pt idx="38">
                  <c:v>17.902123823725159</c:v>
                </c:pt>
                <c:pt idx="39">
                  <c:v>17.902123823725159</c:v>
                </c:pt>
                <c:pt idx="40">
                  <c:v>17.902123823725159</c:v>
                </c:pt>
                <c:pt idx="41">
                  <c:v>17.902123823725159</c:v>
                </c:pt>
                <c:pt idx="42">
                  <c:v>17.902123823725159</c:v>
                </c:pt>
                <c:pt idx="43">
                  <c:v>17.902123823725159</c:v>
                </c:pt>
                <c:pt idx="44">
                  <c:v>17.902123823725159</c:v>
                </c:pt>
                <c:pt idx="45">
                  <c:v>17.902123823725159</c:v>
                </c:pt>
                <c:pt idx="46">
                  <c:v>17.902123823725159</c:v>
                </c:pt>
                <c:pt idx="47">
                  <c:v>17.902123823725159</c:v>
                </c:pt>
                <c:pt idx="48">
                  <c:v>17.902123823725159</c:v>
                </c:pt>
                <c:pt idx="49">
                  <c:v>17.902123823725159</c:v>
                </c:pt>
                <c:pt idx="50">
                  <c:v>17.902123823725159</c:v>
                </c:pt>
                <c:pt idx="51">
                  <c:v>17.902123823725159</c:v>
                </c:pt>
                <c:pt idx="52">
                  <c:v>17.902123823725159</c:v>
                </c:pt>
                <c:pt idx="53">
                  <c:v>17.902123823725159</c:v>
                </c:pt>
                <c:pt idx="54">
                  <c:v>17.902123823725159</c:v>
                </c:pt>
                <c:pt idx="55">
                  <c:v>17.902123823725159</c:v>
                </c:pt>
                <c:pt idx="56">
                  <c:v>17.902123823725159</c:v>
                </c:pt>
                <c:pt idx="57">
                  <c:v>17.902123823725159</c:v>
                </c:pt>
                <c:pt idx="58">
                  <c:v>17.902123823725159</c:v>
                </c:pt>
                <c:pt idx="59">
                  <c:v>17.902123823725159</c:v>
                </c:pt>
                <c:pt idx="60">
                  <c:v>17.902123823725159</c:v>
                </c:pt>
                <c:pt idx="61">
                  <c:v>17.902123823725159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69-4806-9073-640346DDC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831424"/>
        <c:axId val="186823936"/>
      </c:lineChart>
      <c:catAx>
        <c:axId val="18683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6823936"/>
        <c:crosses val="autoZero"/>
        <c:auto val="1"/>
        <c:lblAlgn val="ctr"/>
        <c:lblOffset val="100"/>
        <c:noMultiLvlLbl val="0"/>
      </c:catAx>
      <c:valAx>
        <c:axId val="18682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683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Terrasse!$H$1</c:f>
              <c:strCache>
                <c:ptCount val="1"/>
                <c:pt idx="0">
                  <c:v>M(X)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Terrasse!$E$2:$E$63</c:f>
              <c:numCache>
                <c:formatCode>General</c:formatCode>
                <c:ptCount val="6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</c:numCache>
            </c:numRef>
          </c:cat>
          <c:val>
            <c:numRef>
              <c:f>Terrasse!$H$2:$H$63</c:f>
              <c:numCache>
                <c:formatCode>General</c:formatCode>
                <c:ptCount val="62"/>
                <c:pt idx="0">
                  <c:v>0</c:v>
                </c:pt>
                <c:pt idx="1">
                  <c:v>1.790212382372516</c:v>
                </c:pt>
                <c:pt idx="2">
                  <c:v>3.580424764745032</c:v>
                </c:pt>
                <c:pt idx="3">
                  <c:v>5.3706371471175487</c:v>
                </c:pt>
                <c:pt idx="4">
                  <c:v>7.160849529490064</c:v>
                </c:pt>
                <c:pt idx="5">
                  <c:v>8.9510619118625794</c:v>
                </c:pt>
                <c:pt idx="6">
                  <c:v>10.741274294235096</c:v>
                </c:pt>
                <c:pt idx="7">
                  <c:v>12.53148667660761</c:v>
                </c:pt>
                <c:pt idx="8">
                  <c:v>14.321699058980126</c:v>
                </c:pt>
                <c:pt idx="9">
                  <c:v>16.111911441352643</c:v>
                </c:pt>
                <c:pt idx="10">
                  <c:v>17.902123823725155</c:v>
                </c:pt>
                <c:pt idx="11">
                  <c:v>19.692336206097671</c:v>
                </c:pt>
                <c:pt idx="12">
                  <c:v>21.482548588470191</c:v>
                </c:pt>
                <c:pt idx="13">
                  <c:v>23.272760970842707</c:v>
                </c:pt>
                <c:pt idx="14">
                  <c:v>25.062973353215224</c:v>
                </c:pt>
                <c:pt idx="15">
                  <c:v>26.853185735587743</c:v>
                </c:pt>
                <c:pt idx="16">
                  <c:v>28.64339811796026</c:v>
                </c:pt>
                <c:pt idx="17">
                  <c:v>30.433610500332776</c:v>
                </c:pt>
                <c:pt idx="18">
                  <c:v>32.223822882705292</c:v>
                </c:pt>
                <c:pt idx="19">
                  <c:v>34.014035265077815</c:v>
                </c:pt>
                <c:pt idx="20">
                  <c:v>35.804247647450325</c:v>
                </c:pt>
                <c:pt idx="21">
                  <c:v>37.594460029822841</c:v>
                </c:pt>
                <c:pt idx="22">
                  <c:v>39.384672412195357</c:v>
                </c:pt>
                <c:pt idx="23">
                  <c:v>41.17488479456788</c:v>
                </c:pt>
                <c:pt idx="24">
                  <c:v>42.965097176940397</c:v>
                </c:pt>
                <c:pt idx="25">
                  <c:v>44.755309559312913</c:v>
                </c:pt>
                <c:pt idx="26">
                  <c:v>46.545521941685429</c:v>
                </c:pt>
                <c:pt idx="27">
                  <c:v>48.335734324057945</c:v>
                </c:pt>
                <c:pt idx="28">
                  <c:v>50.125946706430469</c:v>
                </c:pt>
                <c:pt idx="29">
                  <c:v>51.916159088802985</c:v>
                </c:pt>
                <c:pt idx="30">
                  <c:v>53.706371471175501</c:v>
                </c:pt>
                <c:pt idx="31">
                  <c:v>55.496583853548017</c:v>
                </c:pt>
                <c:pt idx="32">
                  <c:v>57.286796235920534</c:v>
                </c:pt>
                <c:pt idx="33">
                  <c:v>59.07700861829305</c:v>
                </c:pt>
                <c:pt idx="34">
                  <c:v>60.867221000665573</c:v>
                </c:pt>
                <c:pt idx="35">
                  <c:v>62.657433383038089</c:v>
                </c:pt>
                <c:pt idx="36">
                  <c:v>64.447645765410599</c:v>
                </c:pt>
                <c:pt idx="37">
                  <c:v>66.237858147783129</c:v>
                </c:pt>
                <c:pt idx="38">
                  <c:v>68.028070530155645</c:v>
                </c:pt>
                <c:pt idx="39">
                  <c:v>69.818282912528161</c:v>
                </c:pt>
                <c:pt idx="40">
                  <c:v>71.608495294900663</c:v>
                </c:pt>
                <c:pt idx="41">
                  <c:v>73.39870767727318</c:v>
                </c:pt>
                <c:pt idx="42">
                  <c:v>75.188920059645682</c:v>
                </c:pt>
                <c:pt idx="43">
                  <c:v>76.979132442018198</c:v>
                </c:pt>
                <c:pt idx="44">
                  <c:v>78.7693448243907</c:v>
                </c:pt>
                <c:pt idx="45">
                  <c:v>80.559557206763216</c:v>
                </c:pt>
                <c:pt idx="46">
                  <c:v>82.349769589135718</c:v>
                </c:pt>
                <c:pt idx="47">
                  <c:v>84.139981971508234</c:v>
                </c:pt>
                <c:pt idx="48">
                  <c:v>85.930194353880736</c:v>
                </c:pt>
                <c:pt idx="49">
                  <c:v>87.720406736253253</c:v>
                </c:pt>
                <c:pt idx="50">
                  <c:v>89.510619118625769</c:v>
                </c:pt>
                <c:pt idx="51">
                  <c:v>91.300831500998271</c:v>
                </c:pt>
                <c:pt idx="52">
                  <c:v>93.091043883370787</c:v>
                </c:pt>
                <c:pt idx="53">
                  <c:v>94.881256265743289</c:v>
                </c:pt>
                <c:pt idx="54">
                  <c:v>96.671468648115805</c:v>
                </c:pt>
                <c:pt idx="55">
                  <c:v>98.461681030488307</c:v>
                </c:pt>
                <c:pt idx="56">
                  <c:v>100.25189341286082</c:v>
                </c:pt>
                <c:pt idx="57">
                  <c:v>102.04210579523333</c:v>
                </c:pt>
                <c:pt idx="58">
                  <c:v>103.83231817760584</c:v>
                </c:pt>
                <c:pt idx="59">
                  <c:v>105.62253055997834</c:v>
                </c:pt>
                <c:pt idx="60">
                  <c:v>107.41274294235086</c:v>
                </c:pt>
                <c:pt idx="61">
                  <c:v>109.20295532472336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BD-4197-B480-E3581205F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634880"/>
        <c:axId val="183635296"/>
      </c:lineChart>
      <c:catAx>
        <c:axId val="18363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3635296"/>
        <c:crosses val="autoZero"/>
        <c:auto val="1"/>
        <c:lblAlgn val="ctr"/>
        <c:lblOffset val="100"/>
        <c:noMultiLvlLbl val="0"/>
      </c:catAx>
      <c:valAx>
        <c:axId val="18363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363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Solive!$G$1</c:f>
              <c:strCache>
                <c:ptCount val="1"/>
                <c:pt idx="0">
                  <c:v>V(x)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Solive!$E$2:$E$25</c:f>
              <c:numCache>
                <c:formatCode>General</c:formatCode>
                <c:ptCount val="2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</c:numCache>
            </c:numRef>
          </c:xVal>
          <c:yVal>
            <c:numRef>
              <c:f>Solive!$G$2:$G$26</c:f>
              <c:numCache>
                <c:formatCode>0.00000</c:formatCode>
                <c:ptCount val="25"/>
                <c:pt idx="0">
                  <c:v>20004</c:v>
                </c:pt>
                <c:pt idx="1">
                  <c:v>18336.999999999996</c:v>
                </c:pt>
                <c:pt idx="2">
                  <c:v>16670</c:v>
                </c:pt>
                <c:pt idx="3">
                  <c:v>15002.999999999998</c:v>
                </c:pt>
                <c:pt idx="4">
                  <c:v>13335.999999999998</c:v>
                </c:pt>
                <c:pt idx="5">
                  <c:v>11669</c:v>
                </c:pt>
                <c:pt idx="6">
                  <c:v>10002</c:v>
                </c:pt>
                <c:pt idx="7">
                  <c:v>8335</c:v>
                </c:pt>
                <c:pt idx="8">
                  <c:v>6668</c:v>
                </c:pt>
                <c:pt idx="9">
                  <c:v>5001.0000000000009</c:v>
                </c:pt>
                <c:pt idx="10">
                  <c:v>3334.0000000000009</c:v>
                </c:pt>
                <c:pt idx="11">
                  <c:v>1667.0000000000016</c:v>
                </c:pt>
                <c:pt idx="12">
                  <c:v>0</c:v>
                </c:pt>
                <c:pt idx="13">
                  <c:v>-1667.0000000000016</c:v>
                </c:pt>
                <c:pt idx="14">
                  <c:v>-3334.0000000000032</c:v>
                </c:pt>
                <c:pt idx="15">
                  <c:v>-5001.0000000000045</c:v>
                </c:pt>
                <c:pt idx="16">
                  <c:v>-6668.0000000000064</c:v>
                </c:pt>
                <c:pt idx="17">
                  <c:v>-8335.0000000000073</c:v>
                </c:pt>
                <c:pt idx="18">
                  <c:v>-10002.000000000009</c:v>
                </c:pt>
                <c:pt idx="19">
                  <c:v>-11669.000000000011</c:v>
                </c:pt>
                <c:pt idx="20">
                  <c:v>-13336.000000000007</c:v>
                </c:pt>
                <c:pt idx="21">
                  <c:v>-15003.000000000009</c:v>
                </c:pt>
                <c:pt idx="22">
                  <c:v>-16670.000000000011</c:v>
                </c:pt>
                <c:pt idx="23">
                  <c:v>-18337.000000000011</c:v>
                </c:pt>
                <c:pt idx="24">
                  <c:v>-20004.000000000015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F7-4598-BC25-90268C9BC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771839"/>
        <c:axId val="1151664687"/>
      </c:scatterChart>
      <c:valAx>
        <c:axId val="133077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51664687"/>
        <c:crosses val="autoZero"/>
        <c:crossBetween val="midCat"/>
      </c:valAx>
      <c:valAx>
        <c:axId val="115166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0771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Terrasse!$Q$1</c:f>
              <c:strCache>
                <c:ptCount val="1"/>
                <c:pt idx="0">
                  <c:v>N(X)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Terrasse!$P$2:$P$63</c:f>
              <c:numCache>
                <c:formatCode>General</c:formatCode>
                <c:ptCount val="6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</c:numCache>
            </c:numRef>
          </c:cat>
          <c:val>
            <c:numRef>
              <c:f>Terrasse!$Q$2:$Q$63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71-4748-BF16-0C0F8E9CD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010400"/>
        <c:axId val="318005824"/>
      </c:lineChart>
      <c:catAx>
        <c:axId val="31801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8005824"/>
        <c:crosses val="autoZero"/>
        <c:auto val="1"/>
        <c:lblAlgn val="ctr"/>
        <c:lblOffset val="100"/>
        <c:noMultiLvlLbl val="0"/>
      </c:catAx>
      <c:valAx>
        <c:axId val="3180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801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Terrasse!$R$1</c:f>
              <c:strCache>
                <c:ptCount val="1"/>
                <c:pt idx="0">
                  <c:v>V(X)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Terrasse!$P$2:$P$63</c:f>
              <c:numCache>
                <c:formatCode>General</c:formatCode>
                <c:ptCount val="6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</c:numCache>
            </c:numRef>
          </c:cat>
          <c:val>
            <c:numRef>
              <c:f>Terrasse!$R$2:$R$63</c:f>
              <c:numCache>
                <c:formatCode>General</c:formatCode>
                <c:ptCount val="62"/>
                <c:pt idx="0">
                  <c:v>5.1600239256619584</c:v>
                </c:pt>
                <c:pt idx="1">
                  <c:v>5.1600239256619584</c:v>
                </c:pt>
                <c:pt idx="2">
                  <c:v>5.1600239256619584</c:v>
                </c:pt>
                <c:pt idx="3">
                  <c:v>5.1600239256619584</c:v>
                </c:pt>
                <c:pt idx="4">
                  <c:v>5.1600239256619584</c:v>
                </c:pt>
                <c:pt idx="5">
                  <c:v>5.1600239256619584</c:v>
                </c:pt>
                <c:pt idx="6">
                  <c:v>5.1600239256619584</c:v>
                </c:pt>
                <c:pt idx="7">
                  <c:v>5.1600239256619584</c:v>
                </c:pt>
                <c:pt idx="8">
                  <c:v>5.1600239256619584</c:v>
                </c:pt>
                <c:pt idx="9">
                  <c:v>5.1600239256619584</c:v>
                </c:pt>
                <c:pt idx="10">
                  <c:v>5.1600239256619584</c:v>
                </c:pt>
                <c:pt idx="11">
                  <c:v>5.1600239256619584</c:v>
                </c:pt>
                <c:pt idx="12">
                  <c:v>5.1600239256619584</c:v>
                </c:pt>
                <c:pt idx="13">
                  <c:v>5.1600239256619584</c:v>
                </c:pt>
                <c:pt idx="14">
                  <c:v>5.1600239256619584</c:v>
                </c:pt>
                <c:pt idx="15">
                  <c:v>5.1600239256619584</c:v>
                </c:pt>
                <c:pt idx="16">
                  <c:v>5.1600239256619584</c:v>
                </c:pt>
                <c:pt idx="17">
                  <c:v>5.1600239256619584</c:v>
                </c:pt>
                <c:pt idx="18">
                  <c:v>5.1600239256619584</c:v>
                </c:pt>
                <c:pt idx="19">
                  <c:v>5.1600239256619584</c:v>
                </c:pt>
                <c:pt idx="20">
                  <c:v>5.1600239256619584</c:v>
                </c:pt>
                <c:pt idx="21">
                  <c:v>5.1600239256619584</c:v>
                </c:pt>
                <c:pt idx="22">
                  <c:v>5.1600239256619584</c:v>
                </c:pt>
                <c:pt idx="23">
                  <c:v>5.1600239256619584</c:v>
                </c:pt>
                <c:pt idx="24">
                  <c:v>5.1600239256619584</c:v>
                </c:pt>
                <c:pt idx="25">
                  <c:v>5.1600239256619584</c:v>
                </c:pt>
                <c:pt idx="26">
                  <c:v>5.1600239256619584</c:v>
                </c:pt>
                <c:pt idx="27">
                  <c:v>5.1600239256619584</c:v>
                </c:pt>
                <c:pt idx="28">
                  <c:v>5.1600239256619584</c:v>
                </c:pt>
                <c:pt idx="29">
                  <c:v>5.1600239256619584</c:v>
                </c:pt>
                <c:pt idx="30">
                  <c:v>5.1600239256619584</c:v>
                </c:pt>
                <c:pt idx="31">
                  <c:v>5.1600239256619584</c:v>
                </c:pt>
                <c:pt idx="32">
                  <c:v>5.1600239256619584</c:v>
                </c:pt>
                <c:pt idx="33">
                  <c:v>5.1600239256619584</c:v>
                </c:pt>
                <c:pt idx="34">
                  <c:v>5.1600239256619584</c:v>
                </c:pt>
                <c:pt idx="35">
                  <c:v>5.1600239256619584</c:v>
                </c:pt>
                <c:pt idx="36">
                  <c:v>5.1600239256619584</c:v>
                </c:pt>
                <c:pt idx="37">
                  <c:v>5.1600239256619584</c:v>
                </c:pt>
                <c:pt idx="38">
                  <c:v>5.1600239256619584</c:v>
                </c:pt>
                <c:pt idx="39">
                  <c:v>5.1600239256619584</c:v>
                </c:pt>
                <c:pt idx="40">
                  <c:v>5.1600239256619584</c:v>
                </c:pt>
                <c:pt idx="41">
                  <c:v>5.1600239256619584</c:v>
                </c:pt>
                <c:pt idx="42">
                  <c:v>5.1600239256619584</c:v>
                </c:pt>
                <c:pt idx="43">
                  <c:v>5.1600239256619584</c:v>
                </c:pt>
                <c:pt idx="44">
                  <c:v>5.1600239256619584</c:v>
                </c:pt>
                <c:pt idx="45">
                  <c:v>5.1600239256619584</c:v>
                </c:pt>
                <c:pt idx="46">
                  <c:v>5.1600239256619584</c:v>
                </c:pt>
                <c:pt idx="47">
                  <c:v>5.1600239256619584</c:v>
                </c:pt>
                <c:pt idx="48">
                  <c:v>5.1600239256619584</c:v>
                </c:pt>
                <c:pt idx="49">
                  <c:v>5.1600239256619584</c:v>
                </c:pt>
                <c:pt idx="50">
                  <c:v>5.1600239256619584</c:v>
                </c:pt>
                <c:pt idx="51">
                  <c:v>5.1600239256619584</c:v>
                </c:pt>
                <c:pt idx="52">
                  <c:v>5.1600239256619584</c:v>
                </c:pt>
                <c:pt idx="53">
                  <c:v>5.1600239256619584</c:v>
                </c:pt>
                <c:pt idx="54">
                  <c:v>5.1600239256619584</c:v>
                </c:pt>
                <c:pt idx="55">
                  <c:v>5.1600239256619584</c:v>
                </c:pt>
                <c:pt idx="56">
                  <c:v>5.1600239256619584</c:v>
                </c:pt>
                <c:pt idx="57">
                  <c:v>5.1600239256619584</c:v>
                </c:pt>
                <c:pt idx="58">
                  <c:v>5.1600239256619584</c:v>
                </c:pt>
                <c:pt idx="59">
                  <c:v>5.1600239256619584</c:v>
                </c:pt>
                <c:pt idx="60">
                  <c:v>5.1600239256619584</c:v>
                </c:pt>
                <c:pt idx="61">
                  <c:v>5.1600239256619584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17-4092-A6FA-240D2C0A9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828928"/>
        <c:axId val="186832256"/>
      </c:lineChart>
      <c:catAx>
        <c:axId val="18682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6832256"/>
        <c:crosses val="autoZero"/>
        <c:auto val="1"/>
        <c:lblAlgn val="ctr"/>
        <c:lblOffset val="100"/>
        <c:noMultiLvlLbl val="0"/>
      </c:catAx>
      <c:valAx>
        <c:axId val="18683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682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Terrasse!$S$1</c:f>
              <c:strCache>
                <c:ptCount val="1"/>
                <c:pt idx="0">
                  <c:v>M(X)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Terrasse!$P$2:$P$63</c:f>
              <c:numCache>
                <c:formatCode>General</c:formatCode>
                <c:ptCount val="6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</c:numCache>
            </c:numRef>
          </c:cat>
          <c:val>
            <c:numRef>
              <c:f>Terrasse!$S$2:$S$63</c:f>
              <c:numCache>
                <c:formatCode>General</c:formatCode>
                <c:ptCount val="62"/>
                <c:pt idx="0">
                  <c:v>16.562000000000001</c:v>
                </c:pt>
                <c:pt idx="1">
                  <c:v>17.077999999999999</c:v>
                </c:pt>
                <c:pt idx="2">
                  <c:v>17.594000000000001</c:v>
                </c:pt>
                <c:pt idx="3">
                  <c:v>18.11</c:v>
                </c:pt>
                <c:pt idx="4">
                  <c:v>18.626000000000001</c:v>
                </c:pt>
                <c:pt idx="5">
                  <c:v>19.141999999999999</c:v>
                </c:pt>
                <c:pt idx="6">
                  <c:v>19.658000000000001</c:v>
                </c:pt>
                <c:pt idx="7">
                  <c:v>20.173999999999999</c:v>
                </c:pt>
                <c:pt idx="8">
                  <c:v>20.69</c:v>
                </c:pt>
                <c:pt idx="9">
                  <c:v>21.205999999999996</c:v>
                </c:pt>
                <c:pt idx="10">
                  <c:v>21.721999999999998</c:v>
                </c:pt>
                <c:pt idx="11">
                  <c:v>22.238</c:v>
                </c:pt>
                <c:pt idx="12">
                  <c:v>22.753999999999998</c:v>
                </c:pt>
                <c:pt idx="13">
                  <c:v>23.27</c:v>
                </c:pt>
                <c:pt idx="14">
                  <c:v>23.785999999999998</c:v>
                </c:pt>
                <c:pt idx="15">
                  <c:v>24.302</c:v>
                </c:pt>
                <c:pt idx="16">
                  <c:v>24.818000000000001</c:v>
                </c:pt>
                <c:pt idx="17">
                  <c:v>25.334</c:v>
                </c:pt>
                <c:pt idx="18">
                  <c:v>25.85</c:v>
                </c:pt>
                <c:pt idx="19">
                  <c:v>26.366</c:v>
                </c:pt>
                <c:pt idx="20">
                  <c:v>26.881999999999998</c:v>
                </c:pt>
                <c:pt idx="21">
                  <c:v>27.397999999999996</c:v>
                </c:pt>
                <c:pt idx="22">
                  <c:v>27.914000000000001</c:v>
                </c:pt>
                <c:pt idx="23">
                  <c:v>28.43</c:v>
                </c:pt>
                <c:pt idx="24">
                  <c:v>28.945999999999998</c:v>
                </c:pt>
                <c:pt idx="25">
                  <c:v>29.462000000000003</c:v>
                </c:pt>
                <c:pt idx="26">
                  <c:v>29.978000000000002</c:v>
                </c:pt>
                <c:pt idx="27">
                  <c:v>30.494</c:v>
                </c:pt>
                <c:pt idx="28">
                  <c:v>31.010000000000005</c:v>
                </c:pt>
                <c:pt idx="29">
                  <c:v>31.526000000000003</c:v>
                </c:pt>
                <c:pt idx="30">
                  <c:v>32.042000000000002</c:v>
                </c:pt>
                <c:pt idx="31">
                  <c:v>32.558000000000007</c:v>
                </c:pt>
                <c:pt idx="32">
                  <c:v>33.073999999999998</c:v>
                </c:pt>
                <c:pt idx="33">
                  <c:v>33.590000000000003</c:v>
                </c:pt>
                <c:pt idx="34">
                  <c:v>34.106000000000009</c:v>
                </c:pt>
                <c:pt idx="35">
                  <c:v>34.622</c:v>
                </c:pt>
                <c:pt idx="36">
                  <c:v>35.138000000000005</c:v>
                </c:pt>
                <c:pt idx="37">
                  <c:v>35.654000000000003</c:v>
                </c:pt>
                <c:pt idx="38">
                  <c:v>36.17</c:v>
                </c:pt>
                <c:pt idx="39">
                  <c:v>36.686</c:v>
                </c:pt>
                <c:pt idx="40">
                  <c:v>37.201999999999998</c:v>
                </c:pt>
                <c:pt idx="41">
                  <c:v>37.717999999999996</c:v>
                </c:pt>
                <c:pt idx="42">
                  <c:v>38.233999999999988</c:v>
                </c:pt>
                <c:pt idx="43">
                  <c:v>38.75</c:v>
                </c:pt>
                <c:pt idx="44">
                  <c:v>39.265999999999998</c:v>
                </c:pt>
                <c:pt idx="45">
                  <c:v>39.781999999999996</c:v>
                </c:pt>
                <c:pt idx="46">
                  <c:v>40.297999999999988</c:v>
                </c:pt>
                <c:pt idx="47">
                  <c:v>40.813999999999986</c:v>
                </c:pt>
                <c:pt idx="48">
                  <c:v>41.329999999999984</c:v>
                </c:pt>
                <c:pt idx="49">
                  <c:v>41.845999999999982</c:v>
                </c:pt>
                <c:pt idx="50">
                  <c:v>42.361999999999973</c:v>
                </c:pt>
                <c:pt idx="51">
                  <c:v>42.877999999999972</c:v>
                </c:pt>
                <c:pt idx="52">
                  <c:v>43.39399999999997</c:v>
                </c:pt>
                <c:pt idx="53">
                  <c:v>43.909999999999982</c:v>
                </c:pt>
                <c:pt idx="54">
                  <c:v>44.425999999999981</c:v>
                </c:pt>
                <c:pt idx="55">
                  <c:v>44.941999999999972</c:v>
                </c:pt>
                <c:pt idx="56">
                  <c:v>45.45799999999997</c:v>
                </c:pt>
                <c:pt idx="57">
                  <c:v>45.973999999999968</c:v>
                </c:pt>
                <c:pt idx="58">
                  <c:v>46.489999999999966</c:v>
                </c:pt>
                <c:pt idx="59">
                  <c:v>47.005999999999958</c:v>
                </c:pt>
                <c:pt idx="60">
                  <c:v>47.521999999999956</c:v>
                </c:pt>
                <c:pt idx="61">
                  <c:v>48.037999999999954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DE-4953-9DB2-F67E4BA21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816864"/>
        <c:axId val="186829344"/>
      </c:lineChart>
      <c:catAx>
        <c:axId val="18681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6829344"/>
        <c:crosses val="autoZero"/>
        <c:auto val="1"/>
        <c:lblAlgn val="ctr"/>
        <c:lblOffset val="100"/>
        <c:noMultiLvlLbl val="0"/>
      </c:catAx>
      <c:valAx>
        <c:axId val="18682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681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Terrasse!$AB$1</c:f>
              <c:strCache>
                <c:ptCount val="1"/>
                <c:pt idx="0">
                  <c:v>N(X)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Terrasse!$AA$2:$AA$63</c:f>
              <c:numCache>
                <c:formatCode>General</c:formatCode>
                <c:ptCount val="6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</c:numCache>
            </c:numRef>
          </c:cat>
          <c:val>
            <c:numRef>
              <c:f>Terrasse!$AB$2:$AB$63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97-4715-98BE-1ED26B9A7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022048"/>
        <c:axId val="318023296"/>
      </c:lineChart>
      <c:catAx>
        <c:axId val="31802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8023296"/>
        <c:crosses val="autoZero"/>
        <c:auto val="1"/>
        <c:lblAlgn val="ctr"/>
        <c:lblOffset val="100"/>
        <c:noMultiLvlLbl val="0"/>
      </c:catAx>
      <c:valAx>
        <c:axId val="31802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802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Terrasse!$AC$1</c:f>
              <c:strCache>
                <c:ptCount val="1"/>
                <c:pt idx="0">
                  <c:v>V(X)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Terrasse!$AA$2:$AA$63</c:f>
              <c:numCache>
                <c:formatCode>General</c:formatCode>
                <c:ptCount val="6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</c:numCache>
            </c:numRef>
          </c:cat>
          <c:val>
            <c:numRef>
              <c:f>Terrasse!$AC$2:$AC$63</c:f>
              <c:numCache>
                <c:formatCode>General</c:formatCode>
                <c:ptCount val="62"/>
                <c:pt idx="0">
                  <c:v>-7.5820759724012419</c:v>
                </c:pt>
                <c:pt idx="1">
                  <c:v>-7.5820759724012419</c:v>
                </c:pt>
                <c:pt idx="2">
                  <c:v>-7.5820759724012419</c:v>
                </c:pt>
                <c:pt idx="3">
                  <c:v>-7.5820759724012419</c:v>
                </c:pt>
                <c:pt idx="4">
                  <c:v>-7.5820759724012419</c:v>
                </c:pt>
                <c:pt idx="5">
                  <c:v>-7.5820759724012419</c:v>
                </c:pt>
                <c:pt idx="6">
                  <c:v>-7.5820759724012419</c:v>
                </c:pt>
                <c:pt idx="7">
                  <c:v>-7.5820759724012419</c:v>
                </c:pt>
                <c:pt idx="8">
                  <c:v>-7.5820759724012419</c:v>
                </c:pt>
                <c:pt idx="9">
                  <c:v>-7.5820759724012419</c:v>
                </c:pt>
                <c:pt idx="10">
                  <c:v>-7.5820759724012419</c:v>
                </c:pt>
                <c:pt idx="11">
                  <c:v>-7.5820759724012419</c:v>
                </c:pt>
                <c:pt idx="12">
                  <c:v>-7.5820759724012419</c:v>
                </c:pt>
                <c:pt idx="13">
                  <c:v>-7.5820759724012419</c:v>
                </c:pt>
                <c:pt idx="14">
                  <c:v>-7.5820759724012419</c:v>
                </c:pt>
                <c:pt idx="15">
                  <c:v>-7.5820759724012419</c:v>
                </c:pt>
                <c:pt idx="16">
                  <c:v>-7.5820759724012419</c:v>
                </c:pt>
                <c:pt idx="17">
                  <c:v>-7.5820759724012419</c:v>
                </c:pt>
                <c:pt idx="18">
                  <c:v>-7.5820759724012419</c:v>
                </c:pt>
                <c:pt idx="19">
                  <c:v>-7.5820759724012419</c:v>
                </c:pt>
                <c:pt idx="20">
                  <c:v>-7.5820759724012419</c:v>
                </c:pt>
                <c:pt idx="21">
                  <c:v>-7.5820759724012419</c:v>
                </c:pt>
                <c:pt idx="22">
                  <c:v>-7.5820759724012419</c:v>
                </c:pt>
                <c:pt idx="23">
                  <c:v>-7.5820759724012419</c:v>
                </c:pt>
                <c:pt idx="24">
                  <c:v>-7.5820759724012419</c:v>
                </c:pt>
                <c:pt idx="25">
                  <c:v>-7.5820759724012419</c:v>
                </c:pt>
                <c:pt idx="26">
                  <c:v>-7.5820759724012419</c:v>
                </c:pt>
                <c:pt idx="27">
                  <c:v>-7.5820759724012419</c:v>
                </c:pt>
                <c:pt idx="28">
                  <c:v>-7.5820759724012419</c:v>
                </c:pt>
                <c:pt idx="29">
                  <c:v>-7.5820759724012419</c:v>
                </c:pt>
                <c:pt idx="30">
                  <c:v>-7.5820759724012419</c:v>
                </c:pt>
                <c:pt idx="31">
                  <c:v>-7.5820759724012419</c:v>
                </c:pt>
                <c:pt idx="32">
                  <c:v>-7.5820759724012419</c:v>
                </c:pt>
                <c:pt idx="33">
                  <c:v>-7.5820759724012419</c:v>
                </c:pt>
                <c:pt idx="34">
                  <c:v>-7.5820759724012419</c:v>
                </c:pt>
                <c:pt idx="35">
                  <c:v>-7.5820759724012419</c:v>
                </c:pt>
                <c:pt idx="36">
                  <c:v>-7.5820759724012419</c:v>
                </c:pt>
                <c:pt idx="37">
                  <c:v>-7.5820759724012419</c:v>
                </c:pt>
                <c:pt idx="38">
                  <c:v>-7.5820759724012419</c:v>
                </c:pt>
                <c:pt idx="39">
                  <c:v>-7.5820759724012419</c:v>
                </c:pt>
                <c:pt idx="40">
                  <c:v>-7.5820759724012419</c:v>
                </c:pt>
                <c:pt idx="41">
                  <c:v>-7.5820759724012419</c:v>
                </c:pt>
                <c:pt idx="42">
                  <c:v>-7.5820759724012419</c:v>
                </c:pt>
                <c:pt idx="43">
                  <c:v>-7.5820759724012419</c:v>
                </c:pt>
                <c:pt idx="44">
                  <c:v>-7.5820759724012419</c:v>
                </c:pt>
                <c:pt idx="45">
                  <c:v>-7.5820759724012419</c:v>
                </c:pt>
                <c:pt idx="46">
                  <c:v>-7.5820759724012419</c:v>
                </c:pt>
                <c:pt idx="47">
                  <c:v>-7.5820759724012419</c:v>
                </c:pt>
                <c:pt idx="48">
                  <c:v>-7.5820759724012419</c:v>
                </c:pt>
                <c:pt idx="49">
                  <c:v>-7.5820759724012419</c:v>
                </c:pt>
                <c:pt idx="50">
                  <c:v>-7.5820759724012419</c:v>
                </c:pt>
                <c:pt idx="51">
                  <c:v>-7.5820759724012419</c:v>
                </c:pt>
                <c:pt idx="52">
                  <c:v>-7.5820759724012419</c:v>
                </c:pt>
                <c:pt idx="53">
                  <c:v>-7.5820759724012419</c:v>
                </c:pt>
                <c:pt idx="54">
                  <c:v>-7.5820759724012419</c:v>
                </c:pt>
                <c:pt idx="55">
                  <c:v>-7.5820759724012419</c:v>
                </c:pt>
                <c:pt idx="56">
                  <c:v>-7.5820759724012419</c:v>
                </c:pt>
                <c:pt idx="57">
                  <c:v>-7.5820759724012419</c:v>
                </c:pt>
                <c:pt idx="58">
                  <c:v>-7.5820759724012419</c:v>
                </c:pt>
                <c:pt idx="59">
                  <c:v>-7.5820759724012419</c:v>
                </c:pt>
                <c:pt idx="60">
                  <c:v>-7.5820759724012419</c:v>
                </c:pt>
                <c:pt idx="61">
                  <c:v>-7.5820759724012419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0A-4424-AC4A-733D12B82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021632"/>
        <c:axId val="318022464"/>
      </c:lineChart>
      <c:catAx>
        <c:axId val="31802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8022464"/>
        <c:crosses val="autoZero"/>
        <c:auto val="1"/>
        <c:lblAlgn val="ctr"/>
        <c:lblOffset val="100"/>
        <c:noMultiLvlLbl val="0"/>
      </c:catAx>
      <c:valAx>
        <c:axId val="3180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802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Terrasse!$AD$1</c:f>
              <c:strCache>
                <c:ptCount val="1"/>
                <c:pt idx="0">
                  <c:v>M(X)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Terrasse!$AA$2:$AA$63</c:f>
              <c:numCache>
                <c:formatCode>General</c:formatCode>
                <c:ptCount val="6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</c:numCache>
            </c:numRef>
          </c:cat>
          <c:val>
            <c:numRef>
              <c:f>Terrasse!$AD$2:$AD$63</c:f>
              <c:numCache>
                <c:formatCode>General</c:formatCode>
                <c:ptCount val="62"/>
                <c:pt idx="0">
                  <c:v>45.871559633027516</c:v>
                </c:pt>
                <c:pt idx="1">
                  <c:v>45.1133520357874</c:v>
                </c:pt>
                <c:pt idx="2">
                  <c:v>44.355144438547271</c:v>
                </c:pt>
                <c:pt idx="3">
                  <c:v>43.596936841307155</c:v>
                </c:pt>
                <c:pt idx="4">
                  <c:v>42.838729244067025</c:v>
                </c:pt>
                <c:pt idx="5">
                  <c:v>42.080521646826902</c:v>
                </c:pt>
                <c:pt idx="6">
                  <c:v>41.32231404958678</c:v>
                </c:pt>
                <c:pt idx="7">
                  <c:v>40.56410645234665</c:v>
                </c:pt>
                <c:pt idx="8">
                  <c:v>39.805898855106527</c:v>
                </c:pt>
                <c:pt idx="9">
                  <c:v>39.047691257866404</c:v>
                </c:pt>
                <c:pt idx="10">
                  <c:v>38.289483660626281</c:v>
                </c:pt>
                <c:pt idx="11">
                  <c:v>37.531276063386159</c:v>
                </c:pt>
                <c:pt idx="12">
                  <c:v>36.773068466146029</c:v>
                </c:pt>
                <c:pt idx="13">
                  <c:v>36.014860868905906</c:v>
                </c:pt>
                <c:pt idx="14">
                  <c:v>35.256653271665783</c:v>
                </c:pt>
                <c:pt idx="15">
                  <c:v>34.49844567442566</c:v>
                </c:pt>
                <c:pt idx="16">
                  <c:v>33.740238077185538</c:v>
                </c:pt>
                <c:pt idx="17">
                  <c:v>32.982030479945408</c:v>
                </c:pt>
                <c:pt idx="18">
                  <c:v>32.223822882705285</c:v>
                </c:pt>
                <c:pt idx="19">
                  <c:v>31.465615285465162</c:v>
                </c:pt>
                <c:pt idx="20">
                  <c:v>30.707407688225032</c:v>
                </c:pt>
                <c:pt idx="21">
                  <c:v>29.94920009098491</c:v>
                </c:pt>
                <c:pt idx="22">
                  <c:v>29.190992493744783</c:v>
                </c:pt>
                <c:pt idx="23">
                  <c:v>28.432784896504664</c:v>
                </c:pt>
                <c:pt idx="24">
                  <c:v>27.674577299264534</c:v>
                </c:pt>
                <c:pt idx="25">
                  <c:v>26.916369702024411</c:v>
                </c:pt>
                <c:pt idx="26">
                  <c:v>26.158162104784285</c:v>
                </c:pt>
                <c:pt idx="27">
                  <c:v>25.399954507544159</c:v>
                </c:pt>
                <c:pt idx="28">
                  <c:v>24.64174691030404</c:v>
                </c:pt>
                <c:pt idx="29">
                  <c:v>23.883539313063913</c:v>
                </c:pt>
                <c:pt idx="30">
                  <c:v>23.125331715823791</c:v>
                </c:pt>
                <c:pt idx="31">
                  <c:v>22.367124118583661</c:v>
                </c:pt>
                <c:pt idx="32">
                  <c:v>21.608916521343538</c:v>
                </c:pt>
                <c:pt idx="33">
                  <c:v>20.850708924103408</c:v>
                </c:pt>
                <c:pt idx="34">
                  <c:v>20.092501326863299</c:v>
                </c:pt>
                <c:pt idx="35">
                  <c:v>19.334293729623159</c:v>
                </c:pt>
                <c:pt idx="36">
                  <c:v>18.576086132383036</c:v>
                </c:pt>
                <c:pt idx="37">
                  <c:v>17.81787853514291</c:v>
                </c:pt>
                <c:pt idx="38">
                  <c:v>17.059670937902801</c:v>
                </c:pt>
                <c:pt idx="39">
                  <c:v>16.301463340662661</c:v>
                </c:pt>
                <c:pt idx="40">
                  <c:v>15.543255743422531</c:v>
                </c:pt>
                <c:pt idx="41">
                  <c:v>14.785048146182419</c:v>
                </c:pt>
                <c:pt idx="42">
                  <c:v>14.026840548942289</c:v>
                </c:pt>
                <c:pt idx="43">
                  <c:v>13.268632951702173</c:v>
                </c:pt>
                <c:pt idx="44">
                  <c:v>12.510425354462043</c:v>
                </c:pt>
                <c:pt idx="45">
                  <c:v>11.752217757221928</c:v>
                </c:pt>
                <c:pt idx="46">
                  <c:v>10.994010159981798</c:v>
                </c:pt>
                <c:pt idx="47">
                  <c:v>10.235802562741682</c:v>
                </c:pt>
                <c:pt idx="48">
                  <c:v>9.4775949655015523</c:v>
                </c:pt>
                <c:pt idx="49">
                  <c:v>8.7193873682614438</c:v>
                </c:pt>
                <c:pt idx="50">
                  <c:v>7.9611797710213281</c:v>
                </c:pt>
                <c:pt idx="51">
                  <c:v>7.2029721737811983</c:v>
                </c:pt>
                <c:pt idx="52">
                  <c:v>6.4447645765410826</c:v>
                </c:pt>
                <c:pt idx="53">
                  <c:v>5.6865569793009598</c:v>
                </c:pt>
                <c:pt idx="54">
                  <c:v>4.9283493820608442</c:v>
                </c:pt>
                <c:pt idx="55">
                  <c:v>4.1701417848207143</c:v>
                </c:pt>
                <c:pt idx="56">
                  <c:v>3.4119341875805986</c:v>
                </c:pt>
                <c:pt idx="57">
                  <c:v>2.6537265903404688</c:v>
                </c:pt>
                <c:pt idx="58">
                  <c:v>1.8955189931003531</c:v>
                </c:pt>
                <c:pt idx="59">
                  <c:v>1.1373113958602232</c:v>
                </c:pt>
                <c:pt idx="60">
                  <c:v>0.37910379862010757</c:v>
                </c:pt>
                <c:pt idx="61">
                  <c:v>-0.3791037986200223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19-430C-9F26-8A49FD02D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024128"/>
        <c:axId val="318022880"/>
      </c:lineChart>
      <c:catAx>
        <c:axId val="31802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8022880"/>
        <c:crosses val="autoZero"/>
        <c:auto val="1"/>
        <c:lblAlgn val="ctr"/>
        <c:lblOffset val="100"/>
        <c:noMultiLvlLbl val="0"/>
      </c:catAx>
      <c:valAx>
        <c:axId val="31802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802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Solive!$H$1</c:f>
              <c:strCache>
                <c:ptCount val="1"/>
                <c:pt idx="0">
                  <c:v>M(x)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Solive!$E$2:$E$26</c:f>
              <c:numCache>
                <c:formatCode>General</c:formatCode>
                <c:ptCount val="2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</c:numCache>
            </c:numRef>
          </c:xVal>
          <c:yVal>
            <c:numRef>
              <c:f>Solive!$H$2:$H$26</c:f>
              <c:numCache>
                <c:formatCode>0.00000</c:formatCode>
                <c:ptCount val="25"/>
                <c:pt idx="0">
                  <c:v>0</c:v>
                </c:pt>
                <c:pt idx="1">
                  <c:v>2000.4</c:v>
                </c:pt>
                <c:pt idx="2">
                  <c:v>4000.8</c:v>
                </c:pt>
                <c:pt idx="3">
                  <c:v>6001.2000000000007</c:v>
                </c:pt>
                <c:pt idx="4">
                  <c:v>8001.6</c:v>
                </c:pt>
                <c:pt idx="5">
                  <c:v>10002</c:v>
                </c:pt>
                <c:pt idx="6">
                  <c:v>12002.4</c:v>
                </c:pt>
                <c:pt idx="7">
                  <c:v>14002.8</c:v>
                </c:pt>
                <c:pt idx="8">
                  <c:v>16003.199999999999</c:v>
                </c:pt>
                <c:pt idx="9">
                  <c:v>18003.599999999999</c:v>
                </c:pt>
                <c:pt idx="10">
                  <c:v>20003.999999999996</c:v>
                </c:pt>
                <c:pt idx="11">
                  <c:v>22004.399999999998</c:v>
                </c:pt>
                <c:pt idx="12">
                  <c:v>24004.799999999999</c:v>
                </c:pt>
                <c:pt idx="13">
                  <c:v>26005.200000000001</c:v>
                </c:pt>
                <c:pt idx="14">
                  <c:v>28005.600000000002</c:v>
                </c:pt>
                <c:pt idx="15">
                  <c:v>30006.000000000004</c:v>
                </c:pt>
                <c:pt idx="16">
                  <c:v>32006.400000000005</c:v>
                </c:pt>
                <c:pt idx="17">
                  <c:v>34006.80000000001</c:v>
                </c:pt>
                <c:pt idx="18">
                  <c:v>36007.200000000012</c:v>
                </c:pt>
                <c:pt idx="19">
                  <c:v>38007.600000000013</c:v>
                </c:pt>
                <c:pt idx="20">
                  <c:v>40008.000000000007</c:v>
                </c:pt>
                <c:pt idx="21">
                  <c:v>42008.400000000009</c:v>
                </c:pt>
                <c:pt idx="22">
                  <c:v>44008.80000000001</c:v>
                </c:pt>
                <c:pt idx="23">
                  <c:v>46009.200000000012</c:v>
                </c:pt>
                <c:pt idx="24">
                  <c:v>48009.600000000013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2D-4E54-856D-C45577EA9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610223"/>
        <c:axId val="784353343"/>
      </c:scatterChart>
      <c:valAx>
        <c:axId val="125861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4353343"/>
        <c:crosses val="autoZero"/>
        <c:crossBetween val="midCat"/>
      </c:valAx>
      <c:valAx>
        <c:axId val="78435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8610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Solive!$U$1</c:f>
              <c:strCache>
                <c:ptCount val="1"/>
                <c:pt idx="0">
                  <c:v>V(x)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Solive!$T$2:$T$26</c:f>
              <c:numCache>
                <c:formatCode>General</c:formatCode>
                <c:ptCount val="2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</c:numCache>
            </c:numRef>
          </c:xVal>
          <c:yVal>
            <c:numRef>
              <c:f>Solive!$U$2:$U$26</c:f>
              <c:numCache>
                <c:formatCode>0.00E+00</c:formatCode>
                <c:ptCount val="25"/>
                <c:pt idx="0">
                  <c:v>0</c:v>
                </c:pt>
                <c:pt idx="1">
                  <c:v>-960.19200000000001</c:v>
                </c:pt>
                <c:pt idx="2">
                  <c:v>-1920.384</c:v>
                </c:pt>
                <c:pt idx="3">
                  <c:v>-2880.5760000000005</c:v>
                </c:pt>
                <c:pt idx="4">
                  <c:v>-3840.768</c:v>
                </c:pt>
                <c:pt idx="5">
                  <c:v>-4800.96</c:v>
                </c:pt>
                <c:pt idx="6">
                  <c:v>-5761.152</c:v>
                </c:pt>
                <c:pt idx="7">
                  <c:v>-6721.3440000000001</c:v>
                </c:pt>
                <c:pt idx="8">
                  <c:v>-7681.5359999999991</c:v>
                </c:pt>
                <c:pt idx="9">
                  <c:v>-8641.7279999999992</c:v>
                </c:pt>
                <c:pt idx="10">
                  <c:v>-9601.9199999999983</c:v>
                </c:pt>
                <c:pt idx="11">
                  <c:v>-10562.111999999999</c:v>
                </c:pt>
                <c:pt idx="12">
                  <c:v>-11522.304</c:v>
                </c:pt>
                <c:pt idx="13">
                  <c:v>-12482.496000000001</c:v>
                </c:pt>
                <c:pt idx="14">
                  <c:v>-13442.688000000002</c:v>
                </c:pt>
                <c:pt idx="15">
                  <c:v>-14402.880000000003</c:v>
                </c:pt>
                <c:pt idx="16">
                  <c:v>-15363.072000000004</c:v>
                </c:pt>
                <c:pt idx="17">
                  <c:v>-16323.264000000005</c:v>
                </c:pt>
                <c:pt idx="18">
                  <c:v>-17283.456000000006</c:v>
                </c:pt>
                <c:pt idx="19">
                  <c:v>-18243.648000000005</c:v>
                </c:pt>
                <c:pt idx="20">
                  <c:v>-19203.840000000004</c:v>
                </c:pt>
                <c:pt idx="21">
                  <c:v>-20164.032000000007</c:v>
                </c:pt>
                <c:pt idx="22">
                  <c:v>-21124.224000000006</c:v>
                </c:pt>
                <c:pt idx="23">
                  <c:v>-22084.416000000008</c:v>
                </c:pt>
                <c:pt idx="24">
                  <c:v>-23044.608000000007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19-4537-B9C8-2EC7F6D5C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291071"/>
        <c:axId val="1261593727"/>
      </c:scatterChart>
      <c:valAx>
        <c:axId val="1360291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1593727"/>
        <c:crosses val="autoZero"/>
        <c:crossBetween val="midCat"/>
      </c:valAx>
      <c:valAx>
        <c:axId val="126159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0291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Solive!$AI$1</c:f>
              <c:strCache>
                <c:ptCount val="1"/>
                <c:pt idx="0">
                  <c:v>N(x)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Solive!$AH$2:$AH$26</c:f>
              <c:numCache>
                <c:formatCode>General</c:formatCode>
                <c:ptCount val="2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</c:numCache>
            </c:numRef>
          </c:cat>
          <c:val>
            <c:numRef>
              <c:f>Solive!$AI$2:$AI$26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BE-43CF-BC92-D8B6F9324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243871"/>
        <c:axId val="634234719"/>
      </c:lineChart>
      <c:catAx>
        <c:axId val="63424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4234719"/>
        <c:crosses val="autoZero"/>
        <c:auto val="1"/>
        <c:lblAlgn val="ctr"/>
        <c:lblOffset val="100"/>
        <c:noMultiLvlLbl val="0"/>
      </c:catAx>
      <c:valAx>
        <c:axId val="63423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4243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Solive!$AJ$1</c:f>
              <c:strCache>
                <c:ptCount val="1"/>
                <c:pt idx="0">
                  <c:v>V(x)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Solive!$AH$2:$AH$26</c:f>
              <c:numCache>
                <c:formatCode>General</c:formatCode>
                <c:ptCount val="2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</c:numCache>
            </c:numRef>
          </c:cat>
          <c:val>
            <c:numRef>
              <c:f>Solive!$AJ$2:$AJ$26</c:f>
              <c:numCache>
                <c:formatCode>General</c:formatCode>
                <c:ptCount val="25"/>
                <c:pt idx="0">
                  <c:v>29007.24</c:v>
                </c:pt>
                <c:pt idx="1">
                  <c:v>26589.969999999998</c:v>
                </c:pt>
                <c:pt idx="2">
                  <c:v>24172.7</c:v>
                </c:pt>
                <c:pt idx="3">
                  <c:v>21755.43</c:v>
                </c:pt>
                <c:pt idx="4">
                  <c:v>19338.16</c:v>
                </c:pt>
                <c:pt idx="5">
                  <c:v>16920.89</c:v>
                </c:pt>
                <c:pt idx="6">
                  <c:v>14503.62</c:v>
                </c:pt>
                <c:pt idx="7">
                  <c:v>12086.35</c:v>
                </c:pt>
                <c:pt idx="8">
                  <c:v>9669.08</c:v>
                </c:pt>
                <c:pt idx="9">
                  <c:v>7251.8100000000013</c:v>
                </c:pt>
                <c:pt idx="10">
                  <c:v>4834.5400000000018</c:v>
                </c:pt>
                <c:pt idx="11">
                  <c:v>2417.2700000000023</c:v>
                </c:pt>
                <c:pt idx="12">
                  <c:v>0</c:v>
                </c:pt>
                <c:pt idx="13">
                  <c:v>-2417.2700000000023</c:v>
                </c:pt>
                <c:pt idx="14">
                  <c:v>-4834.5400000000045</c:v>
                </c:pt>
                <c:pt idx="15">
                  <c:v>-7251.8100000000068</c:v>
                </c:pt>
                <c:pt idx="16">
                  <c:v>-9669.080000000009</c:v>
                </c:pt>
                <c:pt idx="17">
                  <c:v>-12086.350000000011</c:v>
                </c:pt>
                <c:pt idx="18">
                  <c:v>-14503.620000000014</c:v>
                </c:pt>
                <c:pt idx="19">
                  <c:v>-16920.890000000014</c:v>
                </c:pt>
                <c:pt idx="20">
                  <c:v>-19338.160000000011</c:v>
                </c:pt>
                <c:pt idx="21">
                  <c:v>-21755.430000000015</c:v>
                </c:pt>
                <c:pt idx="22">
                  <c:v>-24172.700000000015</c:v>
                </c:pt>
                <c:pt idx="23">
                  <c:v>-26589.970000000019</c:v>
                </c:pt>
                <c:pt idx="24">
                  <c:v>-29007.24000000002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65-442F-8E52-766B34F54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115823"/>
        <c:axId val="170116239"/>
      </c:lineChart>
      <c:catAx>
        <c:axId val="17011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116239"/>
        <c:crosses val="autoZero"/>
        <c:auto val="1"/>
        <c:lblAlgn val="ctr"/>
        <c:lblOffset val="100"/>
        <c:noMultiLvlLbl val="0"/>
      </c:catAx>
      <c:valAx>
        <c:axId val="17011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11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998228346456694"/>
          <c:y val="0.19721055701370663"/>
          <c:w val="0.86486351706036746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strRef>
              <c:f>Solive!$AK$1</c:f>
              <c:strCache>
                <c:ptCount val="1"/>
                <c:pt idx="0">
                  <c:v>M(x)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Solive!$AH$2:$AH$26</c:f>
              <c:numCache>
                <c:formatCode>General</c:formatCode>
                <c:ptCount val="2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</c:numCache>
            </c:numRef>
          </c:cat>
          <c:val>
            <c:numRef>
              <c:f>Solive!$AK$2:$AK$26</c:f>
              <c:numCache>
                <c:formatCode>General</c:formatCode>
                <c:ptCount val="25"/>
                <c:pt idx="0">
                  <c:v>0</c:v>
                </c:pt>
                <c:pt idx="1">
                  <c:v>2779.8604999999998</c:v>
                </c:pt>
                <c:pt idx="2">
                  <c:v>5317.9939999999997</c:v>
                </c:pt>
                <c:pt idx="3">
                  <c:v>7614.4004999999997</c:v>
                </c:pt>
                <c:pt idx="4">
                  <c:v>9669.08</c:v>
                </c:pt>
                <c:pt idx="5">
                  <c:v>11482.032499999999</c:v>
                </c:pt>
                <c:pt idx="6">
                  <c:v>13053.258</c:v>
                </c:pt>
                <c:pt idx="7">
                  <c:v>14382.7565</c:v>
                </c:pt>
                <c:pt idx="8">
                  <c:v>15470.528</c:v>
                </c:pt>
                <c:pt idx="9">
                  <c:v>16316.5725</c:v>
                </c:pt>
                <c:pt idx="10">
                  <c:v>16920.889999999996</c:v>
                </c:pt>
                <c:pt idx="11">
                  <c:v>17283.480499999998</c:v>
                </c:pt>
                <c:pt idx="12">
                  <c:v>17404.344000000001</c:v>
                </c:pt>
                <c:pt idx="13">
                  <c:v>17283.480499999998</c:v>
                </c:pt>
                <c:pt idx="14">
                  <c:v>16920.89</c:v>
                </c:pt>
                <c:pt idx="15">
                  <c:v>16316.572499999997</c:v>
                </c:pt>
                <c:pt idx="16">
                  <c:v>15470.527999999995</c:v>
                </c:pt>
                <c:pt idx="17">
                  <c:v>14382.756499999994</c:v>
                </c:pt>
                <c:pt idx="18">
                  <c:v>13053.257999999993</c:v>
                </c:pt>
                <c:pt idx="19">
                  <c:v>11482.032499999988</c:v>
                </c:pt>
                <c:pt idx="20">
                  <c:v>9669.079999999989</c:v>
                </c:pt>
                <c:pt idx="21">
                  <c:v>7614.4004999999861</c:v>
                </c:pt>
                <c:pt idx="22">
                  <c:v>5317.9939999999824</c:v>
                </c:pt>
                <c:pt idx="23">
                  <c:v>2779.8604999999789</c:v>
                </c:pt>
                <c:pt idx="24">
                  <c:v>-2.5763604583062269E-11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25-49BA-B79B-9804E9C26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730927"/>
        <c:axId val="353715119"/>
      </c:lineChart>
      <c:catAx>
        <c:axId val="35373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3715119"/>
        <c:crosses val="autoZero"/>
        <c:auto val="1"/>
        <c:lblAlgn val="ctr"/>
        <c:lblOffset val="100"/>
        <c:noMultiLvlLbl val="0"/>
      </c:catAx>
      <c:valAx>
        <c:axId val="35371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3730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Solive!$AX$1</c:f>
              <c:strCache>
                <c:ptCount val="1"/>
                <c:pt idx="0">
                  <c:v>V(x)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Solive!$AW$2:$AW$26</c:f>
              <c:numCache>
                <c:formatCode>General</c:formatCode>
                <c:ptCount val="2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</c:numCache>
            </c:numRef>
          </c:cat>
          <c:val>
            <c:numRef>
              <c:f>Solive!$AX$2:$AX$26</c:f>
              <c:numCache>
                <c:formatCode>General</c:formatCode>
                <c:ptCount val="25"/>
                <c:pt idx="0">
                  <c:v>0</c:v>
                </c:pt>
                <c:pt idx="1">
                  <c:v>-1790.3913133333333</c:v>
                </c:pt>
                <c:pt idx="2">
                  <c:v>-3551.7753866666667</c:v>
                </c:pt>
                <c:pt idx="3">
                  <c:v>-5255.14498</c:v>
                </c:pt>
                <c:pt idx="4">
                  <c:v>-6871.4928533333332</c:v>
                </c:pt>
                <c:pt idx="5">
                  <c:v>-8371.8117666666658</c:v>
                </c:pt>
                <c:pt idx="6">
                  <c:v>-9727.0944799999997</c:v>
                </c:pt>
                <c:pt idx="7">
                  <c:v>-10908.333753333332</c:v>
                </c:pt>
                <c:pt idx="8">
                  <c:v>-11886.522346666665</c:v>
                </c:pt>
                <c:pt idx="9">
                  <c:v>-12632.653019999998</c:v>
                </c:pt>
                <c:pt idx="10">
                  <c:v>-13117.718533333333</c:v>
                </c:pt>
                <c:pt idx="11">
                  <c:v>-13312.711646666665</c:v>
                </c:pt>
                <c:pt idx="12">
                  <c:v>-13188.625120000001</c:v>
                </c:pt>
                <c:pt idx="13">
                  <c:v>-12716.45171333333</c:v>
                </c:pt>
                <c:pt idx="14">
                  <c:v>-11867.184186666665</c:v>
                </c:pt>
                <c:pt idx="15">
                  <c:v>-10611.815299999993</c:v>
                </c:pt>
                <c:pt idx="16">
                  <c:v>-8921.3378133333281</c:v>
                </c:pt>
                <c:pt idx="17">
                  <c:v>-6766.7444866666519</c:v>
                </c:pt>
                <c:pt idx="18">
                  <c:v>-4119.0280799999855</c:v>
                </c:pt>
                <c:pt idx="19">
                  <c:v>-949.18135333330792</c:v>
                </c:pt>
                <c:pt idx="20">
                  <c:v>2771.8029333333543</c:v>
                </c:pt>
                <c:pt idx="21">
                  <c:v>7072.9320200000293</c:v>
                </c:pt>
                <c:pt idx="22">
                  <c:v>11983.213146666698</c:v>
                </c:pt>
                <c:pt idx="23">
                  <c:v>17531.653553333384</c:v>
                </c:pt>
                <c:pt idx="24">
                  <c:v>23747.260480000063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42-42D1-843F-8FC4BCE9C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094191"/>
        <c:axId val="170109583"/>
      </c:lineChart>
      <c:catAx>
        <c:axId val="17009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109583"/>
        <c:crosses val="autoZero"/>
        <c:auto val="1"/>
        <c:lblAlgn val="ctr"/>
        <c:lblOffset val="100"/>
        <c:noMultiLvlLbl val="0"/>
      </c:catAx>
      <c:valAx>
        <c:axId val="17010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094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Poutre!$F$2</c:f>
              <c:strCache>
                <c:ptCount val="1"/>
                <c:pt idx="0">
                  <c:v>Nab(x)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Poutre!$E$3:$E$34</c:f>
              <c:numCache>
                <c:formatCode>General</c:formatCode>
                <c:ptCount val="3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</c:numCache>
            </c:numRef>
          </c:xVal>
          <c:yVal>
            <c:numRef>
              <c:f>Poutre!$F$3:$F$34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D0E-444B-8242-4E2ACCE6BBD1}"/>
            </c:ext>
          </c:extLst>
        </c:ser>
        <c:ser>
          <c:idx val="1"/>
          <c:order val="1"/>
          <c:tx>
            <c:strRef>
              <c:f>Poutre!$K$2</c:f>
              <c:strCache>
                <c:ptCount val="1"/>
                <c:pt idx="0">
                  <c:v>Nbc(x)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Poutre!$J$3:$J$34</c:f>
              <c:numCache>
                <c:formatCode>General</c:formatCode>
                <c:ptCount val="32"/>
                <c:pt idx="0">
                  <c:v>3.0449999999999999</c:v>
                </c:pt>
                <c:pt idx="1">
                  <c:v>3.145</c:v>
                </c:pt>
                <c:pt idx="2">
                  <c:v>3.2450000000000001</c:v>
                </c:pt>
                <c:pt idx="3">
                  <c:v>3.3450000000000002</c:v>
                </c:pt>
                <c:pt idx="4">
                  <c:v>3.4450000000000003</c:v>
                </c:pt>
                <c:pt idx="5">
                  <c:v>3.5450000000000004</c:v>
                </c:pt>
                <c:pt idx="6">
                  <c:v>3.6450000000000005</c:v>
                </c:pt>
                <c:pt idx="7">
                  <c:v>3.7450000000000006</c:v>
                </c:pt>
                <c:pt idx="8">
                  <c:v>3.8450000000000006</c:v>
                </c:pt>
                <c:pt idx="9">
                  <c:v>3.9450000000000007</c:v>
                </c:pt>
                <c:pt idx="10">
                  <c:v>4.0450000000000008</c:v>
                </c:pt>
                <c:pt idx="11">
                  <c:v>4.1450000000000005</c:v>
                </c:pt>
                <c:pt idx="12">
                  <c:v>4.2450000000000001</c:v>
                </c:pt>
                <c:pt idx="13">
                  <c:v>4.3449999999999998</c:v>
                </c:pt>
                <c:pt idx="14">
                  <c:v>4.4449999999999994</c:v>
                </c:pt>
                <c:pt idx="15">
                  <c:v>4.544999999999999</c:v>
                </c:pt>
                <c:pt idx="16">
                  <c:v>4.6449999999999987</c:v>
                </c:pt>
                <c:pt idx="17">
                  <c:v>4.7449999999999983</c:v>
                </c:pt>
                <c:pt idx="18">
                  <c:v>4.844999999999998</c:v>
                </c:pt>
                <c:pt idx="19">
                  <c:v>4.9449999999999976</c:v>
                </c:pt>
                <c:pt idx="20">
                  <c:v>5.0449999999999973</c:v>
                </c:pt>
                <c:pt idx="21">
                  <c:v>5.1449999999999969</c:v>
                </c:pt>
                <c:pt idx="22">
                  <c:v>5.2449999999999966</c:v>
                </c:pt>
                <c:pt idx="23">
                  <c:v>5.3449999999999962</c:v>
                </c:pt>
                <c:pt idx="24">
                  <c:v>5.4449999999999958</c:v>
                </c:pt>
                <c:pt idx="25">
                  <c:v>5.5449999999999955</c:v>
                </c:pt>
                <c:pt idx="26">
                  <c:v>5.6449999999999951</c:v>
                </c:pt>
                <c:pt idx="27">
                  <c:v>5.7449999999999948</c:v>
                </c:pt>
                <c:pt idx="28">
                  <c:v>5.8449999999999944</c:v>
                </c:pt>
                <c:pt idx="29">
                  <c:v>5.9449999999999941</c:v>
                </c:pt>
                <c:pt idx="30">
                  <c:v>6.0449999999999937</c:v>
                </c:pt>
                <c:pt idx="31">
                  <c:v>6.1449999999999934</c:v>
                </c:pt>
              </c:numCache>
            </c:numRef>
          </c:xVal>
          <c:yVal>
            <c:numRef>
              <c:f>Poutre!$K$3:$K$34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D0E-444B-8242-4E2ACCE6B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444752"/>
        <c:axId val="1423308112"/>
      </c:scatterChart>
      <c:valAx>
        <c:axId val="141944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23308112"/>
        <c:crosses val="autoZero"/>
        <c:crossBetween val="midCat"/>
      </c:valAx>
      <c:valAx>
        <c:axId val="14233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9444752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image" Target="../media/image1.png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241300</xdr:colOff>
      <xdr:row>6</xdr:row>
      <xdr:rowOff>0</xdr:rowOff>
    </xdr:from>
    <xdr:ext cx="29097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ZoneTexte 5">
              <a:extLst>
                <a:ext uri="{FF2B5EF4-FFF2-40B4-BE49-F238E27FC236}">
                  <a16:creationId xmlns:a16="http://schemas.microsoft.com/office/drawing/2014/main" id="{D31ECEB0-4284-45F2-BB51-1BA401C6009C}"/>
                </a:ext>
              </a:extLst>
            </xdr:cNvPr>
            <xdr:cNvSpPr txBox="1"/>
          </xdr:nvSpPr>
          <xdr:spPr>
            <a:xfrm>
              <a:off x="1555750" y="1130300"/>
              <a:ext cx="2909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skw"/>
                        <m:ctrlPr>
                          <a:rPr lang="fr-F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fr-FR" sz="1100" i="1">
                            <a:latin typeface="Cambria Math" panose="02040503050406030204" pitchFamily="18" charset="0"/>
                          </a:rPr>
                          <m:t>𝑛</m:t>
                        </m:r>
                      </m:num>
                      <m:den>
                        <m:r>
                          <a:rPr lang="fr-FR" sz="1100" i="1">
                            <a:latin typeface="Cambria Math" panose="02040503050406030204" pitchFamily="18" charset="0"/>
                          </a:rPr>
                          <m:t>𝑚</m:t>
                        </m:r>
                      </m:den>
                    </m:f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6" name="ZoneTexte 5">
              <a:extLst>
                <a:ext uri="{FF2B5EF4-FFF2-40B4-BE49-F238E27FC236}">
                  <a16:creationId xmlns:a16="http://schemas.microsoft.com/office/drawing/2014/main" id="{D31ECEB0-4284-45F2-BB51-1BA401C6009C}"/>
                </a:ext>
              </a:extLst>
            </xdr:cNvPr>
            <xdr:cNvSpPr txBox="1"/>
          </xdr:nvSpPr>
          <xdr:spPr>
            <a:xfrm>
              <a:off x="1555750" y="1130300"/>
              <a:ext cx="2909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100" i="0">
                  <a:latin typeface="Cambria Math" panose="02040503050406030204" pitchFamily="18" charset="0"/>
                </a:rPr>
                <a:t>𝑛⁄𝑚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1</xdr:col>
      <xdr:colOff>260350</xdr:colOff>
      <xdr:row>7</xdr:row>
      <xdr:rowOff>0</xdr:rowOff>
    </xdr:from>
    <xdr:ext cx="29097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ZoneTexte 6">
              <a:extLst>
                <a:ext uri="{FF2B5EF4-FFF2-40B4-BE49-F238E27FC236}">
                  <a16:creationId xmlns:a16="http://schemas.microsoft.com/office/drawing/2014/main" id="{0B75195B-893F-44D8-81C5-8C2F1D966F3C}"/>
                </a:ext>
              </a:extLst>
            </xdr:cNvPr>
            <xdr:cNvSpPr txBox="1"/>
          </xdr:nvSpPr>
          <xdr:spPr>
            <a:xfrm>
              <a:off x="1574800" y="1314450"/>
              <a:ext cx="2909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skw"/>
                        <m:ctrlPr>
                          <a:rPr lang="fr-F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fr-FR" sz="1100" i="1">
                            <a:latin typeface="Cambria Math" panose="02040503050406030204" pitchFamily="18" charset="0"/>
                          </a:rPr>
                          <m:t>𝑛</m:t>
                        </m:r>
                      </m:num>
                      <m:den>
                        <m:r>
                          <a:rPr lang="fr-FR" sz="1100" i="1">
                            <a:latin typeface="Cambria Math" panose="02040503050406030204" pitchFamily="18" charset="0"/>
                          </a:rPr>
                          <m:t>𝑚</m:t>
                        </m:r>
                      </m:den>
                    </m:f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7" name="ZoneTexte 6">
              <a:extLst>
                <a:ext uri="{FF2B5EF4-FFF2-40B4-BE49-F238E27FC236}">
                  <a16:creationId xmlns:a16="http://schemas.microsoft.com/office/drawing/2014/main" id="{0B75195B-893F-44D8-81C5-8C2F1D966F3C}"/>
                </a:ext>
              </a:extLst>
            </xdr:cNvPr>
            <xdr:cNvSpPr txBox="1"/>
          </xdr:nvSpPr>
          <xdr:spPr>
            <a:xfrm>
              <a:off x="1574800" y="1314450"/>
              <a:ext cx="2909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100" i="0">
                  <a:latin typeface="Cambria Math" panose="02040503050406030204" pitchFamily="18" charset="0"/>
                </a:rPr>
                <a:t>𝑛⁄𝑚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1</xdr:col>
      <xdr:colOff>234950</xdr:colOff>
      <xdr:row>8</xdr:row>
      <xdr:rowOff>0</xdr:rowOff>
    </xdr:from>
    <xdr:ext cx="29097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ZoneTexte 7">
              <a:extLst>
                <a:ext uri="{FF2B5EF4-FFF2-40B4-BE49-F238E27FC236}">
                  <a16:creationId xmlns:a16="http://schemas.microsoft.com/office/drawing/2014/main" id="{6DFC5AD9-B59C-4393-BBEA-9BAABF9BAFE7}"/>
                </a:ext>
              </a:extLst>
            </xdr:cNvPr>
            <xdr:cNvSpPr txBox="1"/>
          </xdr:nvSpPr>
          <xdr:spPr>
            <a:xfrm>
              <a:off x="1549400" y="1498600"/>
              <a:ext cx="2909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skw"/>
                        <m:ctrlPr>
                          <a:rPr lang="fr-F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fr-FR" sz="1100" i="1">
                            <a:latin typeface="Cambria Math" panose="02040503050406030204" pitchFamily="18" charset="0"/>
                          </a:rPr>
                          <m:t>𝑛</m:t>
                        </m:r>
                      </m:num>
                      <m:den>
                        <m:r>
                          <a:rPr lang="fr-FR" sz="1100" i="1">
                            <a:latin typeface="Cambria Math" panose="02040503050406030204" pitchFamily="18" charset="0"/>
                          </a:rPr>
                          <m:t>𝑚</m:t>
                        </m:r>
                      </m:den>
                    </m:f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8" name="ZoneTexte 7">
              <a:extLst>
                <a:ext uri="{FF2B5EF4-FFF2-40B4-BE49-F238E27FC236}">
                  <a16:creationId xmlns:a16="http://schemas.microsoft.com/office/drawing/2014/main" id="{6DFC5AD9-B59C-4393-BBEA-9BAABF9BAFE7}"/>
                </a:ext>
              </a:extLst>
            </xdr:cNvPr>
            <xdr:cNvSpPr txBox="1"/>
          </xdr:nvSpPr>
          <xdr:spPr>
            <a:xfrm>
              <a:off x="1549400" y="1498600"/>
              <a:ext cx="2909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100" i="0">
                  <a:latin typeface="Cambria Math" panose="02040503050406030204" pitchFamily="18" charset="0"/>
                </a:rPr>
                <a:t>𝑛⁄𝑚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1</xdr:col>
      <xdr:colOff>19050</xdr:colOff>
      <xdr:row>9</xdr:row>
      <xdr:rowOff>12701</xdr:rowOff>
    </xdr:from>
    <xdr:ext cx="742950" cy="1714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ZoneTexte 8">
              <a:extLst>
                <a:ext uri="{FF2B5EF4-FFF2-40B4-BE49-F238E27FC236}">
                  <a16:creationId xmlns:a16="http://schemas.microsoft.com/office/drawing/2014/main" id="{A96B7D93-98E4-4194-9087-CC915AAB8F7C}"/>
                </a:ext>
              </a:extLst>
            </xdr:cNvPr>
            <xdr:cNvSpPr txBox="1"/>
          </xdr:nvSpPr>
          <xdr:spPr>
            <a:xfrm>
              <a:off x="1333500" y="1695451"/>
              <a:ext cx="742950" cy="1714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skw"/>
                        <m:ctrlPr>
                          <a:rPr lang="fr-F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fr-FR" sz="1100" i="1">
                            <a:latin typeface="Cambria Math" panose="02040503050406030204" pitchFamily="18" charset="0"/>
                          </a:rPr>
                          <m:t>𝑛</m:t>
                        </m:r>
                      </m:num>
                      <m:den>
                        <m:r>
                          <a:rPr lang="fr-FR" sz="1100" i="1">
                            <a:latin typeface="Cambria Math" panose="02040503050406030204" pitchFamily="18" charset="0"/>
                          </a:rPr>
                          <m:t>𝑚</m:t>
                        </m:r>
                      </m:den>
                    </m:f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9" name="ZoneTexte 8">
              <a:extLst>
                <a:ext uri="{FF2B5EF4-FFF2-40B4-BE49-F238E27FC236}">
                  <a16:creationId xmlns:a16="http://schemas.microsoft.com/office/drawing/2014/main" id="{A96B7D93-98E4-4194-9087-CC915AAB8F7C}"/>
                </a:ext>
              </a:extLst>
            </xdr:cNvPr>
            <xdr:cNvSpPr txBox="1"/>
          </xdr:nvSpPr>
          <xdr:spPr>
            <a:xfrm>
              <a:off x="1333500" y="1695451"/>
              <a:ext cx="742950" cy="1714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fr-FR" sz="1100" i="0">
                  <a:latin typeface="Cambria Math" panose="02040503050406030204" pitchFamily="18" charset="0"/>
                </a:rPr>
                <a:t>𝑛⁄𝑚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0</xdr:col>
      <xdr:colOff>1308100</xdr:colOff>
      <xdr:row>14</xdr:row>
      <xdr:rowOff>22225</xdr:rowOff>
    </xdr:from>
    <xdr:ext cx="768349" cy="3202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ZoneTexte 9">
              <a:extLst>
                <a:ext uri="{FF2B5EF4-FFF2-40B4-BE49-F238E27FC236}">
                  <a16:creationId xmlns:a16="http://schemas.microsoft.com/office/drawing/2014/main" id="{DF3A4955-54EB-47C4-990B-810402A58964}"/>
                </a:ext>
              </a:extLst>
            </xdr:cNvPr>
            <xdr:cNvSpPr txBox="1"/>
          </xdr:nvSpPr>
          <xdr:spPr>
            <a:xfrm>
              <a:off x="1308100" y="2651125"/>
              <a:ext cx="768349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𝑞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num>
                      <m:den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10" name="ZoneTexte 9">
              <a:extLst>
                <a:ext uri="{FF2B5EF4-FFF2-40B4-BE49-F238E27FC236}">
                  <a16:creationId xmlns:a16="http://schemas.microsoft.com/office/drawing/2014/main" id="{DF3A4955-54EB-47C4-990B-810402A58964}"/>
                </a:ext>
              </a:extLst>
            </xdr:cNvPr>
            <xdr:cNvSpPr txBox="1"/>
          </xdr:nvSpPr>
          <xdr:spPr>
            <a:xfrm>
              <a:off x="1308100" y="2651125"/>
              <a:ext cx="768349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fr-FR" sz="1100" b="0" i="0">
                  <a:latin typeface="Cambria Math" panose="02040503050406030204" pitchFamily="18" charset="0"/>
                </a:rPr>
                <a:t>(𝑞∗𝑙)/2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0</xdr:col>
      <xdr:colOff>1308100</xdr:colOff>
      <xdr:row>16</xdr:row>
      <xdr:rowOff>63500</xdr:rowOff>
    </xdr:from>
    <xdr:ext cx="768350" cy="3202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ZoneTexte 10">
              <a:extLst>
                <a:ext uri="{FF2B5EF4-FFF2-40B4-BE49-F238E27FC236}">
                  <a16:creationId xmlns:a16="http://schemas.microsoft.com/office/drawing/2014/main" id="{0D492FF2-0930-4670-B1E9-2C9DF03BE1B8}"/>
                </a:ext>
              </a:extLst>
            </xdr:cNvPr>
            <xdr:cNvSpPr txBox="1"/>
          </xdr:nvSpPr>
          <xdr:spPr>
            <a:xfrm>
              <a:off x="1308100" y="3067050"/>
              <a:ext cx="768350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𝑞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num>
                      <m:den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11" name="ZoneTexte 10">
              <a:extLst>
                <a:ext uri="{FF2B5EF4-FFF2-40B4-BE49-F238E27FC236}">
                  <a16:creationId xmlns:a16="http://schemas.microsoft.com/office/drawing/2014/main" id="{0D492FF2-0930-4670-B1E9-2C9DF03BE1B8}"/>
                </a:ext>
              </a:extLst>
            </xdr:cNvPr>
            <xdr:cNvSpPr txBox="1"/>
          </xdr:nvSpPr>
          <xdr:spPr>
            <a:xfrm>
              <a:off x="1308100" y="3067050"/>
              <a:ext cx="768350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fr-FR" sz="1100" b="0" i="0">
                  <a:latin typeface="Cambria Math" panose="02040503050406030204" pitchFamily="18" charset="0"/>
                </a:rPr>
                <a:t>(𝑞∗𝑙)/2</a:t>
              </a:r>
              <a:endParaRPr lang="fr-FR" sz="1100"/>
            </a:p>
          </xdr:txBody>
        </xdr:sp>
      </mc:Fallback>
    </mc:AlternateContent>
    <xdr:clientData/>
  </xdr:oneCellAnchor>
  <xdr:twoCellAnchor>
    <xdr:from>
      <xdr:col>8</xdr:col>
      <xdr:colOff>195035</xdr:colOff>
      <xdr:row>1</xdr:row>
      <xdr:rowOff>39008</xdr:rowOff>
    </xdr:from>
    <xdr:to>
      <xdr:col>14</xdr:col>
      <xdr:colOff>195035</xdr:colOff>
      <xdr:row>6</xdr:row>
      <xdr:rowOff>185964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5996467C-0BED-4A29-B769-AE25203D0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195036</xdr:colOff>
      <xdr:row>6</xdr:row>
      <xdr:rowOff>166008</xdr:rowOff>
    </xdr:from>
    <xdr:to>
      <xdr:col>14</xdr:col>
      <xdr:colOff>195036</xdr:colOff>
      <xdr:row>14</xdr:row>
      <xdr:rowOff>194582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FBB00979-530D-44C1-8DB3-95B04130F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204108</xdr:colOff>
      <xdr:row>14</xdr:row>
      <xdr:rowOff>197305</xdr:rowOff>
    </xdr:from>
    <xdr:to>
      <xdr:col>14</xdr:col>
      <xdr:colOff>204108</xdr:colOff>
      <xdr:row>25</xdr:row>
      <xdr:rowOff>140607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2DBAD84D-6844-4AAD-80A6-9F66ABB1C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16</xdr:col>
      <xdr:colOff>0</xdr:colOff>
      <xdr:row>2</xdr:row>
      <xdr:rowOff>0</xdr:rowOff>
    </xdr:from>
    <xdr:ext cx="742950" cy="1714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ZoneTexte 15">
              <a:extLst>
                <a:ext uri="{FF2B5EF4-FFF2-40B4-BE49-F238E27FC236}">
                  <a16:creationId xmlns:a16="http://schemas.microsoft.com/office/drawing/2014/main" id="{A3797ABC-8D14-4262-8793-6D77716E2A4C}"/>
                </a:ext>
              </a:extLst>
            </xdr:cNvPr>
            <xdr:cNvSpPr txBox="1"/>
          </xdr:nvSpPr>
          <xdr:spPr>
            <a:xfrm>
              <a:off x="12745357" y="390071"/>
              <a:ext cx="742950" cy="1714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skw"/>
                        <m:ctrlPr>
                          <a:rPr lang="fr-F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fr-FR" sz="1100" i="1">
                            <a:latin typeface="Cambria Math" panose="02040503050406030204" pitchFamily="18" charset="0"/>
                          </a:rPr>
                          <m:t>𝑛</m:t>
                        </m:r>
                      </m:num>
                      <m:den>
                        <m:r>
                          <a:rPr lang="fr-FR" sz="1100" i="1">
                            <a:latin typeface="Cambria Math" panose="02040503050406030204" pitchFamily="18" charset="0"/>
                          </a:rPr>
                          <m:t>𝑚</m:t>
                        </m:r>
                      </m:den>
                    </m:f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16" name="ZoneTexte 15">
              <a:extLst>
                <a:ext uri="{FF2B5EF4-FFF2-40B4-BE49-F238E27FC236}">
                  <a16:creationId xmlns:a16="http://schemas.microsoft.com/office/drawing/2014/main" id="{A3797ABC-8D14-4262-8793-6D77716E2A4C}"/>
                </a:ext>
              </a:extLst>
            </xdr:cNvPr>
            <xdr:cNvSpPr txBox="1"/>
          </xdr:nvSpPr>
          <xdr:spPr>
            <a:xfrm>
              <a:off x="12745357" y="390071"/>
              <a:ext cx="742950" cy="1714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fr-FR" sz="1100" i="0">
                  <a:latin typeface="Cambria Math" panose="02040503050406030204" pitchFamily="18" charset="0"/>
                </a:rPr>
                <a:t>𝑛⁄𝑚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16</xdr:col>
      <xdr:colOff>263072</xdr:colOff>
      <xdr:row>4</xdr:row>
      <xdr:rowOff>18143</xdr:rowOff>
    </xdr:from>
    <xdr:ext cx="28121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ZoneTexte 16">
              <a:extLst>
                <a:ext uri="{FF2B5EF4-FFF2-40B4-BE49-F238E27FC236}">
                  <a16:creationId xmlns:a16="http://schemas.microsoft.com/office/drawing/2014/main" id="{DD90D9F7-F11F-45EA-AC51-CFAF1ADF5E41}"/>
                </a:ext>
              </a:extLst>
            </xdr:cNvPr>
            <xdr:cNvSpPr txBox="1"/>
          </xdr:nvSpPr>
          <xdr:spPr>
            <a:xfrm>
              <a:off x="13008429" y="771072"/>
              <a:ext cx="2812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type m:val="skw"/>
                      <m:ctrlPr>
                        <a:rPr lang="fr-FR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fr-FR" sz="1100" i="1">
                          <a:latin typeface="Cambria Math" panose="02040503050406030204" pitchFamily="18" charset="0"/>
                        </a:rPr>
                        <m:t>𝑛</m:t>
                      </m:r>
                    </m:num>
                    <m:den>
                      <m:r>
                        <a:rPr lang="fr-FR" sz="1100" i="1">
                          <a:latin typeface="Cambria Math" panose="02040503050406030204" pitchFamily="18" charset="0"/>
                        </a:rPr>
                        <m:t>𝑚</m:t>
                      </m:r>
                    </m:den>
                  </m:f>
                </m:oMath>
              </a14:m>
              <a:r>
                <a:rPr lang="fr-FR" sz="1100"/>
                <a:t>²</a:t>
              </a:r>
            </a:p>
          </xdr:txBody>
        </xdr:sp>
      </mc:Choice>
      <mc:Fallback xmlns="">
        <xdr:sp macro="" textlink="">
          <xdr:nvSpPr>
            <xdr:cNvPr id="17" name="ZoneTexte 16">
              <a:extLst>
                <a:ext uri="{FF2B5EF4-FFF2-40B4-BE49-F238E27FC236}">
                  <a16:creationId xmlns:a16="http://schemas.microsoft.com/office/drawing/2014/main" id="{DD90D9F7-F11F-45EA-AC51-CFAF1ADF5E41}"/>
                </a:ext>
              </a:extLst>
            </xdr:cNvPr>
            <xdr:cNvSpPr txBox="1"/>
          </xdr:nvSpPr>
          <xdr:spPr>
            <a:xfrm>
              <a:off x="13008429" y="771072"/>
              <a:ext cx="2812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fr-FR" sz="1100" i="0">
                  <a:latin typeface="Cambria Math" panose="02040503050406030204" pitchFamily="18" charset="0"/>
                </a:rPr>
                <a:t>𝑛⁄𝑚</a:t>
              </a:r>
              <a:r>
                <a:rPr lang="fr-FR" sz="1100"/>
                <a:t>²</a:t>
              </a:r>
            </a:p>
          </xdr:txBody>
        </xdr:sp>
      </mc:Fallback>
    </mc:AlternateContent>
    <xdr:clientData/>
  </xdr:oneCellAnchor>
  <xdr:twoCellAnchor>
    <xdr:from>
      <xdr:col>21</xdr:col>
      <xdr:colOff>195036</xdr:colOff>
      <xdr:row>0</xdr:row>
      <xdr:rowOff>88901</xdr:rowOff>
    </xdr:from>
    <xdr:to>
      <xdr:col>27</xdr:col>
      <xdr:colOff>195036</xdr:colOff>
      <xdr:row>12</xdr:row>
      <xdr:rowOff>163286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56B7E796-ABA4-4033-86B6-F117D2BA1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30</xdr:col>
      <xdr:colOff>241300</xdr:colOff>
      <xdr:row>6</xdr:row>
      <xdr:rowOff>0</xdr:rowOff>
    </xdr:from>
    <xdr:ext cx="29097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ZoneTexte 18">
              <a:extLst>
                <a:ext uri="{FF2B5EF4-FFF2-40B4-BE49-F238E27FC236}">
                  <a16:creationId xmlns:a16="http://schemas.microsoft.com/office/drawing/2014/main" id="{BD6883AD-91B1-469B-A682-2A2947BA9ACA}"/>
                </a:ext>
              </a:extLst>
            </xdr:cNvPr>
            <xdr:cNvSpPr txBox="1"/>
          </xdr:nvSpPr>
          <xdr:spPr>
            <a:xfrm>
              <a:off x="1535262" y="1143000"/>
              <a:ext cx="2909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skw"/>
                        <m:ctrlPr>
                          <a:rPr lang="fr-F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fr-FR" sz="1100" i="1">
                            <a:latin typeface="Cambria Math" panose="02040503050406030204" pitchFamily="18" charset="0"/>
                          </a:rPr>
                          <m:t>𝑛</m:t>
                        </m:r>
                      </m:num>
                      <m:den>
                        <m:r>
                          <a:rPr lang="fr-FR" sz="1100" i="1">
                            <a:latin typeface="Cambria Math" panose="02040503050406030204" pitchFamily="18" charset="0"/>
                          </a:rPr>
                          <m:t>𝑚</m:t>
                        </m:r>
                      </m:den>
                    </m:f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19" name="ZoneTexte 18">
              <a:extLst>
                <a:ext uri="{FF2B5EF4-FFF2-40B4-BE49-F238E27FC236}">
                  <a16:creationId xmlns:a16="http://schemas.microsoft.com/office/drawing/2014/main" id="{BD6883AD-91B1-469B-A682-2A2947BA9ACA}"/>
                </a:ext>
              </a:extLst>
            </xdr:cNvPr>
            <xdr:cNvSpPr txBox="1"/>
          </xdr:nvSpPr>
          <xdr:spPr>
            <a:xfrm>
              <a:off x="1535262" y="1143000"/>
              <a:ext cx="2909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r-FR" sz="1100" i="0">
                  <a:latin typeface="Cambria Math" panose="02040503050406030204" pitchFamily="18" charset="0"/>
                </a:rPr>
                <a:t>𝑛⁄𝑚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30</xdr:col>
      <xdr:colOff>260350</xdr:colOff>
      <xdr:row>7</xdr:row>
      <xdr:rowOff>0</xdr:rowOff>
    </xdr:from>
    <xdr:ext cx="29097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ZoneTexte 19">
              <a:extLst>
                <a:ext uri="{FF2B5EF4-FFF2-40B4-BE49-F238E27FC236}">
                  <a16:creationId xmlns:a16="http://schemas.microsoft.com/office/drawing/2014/main" id="{80A989E9-E9EC-4AF4-BC9D-3AC2E3E297F8}"/>
                </a:ext>
              </a:extLst>
            </xdr:cNvPr>
            <xdr:cNvSpPr txBox="1"/>
          </xdr:nvSpPr>
          <xdr:spPr>
            <a:xfrm>
              <a:off x="1554312" y="1322717"/>
              <a:ext cx="2909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skw"/>
                        <m:ctrlPr>
                          <a:rPr lang="fr-F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fr-FR" sz="1100" i="1">
                            <a:latin typeface="Cambria Math" panose="02040503050406030204" pitchFamily="18" charset="0"/>
                          </a:rPr>
                          <m:t>𝑛</m:t>
                        </m:r>
                      </m:num>
                      <m:den>
                        <m:r>
                          <a:rPr lang="fr-FR" sz="1100" i="1">
                            <a:latin typeface="Cambria Math" panose="02040503050406030204" pitchFamily="18" charset="0"/>
                          </a:rPr>
                          <m:t>𝑚</m:t>
                        </m:r>
                      </m:den>
                    </m:f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20" name="ZoneTexte 19">
              <a:extLst>
                <a:ext uri="{FF2B5EF4-FFF2-40B4-BE49-F238E27FC236}">
                  <a16:creationId xmlns:a16="http://schemas.microsoft.com/office/drawing/2014/main" id="{80A989E9-E9EC-4AF4-BC9D-3AC2E3E297F8}"/>
                </a:ext>
              </a:extLst>
            </xdr:cNvPr>
            <xdr:cNvSpPr txBox="1"/>
          </xdr:nvSpPr>
          <xdr:spPr>
            <a:xfrm>
              <a:off x="1554312" y="1322717"/>
              <a:ext cx="2909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r-FR" sz="1100" i="0">
                  <a:latin typeface="Cambria Math" panose="02040503050406030204" pitchFamily="18" charset="0"/>
                </a:rPr>
                <a:t>𝑛⁄𝑚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30</xdr:col>
      <xdr:colOff>234950</xdr:colOff>
      <xdr:row>8</xdr:row>
      <xdr:rowOff>0</xdr:rowOff>
    </xdr:from>
    <xdr:ext cx="29097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ZoneTexte 20">
              <a:extLst>
                <a:ext uri="{FF2B5EF4-FFF2-40B4-BE49-F238E27FC236}">
                  <a16:creationId xmlns:a16="http://schemas.microsoft.com/office/drawing/2014/main" id="{ACEB625B-95E9-455D-AEB7-03ADB89C714F}"/>
                </a:ext>
              </a:extLst>
            </xdr:cNvPr>
            <xdr:cNvSpPr txBox="1"/>
          </xdr:nvSpPr>
          <xdr:spPr>
            <a:xfrm>
              <a:off x="1528912" y="1502434"/>
              <a:ext cx="2909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skw"/>
                        <m:ctrlPr>
                          <a:rPr lang="fr-F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fr-FR" sz="1100" i="1">
                            <a:latin typeface="Cambria Math" panose="02040503050406030204" pitchFamily="18" charset="0"/>
                          </a:rPr>
                          <m:t>𝑛</m:t>
                        </m:r>
                      </m:num>
                      <m:den>
                        <m:r>
                          <a:rPr lang="fr-FR" sz="1100" i="1">
                            <a:latin typeface="Cambria Math" panose="02040503050406030204" pitchFamily="18" charset="0"/>
                          </a:rPr>
                          <m:t>𝑚</m:t>
                        </m:r>
                      </m:den>
                    </m:f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21" name="ZoneTexte 20">
              <a:extLst>
                <a:ext uri="{FF2B5EF4-FFF2-40B4-BE49-F238E27FC236}">
                  <a16:creationId xmlns:a16="http://schemas.microsoft.com/office/drawing/2014/main" id="{ACEB625B-95E9-455D-AEB7-03ADB89C714F}"/>
                </a:ext>
              </a:extLst>
            </xdr:cNvPr>
            <xdr:cNvSpPr txBox="1"/>
          </xdr:nvSpPr>
          <xdr:spPr>
            <a:xfrm>
              <a:off x="1528912" y="1502434"/>
              <a:ext cx="2909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r-FR" sz="1100" i="0">
                  <a:latin typeface="Cambria Math" panose="02040503050406030204" pitchFamily="18" charset="0"/>
                </a:rPr>
                <a:t>𝑛⁄𝑚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30</xdr:col>
      <xdr:colOff>19050</xdr:colOff>
      <xdr:row>9</xdr:row>
      <xdr:rowOff>12701</xdr:rowOff>
    </xdr:from>
    <xdr:ext cx="742950" cy="1714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ZoneTexte 21">
              <a:extLst>
                <a:ext uri="{FF2B5EF4-FFF2-40B4-BE49-F238E27FC236}">
                  <a16:creationId xmlns:a16="http://schemas.microsoft.com/office/drawing/2014/main" id="{C62221CF-7A86-43AF-8E3D-24196C964679}"/>
                </a:ext>
              </a:extLst>
            </xdr:cNvPr>
            <xdr:cNvSpPr txBox="1"/>
          </xdr:nvSpPr>
          <xdr:spPr>
            <a:xfrm>
              <a:off x="1313012" y="1694852"/>
              <a:ext cx="742950" cy="1714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skw"/>
                        <m:ctrlPr>
                          <a:rPr lang="fr-F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fr-FR" sz="1100" i="1">
                            <a:latin typeface="Cambria Math" panose="02040503050406030204" pitchFamily="18" charset="0"/>
                          </a:rPr>
                          <m:t>𝑛</m:t>
                        </m:r>
                      </m:num>
                      <m:den>
                        <m:r>
                          <a:rPr lang="fr-FR" sz="1100" i="1">
                            <a:latin typeface="Cambria Math" panose="02040503050406030204" pitchFamily="18" charset="0"/>
                          </a:rPr>
                          <m:t>𝑚</m:t>
                        </m:r>
                      </m:den>
                    </m:f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22" name="ZoneTexte 21">
              <a:extLst>
                <a:ext uri="{FF2B5EF4-FFF2-40B4-BE49-F238E27FC236}">
                  <a16:creationId xmlns:a16="http://schemas.microsoft.com/office/drawing/2014/main" id="{C62221CF-7A86-43AF-8E3D-24196C964679}"/>
                </a:ext>
              </a:extLst>
            </xdr:cNvPr>
            <xdr:cNvSpPr txBox="1"/>
          </xdr:nvSpPr>
          <xdr:spPr>
            <a:xfrm>
              <a:off x="1313012" y="1694852"/>
              <a:ext cx="742950" cy="1714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fr-FR" sz="1100" i="0">
                  <a:latin typeface="Cambria Math" panose="02040503050406030204" pitchFamily="18" charset="0"/>
                </a:rPr>
                <a:t>𝑛⁄𝑚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29</xdr:col>
      <xdr:colOff>1308100</xdr:colOff>
      <xdr:row>14</xdr:row>
      <xdr:rowOff>22225</xdr:rowOff>
    </xdr:from>
    <xdr:ext cx="768349" cy="3202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ZoneTexte 22">
              <a:extLst>
                <a:ext uri="{FF2B5EF4-FFF2-40B4-BE49-F238E27FC236}">
                  <a16:creationId xmlns:a16="http://schemas.microsoft.com/office/drawing/2014/main" id="{440CB7BF-0E99-4FF7-BE73-2C16CEC5652E}"/>
                </a:ext>
              </a:extLst>
            </xdr:cNvPr>
            <xdr:cNvSpPr txBox="1"/>
          </xdr:nvSpPr>
          <xdr:spPr>
            <a:xfrm>
              <a:off x="1292860" y="2624527"/>
              <a:ext cx="768349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𝑞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num>
                      <m:den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23" name="ZoneTexte 22">
              <a:extLst>
                <a:ext uri="{FF2B5EF4-FFF2-40B4-BE49-F238E27FC236}">
                  <a16:creationId xmlns:a16="http://schemas.microsoft.com/office/drawing/2014/main" id="{440CB7BF-0E99-4FF7-BE73-2C16CEC5652E}"/>
                </a:ext>
              </a:extLst>
            </xdr:cNvPr>
            <xdr:cNvSpPr txBox="1"/>
          </xdr:nvSpPr>
          <xdr:spPr>
            <a:xfrm>
              <a:off x="1292860" y="2624527"/>
              <a:ext cx="768349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fr-FR" sz="1100" b="0" i="0">
                  <a:latin typeface="Cambria Math" panose="02040503050406030204" pitchFamily="18" charset="0"/>
                </a:rPr>
                <a:t>(𝑞∗𝑙)/2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29</xdr:col>
      <xdr:colOff>1308100</xdr:colOff>
      <xdr:row>16</xdr:row>
      <xdr:rowOff>63500</xdr:rowOff>
    </xdr:from>
    <xdr:ext cx="768350" cy="3202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ZoneTexte 23">
              <a:extLst>
                <a:ext uri="{FF2B5EF4-FFF2-40B4-BE49-F238E27FC236}">
                  <a16:creationId xmlns:a16="http://schemas.microsoft.com/office/drawing/2014/main" id="{0A8A9E9B-73DB-4862-A572-33DB733EF561}"/>
                </a:ext>
              </a:extLst>
            </xdr:cNvPr>
            <xdr:cNvSpPr txBox="1"/>
          </xdr:nvSpPr>
          <xdr:spPr>
            <a:xfrm>
              <a:off x="1292860" y="3125877"/>
              <a:ext cx="768350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𝑞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num>
                      <m:den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24" name="ZoneTexte 23">
              <a:extLst>
                <a:ext uri="{FF2B5EF4-FFF2-40B4-BE49-F238E27FC236}">
                  <a16:creationId xmlns:a16="http://schemas.microsoft.com/office/drawing/2014/main" id="{0A8A9E9B-73DB-4862-A572-33DB733EF561}"/>
                </a:ext>
              </a:extLst>
            </xdr:cNvPr>
            <xdr:cNvSpPr txBox="1"/>
          </xdr:nvSpPr>
          <xdr:spPr>
            <a:xfrm>
              <a:off x="1292860" y="3125877"/>
              <a:ext cx="768350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fr-FR" sz="1100" b="0" i="0">
                  <a:latin typeface="Cambria Math" panose="02040503050406030204" pitchFamily="18" charset="0"/>
                </a:rPr>
                <a:t>(𝑞∗𝑙)/2</a:t>
              </a:r>
              <a:endParaRPr lang="fr-FR" sz="1100"/>
            </a:p>
          </xdr:txBody>
        </xdr:sp>
      </mc:Fallback>
    </mc:AlternateContent>
    <xdr:clientData/>
  </xdr:oneCellAnchor>
  <xdr:twoCellAnchor>
    <xdr:from>
      <xdr:col>37</xdr:col>
      <xdr:colOff>85725</xdr:colOff>
      <xdr:row>0</xdr:row>
      <xdr:rowOff>0</xdr:rowOff>
    </xdr:from>
    <xdr:to>
      <xdr:col>42</xdr:col>
      <xdr:colOff>704850</xdr:colOff>
      <xdr:row>14</xdr:row>
      <xdr:rowOff>133350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9D1620E-1AC3-4A00-AB67-1029F1DD5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123825</xdr:colOff>
      <xdr:row>14</xdr:row>
      <xdr:rowOff>157163</xdr:rowOff>
    </xdr:from>
    <xdr:to>
      <xdr:col>42</xdr:col>
      <xdr:colOff>742950</xdr:colOff>
      <xdr:row>29</xdr:row>
      <xdr:rowOff>61913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71172E6E-1D74-40BA-AB4C-8045ED1F6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111125</xdr:colOff>
      <xdr:row>30</xdr:row>
      <xdr:rowOff>20638</xdr:rowOff>
    </xdr:from>
    <xdr:to>
      <xdr:col>42</xdr:col>
      <xdr:colOff>727075</xdr:colOff>
      <xdr:row>45</xdr:row>
      <xdr:rowOff>49213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4CF27ECD-3484-4BE9-A152-D367520FE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45</xdr:col>
      <xdr:colOff>0</xdr:colOff>
      <xdr:row>2</xdr:row>
      <xdr:rowOff>0</xdr:rowOff>
    </xdr:from>
    <xdr:ext cx="742950" cy="1714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ZoneTexte 24">
              <a:extLst>
                <a:ext uri="{FF2B5EF4-FFF2-40B4-BE49-F238E27FC236}">
                  <a16:creationId xmlns:a16="http://schemas.microsoft.com/office/drawing/2014/main" id="{C54DCF84-C8C9-41C3-8856-FBD4DCBB3BE0}"/>
                </a:ext>
              </a:extLst>
            </xdr:cNvPr>
            <xdr:cNvSpPr txBox="1"/>
          </xdr:nvSpPr>
          <xdr:spPr>
            <a:xfrm>
              <a:off x="13169900" y="381000"/>
              <a:ext cx="742950" cy="1714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skw"/>
                        <m:ctrlPr>
                          <a:rPr lang="fr-F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fr-FR" sz="1100" i="1">
                            <a:latin typeface="Cambria Math" panose="02040503050406030204" pitchFamily="18" charset="0"/>
                          </a:rPr>
                          <m:t>𝑛</m:t>
                        </m:r>
                      </m:num>
                      <m:den>
                        <m:r>
                          <a:rPr lang="fr-FR" sz="1100" i="1">
                            <a:latin typeface="Cambria Math" panose="02040503050406030204" pitchFamily="18" charset="0"/>
                          </a:rPr>
                          <m:t>𝑚</m:t>
                        </m:r>
                      </m:den>
                    </m:f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25" name="ZoneTexte 24">
              <a:extLst>
                <a:ext uri="{FF2B5EF4-FFF2-40B4-BE49-F238E27FC236}">
                  <a16:creationId xmlns:a16="http://schemas.microsoft.com/office/drawing/2014/main" id="{C54DCF84-C8C9-41C3-8856-FBD4DCBB3BE0}"/>
                </a:ext>
              </a:extLst>
            </xdr:cNvPr>
            <xdr:cNvSpPr txBox="1"/>
          </xdr:nvSpPr>
          <xdr:spPr>
            <a:xfrm>
              <a:off x="13169900" y="381000"/>
              <a:ext cx="742950" cy="1714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fr-FR" sz="1100" i="0">
                  <a:latin typeface="Cambria Math" panose="02040503050406030204" pitchFamily="18" charset="0"/>
                </a:rPr>
                <a:t>𝑛⁄𝑚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45</xdr:col>
      <xdr:colOff>263072</xdr:colOff>
      <xdr:row>4</xdr:row>
      <xdr:rowOff>18143</xdr:rowOff>
    </xdr:from>
    <xdr:ext cx="28121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ZoneTexte 25">
              <a:extLst>
                <a:ext uri="{FF2B5EF4-FFF2-40B4-BE49-F238E27FC236}">
                  <a16:creationId xmlns:a16="http://schemas.microsoft.com/office/drawing/2014/main" id="{7262E3FE-22B6-4ED6-88F0-8B7A79832957}"/>
                </a:ext>
              </a:extLst>
            </xdr:cNvPr>
            <xdr:cNvSpPr txBox="1"/>
          </xdr:nvSpPr>
          <xdr:spPr>
            <a:xfrm>
              <a:off x="13432972" y="754743"/>
              <a:ext cx="2812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type m:val="skw"/>
                      <m:ctrlPr>
                        <a:rPr lang="fr-FR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fr-FR" sz="1100" i="1">
                          <a:latin typeface="Cambria Math" panose="02040503050406030204" pitchFamily="18" charset="0"/>
                        </a:rPr>
                        <m:t>𝑛</m:t>
                      </m:r>
                    </m:num>
                    <m:den>
                      <m:r>
                        <a:rPr lang="fr-FR" sz="1100" i="1">
                          <a:latin typeface="Cambria Math" panose="02040503050406030204" pitchFamily="18" charset="0"/>
                        </a:rPr>
                        <m:t>𝑚</m:t>
                      </m:r>
                    </m:den>
                  </m:f>
                </m:oMath>
              </a14:m>
              <a:r>
                <a:rPr lang="fr-FR" sz="1100"/>
                <a:t>²</a:t>
              </a:r>
            </a:p>
          </xdr:txBody>
        </xdr:sp>
      </mc:Choice>
      <mc:Fallback xmlns="">
        <xdr:sp macro="" textlink="">
          <xdr:nvSpPr>
            <xdr:cNvPr id="26" name="ZoneTexte 25">
              <a:extLst>
                <a:ext uri="{FF2B5EF4-FFF2-40B4-BE49-F238E27FC236}">
                  <a16:creationId xmlns:a16="http://schemas.microsoft.com/office/drawing/2014/main" id="{7262E3FE-22B6-4ED6-88F0-8B7A79832957}"/>
                </a:ext>
              </a:extLst>
            </xdr:cNvPr>
            <xdr:cNvSpPr txBox="1"/>
          </xdr:nvSpPr>
          <xdr:spPr>
            <a:xfrm>
              <a:off x="13432972" y="754743"/>
              <a:ext cx="2812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fr-FR" sz="1100" i="0">
                  <a:latin typeface="Cambria Math" panose="02040503050406030204" pitchFamily="18" charset="0"/>
                </a:rPr>
                <a:t>𝑛⁄𝑚</a:t>
              </a:r>
              <a:r>
                <a:rPr lang="fr-FR" sz="1100"/>
                <a:t>²</a:t>
              </a:r>
            </a:p>
          </xdr:txBody>
        </xdr:sp>
      </mc:Fallback>
    </mc:AlternateContent>
    <xdr:clientData/>
  </xdr:oneCellAnchor>
  <xdr:twoCellAnchor>
    <xdr:from>
      <xdr:col>50</xdr:col>
      <xdr:colOff>152399</xdr:colOff>
      <xdr:row>1</xdr:row>
      <xdr:rowOff>27709</xdr:rowOff>
    </xdr:from>
    <xdr:to>
      <xdr:col>55</xdr:col>
      <xdr:colOff>775854</xdr:colOff>
      <xdr:row>15</xdr:row>
      <xdr:rowOff>152400</xdr:rowOff>
    </xdr:to>
    <xdr:graphicFrame macro="">
      <xdr:nvGraphicFramePr>
        <xdr:cNvPr id="27" name="Graphique 26">
          <a:extLst>
            <a:ext uri="{FF2B5EF4-FFF2-40B4-BE49-F238E27FC236}">
              <a16:creationId xmlns:a16="http://schemas.microsoft.com/office/drawing/2014/main" id="{092DB879-7AE3-4643-97DD-677BCB8C3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15875</xdr:colOff>
      <xdr:row>10</xdr:row>
      <xdr:rowOff>15875</xdr:rowOff>
    </xdr:from>
    <xdr:ext cx="856965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ZoneTexte 13">
              <a:extLst>
                <a:ext uri="{FF2B5EF4-FFF2-40B4-BE49-F238E27FC236}">
                  <a16:creationId xmlns:a16="http://schemas.microsoft.com/office/drawing/2014/main" id="{94E18C47-3860-41D8-983B-D1DF1FF73699}"/>
                </a:ext>
              </a:extLst>
            </xdr:cNvPr>
            <xdr:cNvSpPr txBox="1"/>
          </xdr:nvSpPr>
          <xdr:spPr>
            <a:xfrm>
              <a:off x="1685925" y="1857375"/>
              <a:ext cx="856965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fr-FR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  <m: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num>
                      <m:den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fr-FR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fr-FR" sz="1100" b="0" i="1">
                        <a:latin typeface="Cambria Math" panose="02040503050406030204" pitchFamily="18" charset="0"/>
                      </a:rPr>
                      <m:t>𝑞</m:t>
                    </m:r>
                    <m:f>
                      <m:f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num>
                      <m:den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14" name="ZoneTexte 13">
              <a:extLst>
                <a:ext uri="{FF2B5EF4-FFF2-40B4-BE49-F238E27FC236}">
                  <a16:creationId xmlns:a16="http://schemas.microsoft.com/office/drawing/2014/main" id="{94E18C47-3860-41D8-983B-D1DF1FF73699}"/>
                </a:ext>
              </a:extLst>
            </xdr:cNvPr>
            <xdr:cNvSpPr txBox="1"/>
          </xdr:nvSpPr>
          <xdr:spPr>
            <a:xfrm>
              <a:off x="1685925" y="1857375"/>
              <a:ext cx="856965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100" b="0" i="0">
                  <a:latin typeface="Cambria Math" panose="02040503050406030204" pitchFamily="18" charset="0"/>
                </a:rPr>
                <a:t>𝑝_1+𝑝_2/2+𝑞 𝐿/2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1</xdr:col>
      <xdr:colOff>41275</xdr:colOff>
      <xdr:row>12</xdr:row>
      <xdr:rowOff>3175</xdr:rowOff>
    </xdr:from>
    <xdr:ext cx="829201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ZoneTexte 14">
              <a:extLst>
                <a:ext uri="{FF2B5EF4-FFF2-40B4-BE49-F238E27FC236}">
                  <a16:creationId xmlns:a16="http://schemas.microsoft.com/office/drawing/2014/main" id="{9F55257A-2C1C-41EB-9FA7-8F7DA32F21A7}"/>
                </a:ext>
              </a:extLst>
            </xdr:cNvPr>
            <xdr:cNvSpPr txBox="1"/>
          </xdr:nvSpPr>
          <xdr:spPr>
            <a:xfrm>
              <a:off x="1711325" y="2212975"/>
              <a:ext cx="829201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fr-FR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  <m: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num>
                      <m:den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fr-FR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fr-FR" sz="1100" b="0" i="1">
                        <a:latin typeface="Cambria Math" panose="02040503050406030204" pitchFamily="18" charset="0"/>
                      </a:rPr>
                      <m:t>𝑞</m:t>
                    </m:r>
                    <m:f>
                      <m:f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num>
                      <m:den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15" name="ZoneTexte 14">
              <a:extLst>
                <a:ext uri="{FF2B5EF4-FFF2-40B4-BE49-F238E27FC236}">
                  <a16:creationId xmlns:a16="http://schemas.microsoft.com/office/drawing/2014/main" id="{9F55257A-2C1C-41EB-9FA7-8F7DA32F21A7}"/>
                </a:ext>
              </a:extLst>
            </xdr:cNvPr>
            <xdr:cNvSpPr txBox="1"/>
          </xdr:nvSpPr>
          <xdr:spPr>
            <a:xfrm>
              <a:off x="1711325" y="2212975"/>
              <a:ext cx="829201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100" b="0" i="0">
                  <a:latin typeface="Cambria Math" panose="02040503050406030204" pitchFamily="18" charset="0"/>
                </a:rPr>
                <a:t>𝑝_3+𝑝_2/2+𝑞 𝐿/2</a:t>
              </a:r>
              <a:endParaRPr lang="fr-FR" sz="1100"/>
            </a:p>
          </xdr:txBody>
        </xdr:sp>
      </mc:Fallback>
    </mc:AlternateContent>
    <xdr:clientData/>
  </xdr:oneCellAnchor>
  <xdr:twoCellAnchor>
    <xdr:from>
      <xdr:col>13</xdr:col>
      <xdr:colOff>323274</xdr:colOff>
      <xdr:row>1</xdr:row>
      <xdr:rowOff>134120</xdr:rowOff>
    </xdr:from>
    <xdr:to>
      <xdr:col>19</xdr:col>
      <xdr:colOff>323274</xdr:colOff>
      <xdr:row>7</xdr:row>
      <xdr:rowOff>45219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8AD468FA-81B0-4055-B639-788B9CCC7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323272</xdr:colOff>
      <xdr:row>7</xdr:row>
      <xdr:rowOff>56187</xdr:rowOff>
    </xdr:from>
    <xdr:to>
      <xdr:col>19</xdr:col>
      <xdr:colOff>323272</xdr:colOff>
      <xdr:row>16</xdr:row>
      <xdr:rowOff>169333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C2EDCE5D-2402-4B8C-BC3C-39B808DFF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334818</xdr:colOff>
      <xdr:row>16</xdr:row>
      <xdr:rowOff>152400</xdr:rowOff>
    </xdr:from>
    <xdr:to>
      <xdr:col>19</xdr:col>
      <xdr:colOff>334818</xdr:colOff>
      <xdr:row>31</xdr:row>
      <xdr:rowOff>124691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7DD295BF-8746-47A7-AABB-7E0AE01FA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541404</xdr:colOff>
      <xdr:row>0</xdr:row>
      <xdr:rowOff>152064</xdr:rowOff>
    </xdr:from>
    <xdr:to>
      <xdr:col>29</xdr:col>
      <xdr:colOff>541403</xdr:colOff>
      <xdr:row>15</xdr:row>
      <xdr:rowOff>124355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F8CFF8F-7180-49ED-96CE-44DA4FD1DD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384887</xdr:colOff>
      <xdr:row>34</xdr:row>
      <xdr:rowOff>125964</xdr:rowOff>
    </xdr:from>
    <xdr:to>
      <xdr:col>8</xdr:col>
      <xdr:colOff>450979</xdr:colOff>
      <xdr:row>46</xdr:row>
      <xdr:rowOff>171062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98AC15B-B20E-4D11-9026-551593DF3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396551</xdr:colOff>
      <xdr:row>47</xdr:row>
      <xdr:rowOff>66869</xdr:rowOff>
    </xdr:from>
    <xdr:to>
      <xdr:col>9</xdr:col>
      <xdr:colOff>209939</xdr:colOff>
      <xdr:row>62</xdr:row>
      <xdr:rowOff>10886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B025917B-C917-4001-AC87-6423BE09FB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241040</xdr:colOff>
      <xdr:row>64</xdr:row>
      <xdr:rowOff>35767</xdr:rowOff>
    </xdr:from>
    <xdr:to>
      <xdr:col>9</xdr:col>
      <xdr:colOff>54428</xdr:colOff>
      <xdr:row>78</xdr:row>
      <xdr:rowOff>166396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E03ADE5-9B39-4F68-8105-DFAFE5E17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625136</xdr:colOff>
      <xdr:row>62</xdr:row>
      <xdr:rowOff>85817</xdr:rowOff>
    </xdr:from>
    <xdr:to>
      <xdr:col>27</xdr:col>
      <xdr:colOff>447583</xdr:colOff>
      <xdr:row>77</xdr:row>
      <xdr:rowOff>54745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46DB38D9-5391-47EA-B8B9-8D46145B9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0</xdr:col>
      <xdr:colOff>106680</xdr:colOff>
      <xdr:row>4</xdr:row>
      <xdr:rowOff>76200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A672DF8-C8DF-41EA-809C-7C51E1487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"/>
          <a:ext cx="106680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72837</xdr:colOff>
      <xdr:row>0</xdr:row>
      <xdr:rowOff>62753</xdr:rowOff>
    </xdr:from>
    <xdr:to>
      <xdr:col>13</xdr:col>
      <xdr:colOff>666749</xdr:colOff>
      <xdr:row>15</xdr:row>
      <xdr:rowOff>116541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C03A1DF-25D0-4EA7-98BB-C26E807CB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84044</xdr:colOff>
      <xdr:row>16</xdr:row>
      <xdr:rowOff>40341</xdr:rowOff>
    </xdr:from>
    <xdr:to>
      <xdr:col>13</xdr:col>
      <xdr:colOff>677956</xdr:colOff>
      <xdr:row>31</xdr:row>
      <xdr:rowOff>94129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28A1663-1FF9-4E22-8684-324E8BC06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128868</xdr:colOff>
      <xdr:row>31</xdr:row>
      <xdr:rowOff>118782</xdr:rowOff>
    </xdr:from>
    <xdr:to>
      <xdr:col>13</xdr:col>
      <xdr:colOff>722780</xdr:colOff>
      <xdr:row>46</xdr:row>
      <xdr:rowOff>172571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6F532640-5850-46AB-A494-2E5496A58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137160</xdr:colOff>
      <xdr:row>0</xdr:row>
      <xdr:rowOff>142240</xdr:rowOff>
    </xdr:from>
    <xdr:to>
      <xdr:col>24</xdr:col>
      <xdr:colOff>746760</xdr:colOff>
      <xdr:row>15</xdr:row>
      <xdr:rowOff>142240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32797D56-996D-4F6C-A40A-9D80FF3F9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157480</xdr:colOff>
      <xdr:row>16</xdr:row>
      <xdr:rowOff>0</xdr:rowOff>
    </xdr:from>
    <xdr:to>
      <xdr:col>24</xdr:col>
      <xdr:colOff>767080</xdr:colOff>
      <xdr:row>31</xdr:row>
      <xdr:rowOff>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AD3CAF5F-9674-443B-8779-50815E6AD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147320</xdr:colOff>
      <xdr:row>31</xdr:row>
      <xdr:rowOff>40640</xdr:rowOff>
    </xdr:from>
    <xdr:to>
      <xdr:col>24</xdr:col>
      <xdr:colOff>756920</xdr:colOff>
      <xdr:row>46</xdr:row>
      <xdr:rowOff>40640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224D94B-AF2D-4A11-A502-2BB17886B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55563</xdr:colOff>
      <xdr:row>0</xdr:row>
      <xdr:rowOff>112713</xdr:rowOff>
    </xdr:from>
    <xdr:to>
      <xdr:col>35</xdr:col>
      <xdr:colOff>658813</xdr:colOff>
      <xdr:row>14</xdr:row>
      <xdr:rowOff>188913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5A427C35-E38E-4DCD-B5E6-4D472F2D2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119063</xdr:colOff>
      <xdr:row>15</xdr:row>
      <xdr:rowOff>33338</xdr:rowOff>
    </xdr:from>
    <xdr:to>
      <xdr:col>35</xdr:col>
      <xdr:colOff>722313</xdr:colOff>
      <xdr:row>29</xdr:row>
      <xdr:rowOff>101918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3F63FA85-B1E5-41C2-AC5B-C2173B848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150813</xdr:colOff>
      <xdr:row>30</xdr:row>
      <xdr:rowOff>49213</xdr:rowOff>
    </xdr:from>
    <xdr:to>
      <xdr:col>35</xdr:col>
      <xdr:colOff>754063</xdr:colOff>
      <xdr:row>44</xdr:row>
      <xdr:rowOff>125413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FD0C4072-823A-465C-8C8D-F35B56F6E5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4AB8B3-2287-426D-BC93-63798B90B72C}" name="Tableau2" displayName="Tableau2" ref="E1:H26" totalsRowShown="0" headerRowDxfId="21" dataDxfId="20">
  <autoFilter ref="E1:H26" xr:uid="{1156FC9D-EFE3-4292-A239-82F6DA80B2F0}"/>
  <tableColumns count="4">
    <tableColumn id="1" xr3:uid="{26DEDD6F-8D61-4DB1-99B9-F6BB5D5156D3}" name="X" dataDxfId="19">
      <calculatedColumnFormula>0.1+E1</calculatedColumnFormula>
    </tableColumn>
    <tableColumn id="2" xr3:uid="{B11D9938-2CC9-4B6E-9743-C1447AB58CD0}" name="N(x)" dataDxfId="18">
      <calculatedColumnFormula>0</calculatedColumnFormula>
    </tableColumn>
    <tableColumn id="3" xr3:uid="{5CA6A615-2924-4872-8852-8D309EDD6FA7}" name="V(x)" dataDxfId="17">
      <calculatedColumnFormula>$C$10*(1.2-Tableau2[[#This Row],[X]])</calculatedColumnFormula>
    </tableColumn>
    <tableColumn id="4" xr3:uid="{0C1B9BAF-A0A1-4806-96C1-97FA47FE5962}" name="M(x)" dataDxfId="16">
      <calculatedColumnFormula>$C$10*1.2*Tableau2[[#This Row],[X]]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7D9A730-FEDC-41C7-BD4F-8E840F8A8028}" name="Tableau6" displayName="Tableau6" ref="E2:H34" totalsRowShown="0" headerRowDxfId="15" dataDxfId="14">
  <autoFilter ref="E2:H34" xr:uid="{5C47DFDF-B3CD-42EC-9540-966FAB731237}"/>
  <tableColumns count="4">
    <tableColumn id="1" xr3:uid="{91D2AC88-14C5-4B84-BA44-BC9190534846}" name="X" dataDxfId="13">
      <calculatedColumnFormula>E2+0.1</calculatedColumnFormula>
    </tableColumn>
    <tableColumn id="2" xr3:uid="{ED43C074-E517-49C3-845F-4A419FD44AB0}" name="Nab(x)" dataDxfId="12">
      <calculatedColumnFormula>0</calculatedColumnFormula>
    </tableColumn>
    <tableColumn id="3" xr3:uid="{A3509B4E-204F-464F-8EB9-6398D6B44058}" name="Vab(x)" dataDxfId="11">
      <calculatedColumnFormula>$C$11-$C$2-($C$5*Tableau6[[#This Row],[X]])</calculatedColumnFormula>
    </tableColumn>
    <tableColumn id="4" xr3:uid="{9B3A316F-F118-4EE8-BA3F-7F391B2C12D7}" name="Mab(x)" dataDxfId="10">
      <calculatedColumnFormula>($C$11*Tableau6[[#This Row],[X]])-($C$2*Tableau6[[#This Row],[X]])-($C$5*(Tableau6[[#This Row],[X]]^2)/2)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03E36FD-70DD-446E-B5A8-60EDF4574683}" name="Tableau68" displayName="Tableau68" ref="J2:M34" totalsRowShown="0" headerRowDxfId="9" dataDxfId="8">
  <autoFilter ref="J2:M34" xr:uid="{5005581A-B26E-4557-A142-801E08FFB4E5}"/>
  <tableColumns count="4">
    <tableColumn id="1" xr3:uid="{CFB768BF-1C49-4B25-81BA-A77FB08FB8EF}" name="X" dataDxfId="7">
      <calculatedColumnFormula>C9</calculatedColumnFormula>
    </tableColumn>
    <tableColumn id="2" xr3:uid="{713EC424-50A0-4DE3-8205-4327EB703970}" name="Nbc(x)" dataDxfId="6">
      <calculatedColumnFormula>0</calculatedColumnFormula>
    </tableColumn>
    <tableColumn id="3" xr3:uid="{24CF3C40-1713-4C60-851C-0CF7AFB843EA}" name="Vbc(x)" dataDxfId="5">
      <calculatedColumnFormula>(-$C$13)+$C$4+$C$5*($C$6-Tableau68[[#This Row],[X]])</calculatedColumnFormula>
    </tableColumn>
    <tableColumn id="4" xr3:uid="{D0F1B0BE-56A2-4808-9EC4-CFEB467C6AA8}" name="Mbc(x)" dataDxfId="4">
      <calculatedColumnFormula>Tableau68[[#This Row],[X]]*($C$11-$C$2)-($C$3*(Tableau68[[#This Row],[X]]-($C$6/2)))-($C$5*(Tableau68[[#This Row],[X]]^2)/2)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415DE5A-6F4C-45A3-95E8-BEB15A2FC976}" name="Tableau5" displayName="Tableau5" ref="V2:W269" totalsRowShown="0" headerRowDxfId="3" dataDxfId="2">
  <autoFilter ref="V2:W269" xr:uid="{DE1F34DB-1E65-402F-8768-0927DD89347F}"/>
  <tableColumns count="2">
    <tableColumn id="1" xr3:uid="{B83AE4F3-2B62-4417-A117-4624DCCF79B7}" name="X" dataDxfId="1"/>
    <tableColumn id="2" xr3:uid="{92C942EF-367D-481F-B444-544A655E4E02}" name="Vab(x)" dataDxfId="0">
      <calculatedColumnFormula>((($C$11-$C$2)*((Tableau5[[#This Row],[X]]^3)/6))-($C$5*(Tableau5[[#This Row],[X]]^4)/24)+($C$17*Tableau5[[#This Row],[X]])+$C$18)/($C$7*$C$8)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BA263-B7B0-43EE-B35D-D6EB8E1A9081}">
  <dimension ref="A1:AX27"/>
  <sheetViews>
    <sheetView zoomScale="105" zoomScaleNormal="80" workbookViewId="0">
      <selection activeCell="R21" sqref="R21"/>
    </sheetView>
  </sheetViews>
  <sheetFormatPr baseColWidth="10" defaultRowHeight="14.4" x14ac:dyDescent="0.3"/>
  <cols>
    <col min="1" max="1" width="18.88671875" bestFit="1" customWidth="1"/>
    <col min="2" max="3" width="10.88671875" style="1"/>
    <col min="6" max="6" width="11.6640625" bestFit="1" customWidth="1"/>
    <col min="7" max="7" width="12.77734375" bestFit="1" customWidth="1"/>
    <col min="8" max="8" width="12.109375" bestFit="1" customWidth="1"/>
    <col min="17" max="17" width="10.88671875" style="1"/>
    <col min="18" max="18" width="11.88671875" bestFit="1" customWidth="1"/>
    <col min="21" max="21" width="11.88671875" bestFit="1" customWidth="1"/>
    <col min="30" max="30" width="20.109375" customWidth="1"/>
    <col min="31" max="32" width="11.6640625" bestFit="1" customWidth="1"/>
    <col min="34" max="36" width="11.6640625" bestFit="1" customWidth="1"/>
    <col min="37" max="37" width="12.6640625" bestFit="1" customWidth="1"/>
  </cols>
  <sheetData>
    <row r="1" spans="1:50" x14ac:dyDescent="0.3">
      <c r="E1" s="12" t="s">
        <v>22</v>
      </c>
      <c r="F1" s="12" t="s">
        <v>19</v>
      </c>
      <c r="G1" s="12" t="s">
        <v>20</v>
      </c>
      <c r="H1" s="12" t="s">
        <v>21</v>
      </c>
      <c r="T1" s="15" t="s">
        <v>22</v>
      </c>
      <c r="U1" s="15" t="s">
        <v>20</v>
      </c>
      <c r="AH1" t="s">
        <v>22</v>
      </c>
      <c r="AI1" t="s">
        <v>19</v>
      </c>
      <c r="AJ1" t="s">
        <v>20</v>
      </c>
      <c r="AK1" t="s">
        <v>21</v>
      </c>
      <c r="AW1" t="s">
        <v>22</v>
      </c>
      <c r="AX1" t="s">
        <v>20</v>
      </c>
    </row>
    <row r="2" spans="1:50" ht="16.2" x14ac:dyDescent="0.3">
      <c r="A2" s="4" t="s">
        <v>0</v>
      </c>
      <c r="B2" s="5" t="s">
        <v>11</v>
      </c>
      <c r="C2" s="3">
        <v>9.81</v>
      </c>
      <c r="E2" s="12">
        <f>0</f>
        <v>0</v>
      </c>
      <c r="F2" s="12">
        <f>0</f>
        <v>0</v>
      </c>
      <c r="G2" s="18">
        <f>$C$10*(1.2-Tableau2[[#This Row],[X]])</f>
        <v>20004</v>
      </c>
      <c r="H2" s="18">
        <f>$C$10*1.2*Tableau2[[#This Row],[X]]</f>
        <v>0</v>
      </c>
      <c r="P2" s="37" t="s">
        <v>23</v>
      </c>
      <c r="Q2" s="37"/>
      <c r="R2" s="37"/>
      <c r="T2" s="16">
        <f>0</f>
        <v>0</v>
      </c>
      <c r="U2" s="34">
        <f>$R$7*($R$9*(T2^3))-($R$10*T2)</f>
        <v>0</v>
      </c>
      <c r="AD2" s="4" t="s">
        <v>0</v>
      </c>
      <c r="AE2" s="5" t="s">
        <v>11</v>
      </c>
      <c r="AF2" s="29">
        <v>9.81</v>
      </c>
      <c r="AH2" s="28">
        <v>0</v>
      </c>
      <c r="AI2" s="28">
        <v>0</v>
      </c>
      <c r="AJ2" s="28">
        <f>$AF$10*(1.2-AH2)</f>
        <v>29007.24</v>
      </c>
      <c r="AK2" s="28">
        <f>$AF$10*(AH2/2)*(2.4-AH2)</f>
        <v>0</v>
      </c>
      <c r="AS2" s="37" t="s">
        <v>23</v>
      </c>
      <c r="AT2" s="37"/>
      <c r="AU2" s="37"/>
      <c r="AW2">
        <v>0</v>
      </c>
      <c r="AX2">
        <f>($AS$9*((AW2)*4))+($AS$10*((AW2)^3))+($AS$11*(AW2))</f>
        <v>0</v>
      </c>
    </row>
    <row r="3" spans="1:50" x14ac:dyDescent="0.3">
      <c r="A3" s="4" t="s">
        <v>1</v>
      </c>
      <c r="B3" s="5" t="s">
        <v>12</v>
      </c>
      <c r="C3" s="3">
        <v>2600</v>
      </c>
      <c r="E3" s="12">
        <f>0.1+E2</f>
        <v>0.1</v>
      </c>
      <c r="F3" s="12">
        <f>0</f>
        <v>0</v>
      </c>
      <c r="G3" s="18">
        <f>$C$10*(1.2-Tableau2[[#This Row],[X]])</f>
        <v>18336.999999999996</v>
      </c>
      <c r="H3" s="18">
        <f>$C$10*1.2*Tableau2[[#This Row],[X]]</f>
        <v>2000.4</v>
      </c>
      <c r="P3" s="4" t="s">
        <v>24</v>
      </c>
      <c r="Q3" s="14"/>
      <c r="R3" s="2">
        <f>C10</f>
        <v>16670</v>
      </c>
      <c r="T3" s="17">
        <f>0.1+T2</f>
        <v>0.1</v>
      </c>
      <c r="U3" s="34">
        <f t="shared" ref="U3:U26" si="0">$R$7*($R$9*(T3^3))-($R$10*T3)</f>
        <v>-960.19200000000001</v>
      </c>
      <c r="AD3" s="4" t="s">
        <v>1</v>
      </c>
      <c r="AE3" s="5" t="s">
        <v>12</v>
      </c>
      <c r="AF3" s="29">
        <v>2260</v>
      </c>
      <c r="AH3" s="28">
        <f>AH2+0.1</f>
        <v>0.1</v>
      </c>
      <c r="AI3" s="28">
        <v>0</v>
      </c>
      <c r="AJ3" s="28">
        <f t="shared" ref="AJ3:AJ26" si="1">$AF$10*(1.2-AH3)</f>
        <v>26589.969999999998</v>
      </c>
      <c r="AK3" s="28">
        <f t="shared" ref="AK3:AK26" si="2">$AF$10*(AH3/2)*(2.4-AH3)</f>
        <v>2779.8604999999998</v>
      </c>
      <c r="AS3" s="4" t="s">
        <v>24</v>
      </c>
      <c r="AT3" s="24"/>
      <c r="AU3" s="2">
        <f>AF10</f>
        <v>24172.7</v>
      </c>
      <c r="AW3">
        <f>AW2+0.1</f>
        <v>0.1</v>
      </c>
      <c r="AX3">
        <f t="shared" ref="AX3:AX26" si="3">($AS$9*((AW3)*4))+($AS$10*((AW3)^3))+($AS$11*(AW3))</f>
        <v>-1790.3913133333333</v>
      </c>
    </row>
    <row r="4" spans="1:50" x14ac:dyDescent="0.3">
      <c r="A4" s="4" t="s">
        <v>2</v>
      </c>
      <c r="B4" s="5" t="s">
        <v>13</v>
      </c>
      <c r="C4" s="3">
        <v>14.7</v>
      </c>
      <c r="E4" s="12">
        <f t="shared" ref="E4:E26" si="4">0.1+E3</f>
        <v>0.2</v>
      </c>
      <c r="F4" s="12">
        <f>0</f>
        <v>0</v>
      </c>
      <c r="G4" s="18">
        <f>$C$10*(1.2-Tableau2[[#This Row],[X]])</f>
        <v>16670</v>
      </c>
      <c r="H4" s="18">
        <f>$C$10*1.2*Tableau2[[#This Row],[X]]</f>
        <v>4000.8</v>
      </c>
      <c r="P4" s="4" t="s">
        <v>25</v>
      </c>
      <c r="Q4" s="14" t="s">
        <v>14</v>
      </c>
      <c r="R4" s="2">
        <f>C11</f>
        <v>2.4</v>
      </c>
      <c r="T4" s="16">
        <f t="shared" ref="T4:T26" si="5">0.1+T3</f>
        <v>0.2</v>
      </c>
      <c r="U4" s="34">
        <f t="shared" si="0"/>
        <v>-1920.384</v>
      </c>
      <c r="AD4" s="4" t="s">
        <v>2</v>
      </c>
      <c r="AE4" s="5" t="s">
        <v>13</v>
      </c>
      <c r="AF4" s="29">
        <v>14.7</v>
      </c>
      <c r="AH4" s="28">
        <f t="shared" ref="AH4:AH26" si="6">AH3+0.1</f>
        <v>0.2</v>
      </c>
      <c r="AI4" s="28">
        <v>0</v>
      </c>
      <c r="AJ4" s="28">
        <f t="shared" si="1"/>
        <v>24172.7</v>
      </c>
      <c r="AK4" s="28">
        <f t="shared" si="2"/>
        <v>5317.9939999999997</v>
      </c>
      <c r="AS4" s="4" t="s">
        <v>25</v>
      </c>
      <c r="AT4" s="24" t="s">
        <v>14</v>
      </c>
      <c r="AU4" s="2">
        <f>AF11</f>
        <v>2.4</v>
      </c>
      <c r="AW4">
        <f t="shared" ref="AW4:AW26" si="7">AW3+0.1</f>
        <v>0.2</v>
      </c>
      <c r="AX4">
        <f t="shared" si="3"/>
        <v>-3551.7753866666667</v>
      </c>
    </row>
    <row r="5" spans="1:50" x14ac:dyDescent="0.3">
      <c r="A5" s="4" t="s">
        <v>3</v>
      </c>
      <c r="B5" s="5" t="s">
        <v>14</v>
      </c>
      <c r="C5" s="3">
        <v>3</v>
      </c>
      <c r="E5" s="12">
        <f t="shared" si="4"/>
        <v>0.30000000000000004</v>
      </c>
      <c r="F5" s="12">
        <f>0</f>
        <v>0</v>
      </c>
      <c r="G5" s="18">
        <f>$C$10*(1.2-Tableau2[[#This Row],[X]])</f>
        <v>15002.999999999998</v>
      </c>
      <c r="H5" s="18">
        <f>$C$10*1.2*Tableau2[[#This Row],[X]]</f>
        <v>6001.2000000000007</v>
      </c>
      <c r="P5" s="4" t="s">
        <v>26</v>
      </c>
      <c r="Q5" s="14"/>
      <c r="R5" s="2">
        <f>C12*10^9</f>
        <v>210000000000</v>
      </c>
      <c r="T5" s="17">
        <f t="shared" si="5"/>
        <v>0.30000000000000004</v>
      </c>
      <c r="U5" s="34">
        <f t="shared" si="0"/>
        <v>-2880.5760000000005</v>
      </c>
      <c r="AD5" s="4" t="s">
        <v>3</v>
      </c>
      <c r="AE5" s="5" t="s">
        <v>14</v>
      </c>
      <c r="AF5" s="29">
        <v>3</v>
      </c>
      <c r="AH5" s="28">
        <f t="shared" si="6"/>
        <v>0.30000000000000004</v>
      </c>
      <c r="AI5" s="28">
        <v>0</v>
      </c>
      <c r="AJ5" s="28">
        <f t="shared" si="1"/>
        <v>21755.43</v>
      </c>
      <c r="AK5" s="28">
        <f t="shared" si="2"/>
        <v>7614.4004999999997</v>
      </c>
      <c r="AS5" s="4" t="s">
        <v>26</v>
      </c>
      <c r="AT5" s="24"/>
      <c r="AU5" s="2">
        <f>AF12*10^9</f>
        <v>210000000000</v>
      </c>
      <c r="AW5">
        <f t="shared" si="7"/>
        <v>0.30000000000000004</v>
      </c>
      <c r="AX5">
        <f t="shared" si="3"/>
        <v>-5255.14498</v>
      </c>
    </row>
    <row r="6" spans="1:50" ht="16.8" x14ac:dyDescent="0.35">
      <c r="A6" s="4" t="s">
        <v>4</v>
      </c>
      <c r="B6" s="5" t="s">
        <v>14</v>
      </c>
      <c r="C6" s="3">
        <v>7.2</v>
      </c>
      <c r="E6" s="12">
        <f t="shared" si="4"/>
        <v>0.4</v>
      </c>
      <c r="F6" s="12">
        <f>0</f>
        <v>0</v>
      </c>
      <c r="G6" s="18">
        <f>$C$10*(1.2-Tableau2[[#This Row],[X]])</f>
        <v>13335.999999999998</v>
      </c>
      <c r="H6" s="18">
        <f>$C$10*1.2*Tableau2[[#This Row],[X]]</f>
        <v>8001.6</v>
      </c>
      <c r="P6" s="4" t="s">
        <v>27</v>
      </c>
      <c r="Q6" s="14" t="s">
        <v>28</v>
      </c>
      <c r="R6" s="31">
        <v>3.3151131430000002E-6</v>
      </c>
      <c r="T6" s="16">
        <f t="shared" si="5"/>
        <v>0.4</v>
      </c>
      <c r="U6" s="34">
        <f t="shared" si="0"/>
        <v>-3840.768</v>
      </c>
      <c r="AD6" s="4" t="s">
        <v>4</v>
      </c>
      <c r="AE6" s="5" t="s">
        <v>14</v>
      </c>
      <c r="AF6" s="29">
        <v>7.2</v>
      </c>
      <c r="AH6" s="28">
        <f t="shared" si="6"/>
        <v>0.4</v>
      </c>
      <c r="AI6" s="28">
        <v>0</v>
      </c>
      <c r="AJ6" s="28">
        <f t="shared" si="1"/>
        <v>19338.16</v>
      </c>
      <c r="AK6" s="28">
        <f t="shared" si="2"/>
        <v>9669.08</v>
      </c>
      <c r="AS6" s="4" t="s">
        <v>27</v>
      </c>
      <c r="AT6" s="24" t="s">
        <v>28</v>
      </c>
      <c r="AU6" s="31">
        <v>5.3425714289999999E-6</v>
      </c>
      <c r="AW6">
        <f t="shared" si="7"/>
        <v>0.4</v>
      </c>
      <c r="AX6">
        <f t="shared" si="3"/>
        <v>-6871.4928533333332</v>
      </c>
    </row>
    <row r="7" spans="1:50" x14ac:dyDescent="0.3">
      <c r="A7" s="4" t="s">
        <v>5</v>
      </c>
      <c r="B7" s="6"/>
      <c r="C7" s="3">
        <v>1735.1</v>
      </c>
      <c r="E7" s="12">
        <f t="shared" si="4"/>
        <v>0.5</v>
      </c>
      <c r="F7" s="12">
        <f>0</f>
        <v>0</v>
      </c>
      <c r="G7" s="18">
        <f>$C$10*(1.2-Tableau2[[#This Row],[X]])</f>
        <v>11669</v>
      </c>
      <c r="H7" s="18">
        <f>$C$10*1.2*Tableau2[[#This Row],[X]]</f>
        <v>10002</v>
      </c>
      <c r="P7" s="32" t="s">
        <v>50</v>
      </c>
      <c r="Q7" s="33"/>
      <c r="R7" s="33">
        <f>1/R5*R6</f>
        <v>1.5786253061904763E-17</v>
      </c>
      <c r="T7" s="17">
        <f t="shared" si="5"/>
        <v>0.5</v>
      </c>
      <c r="U7" s="34">
        <f t="shared" si="0"/>
        <v>-4800.96</v>
      </c>
      <c r="AD7" s="4" t="s">
        <v>5</v>
      </c>
      <c r="AE7" s="6"/>
      <c r="AF7" s="29">
        <v>9237.7000000000007</v>
      </c>
      <c r="AH7" s="28">
        <f t="shared" si="6"/>
        <v>0.5</v>
      </c>
      <c r="AI7" s="28">
        <v>0</v>
      </c>
      <c r="AJ7" s="28">
        <f t="shared" si="1"/>
        <v>16920.89</v>
      </c>
      <c r="AK7" s="28">
        <f t="shared" si="2"/>
        <v>11482.032499999999</v>
      </c>
      <c r="AS7" s="35" t="s">
        <v>53</v>
      </c>
      <c r="AU7" s="36">
        <f>1/(AU6*AU5)</f>
        <v>8.91313260887197E-7</v>
      </c>
      <c r="AW7">
        <f t="shared" si="7"/>
        <v>0.5</v>
      </c>
      <c r="AX7">
        <f t="shared" si="3"/>
        <v>-8371.8117666666658</v>
      </c>
    </row>
    <row r="8" spans="1:50" x14ac:dyDescent="0.3">
      <c r="A8" s="4" t="s">
        <v>6</v>
      </c>
      <c r="B8" s="5"/>
      <c r="C8" s="3">
        <v>14835</v>
      </c>
      <c r="E8" s="12">
        <f t="shared" si="4"/>
        <v>0.6</v>
      </c>
      <c r="F8" s="12">
        <f>0</f>
        <v>0</v>
      </c>
      <c r="G8" s="18">
        <f>$C$10*(1.2-Tableau2[[#This Row],[X]])</f>
        <v>10002</v>
      </c>
      <c r="H8" s="18">
        <f>$C$10*1.2*Tableau2[[#This Row],[X]]</f>
        <v>12002.4</v>
      </c>
      <c r="P8" s="32"/>
      <c r="T8" s="16">
        <f t="shared" si="5"/>
        <v>0.6</v>
      </c>
      <c r="U8" s="34">
        <f t="shared" si="0"/>
        <v>-5761.152</v>
      </c>
      <c r="AD8" s="4" t="s">
        <v>6</v>
      </c>
      <c r="AE8" s="5"/>
      <c r="AF8" s="29">
        <v>14835</v>
      </c>
      <c r="AH8" s="28">
        <f t="shared" si="6"/>
        <v>0.6</v>
      </c>
      <c r="AI8" s="28">
        <v>0</v>
      </c>
      <c r="AJ8" s="28">
        <f t="shared" si="1"/>
        <v>14503.62</v>
      </c>
      <c r="AK8" s="28">
        <f t="shared" si="2"/>
        <v>13053.258</v>
      </c>
      <c r="AW8">
        <f t="shared" si="7"/>
        <v>0.6</v>
      </c>
      <c r="AX8">
        <f t="shared" si="3"/>
        <v>-9727.0944799999997</v>
      </c>
    </row>
    <row r="9" spans="1:50" x14ac:dyDescent="0.3">
      <c r="A9" s="4" t="s">
        <v>7</v>
      </c>
      <c r="B9" s="5"/>
      <c r="C9" s="3">
        <v>100</v>
      </c>
      <c r="E9" s="12">
        <f t="shared" si="4"/>
        <v>0.7</v>
      </c>
      <c r="F9" s="12">
        <f>0</f>
        <v>0</v>
      </c>
      <c r="G9" s="18">
        <f>$C$10*(1.2-Tableau2[[#This Row],[X]])</f>
        <v>8335</v>
      </c>
      <c r="H9" s="18">
        <f>$C$10*1.2*Tableau2[[#This Row],[X]]</f>
        <v>14002.8</v>
      </c>
      <c r="P9" s="32" t="s">
        <v>51</v>
      </c>
      <c r="R9">
        <f>R3*(R4/12)</f>
        <v>3333.9999999999995</v>
      </c>
      <c r="T9" s="17">
        <f t="shared" si="5"/>
        <v>0.7</v>
      </c>
      <c r="U9" s="34">
        <f t="shared" si="0"/>
        <v>-6721.3440000000001</v>
      </c>
      <c r="AD9" s="4" t="s">
        <v>7</v>
      </c>
      <c r="AE9" s="5"/>
      <c r="AF9" s="29">
        <v>100</v>
      </c>
      <c r="AH9" s="28">
        <f t="shared" si="6"/>
        <v>0.7</v>
      </c>
      <c r="AI9" s="28">
        <v>0</v>
      </c>
      <c r="AJ9" s="28">
        <f t="shared" si="1"/>
        <v>12086.35</v>
      </c>
      <c r="AK9" s="28">
        <f t="shared" si="2"/>
        <v>14382.7565</v>
      </c>
      <c r="AS9">
        <f>AU3/-24</f>
        <v>-1007.1958333333333</v>
      </c>
      <c r="AW9">
        <f t="shared" si="7"/>
        <v>0.7</v>
      </c>
      <c r="AX9">
        <f t="shared" si="3"/>
        <v>-10908.333753333332</v>
      </c>
    </row>
    <row r="10" spans="1:50" x14ac:dyDescent="0.3">
      <c r="A10" s="4" t="s">
        <v>8</v>
      </c>
      <c r="B10" s="5"/>
      <c r="C10" s="3">
        <v>16670</v>
      </c>
      <c r="E10" s="12">
        <f t="shared" si="4"/>
        <v>0.79999999999999993</v>
      </c>
      <c r="F10" s="12">
        <f>0</f>
        <v>0</v>
      </c>
      <c r="G10" s="18">
        <f>$C$10*(1.2-Tableau2[[#This Row],[X]])</f>
        <v>6668</v>
      </c>
      <c r="H10" s="18">
        <f>$C$10*1.2*Tableau2[[#This Row],[X]]</f>
        <v>16003.199999999999</v>
      </c>
      <c r="P10" s="32" t="s">
        <v>52</v>
      </c>
      <c r="R10">
        <f>R3*((R4^3)/24)</f>
        <v>9601.92</v>
      </c>
      <c r="T10" s="16">
        <f t="shared" si="5"/>
        <v>0.79999999999999993</v>
      </c>
      <c r="U10" s="34">
        <f t="shared" si="0"/>
        <v>-7681.5359999999991</v>
      </c>
      <c r="AD10" s="4" t="s">
        <v>8</v>
      </c>
      <c r="AE10" s="5"/>
      <c r="AF10" s="29">
        <f>SUM(AF7:AF9)</f>
        <v>24172.7</v>
      </c>
      <c r="AH10" s="28">
        <f t="shared" si="6"/>
        <v>0.79999999999999993</v>
      </c>
      <c r="AI10" s="28">
        <v>0</v>
      </c>
      <c r="AJ10" s="28">
        <f t="shared" si="1"/>
        <v>9669.08</v>
      </c>
      <c r="AK10" s="28">
        <f t="shared" si="2"/>
        <v>15470.528</v>
      </c>
      <c r="AS10">
        <f>AU3*(AU4/12)</f>
        <v>4834.54</v>
      </c>
      <c r="AW10">
        <f t="shared" si="7"/>
        <v>0.79999999999999993</v>
      </c>
      <c r="AX10">
        <f t="shared" si="3"/>
        <v>-11886.522346666665</v>
      </c>
    </row>
    <row r="11" spans="1:50" x14ac:dyDescent="0.3">
      <c r="A11" s="4" t="s">
        <v>9</v>
      </c>
      <c r="B11" s="5" t="s">
        <v>14</v>
      </c>
      <c r="C11" s="3">
        <v>2.4</v>
      </c>
      <c r="E11" s="12">
        <f t="shared" si="4"/>
        <v>0.89999999999999991</v>
      </c>
      <c r="F11" s="12">
        <f>0</f>
        <v>0</v>
      </c>
      <c r="G11" s="18">
        <f>$C$10*(1.2-Tableau2[[#This Row],[X]])</f>
        <v>5001.0000000000009</v>
      </c>
      <c r="H11" s="18">
        <f>$C$10*1.2*Tableau2[[#This Row],[X]]</f>
        <v>18003.599999999999</v>
      </c>
      <c r="T11" s="17">
        <f t="shared" si="5"/>
        <v>0.89999999999999991</v>
      </c>
      <c r="U11" s="34">
        <f t="shared" si="0"/>
        <v>-8641.7279999999992</v>
      </c>
      <c r="AD11" s="4" t="s">
        <v>9</v>
      </c>
      <c r="AE11" s="5" t="s">
        <v>14</v>
      </c>
      <c r="AF11" s="29">
        <v>2.4</v>
      </c>
      <c r="AH11" s="28">
        <f t="shared" si="6"/>
        <v>0.89999999999999991</v>
      </c>
      <c r="AI11" s="28">
        <v>0</v>
      </c>
      <c r="AJ11" s="28">
        <f t="shared" si="1"/>
        <v>7251.8100000000013</v>
      </c>
      <c r="AK11" s="28">
        <f t="shared" si="2"/>
        <v>16316.5725</v>
      </c>
      <c r="AS11">
        <f>-AU3*((AU4^3)/24)</f>
        <v>-13923.475199999999</v>
      </c>
      <c r="AW11">
        <f t="shared" si="7"/>
        <v>0.89999999999999991</v>
      </c>
      <c r="AX11">
        <f t="shared" si="3"/>
        <v>-12632.653019999998</v>
      </c>
    </row>
    <row r="12" spans="1:50" x14ac:dyDescent="0.3">
      <c r="A12" s="4" t="s">
        <v>10</v>
      </c>
      <c r="B12" s="5" t="s">
        <v>15</v>
      </c>
      <c r="C12" s="3">
        <v>210</v>
      </c>
      <c r="E12" s="12">
        <f t="shared" si="4"/>
        <v>0.99999999999999989</v>
      </c>
      <c r="F12" s="12">
        <f>0</f>
        <v>0</v>
      </c>
      <c r="G12" s="18">
        <f>$C$10*(1.2-Tableau2[[#This Row],[X]])</f>
        <v>3334.0000000000009</v>
      </c>
      <c r="H12" s="18">
        <f>$C$10*1.2*Tableau2[[#This Row],[X]]</f>
        <v>20003.999999999996</v>
      </c>
      <c r="T12" s="16">
        <f t="shared" si="5"/>
        <v>0.99999999999999989</v>
      </c>
      <c r="U12" s="34">
        <f t="shared" si="0"/>
        <v>-9601.9199999999983</v>
      </c>
      <c r="AD12" s="4" t="s">
        <v>10</v>
      </c>
      <c r="AE12" s="5" t="s">
        <v>15</v>
      </c>
      <c r="AF12" s="29">
        <v>210</v>
      </c>
      <c r="AH12" s="28">
        <f t="shared" si="6"/>
        <v>0.99999999999999989</v>
      </c>
      <c r="AI12" s="28">
        <v>0</v>
      </c>
      <c r="AJ12" s="28">
        <f t="shared" si="1"/>
        <v>4834.5400000000018</v>
      </c>
      <c r="AK12" s="28">
        <f t="shared" si="2"/>
        <v>16920.889999999996</v>
      </c>
      <c r="AW12">
        <f t="shared" si="7"/>
        <v>0.99999999999999989</v>
      </c>
      <c r="AX12">
        <f t="shared" si="3"/>
        <v>-13117.718533333333</v>
      </c>
    </row>
    <row r="13" spans="1:50" x14ac:dyDescent="0.3">
      <c r="E13" s="12">
        <f t="shared" si="4"/>
        <v>1.0999999999999999</v>
      </c>
      <c r="F13" s="12">
        <f>0</f>
        <v>0</v>
      </c>
      <c r="G13" s="18">
        <f>$C$10*(1.2-Tableau2[[#This Row],[X]])</f>
        <v>1667.0000000000016</v>
      </c>
      <c r="H13" s="18">
        <f>$C$10*1.2*Tableau2[[#This Row],[X]]</f>
        <v>22004.399999999998</v>
      </c>
      <c r="T13" s="17">
        <f t="shared" si="5"/>
        <v>1.0999999999999999</v>
      </c>
      <c r="U13" s="34">
        <f t="shared" si="0"/>
        <v>-10562.111999999999</v>
      </c>
      <c r="AE13" s="1"/>
      <c r="AF13" s="1"/>
      <c r="AH13" s="28">
        <f t="shared" si="6"/>
        <v>1.0999999999999999</v>
      </c>
      <c r="AI13" s="28">
        <v>0</v>
      </c>
      <c r="AJ13" s="28">
        <f t="shared" si="1"/>
        <v>2417.2700000000023</v>
      </c>
      <c r="AK13" s="28">
        <f t="shared" si="2"/>
        <v>17283.480499999998</v>
      </c>
      <c r="AW13">
        <f t="shared" si="7"/>
        <v>1.0999999999999999</v>
      </c>
      <c r="AX13">
        <f t="shared" si="3"/>
        <v>-13312.711646666665</v>
      </c>
    </row>
    <row r="14" spans="1:50" ht="15.6" x14ac:dyDescent="0.3">
      <c r="A14" s="13" t="s">
        <v>18</v>
      </c>
      <c r="B14" s="10">
        <v>0</v>
      </c>
      <c r="C14" s="11">
        <v>0</v>
      </c>
      <c r="E14" s="12">
        <f t="shared" si="4"/>
        <v>1.2</v>
      </c>
      <c r="F14" s="12">
        <f>0</f>
        <v>0</v>
      </c>
      <c r="G14" s="18">
        <f>$C$10*(1.2-Tableau2[[#This Row],[X]])</f>
        <v>0</v>
      </c>
      <c r="H14" s="18">
        <f>$C$10*1.2*Tableau2[[#This Row],[X]]</f>
        <v>24004.799999999999</v>
      </c>
      <c r="T14" s="16">
        <f t="shared" si="5"/>
        <v>1.2</v>
      </c>
      <c r="U14" s="34">
        <f t="shared" si="0"/>
        <v>-11522.304</v>
      </c>
      <c r="AD14" s="25" t="s">
        <v>18</v>
      </c>
      <c r="AE14" s="27">
        <v>0</v>
      </c>
      <c r="AF14" s="26">
        <v>0</v>
      </c>
      <c r="AH14" s="28">
        <f t="shared" si="6"/>
        <v>1.2</v>
      </c>
      <c r="AI14" s="28">
        <v>0</v>
      </c>
      <c r="AJ14" s="28">
        <f t="shared" si="1"/>
        <v>0</v>
      </c>
      <c r="AK14" s="28">
        <f t="shared" si="2"/>
        <v>17404.344000000001</v>
      </c>
      <c r="AW14">
        <f t="shared" si="7"/>
        <v>1.2</v>
      </c>
      <c r="AX14">
        <f t="shared" si="3"/>
        <v>-13188.625120000001</v>
      </c>
    </row>
    <row r="15" spans="1:50" ht="16.5" customHeight="1" x14ac:dyDescent="0.3">
      <c r="A15" s="38" t="s">
        <v>16</v>
      </c>
      <c r="B15" s="39"/>
      <c r="C15" s="40">
        <f>$C$10*$C$11/2</f>
        <v>20004</v>
      </c>
      <c r="E15" s="12">
        <f>0.1+E14</f>
        <v>1.3</v>
      </c>
      <c r="F15" s="12">
        <f>0</f>
        <v>0</v>
      </c>
      <c r="G15" s="18">
        <f>$C$10*(1.2-Tableau2[[#This Row],[X]])</f>
        <v>-1667.0000000000016</v>
      </c>
      <c r="H15" s="18">
        <f>$C$10*1.2*Tableau2[[#This Row],[X]]</f>
        <v>26005.200000000001</v>
      </c>
      <c r="T15" s="17">
        <f>0.1+T14</f>
        <v>1.3</v>
      </c>
      <c r="U15" s="34">
        <f t="shared" si="0"/>
        <v>-12482.496000000001</v>
      </c>
      <c r="AD15" s="38" t="s">
        <v>16</v>
      </c>
      <c r="AE15" s="39"/>
      <c r="AF15" s="40">
        <f>$C$10*$C$11/2</f>
        <v>20004</v>
      </c>
      <c r="AH15" s="28">
        <f t="shared" si="6"/>
        <v>1.3</v>
      </c>
      <c r="AI15" s="28">
        <v>0</v>
      </c>
      <c r="AJ15" s="28">
        <f t="shared" si="1"/>
        <v>-2417.2700000000023</v>
      </c>
      <c r="AK15" s="28">
        <f t="shared" si="2"/>
        <v>17283.480499999998</v>
      </c>
      <c r="AW15">
        <f t="shared" si="7"/>
        <v>1.3</v>
      </c>
      <c r="AX15">
        <f t="shared" si="3"/>
        <v>-12716.45171333333</v>
      </c>
    </row>
    <row r="16" spans="1:50" ht="20.100000000000001" customHeight="1" x14ac:dyDescent="0.3">
      <c r="A16" s="38"/>
      <c r="B16" s="39"/>
      <c r="C16" s="40"/>
      <c r="E16" s="12">
        <f t="shared" si="4"/>
        <v>1.4000000000000001</v>
      </c>
      <c r="F16" s="12">
        <f>0</f>
        <v>0</v>
      </c>
      <c r="G16" s="18">
        <f>$C$10*(1.2-Tableau2[[#This Row],[X]])</f>
        <v>-3334.0000000000032</v>
      </c>
      <c r="H16" s="18">
        <f>$C$10*1.2*Tableau2[[#This Row],[X]]</f>
        <v>28005.600000000002</v>
      </c>
      <c r="T16" s="16">
        <f t="shared" si="5"/>
        <v>1.4000000000000001</v>
      </c>
      <c r="U16" s="34">
        <f t="shared" si="0"/>
        <v>-13442.688000000002</v>
      </c>
      <c r="AD16" s="38"/>
      <c r="AE16" s="39"/>
      <c r="AF16" s="40"/>
      <c r="AH16" s="28">
        <f t="shared" si="6"/>
        <v>1.4000000000000001</v>
      </c>
      <c r="AI16" s="28">
        <v>0</v>
      </c>
      <c r="AJ16" s="28">
        <f t="shared" si="1"/>
        <v>-4834.5400000000045</v>
      </c>
      <c r="AK16" s="28">
        <f t="shared" si="2"/>
        <v>16920.89</v>
      </c>
      <c r="AW16">
        <f t="shared" si="7"/>
        <v>1.4000000000000001</v>
      </c>
      <c r="AX16">
        <f t="shared" si="3"/>
        <v>-11867.184186666665</v>
      </c>
    </row>
    <row r="17" spans="1:50" ht="16.5" customHeight="1" x14ac:dyDescent="0.3">
      <c r="A17" s="38" t="s">
        <v>17</v>
      </c>
      <c r="B17" s="39"/>
      <c r="C17" s="40">
        <f>$C$10*$C$11/2</f>
        <v>20004</v>
      </c>
      <c r="E17" s="12">
        <f t="shared" si="4"/>
        <v>1.5000000000000002</v>
      </c>
      <c r="F17" s="12">
        <f>0</f>
        <v>0</v>
      </c>
      <c r="G17" s="18">
        <f>$C$10*(1.2-Tableau2[[#This Row],[X]])</f>
        <v>-5001.0000000000045</v>
      </c>
      <c r="H17" s="18">
        <f>$C$10*1.2*Tableau2[[#This Row],[X]]</f>
        <v>30006.000000000004</v>
      </c>
      <c r="T17" s="17">
        <f t="shared" si="5"/>
        <v>1.5000000000000002</v>
      </c>
      <c r="U17" s="34">
        <f t="shared" si="0"/>
        <v>-14402.880000000003</v>
      </c>
      <c r="AD17" s="38" t="s">
        <v>17</v>
      </c>
      <c r="AE17" s="39"/>
      <c r="AF17" s="40">
        <f>$C$10*$C$11/2</f>
        <v>20004</v>
      </c>
      <c r="AH17" s="28">
        <f t="shared" si="6"/>
        <v>1.5000000000000002</v>
      </c>
      <c r="AI17" s="28">
        <v>0</v>
      </c>
      <c r="AJ17" s="28">
        <f t="shared" si="1"/>
        <v>-7251.8100000000068</v>
      </c>
      <c r="AK17" s="28">
        <f t="shared" si="2"/>
        <v>16316.572499999997</v>
      </c>
      <c r="AW17">
        <f t="shared" si="7"/>
        <v>1.5000000000000002</v>
      </c>
      <c r="AX17">
        <f t="shared" si="3"/>
        <v>-10611.815299999993</v>
      </c>
    </row>
    <row r="18" spans="1:50" x14ac:dyDescent="0.3">
      <c r="A18" s="38"/>
      <c r="B18" s="39"/>
      <c r="C18" s="40"/>
      <c r="E18" s="12">
        <f t="shared" si="4"/>
        <v>1.6000000000000003</v>
      </c>
      <c r="F18" s="12">
        <f>0</f>
        <v>0</v>
      </c>
      <c r="G18" s="18">
        <f>$C$10*(1.2-Tableau2[[#This Row],[X]])</f>
        <v>-6668.0000000000064</v>
      </c>
      <c r="H18" s="18">
        <f>$C$10*1.2*Tableau2[[#This Row],[X]]</f>
        <v>32006.400000000005</v>
      </c>
      <c r="T18" s="16">
        <f t="shared" si="5"/>
        <v>1.6000000000000003</v>
      </c>
      <c r="U18" s="34">
        <f t="shared" si="0"/>
        <v>-15363.072000000004</v>
      </c>
      <c r="AD18" s="38"/>
      <c r="AE18" s="39"/>
      <c r="AF18" s="40"/>
      <c r="AH18" s="28">
        <f t="shared" si="6"/>
        <v>1.6000000000000003</v>
      </c>
      <c r="AI18" s="28">
        <v>0</v>
      </c>
      <c r="AJ18" s="28">
        <f t="shared" si="1"/>
        <v>-9669.080000000009</v>
      </c>
      <c r="AK18" s="28">
        <f t="shared" si="2"/>
        <v>15470.527999999995</v>
      </c>
      <c r="AW18">
        <f t="shared" si="7"/>
        <v>1.6000000000000003</v>
      </c>
      <c r="AX18">
        <f t="shared" si="3"/>
        <v>-8921.3378133333281</v>
      </c>
    </row>
    <row r="19" spans="1:50" x14ac:dyDescent="0.3">
      <c r="A19" s="7"/>
      <c r="E19" s="12">
        <f>0.1+E18</f>
        <v>1.7000000000000004</v>
      </c>
      <c r="F19" s="12">
        <f>0</f>
        <v>0</v>
      </c>
      <c r="G19" s="18">
        <f>$C$10*(1.2-Tableau2[[#This Row],[X]])</f>
        <v>-8335.0000000000073</v>
      </c>
      <c r="H19" s="18">
        <f>$C$10*1.2*Tableau2[[#This Row],[X]]</f>
        <v>34006.80000000001</v>
      </c>
      <c r="T19" s="17">
        <f>0.1+T18</f>
        <v>1.7000000000000004</v>
      </c>
      <c r="U19" s="34">
        <f t="shared" si="0"/>
        <v>-16323.264000000005</v>
      </c>
      <c r="AH19" s="28">
        <f t="shared" si="6"/>
        <v>1.7000000000000004</v>
      </c>
      <c r="AI19" s="28">
        <v>0</v>
      </c>
      <c r="AJ19" s="28">
        <f t="shared" si="1"/>
        <v>-12086.350000000011</v>
      </c>
      <c r="AK19" s="28">
        <f t="shared" si="2"/>
        <v>14382.756499999994</v>
      </c>
      <c r="AW19">
        <f t="shared" si="7"/>
        <v>1.7000000000000004</v>
      </c>
      <c r="AX19">
        <f t="shared" si="3"/>
        <v>-6766.7444866666519</v>
      </c>
    </row>
    <row r="20" spans="1:50" x14ac:dyDescent="0.3">
      <c r="A20" s="8"/>
      <c r="E20" s="12">
        <f t="shared" si="4"/>
        <v>1.8000000000000005</v>
      </c>
      <c r="F20" s="12">
        <f>0</f>
        <v>0</v>
      </c>
      <c r="G20" s="18">
        <f>$C$10*(1.2-Tableau2[[#This Row],[X]])</f>
        <v>-10002.000000000009</v>
      </c>
      <c r="H20" s="18">
        <f>$C$10*1.2*Tableau2[[#This Row],[X]]</f>
        <v>36007.200000000012</v>
      </c>
      <c r="T20" s="16">
        <f t="shared" si="5"/>
        <v>1.8000000000000005</v>
      </c>
      <c r="U20" s="34">
        <f t="shared" si="0"/>
        <v>-17283.456000000006</v>
      </c>
      <c r="AH20" s="28">
        <f>AH19+0.1</f>
        <v>1.8000000000000005</v>
      </c>
      <c r="AI20" s="28">
        <v>0</v>
      </c>
      <c r="AJ20" s="28">
        <f t="shared" si="1"/>
        <v>-14503.620000000014</v>
      </c>
      <c r="AK20" s="28">
        <f>$AF$10*(AH20/2)*(2.4-AH20)</f>
        <v>13053.257999999993</v>
      </c>
      <c r="AW20">
        <f t="shared" si="7"/>
        <v>1.8000000000000005</v>
      </c>
      <c r="AX20">
        <f t="shared" si="3"/>
        <v>-4119.0280799999855</v>
      </c>
    </row>
    <row r="21" spans="1:50" x14ac:dyDescent="0.3">
      <c r="A21" s="8"/>
      <c r="E21" s="12">
        <f t="shared" si="4"/>
        <v>1.9000000000000006</v>
      </c>
      <c r="F21" s="12">
        <f>0</f>
        <v>0</v>
      </c>
      <c r="G21" s="18">
        <f>$C$10*(1.2-Tableau2[[#This Row],[X]])</f>
        <v>-11669.000000000011</v>
      </c>
      <c r="H21" s="18">
        <f>$C$10*1.2*Tableau2[[#This Row],[X]]</f>
        <v>38007.600000000013</v>
      </c>
      <c r="R21" t="s">
        <v>54</v>
      </c>
      <c r="T21" s="17">
        <f t="shared" si="5"/>
        <v>1.9000000000000006</v>
      </c>
      <c r="U21" s="34">
        <f t="shared" si="0"/>
        <v>-18243.648000000005</v>
      </c>
      <c r="AH21" s="28">
        <f t="shared" si="6"/>
        <v>1.9000000000000006</v>
      </c>
      <c r="AI21" s="28">
        <v>0</v>
      </c>
      <c r="AJ21" s="28">
        <f t="shared" si="1"/>
        <v>-16920.890000000014</v>
      </c>
      <c r="AK21" s="28">
        <f t="shared" si="2"/>
        <v>11482.032499999988</v>
      </c>
      <c r="AW21">
        <f t="shared" si="7"/>
        <v>1.9000000000000006</v>
      </c>
      <c r="AX21">
        <f t="shared" si="3"/>
        <v>-949.18135333330792</v>
      </c>
    </row>
    <row r="22" spans="1:50" x14ac:dyDescent="0.3">
      <c r="A22" s="8"/>
      <c r="E22" s="12">
        <f t="shared" si="4"/>
        <v>2.0000000000000004</v>
      </c>
      <c r="F22" s="12">
        <f>0</f>
        <v>0</v>
      </c>
      <c r="G22" s="18">
        <f>$C$10*(1.2-Tableau2[[#This Row],[X]])</f>
        <v>-13336.000000000007</v>
      </c>
      <c r="H22" s="18">
        <f>$C$10*1.2*Tableau2[[#This Row],[X]]</f>
        <v>40008.000000000007</v>
      </c>
      <c r="T22" s="16">
        <f t="shared" si="5"/>
        <v>2.0000000000000004</v>
      </c>
      <c r="U22" s="34">
        <f t="shared" si="0"/>
        <v>-19203.840000000004</v>
      </c>
      <c r="AH22" s="28">
        <f t="shared" si="6"/>
        <v>2.0000000000000004</v>
      </c>
      <c r="AI22" s="28">
        <v>0</v>
      </c>
      <c r="AJ22" s="28">
        <f t="shared" si="1"/>
        <v>-19338.160000000011</v>
      </c>
      <c r="AK22" s="28">
        <f t="shared" si="2"/>
        <v>9669.079999999989</v>
      </c>
      <c r="AW22">
        <f>AW21+0.1</f>
        <v>2.0000000000000004</v>
      </c>
      <c r="AX22">
        <f t="shared" si="3"/>
        <v>2771.8029333333543</v>
      </c>
    </row>
    <row r="23" spans="1:50" x14ac:dyDescent="0.3">
      <c r="A23" s="9"/>
      <c r="E23" s="12">
        <f t="shared" si="4"/>
        <v>2.1000000000000005</v>
      </c>
      <c r="F23" s="12">
        <f>0</f>
        <v>0</v>
      </c>
      <c r="G23" s="18">
        <f>$C$10*(1.2-Tableau2[[#This Row],[X]])</f>
        <v>-15003.000000000009</v>
      </c>
      <c r="H23" s="18">
        <f>$C$10*1.2*Tableau2[[#This Row],[X]]</f>
        <v>42008.400000000009</v>
      </c>
      <c r="T23" s="17">
        <f t="shared" si="5"/>
        <v>2.1000000000000005</v>
      </c>
      <c r="U23" s="34">
        <f t="shared" si="0"/>
        <v>-20164.032000000007</v>
      </c>
      <c r="AH23" s="28">
        <f t="shared" si="6"/>
        <v>2.1000000000000005</v>
      </c>
      <c r="AI23" s="28">
        <v>0</v>
      </c>
      <c r="AJ23" s="28">
        <f t="shared" si="1"/>
        <v>-21755.430000000015</v>
      </c>
      <c r="AK23" s="28">
        <f t="shared" si="2"/>
        <v>7614.4004999999861</v>
      </c>
      <c r="AW23">
        <f t="shared" si="7"/>
        <v>2.1000000000000005</v>
      </c>
      <c r="AX23">
        <f t="shared" si="3"/>
        <v>7072.9320200000293</v>
      </c>
    </row>
    <row r="24" spans="1:50" x14ac:dyDescent="0.3">
      <c r="E24" s="12">
        <f t="shared" si="4"/>
        <v>2.2000000000000006</v>
      </c>
      <c r="F24" s="12">
        <f>0</f>
        <v>0</v>
      </c>
      <c r="G24" s="18">
        <f>$C$10*(1.2-Tableau2[[#This Row],[X]])</f>
        <v>-16670.000000000011</v>
      </c>
      <c r="H24" s="18">
        <f>$C$10*1.2*Tableau2[[#This Row],[X]]</f>
        <v>44008.80000000001</v>
      </c>
      <c r="T24" s="16">
        <f t="shared" si="5"/>
        <v>2.2000000000000006</v>
      </c>
      <c r="U24" s="34">
        <f t="shared" si="0"/>
        <v>-21124.224000000006</v>
      </c>
      <c r="AH24" s="28">
        <f t="shared" si="6"/>
        <v>2.2000000000000006</v>
      </c>
      <c r="AI24" s="28">
        <v>0</v>
      </c>
      <c r="AJ24" s="28">
        <f t="shared" si="1"/>
        <v>-24172.700000000015</v>
      </c>
      <c r="AK24" s="28">
        <f t="shared" si="2"/>
        <v>5317.9939999999824</v>
      </c>
      <c r="AW24">
        <f t="shared" si="7"/>
        <v>2.2000000000000006</v>
      </c>
      <c r="AX24">
        <f t="shared" si="3"/>
        <v>11983.213146666698</v>
      </c>
    </row>
    <row r="25" spans="1:50" x14ac:dyDescent="0.3">
      <c r="E25" s="12">
        <f t="shared" si="4"/>
        <v>2.3000000000000007</v>
      </c>
      <c r="F25" s="12">
        <f>0</f>
        <v>0</v>
      </c>
      <c r="G25" s="18">
        <f>$C$10*(1.2-Tableau2[[#This Row],[X]])</f>
        <v>-18337.000000000011</v>
      </c>
      <c r="H25" s="18">
        <f>$C$10*1.2*Tableau2[[#This Row],[X]]</f>
        <v>46009.200000000012</v>
      </c>
      <c r="T25" s="17">
        <f t="shared" si="5"/>
        <v>2.3000000000000007</v>
      </c>
      <c r="U25" s="34">
        <f t="shared" si="0"/>
        <v>-22084.416000000008</v>
      </c>
      <c r="AH25" s="28">
        <f>AH24+0.1</f>
        <v>2.3000000000000007</v>
      </c>
      <c r="AI25" s="28">
        <v>0</v>
      </c>
      <c r="AJ25" s="28">
        <f t="shared" si="1"/>
        <v>-26589.970000000019</v>
      </c>
      <c r="AK25" s="28">
        <f t="shared" si="2"/>
        <v>2779.8604999999789</v>
      </c>
      <c r="AW25">
        <f>AW24+0.1</f>
        <v>2.3000000000000007</v>
      </c>
      <c r="AX25">
        <f t="shared" si="3"/>
        <v>17531.653553333384</v>
      </c>
    </row>
    <row r="26" spans="1:50" x14ac:dyDescent="0.3">
      <c r="E26" s="12">
        <f t="shared" si="4"/>
        <v>2.4000000000000008</v>
      </c>
      <c r="F26" s="12">
        <f>0</f>
        <v>0</v>
      </c>
      <c r="G26" s="18">
        <f>$C$10*(1.2-Tableau2[[#This Row],[X]])</f>
        <v>-20004.000000000015</v>
      </c>
      <c r="H26" s="18">
        <f>$C$10*1.2*Tableau2[[#This Row],[X]]</f>
        <v>48009.600000000013</v>
      </c>
      <c r="T26" s="16">
        <f t="shared" si="5"/>
        <v>2.4000000000000008</v>
      </c>
      <c r="U26" s="34">
        <f t="shared" si="0"/>
        <v>-23044.608000000007</v>
      </c>
      <c r="AH26" s="28">
        <f t="shared" si="6"/>
        <v>2.4000000000000008</v>
      </c>
      <c r="AI26" s="28">
        <v>0</v>
      </c>
      <c r="AJ26" s="28">
        <f t="shared" si="1"/>
        <v>-29007.24000000002</v>
      </c>
      <c r="AK26" s="28">
        <f t="shared" si="2"/>
        <v>-2.5763604583062269E-11</v>
      </c>
      <c r="AW26">
        <f t="shared" si="7"/>
        <v>2.4000000000000008</v>
      </c>
      <c r="AX26">
        <f t="shared" si="3"/>
        <v>23747.260480000063</v>
      </c>
    </row>
    <row r="27" spans="1:50" x14ac:dyDescent="0.3">
      <c r="AH27" s="28"/>
      <c r="AI27" s="28"/>
      <c r="AJ27" s="18"/>
      <c r="AK27" s="18"/>
    </row>
  </sheetData>
  <mergeCells count="14">
    <mergeCell ref="P2:R2"/>
    <mergeCell ref="A15:A16"/>
    <mergeCell ref="C15:C16"/>
    <mergeCell ref="B15:B16"/>
    <mergeCell ref="A17:A18"/>
    <mergeCell ref="B17:B18"/>
    <mergeCell ref="C17:C18"/>
    <mergeCell ref="AS2:AU2"/>
    <mergeCell ref="AD15:AD16"/>
    <mergeCell ref="AE15:AE16"/>
    <mergeCell ref="AF15:AF16"/>
    <mergeCell ref="AD17:AD18"/>
    <mergeCell ref="AE17:AE18"/>
    <mergeCell ref="AF17:AF18"/>
  </mergeCells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65E5C-9CC3-4429-B349-7A17A83DEFD1}">
  <dimension ref="A1:Z269"/>
  <sheetViews>
    <sheetView zoomScale="81" zoomScaleNormal="100" workbookViewId="0">
      <selection activeCell="AB21" sqref="AB21"/>
    </sheetView>
  </sheetViews>
  <sheetFormatPr baseColWidth="10" defaultRowHeight="14.4" x14ac:dyDescent="0.3"/>
  <cols>
    <col min="1" max="1" width="25.88671875" bestFit="1" customWidth="1"/>
    <col min="2" max="2" width="13.33203125" customWidth="1"/>
    <col min="3" max="3" width="12" bestFit="1" customWidth="1"/>
  </cols>
  <sheetData>
    <row r="1" spans="1:26" x14ac:dyDescent="0.3">
      <c r="E1" s="41" t="s">
        <v>42</v>
      </c>
      <c r="F1" s="41"/>
      <c r="G1" s="41"/>
      <c r="H1" s="41"/>
      <c r="J1" s="41" t="s">
        <v>43</v>
      </c>
      <c r="K1" s="41"/>
      <c r="L1" s="41"/>
      <c r="M1" s="41"/>
    </row>
    <row r="2" spans="1:26" x14ac:dyDescent="0.3">
      <c r="A2" s="21" t="s">
        <v>35</v>
      </c>
      <c r="B2" s="21"/>
      <c r="C2" s="21">
        <f>C3/2</f>
        <v>10002</v>
      </c>
      <c r="E2" s="12" t="s">
        <v>22</v>
      </c>
      <c r="F2" s="12" t="s">
        <v>29</v>
      </c>
      <c r="G2" s="12" t="s">
        <v>30</v>
      </c>
      <c r="H2" s="12" t="s">
        <v>31</v>
      </c>
      <c r="J2" s="12" t="s">
        <v>22</v>
      </c>
      <c r="K2" s="12" t="s">
        <v>32</v>
      </c>
      <c r="L2" s="12" t="s">
        <v>34</v>
      </c>
      <c r="M2" s="12" t="s">
        <v>33</v>
      </c>
      <c r="V2" s="12" t="s">
        <v>22</v>
      </c>
      <c r="W2" s="12" t="s">
        <v>30</v>
      </c>
      <c r="Y2" s="22"/>
      <c r="Z2" s="22"/>
    </row>
    <row r="3" spans="1:26" x14ac:dyDescent="0.3">
      <c r="A3" s="21" t="s">
        <v>36</v>
      </c>
      <c r="B3" s="21"/>
      <c r="C3" s="21">
        <f>Solive!C10*Solive!C11/2</f>
        <v>20004</v>
      </c>
      <c r="E3" s="12">
        <v>0</v>
      </c>
      <c r="F3" s="12">
        <f>0</f>
        <v>0</v>
      </c>
      <c r="G3" s="12">
        <f>$C$11-$C$2-($C$5*Tableau6[[#This Row],[X]])</f>
        <v>11725.470000000001</v>
      </c>
      <c r="H3" s="12">
        <f>($C$11*Tableau6[[#This Row],[X]])-($C$2*Tableau6[[#This Row],[X]])-($C$5*(Tableau6[[#This Row],[X]]^2)/2)</f>
        <v>0</v>
      </c>
      <c r="J3" s="12">
        <f t="shared" ref="J3" si="0">C9</f>
        <v>3.0449999999999999</v>
      </c>
      <c r="K3" s="12">
        <f>0</f>
        <v>0</v>
      </c>
      <c r="L3" s="12">
        <f>(-$C$13)+$C$4+$C$5*($C$6-Tableau68[[#This Row],[X]])</f>
        <v>-10002.000000000002</v>
      </c>
      <c r="M3" s="12">
        <f>Tableau68[[#This Row],[X]]*($C$11-$C$2)-($C$3*(Tableau68[[#This Row],[X]]-($C$6/2)))-($C$5*(Tableau68[[#This Row],[X]]^2)/2)</f>
        <v>33080.073075000008</v>
      </c>
      <c r="V3" s="12">
        <v>0</v>
      </c>
      <c r="W3" s="12">
        <f>((($C$11-$C$2)*((Tableau5[[#This Row],[X]]^3)/6))-($C$5*(Tableau5[[#This Row],[X]]^4)/24)+($C$17*Tableau5[[#This Row],[X]])+$C$18)/($C$7*$C$8)</f>
        <v>0</v>
      </c>
      <c r="Y3" s="22"/>
      <c r="Z3" s="22"/>
    </row>
    <row r="4" spans="1:26" x14ac:dyDescent="0.3">
      <c r="A4" s="21" t="s">
        <v>37</v>
      </c>
      <c r="B4" s="21"/>
      <c r="C4" s="21">
        <f>C2</f>
        <v>10002</v>
      </c>
      <c r="E4" s="12">
        <f>E3+0.1</f>
        <v>0.1</v>
      </c>
      <c r="F4" s="12">
        <f>0</f>
        <v>0</v>
      </c>
      <c r="G4" s="12">
        <f>$C$11-$C$2-($C$5*Tableau6[[#This Row],[X]])</f>
        <v>11668.87</v>
      </c>
      <c r="H4" s="12">
        <f>($C$11*Tableau6[[#This Row],[X]])-($C$2*Tableau6[[#This Row],[X]])-($C$5*(Tableau6[[#This Row],[X]]^2)/2)</f>
        <v>1169.7170000000003</v>
      </c>
      <c r="J4" s="12">
        <f>J3+0.1</f>
        <v>3.145</v>
      </c>
      <c r="K4" s="12">
        <f>0</f>
        <v>0</v>
      </c>
      <c r="L4" s="12">
        <f>(-$C$13)+$C$4+$C$5*($C$6-Tableau68[[#This Row],[X]])</f>
        <v>-10058.600000000002</v>
      </c>
      <c r="M4" s="12">
        <f>Tableau68[[#This Row],[X]]*($C$11-$C$2)-($C$3*(Tableau68[[#This Row],[X]]-($C$6/2)))-($C$5*(Tableau68[[#This Row],[X]]^2)/2)</f>
        <v>32077.043075000001</v>
      </c>
      <c r="V4" s="12">
        <f>V3+0.1</f>
        <v>0.1</v>
      </c>
      <c r="W4" s="12">
        <f>((($C$11-$C$2)*((Tableau5[[#This Row],[X]]^3)/6))-($C$5*(Tableau5[[#This Row],[X]]^4)/24)+($C$17*Tableau5[[#This Row],[X]])+$C$18)/($C$7*$C$8)</f>
        <v>-1.5091524437923116E-3</v>
      </c>
      <c r="Y4" s="22"/>
      <c r="Z4" s="22"/>
    </row>
    <row r="5" spans="1:26" x14ac:dyDescent="0.3">
      <c r="A5" s="21" t="s">
        <v>49</v>
      </c>
      <c r="B5" s="21"/>
      <c r="C5" s="21">
        <v>566</v>
      </c>
      <c r="E5" s="12">
        <f t="shared" ref="E5:E34" si="1">E4+0.1</f>
        <v>0.2</v>
      </c>
      <c r="F5" s="12">
        <f>0</f>
        <v>0</v>
      </c>
      <c r="G5" s="12">
        <f>$C$11-$C$2-($C$5*Tableau6[[#This Row],[X]])</f>
        <v>11612.27</v>
      </c>
      <c r="H5" s="12">
        <f>($C$11*Tableau6[[#This Row],[X]])-($C$2*Tableau6[[#This Row],[X]])-($C$5*(Tableau6[[#This Row],[X]]^2)/2)</f>
        <v>2333.7740000000003</v>
      </c>
      <c r="J5" s="12">
        <f t="shared" ref="J5:J34" si="2">J4+0.1</f>
        <v>3.2450000000000001</v>
      </c>
      <c r="K5" s="12">
        <f>0</f>
        <v>0</v>
      </c>
      <c r="L5" s="12">
        <f>(-$C$13)+$C$4+$C$5*($C$6-Tableau68[[#This Row],[X]])</f>
        <v>-10115.200000000001</v>
      </c>
      <c r="M5" s="12">
        <f>Tableau68[[#This Row],[X]]*($C$11-$C$2)-($C$3*(Tableau68[[#This Row],[X]]-($C$6/2)))-($C$5*(Tableau68[[#This Row],[X]]^2)/2)</f>
        <v>31068.353075000006</v>
      </c>
      <c r="V5" s="30">
        <f t="shared" ref="V5:V63" si="3">V4+0.1</f>
        <v>0.2</v>
      </c>
      <c r="W5" s="12">
        <f>((($C$11-$C$2)*((Tableau5[[#This Row],[X]]^3)/6))-($C$5*(Tableau5[[#This Row],[X]]^4)/24)+($C$17*Tableau5[[#This Row],[X]])+$C$18)/($C$7*$C$8)</f>
        <v>-3.0148902459706758E-3</v>
      </c>
      <c r="Y5" s="22"/>
      <c r="Z5" s="22"/>
    </row>
    <row r="6" spans="1:26" x14ac:dyDescent="0.3">
      <c r="A6" s="21" t="s">
        <v>25</v>
      </c>
      <c r="B6" s="21"/>
      <c r="C6" s="21">
        <v>6.09</v>
      </c>
      <c r="E6" s="12">
        <f t="shared" si="1"/>
        <v>0.30000000000000004</v>
      </c>
      <c r="F6" s="12">
        <f>0</f>
        <v>0</v>
      </c>
      <c r="G6" s="12">
        <f>$C$11-$C$2-($C$5*Tableau6[[#This Row],[X]])</f>
        <v>11555.670000000002</v>
      </c>
      <c r="H6" s="12">
        <f>($C$11*Tableau6[[#This Row],[X]])-($C$2*Tableau6[[#This Row],[X]])-($C$5*(Tableau6[[#This Row],[X]]^2)/2)</f>
        <v>3492.1710000000007</v>
      </c>
      <c r="J6" s="12">
        <f t="shared" si="2"/>
        <v>3.3450000000000002</v>
      </c>
      <c r="K6" s="12">
        <f>0</f>
        <v>0</v>
      </c>
      <c r="L6" s="12">
        <f>(-$C$13)+$C$4+$C$5*($C$6-Tableau68[[#This Row],[X]])</f>
        <v>-10171.800000000001</v>
      </c>
      <c r="M6" s="12">
        <f>Tableau68[[#This Row],[X]]*($C$11-$C$2)-($C$3*(Tableau68[[#This Row],[X]]-($C$6/2)))-($C$5*(Tableau68[[#This Row],[X]]^2)/2)</f>
        <v>30054.003075000004</v>
      </c>
      <c r="V6" s="30">
        <f t="shared" si="3"/>
        <v>0.30000000000000004</v>
      </c>
      <c r="W6" s="12">
        <f>((($C$11-$C$2)*((Tableau5[[#This Row],[X]]^3)/6))-($C$5*(Tableau5[[#This Row],[X]]^4)/24)+($C$17*Tableau5[[#This Row],[X]])+$C$18)/($C$7*$C$8)</f>
        <v>-4.5138139168301606E-3</v>
      </c>
      <c r="Y6" s="22"/>
      <c r="Z6" s="22"/>
    </row>
    <row r="7" spans="1:26" x14ac:dyDescent="0.3">
      <c r="A7" s="21" t="s">
        <v>26</v>
      </c>
      <c r="B7" s="21"/>
      <c r="C7" s="21">
        <f>210*10^9</f>
        <v>210000000000</v>
      </c>
      <c r="E7" s="12">
        <f t="shared" si="1"/>
        <v>0.4</v>
      </c>
      <c r="F7" s="12">
        <f>0</f>
        <v>0</v>
      </c>
      <c r="G7" s="12">
        <f>$C$11-$C$2-($C$5*Tableau6[[#This Row],[X]])</f>
        <v>11499.070000000002</v>
      </c>
      <c r="H7" s="12">
        <f>($C$11*Tableau6[[#This Row],[X]])-($C$2*Tableau6[[#This Row],[X]])-($C$5*(Tableau6[[#This Row],[X]]^2)/2)</f>
        <v>4644.9080000000013</v>
      </c>
      <c r="J7" s="12">
        <f t="shared" si="2"/>
        <v>3.4450000000000003</v>
      </c>
      <c r="K7" s="12">
        <f>0</f>
        <v>0</v>
      </c>
      <c r="L7" s="12">
        <f>(-$C$13)+$C$4+$C$5*($C$6-Tableau68[[#This Row],[X]])</f>
        <v>-10228.400000000001</v>
      </c>
      <c r="M7" s="12">
        <f>Tableau68[[#This Row],[X]]*($C$11-$C$2)-($C$3*(Tableau68[[#This Row],[X]]-($C$6/2)))-($C$5*(Tableau68[[#This Row],[X]]^2)/2)</f>
        <v>29033.993074999998</v>
      </c>
      <c r="V7" s="30">
        <f t="shared" si="3"/>
        <v>0.4</v>
      </c>
      <c r="W7" s="12">
        <f>((($C$11-$C$2)*((Tableau5[[#This Row],[X]]^3)/6))-($C$5*(Tableau5[[#This Row],[X]]^4)/24)+($C$17*Tableau5[[#This Row],[X]])+$C$18)/($C$7*$C$8)</f>
        <v>-6.0025404960211224E-3</v>
      </c>
      <c r="Y7" s="22"/>
      <c r="Z7" s="22"/>
    </row>
    <row r="8" spans="1:26" x14ac:dyDescent="0.3">
      <c r="A8" s="21" t="s">
        <v>40</v>
      </c>
      <c r="B8" s="21"/>
      <c r="C8" s="23">
        <f>(200/(C7*C6))*ABS(((C11-C2)*(C9^3)/6)-(C5*(C9^4)/24)+(C17*C9)+C18)</f>
        <v>1.6305766607812502E-5</v>
      </c>
      <c r="E8" s="12">
        <f t="shared" si="1"/>
        <v>0.5</v>
      </c>
      <c r="F8" s="12">
        <f>0</f>
        <v>0</v>
      </c>
      <c r="G8" s="12">
        <f>$C$11-$C$2-($C$5*Tableau6[[#This Row],[X]])</f>
        <v>11442.470000000001</v>
      </c>
      <c r="H8" s="12">
        <f>($C$11*Tableau6[[#This Row],[X]])-($C$2*Tableau6[[#This Row],[X]])-($C$5*(Tableau6[[#This Row],[X]]^2)/2)</f>
        <v>5791.9850000000006</v>
      </c>
      <c r="J8" s="12">
        <f t="shared" si="2"/>
        <v>3.5450000000000004</v>
      </c>
      <c r="K8" s="12">
        <f>0</f>
        <v>0</v>
      </c>
      <c r="L8" s="12">
        <f>(-$C$13)+$C$4+$C$5*($C$6-Tableau68[[#This Row],[X]])</f>
        <v>-10285.000000000002</v>
      </c>
      <c r="M8" s="12">
        <f>Tableau68[[#This Row],[X]]*($C$11-$C$2)-($C$3*(Tableau68[[#This Row],[X]]-($C$6/2)))-($C$5*(Tableau68[[#This Row],[X]]^2)/2)</f>
        <v>28008.323075000004</v>
      </c>
      <c r="V8" s="30">
        <f t="shared" si="3"/>
        <v>0.5</v>
      </c>
      <c r="W8" s="12">
        <f>((($C$11-$C$2)*((Tableau5[[#This Row],[X]]^3)/6))-($C$5*(Tableau5[[#This Row],[X]]^4)/24)+($C$17*Tableau5[[#This Row],[X]])+$C$18)/($C$7*$C$8)</f>
        <v>-7.4777035525492074E-3</v>
      </c>
      <c r="Y8" s="22"/>
      <c r="Z8" s="22"/>
    </row>
    <row r="9" spans="1:26" x14ac:dyDescent="0.3">
      <c r="A9" s="21" t="s">
        <v>38</v>
      </c>
      <c r="B9" s="21"/>
      <c r="C9" s="21">
        <f>C6/2</f>
        <v>3.0449999999999999</v>
      </c>
      <c r="E9" s="12">
        <f t="shared" si="1"/>
        <v>0.6</v>
      </c>
      <c r="F9" s="12">
        <f>0</f>
        <v>0</v>
      </c>
      <c r="G9" s="12">
        <f>$C$11-$C$2-($C$5*Tableau6[[#This Row],[X]])</f>
        <v>11385.87</v>
      </c>
      <c r="H9" s="12">
        <f>($C$11*Tableau6[[#This Row],[X]])-($C$2*Tableau6[[#This Row],[X]])-($C$5*(Tableau6[[#This Row],[X]]^2)/2)</f>
        <v>6933.402</v>
      </c>
      <c r="J9" s="12">
        <f t="shared" si="2"/>
        <v>3.6450000000000005</v>
      </c>
      <c r="K9" s="12">
        <f>0</f>
        <v>0</v>
      </c>
      <c r="L9" s="12">
        <f>(-$C$13)+$C$4+$C$5*($C$6-Tableau68[[#This Row],[X]])</f>
        <v>-10341.600000000002</v>
      </c>
      <c r="M9" s="12">
        <f>Tableau68[[#This Row],[X]]*($C$11-$C$2)-($C$3*(Tableau68[[#This Row],[X]]-($C$6/2)))-($C$5*(Tableau68[[#This Row],[X]]^2)/2)</f>
        <v>26976.993075000002</v>
      </c>
      <c r="V9" s="30">
        <f t="shared" si="3"/>
        <v>0.6</v>
      </c>
      <c r="W9" s="12">
        <f>((($C$11-$C$2)*((Tableau5[[#This Row],[X]]^3)/6))-($C$5*(Tableau5[[#This Row],[X]]^4)/24)+($C$17*Tableau5[[#This Row],[X]])+$C$18)/($C$7*$C$8)</f>
        <v>-8.935953184775353E-3</v>
      </c>
      <c r="Y9" s="22"/>
      <c r="Z9" s="22"/>
    </row>
    <row r="10" spans="1:26" x14ac:dyDescent="0.3">
      <c r="E10" s="12">
        <f t="shared" si="1"/>
        <v>0.7</v>
      </c>
      <c r="F10" s="12">
        <f>0</f>
        <v>0</v>
      </c>
      <c r="G10" s="12">
        <f>$C$11-$C$2-($C$5*Tableau6[[#This Row],[X]])</f>
        <v>11329.27</v>
      </c>
      <c r="H10" s="12">
        <f>($C$11*Tableau6[[#This Row],[X]])-($C$2*Tableau6[[#This Row],[X]])-($C$5*(Tableau6[[#This Row],[X]]^2)/2)</f>
        <v>8069.1589999999997</v>
      </c>
      <c r="J10" s="12">
        <f t="shared" si="2"/>
        <v>3.7450000000000006</v>
      </c>
      <c r="K10" s="12">
        <f>0</f>
        <v>0</v>
      </c>
      <c r="L10" s="12">
        <f>(-$C$13)+$C$4+$C$5*($C$6-Tableau68[[#This Row],[X]])</f>
        <v>-10398.200000000001</v>
      </c>
      <c r="M10" s="12">
        <f>Tableau68[[#This Row],[X]]*($C$11-$C$2)-($C$3*(Tableau68[[#This Row],[X]]-($C$6/2)))-($C$5*(Tableau68[[#This Row],[X]]^2)/2)</f>
        <v>25940.003074999997</v>
      </c>
      <c r="V10" s="30">
        <f t="shared" si="3"/>
        <v>0.7</v>
      </c>
      <c r="W10" s="12">
        <f>((($C$11-$C$2)*((Tableau5[[#This Row],[X]]^3)/6))-($C$5*(Tableau5[[#This Row],[X]]^4)/24)+($C$17*Tableau5[[#This Row],[X]])+$C$18)/($C$7*$C$8)</f>
        <v>-1.0373956020415782E-2</v>
      </c>
      <c r="Y10" s="22"/>
      <c r="Z10" s="22"/>
    </row>
    <row r="11" spans="1:26" x14ac:dyDescent="0.3">
      <c r="A11" s="40" t="s">
        <v>39</v>
      </c>
      <c r="B11" s="40"/>
      <c r="C11" s="40">
        <f>C2+(C3/2)+(C5*C6/2)</f>
        <v>21727.47</v>
      </c>
      <c r="E11" s="12">
        <f t="shared" si="1"/>
        <v>0.79999999999999993</v>
      </c>
      <c r="F11" s="12">
        <f>0</f>
        <v>0</v>
      </c>
      <c r="G11" s="12">
        <f>$C$11-$C$2-($C$5*Tableau6[[#This Row],[X]])</f>
        <v>11272.670000000002</v>
      </c>
      <c r="H11" s="12">
        <f>($C$11*Tableau6[[#This Row],[X]])-($C$2*Tableau6[[#This Row],[X]])-($C$5*(Tableau6[[#This Row],[X]]^2)/2)</f>
        <v>9199.2559999999994</v>
      </c>
      <c r="J11" s="12">
        <f t="shared" si="2"/>
        <v>3.8450000000000006</v>
      </c>
      <c r="K11" s="12">
        <f>0</f>
        <v>0</v>
      </c>
      <c r="L11" s="12">
        <f>(-$C$13)+$C$4+$C$5*($C$6-Tableau68[[#This Row],[X]])</f>
        <v>-10454.800000000001</v>
      </c>
      <c r="M11" s="12">
        <f>Tableau68[[#This Row],[X]]*($C$11-$C$2)-($C$3*(Tableau68[[#This Row],[X]]-($C$6/2)))-($C$5*(Tableau68[[#This Row],[X]]^2)/2)</f>
        <v>24897.353075000003</v>
      </c>
      <c r="V11" s="30">
        <f t="shared" si="3"/>
        <v>0.79999999999999993</v>
      </c>
      <c r="W11" s="12">
        <f>((($C$11-$C$2)*((Tableau5[[#This Row],[X]]^3)/6))-($C$5*(Tableau5[[#This Row],[X]]^4)/24)+($C$17*Tableau5[[#This Row],[X]])+$C$18)/($C$7*$C$8)</f>
        <v>-1.1788395216542008E-2</v>
      </c>
      <c r="Y11" s="22"/>
      <c r="Z11" s="22"/>
    </row>
    <row r="12" spans="1:26" x14ac:dyDescent="0.3">
      <c r="A12" s="40"/>
      <c r="B12" s="40"/>
      <c r="C12" s="40"/>
      <c r="E12" s="12">
        <f t="shared" si="1"/>
        <v>0.89999999999999991</v>
      </c>
      <c r="F12" s="12">
        <f>0</f>
        <v>0</v>
      </c>
      <c r="G12" s="12">
        <f>$C$11-$C$2-($C$5*Tableau6[[#This Row],[X]])</f>
        <v>11216.070000000002</v>
      </c>
      <c r="H12" s="12">
        <f>($C$11*Tableau6[[#This Row],[X]])-($C$2*Tableau6[[#This Row],[X]])-($C$5*(Tableau6[[#This Row],[X]]^2)/2)</f>
        <v>10323.692999999999</v>
      </c>
      <c r="J12" s="12">
        <f t="shared" si="2"/>
        <v>3.9450000000000007</v>
      </c>
      <c r="K12" s="12">
        <f>0</f>
        <v>0</v>
      </c>
      <c r="L12" s="12">
        <f>(-$C$13)+$C$4+$C$5*($C$6-Tableau68[[#This Row],[X]])</f>
        <v>-10511.400000000001</v>
      </c>
      <c r="M12" s="12">
        <f>Tableau68[[#This Row],[X]]*($C$11-$C$2)-($C$3*(Tableau68[[#This Row],[X]]-($C$6/2)))-($C$5*(Tableau68[[#This Row],[X]]^2)/2)</f>
        <v>23849.043074999994</v>
      </c>
      <c r="V12" s="30">
        <f t="shared" si="3"/>
        <v>0.89999999999999991</v>
      </c>
      <c r="W12" s="12">
        <f>((($C$11-$C$2)*((Tableau5[[#This Row],[X]]^3)/6))-($C$5*(Tableau5[[#This Row],[X]]^4)/24)+($C$17*Tableau5[[#This Row],[X]])+$C$18)/($C$7*$C$8)</f>
        <v>-1.3175970459580834E-2</v>
      </c>
      <c r="Y12" s="22"/>
      <c r="Z12" s="22"/>
    </row>
    <row r="13" spans="1:26" x14ac:dyDescent="0.3">
      <c r="A13" s="40" t="s">
        <v>41</v>
      </c>
      <c r="B13" s="40"/>
      <c r="C13" s="40">
        <f>C4+(C3/2)+(C5*C6/2)</f>
        <v>21727.47</v>
      </c>
      <c r="E13" s="12">
        <f t="shared" si="1"/>
        <v>0.99999999999999989</v>
      </c>
      <c r="F13" s="12">
        <f>0</f>
        <v>0</v>
      </c>
      <c r="G13" s="12">
        <f>$C$11-$C$2-($C$5*Tableau6[[#This Row],[X]])</f>
        <v>11159.470000000001</v>
      </c>
      <c r="H13" s="12">
        <f>($C$11*Tableau6[[#This Row],[X]])-($C$2*Tableau6[[#This Row],[X]])-($C$5*(Tableau6[[#This Row],[X]]^2)/2)</f>
        <v>11442.47</v>
      </c>
      <c r="J13" s="12">
        <f t="shared" si="2"/>
        <v>4.0450000000000008</v>
      </c>
      <c r="K13" s="12">
        <f>0</f>
        <v>0</v>
      </c>
      <c r="L13" s="12">
        <f>(-$C$13)+$C$4+$C$5*($C$6-Tableau68[[#This Row],[X]])</f>
        <v>-10568.000000000002</v>
      </c>
      <c r="M13" s="12">
        <f>Tableau68[[#This Row],[X]]*($C$11-$C$2)-($C$3*(Tableau68[[#This Row],[X]]-($C$6/2)))-($C$5*(Tableau68[[#This Row],[X]]^2)/2)</f>
        <v>22795.073074999993</v>
      </c>
      <c r="V13" s="30">
        <f t="shared" si="3"/>
        <v>0.99999999999999989</v>
      </c>
      <c r="W13" s="12">
        <f>((($C$11-$C$2)*((Tableau5[[#This Row],[X]]^3)/6))-($C$5*(Tableau5[[#This Row],[X]]^4)/24)+($C$17*Tableau5[[#This Row],[X]])+$C$18)/($C$7*$C$8)</f>
        <v>-1.4533397965314358E-2</v>
      </c>
      <c r="Y13" s="22"/>
      <c r="Z13" s="22"/>
    </row>
    <row r="14" spans="1:26" x14ac:dyDescent="0.3">
      <c r="A14" s="40"/>
      <c r="B14" s="40"/>
      <c r="C14" s="40"/>
      <c r="E14" s="12">
        <f t="shared" si="1"/>
        <v>1.0999999999999999</v>
      </c>
      <c r="F14" s="12">
        <f>0</f>
        <v>0</v>
      </c>
      <c r="G14" s="12">
        <f>$C$11-$C$2-($C$5*Tableau6[[#This Row],[X]])</f>
        <v>11102.87</v>
      </c>
      <c r="H14" s="12">
        <f>($C$11*Tableau6[[#This Row],[X]])-($C$2*Tableau6[[#This Row],[X]])-($C$5*(Tableau6[[#This Row],[X]]^2)/2)</f>
        <v>12555.586999999998</v>
      </c>
      <c r="J14" s="12">
        <f t="shared" si="2"/>
        <v>4.1450000000000005</v>
      </c>
      <c r="K14" s="12">
        <f>0</f>
        <v>0</v>
      </c>
      <c r="L14" s="12">
        <f>(-$C$13)+$C$4+$C$5*($C$6-Tableau68[[#This Row],[X]])</f>
        <v>-10624.600000000002</v>
      </c>
      <c r="M14" s="12">
        <f>Tableau68[[#This Row],[X]]*($C$11-$C$2)-($C$3*(Tableau68[[#This Row],[X]]-($C$6/2)))-($C$5*(Tableau68[[#This Row],[X]]^2)/2)</f>
        <v>21735.443074999996</v>
      </c>
      <c r="V14" s="30">
        <f t="shared" si="3"/>
        <v>1.0999999999999999</v>
      </c>
      <c r="W14" s="12">
        <f>((($C$11-$C$2)*((Tableau5[[#This Row],[X]]^3)/6))-($C$5*(Tableau5[[#This Row],[X]]^4)/24)+($C$17*Tableau5[[#This Row],[X]])+$C$18)/($C$7*$C$8)</f>
        <v>-1.5857410478879955E-2</v>
      </c>
      <c r="Y14" s="22"/>
      <c r="Z14" s="22"/>
    </row>
    <row r="15" spans="1:26" x14ac:dyDescent="0.3">
      <c r="B15" s="20"/>
      <c r="C15" s="20"/>
      <c r="E15" s="12">
        <f t="shared" si="1"/>
        <v>1.2</v>
      </c>
      <c r="F15" s="12">
        <f>0</f>
        <v>0</v>
      </c>
      <c r="G15" s="12">
        <f>$C$11-$C$2-($C$5*Tableau6[[#This Row],[X]])</f>
        <v>11046.27</v>
      </c>
      <c r="H15" s="12">
        <f>($C$11*Tableau6[[#This Row],[X]])-($C$2*Tableau6[[#This Row],[X]])-($C$5*(Tableau6[[#This Row],[X]]^2)/2)</f>
        <v>13663.044</v>
      </c>
      <c r="J15" s="12">
        <f t="shared" si="2"/>
        <v>4.2450000000000001</v>
      </c>
      <c r="K15" s="12">
        <f>0</f>
        <v>0</v>
      </c>
      <c r="L15" s="12">
        <f>(-$C$13)+$C$4+$C$5*($C$6-Tableau68[[#This Row],[X]])</f>
        <v>-10681.2</v>
      </c>
      <c r="M15" s="12">
        <f>Tableau68[[#This Row],[X]]*($C$11-$C$2)-($C$3*(Tableau68[[#This Row],[X]]-($C$6/2)))-($C$5*(Tableau68[[#This Row],[X]]^2)/2)</f>
        <v>20670.153075000006</v>
      </c>
      <c r="V15" s="30">
        <f t="shared" si="3"/>
        <v>1.2</v>
      </c>
      <c r="W15" s="12">
        <f>((($C$11-$C$2)*((Tableau5[[#This Row],[X]]^3)/6))-($C$5*(Tableau5[[#This Row],[X]]^4)/24)+($C$17*Tableau5[[#This Row],[X]])+$C$18)/($C$7*$C$8)</f>
        <v>-1.71447572747703E-2</v>
      </c>
      <c r="Y15" s="22"/>
      <c r="Z15" s="22"/>
    </row>
    <row r="16" spans="1:26" x14ac:dyDescent="0.3">
      <c r="B16" s="42" t="s">
        <v>48</v>
      </c>
      <c r="C16" s="42"/>
      <c r="E16" s="12">
        <f t="shared" si="1"/>
        <v>1.3</v>
      </c>
      <c r="F16" s="12">
        <f>0</f>
        <v>0</v>
      </c>
      <c r="G16" s="12">
        <f>$C$11-$C$2-($C$5*Tableau6[[#This Row],[X]])</f>
        <v>10989.670000000002</v>
      </c>
      <c r="H16" s="12">
        <f>($C$11*Tableau6[[#This Row],[X]])-($C$2*Tableau6[[#This Row],[X]])-($C$5*(Tableau6[[#This Row],[X]]^2)/2)</f>
        <v>14764.841000000002</v>
      </c>
      <c r="J16" s="12">
        <f t="shared" si="2"/>
        <v>4.3449999999999998</v>
      </c>
      <c r="K16" s="12">
        <f>0</f>
        <v>0</v>
      </c>
      <c r="L16" s="12">
        <f>(-$C$13)+$C$4+$C$5*($C$6-Tableau68[[#This Row],[X]])</f>
        <v>-10737.800000000001</v>
      </c>
      <c r="M16" s="12">
        <f>Tableau68[[#This Row],[X]]*($C$11-$C$2)-($C$3*(Tableau68[[#This Row],[X]]-($C$6/2)))-($C$5*(Tableau68[[#This Row],[X]]^2)/2)</f>
        <v>19599.203075000005</v>
      </c>
      <c r="V16" s="30">
        <f t="shared" si="3"/>
        <v>1.3</v>
      </c>
      <c r="W16" s="12">
        <f>((($C$11-$C$2)*((Tableau5[[#This Row],[X]]^3)/6))-($C$5*(Tableau5[[#This Row],[X]]^4)/24)+($C$17*Tableau5[[#This Row],[X]])+$C$18)/($C$7*$C$8)</f>
        <v>-1.8392204156833351E-2</v>
      </c>
      <c r="Y16" s="22"/>
      <c r="Z16" s="22"/>
    </row>
    <row r="17" spans="2:26" ht="15.6" x14ac:dyDescent="0.35">
      <c r="B17" s="2" t="s">
        <v>44</v>
      </c>
      <c r="C17" s="2">
        <f>(C5*(C9^3)/6)-((C9^2)/2)*(C11-C2)</f>
        <v>-51696.082667250004</v>
      </c>
      <c r="E17" s="12">
        <f t="shared" si="1"/>
        <v>1.4000000000000001</v>
      </c>
      <c r="F17" s="12">
        <f>0</f>
        <v>0</v>
      </c>
      <c r="G17" s="12">
        <f>$C$11-$C$2-($C$5*Tableau6[[#This Row],[X]])</f>
        <v>10933.070000000002</v>
      </c>
      <c r="H17" s="12">
        <f>($C$11*Tableau6[[#This Row],[X]])-($C$2*Tableau6[[#This Row],[X]])-($C$5*(Tableau6[[#This Row],[X]]^2)/2)</f>
        <v>15860.978000000003</v>
      </c>
      <c r="J17" s="12">
        <f t="shared" si="2"/>
        <v>4.4449999999999994</v>
      </c>
      <c r="K17" s="12">
        <f>0</f>
        <v>0</v>
      </c>
      <c r="L17" s="12">
        <f>(-$C$13)+$C$4+$C$5*($C$6-Tableau68[[#This Row],[X]])</f>
        <v>-10794.400000000001</v>
      </c>
      <c r="M17" s="12">
        <f>Tableau68[[#This Row],[X]]*($C$11-$C$2)-($C$3*(Tableau68[[#This Row],[X]]-($C$6/2)))-($C$5*(Tableau68[[#This Row],[X]]^2)/2)</f>
        <v>18522.593075000012</v>
      </c>
      <c r="V17" s="30">
        <f t="shared" si="3"/>
        <v>1.4000000000000001</v>
      </c>
      <c r="W17" s="12">
        <f>((($C$11-$C$2)*((Tableau5[[#This Row],[X]]^3)/6))-($C$5*(Tableau5[[#This Row],[X]]^4)/24)+($C$17*Tableau5[[#This Row],[X]])+$C$18)/($C$7*$C$8)</f>
        <v>-1.9596533458272357E-2</v>
      </c>
      <c r="Y17" s="22"/>
      <c r="Z17" s="22"/>
    </row>
    <row r="18" spans="2:26" ht="15.6" x14ac:dyDescent="0.35">
      <c r="B18" s="2" t="s">
        <v>45</v>
      </c>
      <c r="C18" s="2">
        <v>0</v>
      </c>
      <c r="E18" s="12">
        <f t="shared" si="1"/>
        <v>1.5000000000000002</v>
      </c>
      <c r="F18" s="12">
        <f>0</f>
        <v>0</v>
      </c>
      <c r="G18" s="12">
        <f>$C$11-$C$2-($C$5*Tableau6[[#This Row],[X]])</f>
        <v>10876.470000000001</v>
      </c>
      <c r="H18" s="12">
        <f>($C$11*Tableau6[[#This Row],[X]])-($C$2*Tableau6[[#This Row],[X]])-($C$5*(Tableau6[[#This Row],[X]]^2)/2)</f>
        <v>16951.455000000002</v>
      </c>
      <c r="J18" s="12">
        <f t="shared" si="2"/>
        <v>4.544999999999999</v>
      </c>
      <c r="K18" s="12">
        <f>0</f>
        <v>0</v>
      </c>
      <c r="L18" s="12">
        <f>(-$C$13)+$C$4+$C$5*($C$6-Tableau68[[#This Row],[X]])</f>
        <v>-10851</v>
      </c>
      <c r="M18" s="12">
        <f>Tableau68[[#This Row],[X]]*($C$11-$C$2)-($C$3*(Tableau68[[#This Row],[X]]-($C$6/2)))-($C$5*(Tableau68[[#This Row],[X]]^2)/2)</f>
        <v>17440.323075000011</v>
      </c>
      <c r="V18" s="30">
        <f t="shared" si="3"/>
        <v>1.5000000000000002</v>
      </c>
      <c r="W18" s="12">
        <f>((($C$11-$C$2)*((Tableau5[[#This Row],[X]]^3)/6))-($C$5*(Tableau5[[#This Row],[X]]^4)/24)+($C$17*Tableau5[[#This Row],[X]])+$C$18)/($C$7*$C$8)</f>
        <v>-2.0754544041645857E-2</v>
      </c>
      <c r="Y18" s="22"/>
      <c r="Z18" s="22"/>
    </row>
    <row r="19" spans="2:26" ht="15.6" x14ac:dyDescent="0.35">
      <c r="B19" s="2" t="s">
        <v>46</v>
      </c>
      <c r="C19" s="2">
        <f>(((C6^2)/8)*(C2+C3-C11))-(((C6^2)/4)*C3)+(C5*((C6^3)/48))</f>
        <v>-144434.87671725001</v>
      </c>
      <c r="E19" s="12">
        <f t="shared" si="1"/>
        <v>1.6000000000000003</v>
      </c>
      <c r="F19" s="12">
        <f>0</f>
        <v>0</v>
      </c>
      <c r="G19" s="12">
        <f>$C$11-$C$2-($C$5*Tableau6[[#This Row],[X]])</f>
        <v>10819.87</v>
      </c>
      <c r="H19" s="12">
        <f>($C$11*Tableau6[[#This Row],[X]])-($C$2*Tableau6[[#This Row],[X]])-($C$5*(Tableau6[[#This Row],[X]]^2)/2)</f>
        <v>18036.272000000008</v>
      </c>
      <c r="J19" s="12">
        <f t="shared" si="2"/>
        <v>4.6449999999999987</v>
      </c>
      <c r="K19" s="12">
        <f>0</f>
        <v>0</v>
      </c>
      <c r="L19" s="12">
        <f>(-$C$13)+$C$4+$C$5*($C$6-Tableau68[[#This Row],[X]])</f>
        <v>-10907.6</v>
      </c>
      <c r="M19" s="12">
        <f>Tableau68[[#This Row],[X]]*($C$11-$C$2)-($C$3*(Tableau68[[#This Row],[X]]-($C$6/2)))-($C$5*(Tableau68[[#This Row],[X]]^2)/2)</f>
        <v>16352.393075000018</v>
      </c>
      <c r="V19" s="30">
        <f t="shared" si="3"/>
        <v>1.6000000000000003</v>
      </c>
      <c r="W19" s="12">
        <f>((($C$11-$C$2)*((Tableau5[[#This Row],[X]]^3)/6))-($C$5*(Tableau5[[#This Row],[X]]^4)/24)+($C$17*Tableau5[[#This Row],[X]])+$C$18)/($C$7*$C$8)</f>
        <v>-2.1863051298867679E-2</v>
      </c>
      <c r="Y19" s="22"/>
      <c r="Z19" s="22"/>
    </row>
    <row r="20" spans="2:26" ht="15.6" x14ac:dyDescent="0.35">
      <c r="B20" s="2" t="s">
        <v>47</v>
      </c>
      <c r="C20" s="2">
        <f>((4*(C6^3)/24)*(C2+C3-C11))+(C5*(C6^4)/24)-(6*C3*(C6^3)/24)-(C19*C6)</f>
        <v>94129.875960750272</v>
      </c>
      <c r="E20" s="12">
        <f t="shared" si="1"/>
        <v>1.7000000000000004</v>
      </c>
      <c r="F20" s="12">
        <f>0</f>
        <v>0</v>
      </c>
      <c r="G20" s="12">
        <f>$C$11-$C$2-($C$5*Tableau6[[#This Row],[X]])</f>
        <v>10763.27</v>
      </c>
      <c r="H20" s="12">
        <f>($C$11*Tableau6[[#This Row],[X]])-($C$2*Tableau6[[#This Row],[X]])-($C$5*(Tableau6[[#This Row],[X]]^2)/2)</f>
        <v>19115.429000000004</v>
      </c>
      <c r="J20" s="12">
        <f t="shared" si="2"/>
        <v>4.7449999999999983</v>
      </c>
      <c r="K20" s="12">
        <f>0</f>
        <v>0</v>
      </c>
      <c r="L20" s="12">
        <f>(-$C$13)+$C$4+$C$5*($C$6-Tableau68[[#This Row],[X]])</f>
        <v>-10964.2</v>
      </c>
      <c r="M20" s="12">
        <f>Tableau68[[#This Row],[X]]*($C$11-$C$2)-($C$3*(Tableau68[[#This Row],[X]]-($C$6/2)))-($C$5*(Tableau68[[#This Row],[X]]^2)/2)</f>
        <v>15258.803075000025</v>
      </c>
      <c r="V20" s="30">
        <f t="shared" si="3"/>
        <v>1.7000000000000004</v>
      </c>
      <c r="W20" s="12">
        <f>((($C$11-$C$2)*((Tableau5[[#This Row],[X]]^3)/6))-($C$5*(Tableau5[[#This Row],[X]]^4)/24)+($C$17*Tableau5[[#This Row],[X]])+$C$18)/($C$7*$C$8)</f>
        <v>-2.2918887151206942E-2</v>
      </c>
      <c r="Y20" s="22"/>
      <c r="Z20" s="22"/>
    </row>
    <row r="21" spans="2:26" x14ac:dyDescent="0.3">
      <c r="E21" s="12">
        <f t="shared" si="1"/>
        <v>1.8000000000000005</v>
      </c>
      <c r="F21" s="12">
        <f>0</f>
        <v>0</v>
      </c>
      <c r="G21" s="12">
        <f>$C$11-$C$2-($C$5*Tableau6[[#This Row],[X]])</f>
        <v>10706.67</v>
      </c>
      <c r="H21" s="12">
        <f>($C$11*Tableau6[[#This Row],[X]])-($C$2*Tableau6[[#This Row],[X]])-($C$5*(Tableau6[[#This Row],[X]]^2)/2)</f>
        <v>20188.926000000003</v>
      </c>
      <c r="J21" s="12">
        <f t="shared" si="2"/>
        <v>4.844999999999998</v>
      </c>
      <c r="K21" s="12">
        <f>0</f>
        <v>0</v>
      </c>
      <c r="L21" s="12">
        <f>(-$C$13)+$C$4+$C$5*($C$6-Tableau68[[#This Row],[X]])</f>
        <v>-11020.8</v>
      </c>
      <c r="M21" s="12">
        <f>Tableau68[[#This Row],[X]]*($C$11-$C$2)-($C$3*(Tableau68[[#This Row],[X]]-($C$6/2)))-($C$5*(Tableau68[[#This Row],[X]]^2)/2)</f>
        <v>14159.553075000025</v>
      </c>
      <c r="V21" s="30">
        <f t="shared" si="3"/>
        <v>1.8000000000000005</v>
      </c>
      <c r="W21" s="12">
        <f>((($C$11-$C$2)*((Tableau5[[#This Row],[X]]^3)/6))-($C$5*(Tableau5[[#This Row],[X]]^4)/24)+($C$17*Tableau5[[#This Row],[X]])+$C$18)/($C$7*$C$8)</f>
        <v>-2.3918900049288049E-2</v>
      </c>
      <c r="Y21" s="22"/>
      <c r="Z21" s="22"/>
    </row>
    <row r="22" spans="2:26" x14ac:dyDescent="0.3">
      <c r="E22" s="12">
        <f t="shared" si="1"/>
        <v>1.9000000000000006</v>
      </c>
      <c r="F22" s="12">
        <f>0</f>
        <v>0</v>
      </c>
      <c r="G22" s="12">
        <f>$C$11-$C$2-($C$5*Tableau6[[#This Row],[X]])</f>
        <v>10650.070000000002</v>
      </c>
      <c r="H22" s="12">
        <f>($C$11*Tableau6[[#This Row],[X]])-($C$2*Tableau6[[#This Row],[X]])-($C$5*(Tableau6[[#This Row],[X]]^2)/2)</f>
        <v>21256.763000000006</v>
      </c>
      <c r="J22" s="12">
        <f t="shared" si="2"/>
        <v>4.9449999999999976</v>
      </c>
      <c r="K22" s="12">
        <f>0</f>
        <v>0</v>
      </c>
      <c r="L22" s="12">
        <f>(-$C$13)+$C$4+$C$5*($C$6-Tableau68[[#This Row],[X]])</f>
        <v>-11077.4</v>
      </c>
      <c r="M22" s="12">
        <f>Tableau68[[#This Row],[X]]*($C$11-$C$2)-($C$3*(Tableau68[[#This Row],[X]]-($C$6/2)))-($C$5*(Tableau68[[#This Row],[X]]^2)/2)</f>
        <v>13054.643075000031</v>
      </c>
      <c r="V22" s="30">
        <f t="shared" si="3"/>
        <v>1.9000000000000006</v>
      </c>
      <c r="W22" s="12">
        <f>((($C$11-$C$2)*((Tableau5[[#This Row],[X]]^3)/6))-($C$5*(Tableau5[[#This Row],[X]]^4)/24)+($C$17*Tableau5[[#This Row],[X]])+$C$18)/($C$7*$C$8)</f>
        <v>-2.4859954973090691E-2</v>
      </c>
      <c r="Y22" s="22"/>
      <c r="Z22" s="22"/>
    </row>
    <row r="23" spans="2:26" x14ac:dyDescent="0.3">
      <c r="E23" s="12">
        <f t="shared" si="1"/>
        <v>2.0000000000000004</v>
      </c>
      <c r="F23" s="12">
        <f>0</f>
        <v>0</v>
      </c>
      <c r="G23" s="12">
        <f>$C$11-$C$2-($C$5*Tableau6[[#This Row],[X]])</f>
        <v>10593.470000000001</v>
      </c>
      <c r="H23" s="12">
        <f>($C$11*Tableau6[[#This Row],[X]])-($C$2*Tableau6[[#This Row],[X]])-($C$5*(Tableau6[[#This Row],[X]]^2)/2)</f>
        <v>22318.940000000006</v>
      </c>
      <c r="J23" s="12">
        <f t="shared" si="2"/>
        <v>5.0449999999999973</v>
      </c>
      <c r="K23" s="12">
        <f>0</f>
        <v>0</v>
      </c>
      <c r="L23" s="12">
        <f>(-$C$13)+$C$4+$C$5*($C$6-Tableau68[[#This Row],[X]])</f>
        <v>-11134</v>
      </c>
      <c r="M23" s="12">
        <f>Tableau68[[#This Row],[X]]*($C$11-$C$2)-($C$3*(Tableau68[[#This Row],[X]]-($C$6/2)))-($C$5*(Tableau68[[#This Row],[X]]^2)/2)</f>
        <v>11944.073075000037</v>
      </c>
      <c r="V23" s="30">
        <f t="shared" si="3"/>
        <v>2.0000000000000004</v>
      </c>
      <c r="W23" s="12">
        <f>((($C$11-$C$2)*((Tableau5[[#This Row],[X]]^3)/6))-($C$5*(Tableau5[[#This Row],[X]]^4)/24)+($C$17*Tableau5[[#This Row],[X]])+$C$18)/($C$7*$C$8)</f>
        <v>-2.5738933431949867E-2</v>
      </c>
      <c r="Y23" s="22"/>
      <c r="Z23" s="22"/>
    </row>
    <row r="24" spans="2:26" x14ac:dyDescent="0.3">
      <c r="E24" s="12">
        <f t="shared" si="1"/>
        <v>2.1000000000000005</v>
      </c>
      <c r="F24" s="12">
        <f>0</f>
        <v>0</v>
      </c>
      <c r="G24" s="12">
        <f>$C$11-$C$2-($C$5*Tableau6[[#This Row],[X]])</f>
        <v>10536.87</v>
      </c>
      <c r="H24" s="12">
        <f>($C$11*Tableau6[[#This Row],[X]])-($C$2*Tableau6[[#This Row],[X]])-($C$5*(Tableau6[[#This Row],[X]]^2)/2)</f>
        <v>23375.457000000009</v>
      </c>
      <c r="J24" s="12">
        <f t="shared" si="2"/>
        <v>5.1449999999999969</v>
      </c>
      <c r="K24" s="12">
        <f>0</f>
        <v>0</v>
      </c>
      <c r="L24" s="12">
        <f>(-$C$13)+$C$4+$C$5*($C$6-Tableau68[[#This Row],[X]])</f>
        <v>-11190.599999999999</v>
      </c>
      <c r="M24" s="12">
        <f>Tableau68[[#This Row],[X]]*($C$11-$C$2)-($C$3*(Tableau68[[#This Row],[X]]-($C$6/2)))-($C$5*(Tableau68[[#This Row],[X]]^2)/2)</f>
        <v>10827.843075000041</v>
      </c>
      <c r="V24" s="30">
        <f t="shared" si="3"/>
        <v>2.1000000000000005</v>
      </c>
      <c r="W24" s="12">
        <f>((($C$11-$C$2)*((Tableau5[[#This Row],[X]]^3)/6))-($C$5*(Tableau5[[#This Row],[X]]^4)/24)+($C$17*Tableau5[[#This Row],[X]])+$C$18)/($C$7*$C$8)</f>
        <v>-2.6552733464555837E-2</v>
      </c>
      <c r="Y24" s="22"/>
      <c r="Z24" s="22"/>
    </row>
    <row r="25" spans="2:26" x14ac:dyDescent="0.3">
      <c r="E25" s="12">
        <f t="shared" si="1"/>
        <v>2.2000000000000006</v>
      </c>
      <c r="F25" s="12">
        <f>0</f>
        <v>0</v>
      </c>
      <c r="G25" s="12">
        <f>$C$11-$C$2-($C$5*Tableau6[[#This Row],[X]])</f>
        <v>10480.27</v>
      </c>
      <c r="H25" s="12">
        <f>($C$11*Tableau6[[#This Row],[X]])-($C$2*Tableau6[[#This Row],[X]])-($C$5*(Tableau6[[#This Row],[X]]^2)/2)</f>
        <v>24426.314000000009</v>
      </c>
      <c r="J25" s="12">
        <f t="shared" si="2"/>
        <v>5.2449999999999966</v>
      </c>
      <c r="K25" s="12">
        <f>0</f>
        <v>0</v>
      </c>
      <c r="L25" s="12">
        <f>(-$C$13)+$C$4+$C$5*($C$6-Tableau68[[#This Row],[X]])</f>
        <v>-11247.199999999999</v>
      </c>
      <c r="M25" s="12">
        <f>Tableau68[[#This Row],[X]]*($C$11-$C$2)-($C$3*(Tableau68[[#This Row],[X]]-($C$6/2)))-($C$5*(Tableau68[[#This Row],[X]]^2)/2)</f>
        <v>9705.9530750000486</v>
      </c>
      <c r="V25" s="30">
        <f t="shared" si="3"/>
        <v>2.2000000000000006</v>
      </c>
      <c r="W25" s="12">
        <f>((($C$11-$C$2)*((Tableau5[[#This Row],[X]]^3)/6))-($C$5*(Tableau5[[#This Row],[X]]^4)/24)+($C$17*Tableau5[[#This Row],[X]])+$C$18)/($C$7*$C$8)</f>
        <v>-2.7298269638954171E-2</v>
      </c>
      <c r="Y25" s="22"/>
      <c r="Z25" s="22"/>
    </row>
    <row r="26" spans="2:26" x14ac:dyDescent="0.3">
      <c r="E26" s="12">
        <f t="shared" si="1"/>
        <v>2.3000000000000007</v>
      </c>
      <c r="F26" s="12">
        <f>0</f>
        <v>0</v>
      </c>
      <c r="G26" s="12">
        <f>$C$11-$C$2-($C$5*Tableau6[[#This Row],[X]])</f>
        <v>10423.67</v>
      </c>
      <c r="H26" s="12">
        <f>($C$11*Tableau6[[#This Row],[X]])-($C$2*Tableau6[[#This Row],[X]])-($C$5*(Tableau6[[#This Row],[X]]^2)/2)</f>
        <v>25471.511000000013</v>
      </c>
      <c r="J26" s="12">
        <f t="shared" si="2"/>
        <v>5.3449999999999962</v>
      </c>
      <c r="K26" s="12">
        <f>0</f>
        <v>0</v>
      </c>
      <c r="L26" s="12">
        <f>(-$C$13)+$C$4+$C$5*($C$6-Tableau68[[#This Row],[X]])</f>
        <v>-11303.8</v>
      </c>
      <c r="M26" s="12">
        <f>Tableau68[[#This Row],[X]]*($C$11-$C$2)-($C$3*(Tableau68[[#This Row],[X]]-($C$6/2)))-($C$5*(Tableau68[[#This Row],[X]]^2)/2)</f>
        <v>8578.4030750000456</v>
      </c>
      <c r="V26" s="30">
        <f t="shared" si="3"/>
        <v>2.3000000000000007</v>
      </c>
      <c r="W26" s="12">
        <f>((($C$11-$C$2)*((Tableau5[[#This Row],[X]]^3)/6))-($C$5*(Tableau5[[#This Row],[X]]^4)/24)+($C$17*Tableau5[[#This Row],[X]])+$C$18)/($C$7*$C$8)</f>
        <v>-2.7972473052545719E-2</v>
      </c>
      <c r="Y26" s="22"/>
      <c r="Z26" s="22"/>
    </row>
    <row r="27" spans="2:26" x14ac:dyDescent="0.3">
      <c r="E27" s="12">
        <f t="shared" si="1"/>
        <v>2.4000000000000008</v>
      </c>
      <c r="F27" s="12">
        <f>0</f>
        <v>0</v>
      </c>
      <c r="G27" s="12">
        <f>$C$11-$C$2-($C$5*Tableau6[[#This Row],[X]])</f>
        <v>10367.07</v>
      </c>
      <c r="H27" s="12">
        <f>($C$11*Tableau6[[#This Row],[X]])-($C$2*Tableau6[[#This Row],[X]])-($C$5*(Tableau6[[#This Row],[X]]^2)/2)</f>
        <v>26511.048000000013</v>
      </c>
      <c r="J27" s="12">
        <f t="shared" si="2"/>
        <v>5.4449999999999958</v>
      </c>
      <c r="K27" s="12">
        <f>0</f>
        <v>0</v>
      </c>
      <c r="L27" s="12">
        <f>(-$C$13)+$C$4+$C$5*($C$6-Tableau68[[#This Row],[X]])</f>
        <v>-11360.4</v>
      </c>
      <c r="M27" s="12">
        <f>Tableau68[[#This Row],[X]]*($C$11-$C$2)-($C$3*(Tableau68[[#This Row],[X]]-($C$6/2)))-($C$5*(Tableau68[[#This Row],[X]]^2)/2)</f>
        <v>7445.193075000052</v>
      </c>
      <c r="V27" s="30">
        <f t="shared" si="3"/>
        <v>2.4000000000000008</v>
      </c>
      <c r="W27" s="12">
        <f>((($C$11-$C$2)*((Tableau5[[#This Row],[X]]^3)/6))-($C$5*(Tableau5[[#This Row],[X]]^4)/24)+($C$17*Tableau5[[#This Row],[X]])+$C$18)/($C$7*$C$8)</f>
        <v>-2.8572291332086629E-2</v>
      </c>
      <c r="Y27" s="22"/>
      <c r="Z27" s="22"/>
    </row>
    <row r="28" spans="2:26" x14ac:dyDescent="0.3">
      <c r="E28" s="12">
        <f t="shared" si="1"/>
        <v>2.5000000000000009</v>
      </c>
      <c r="F28" s="12">
        <f>0</f>
        <v>0</v>
      </c>
      <c r="G28" s="12">
        <f>$C$11-$C$2-($C$5*Tableau6[[#This Row],[X]])</f>
        <v>10310.470000000001</v>
      </c>
      <c r="H28" s="12">
        <f>($C$11*Tableau6[[#This Row],[X]])-($C$2*Tableau6[[#This Row],[X]])-($C$5*(Tableau6[[#This Row],[X]]^2)/2)</f>
        <v>27544.925000000017</v>
      </c>
      <c r="J28" s="12">
        <f t="shared" si="2"/>
        <v>5.5449999999999955</v>
      </c>
      <c r="K28" s="12">
        <f>0</f>
        <v>0</v>
      </c>
      <c r="L28" s="12">
        <f>(-$C$13)+$C$4+$C$5*($C$6-Tableau68[[#This Row],[X]])</f>
        <v>-11416.999999999998</v>
      </c>
      <c r="M28" s="12">
        <f>Tableau68[[#This Row],[X]]*($C$11-$C$2)-($C$3*(Tableau68[[#This Row],[X]]-($C$6/2)))-($C$5*(Tableau68[[#This Row],[X]]^2)/2)</f>
        <v>6306.3230750000566</v>
      </c>
      <c r="V28" s="30">
        <f t="shared" si="3"/>
        <v>2.5000000000000009</v>
      </c>
      <c r="W28" s="12">
        <f>((($C$11-$C$2)*((Tableau5[[#This Row],[X]]^3)/6))-($C$5*(Tableau5[[#This Row],[X]]^4)/24)+($C$17*Tableau5[[#This Row],[X]])+$C$18)/($C$7*$C$8)</f>
        <v>-2.9094688633688321E-2</v>
      </c>
      <c r="Y28" s="22"/>
      <c r="Z28" s="22"/>
    </row>
    <row r="29" spans="2:26" x14ac:dyDescent="0.3">
      <c r="E29" s="12">
        <f t="shared" si="1"/>
        <v>2.600000000000001</v>
      </c>
      <c r="F29" s="12">
        <f>0</f>
        <v>0</v>
      </c>
      <c r="G29" s="12">
        <f>$C$11-$C$2-($C$5*Tableau6[[#This Row],[X]])</f>
        <v>10253.870000000001</v>
      </c>
      <c r="H29" s="12">
        <f>($C$11*Tableau6[[#This Row],[X]])-($C$2*Tableau6[[#This Row],[X]])-($C$5*(Tableau6[[#This Row],[X]]^2)/2)</f>
        <v>28573.142000000018</v>
      </c>
      <c r="J29" s="12">
        <f t="shared" si="2"/>
        <v>5.6449999999999951</v>
      </c>
      <c r="K29" s="12">
        <f>0</f>
        <v>0</v>
      </c>
      <c r="L29" s="12">
        <f>(-$C$13)+$C$4+$C$5*($C$6-Tableau68[[#This Row],[X]])</f>
        <v>-11473.599999999999</v>
      </c>
      <c r="M29" s="12">
        <f>Tableau68[[#This Row],[X]]*($C$11-$C$2)-($C$3*(Tableau68[[#This Row],[X]]-($C$6/2)))-($C$5*(Tableau68[[#This Row],[X]]^2)/2)</f>
        <v>5161.7930750000633</v>
      </c>
      <c r="V29" s="30">
        <f t="shared" si="3"/>
        <v>2.600000000000001</v>
      </c>
      <c r="W29" s="12">
        <f>((($C$11-$C$2)*((Tableau5[[#This Row],[X]]^3)/6))-($C$5*(Tableau5[[#This Row],[X]]^4)/24)+($C$17*Tableau5[[#This Row],[X]])+$C$18)/($C$7*$C$8)</f>
        <v>-2.9536645642817522E-2</v>
      </c>
      <c r="Y29" s="22"/>
      <c r="Z29" s="22"/>
    </row>
    <row r="30" spans="2:26" x14ac:dyDescent="0.3">
      <c r="E30" s="12">
        <f t="shared" si="1"/>
        <v>2.7000000000000011</v>
      </c>
      <c r="F30" s="12">
        <f>0</f>
        <v>0</v>
      </c>
      <c r="G30" s="12">
        <f>$C$11-$C$2-($C$5*Tableau6[[#This Row],[X]])</f>
        <v>10197.27</v>
      </c>
      <c r="H30" s="12">
        <f>($C$11*Tableau6[[#This Row],[X]])-($C$2*Tableau6[[#This Row],[X]])-($C$5*(Tableau6[[#This Row],[X]]^2)/2)</f>
        <v>29595.699000000008</v>
      </c>
      <c r="J30" s="12">
        <f t="shared" si="2"/>
        <v>5.7449999999999948</v>
      </c>
      <c r="K30" s="12">
        <f>0</f>
        <v>0</v>
      </c>
      <c r="L30" s="12">
        <f>(-$C$13)+$C$4+$C$5*($C$6-Tableau68[[#This Row],[X]])</f>
        <v>-11530.199999999999</v>
      </c>
      <c r="M30" s="12">
        <f>Tableau68[[#This Row],[X]]*($C$11-$C$2)-($C$3*(Tableau68[[#This Row],[X]]-($C$6/2)))-($C$5*(Tableau68[[#This Row],[X]]^2)/2)</f>
        <v>4011.60307500007</v>
      </c>
      <c r="V30" s="30">
        <f t="shared" si="3"/>
        <v>2.7000000000000011</v>
      </c>
      <c r="W30" s="12">
        <f>((($C$11-$C$2)*((Tableau5[[#This Row],[X]]^3)/6))-($C$5*(Tableau5[[#This Row],[X]]^4)/24)+($C$17*Tableau5[[#This Row],[X]])+$C$18)/($C$7*$C$8)</f>
        <v>-2.989515957429624E-2</v>
      </c>
      <c r="Y30" s="22"/>
      <c r="Z30" s="22"/>
    </row>
    <row r="31" spans="2:26" x14ac:dyDescent="0.3">
      <c r="E31" s="12">
        <f t="shared" si="1"/>
        <v>2.8000000000000012</v>
      </c>
      <c r="F31" s="12">
        <f>0</f>
        <v>0</v>
      </c>
      <c r="G31" s="12">
        <f>$C$11-$C$2-($C$5*Tableau6[[#This Row],[X]])</f>
        <v>10140.67</v>
      </c>
      <c r="H31" s="12">
        <f>($C$11*Tableau6[[#This Row],[X]])-($C$2*Tableau6[[#This Row],[X]])-($C$5*(Tableau6[[#This Row],[X]]^2)/2)</f>
        <v>30612.596000000012</v>
      </c>
      <c r="J31" s="12">
        <f t="shared" si="2"/>
        <v>5.8449999999999944</v>
      </c>
      <c r="K31" s="12">
        <f>0</f>
        <v>0</v>
      </c>
      <c r="L31" s="12">
        <f>(-$C$13)+$C$4+$C$5*($C$6-Tableau68[[#This Row],[X]])</f>
        <v>-11586.799999999997</v>
      </c>
      <c r="M31" s="12">
        <f>Tableau68[[#This Row],[X]]*($C$11-$C$2)-($C$3*(Tableau68[[#This Row],[X]]-($C$6/2)))-($C$5*(Tableau68[[#This Row],[X]]^2)/2)</f>
        <v>2855.7530750000697</v>
      </c>
      <c r="V31" s="30">
        <f t="shared" si="3"/>
        <v>2.8000000000000012</v>
      </c>
      <c r="W31" s="12">
        <f>((($C$11-$C$2)*((Tableau5[[#This Row],[X]]^3)/6))-($C$5*(Tableau5[[#This Row],[X]]^4)/24)+($C$17*Tableau5[[#This Row],[X]])+$C$18)/($C$7*$C$8)</f>
        <v>-3.0167244172301769E-2</v>
      </c>
      <c r="Y31" s="22"/>
      <c r="Z31" s="22"/>
    </row>
    <row r="32" spans="2:26" x14ac:dyDescent="0.3">
      <c r="E32" s="12">
        <f>E31+0.1</f>
        <v>2.9000000000000012</v>
      </c>
      <c r="F32" s="12">
        <f>0</f>
        <v>0</v>
      </c>
      <c r="G32" s="12">
        <f>$C$11-$C$2-($C$5*Tableau6[[#This Row],[X]])</f>
        <v>10084.07</v>
      </c>
      <c r="H32" s="12">
        <f>($C$11*Tableau6[[#This Row],[X]])-($C$2*Tableau6[[#This Row],[X]])-($C$5*(Tableau6[[#This Row],[X]]^2)/2)</f>
        <v>31623.83300000001</v>
      </c>
      <c r="J32" s="12">
        <f t="shared" si="2"/>
        <v>5.9449999999999941</v>
      </c>
      <c r="K32" s="12">
        <f>0</f>
        <v>0</v>
      </c>
      <c r="L32" s="12">
        <f>(-$C$13)+$C$4+$C$5*($C$6-Tableau68[[#This Row],[X]])</f>
        <v>-11643.399999999998</v>
      </c>
      <c r="M32" s="12">
        <f>Tableau68[[#This Row],[X]]*($C$11-$C$2)-($C$3*(Tableau68[[#This Row],[X]]-($C$6/2)))-($C$5*(Tableau68[[#This Row],[X]]^2)/2)</f>
        <v>1694.2430750000822</v>
      </c>
      <c r="V32" s="30">
        <f t="shared" si="3"/>
        <v>2.9000000000000012</v>
      </c>
      <c r="W32" s="12">
        <f>((($C$11-$C$2)*((Tableau5[[#This Row],[X]]^3)/6))-($C$5*(Tableau5[[#This Row],[X]]^4)/24)+($C$17*Tableau5[[#This Row],[X]])+$C$18)/($C$7*$C$8)</f>
        <v>-3.0349929710366708E-2</v>
      </c>
      <c r="Y32" s="22"/>
      <c r="Z32" s="22"/>
    </row>
    <row r="33" spans="5:26" x14ac:dyDescent="0.3">
      <c r="E33" s="12">
        <f t="shared" si="1"/>
        <v>3.0000000000000013</v>
      </c>
      <c r="F33" s="12">
        <f>0</f>
        <v>0</v>
      </c>
      <c r="G33" s="12">
        <f>$C$11-$C$2-($C$5*Tableau6[[#This Row],[X]])</f>
        <v>10027.470000000001</v>
      </c>
      <c r="H33" s="12">
        <f>($C$11*Tableau6[[#This Row],[X]])-($C$2*Tableau6[[#This Row],[X]])-($C$5*(Tableau6[[#This Row],[X]]^2)/2)</f>
        <v>32629.410000000018</v>
      </c>
      <c r="J33" s="12">
        <f t="shared" si="2"/>
        <v>6.0449999999999937</v>
      </c>
      <c r="K33" s="12">
        <f>0</f>
        <v>0</v>
      </c>
      <c r="L33" s="12">
        <f>(-$C$13)+$C$4+$C$5*($C$6-Tableau68[[#This Row],[X]])</f>
        <v>-11699.999999999998</v>
      </c>
      <c r="M33" s="12">
        <f>Tableau68[[#This Row],[X]]*($C$11-$C$2)-($C$3*(Tableau68[[#This Row],[X]]-($C$6/2)))-($C$5*(Tableau68[[#This Row],[X]]^2)/2)</f>
        <v>527.07307500008028</v>
      </c>
      <c r="V33" s="30">
        <f t="shared" si="3"/>
        <v>3.0000000000000013</v>
      </c>
      <c r="W33" s="12">
        <f>((($C$11-$C$2)*((Tableau5[[#This Row],[X]]^3)/6))-($C$5*(Tableau5[[#This Row],[X]]^4)/24)+($C$17*Tableau5[[#This Row],[X]])+$C$18)/($C$7*$C$8)</f>
        <v>-3.044026299137893E-2</v>
      </c>
      <c r="Y33" s="22"/>
      <c r="Z33" s="22"/>
    </row>
    <row r="34" spans="5:26" x14ac:dyDescent="0.3">
      <c r="E34" s="12">
        <f t="shared" si="1"/>
        <v>3.1000000000000014</v>
      </c>
      <c r="F34" s="12">
        <f>0</f>
        <v>0</v>
      </c>
      <c r="G34" s="12">
        <f>$C$11-$C$2-($C$5*Tableau6[[#This Row],[X]])</f>
        <v>9970.8700000000008</v>
      </c>
      <c r="H34" s="12">
        <f>($C$11*Tableau6[[#This Row],[X]])-($C$2*Tableau6[[#This Row],[X]])-($C$5*(Tableau6[[#This Row],[X]]^2)/2)</f>
        <v>33629.327000000019</v>
      </c>
      <c r="J34" s="22">
        <f t="shared" si="2"/>
        <v>6.1449999999999934</v>
      </c>
      <c r="K34" s="19">
        <f>0</f>
        <v>0</v>
      </c>
      <c r="L34" s="19">
        <f>(-$C$13)+$C$4+$C$5*($C$6-Tableau68[[#This Row],[X]])</f>
        <v>-11756.599999999997</v>
      </c>
      <c r="M34" s="19">
        <f>Tableau68[[#This Row],[X]]*($C$11-$C$2)-($C$3*(Tableau68[[#This Row],[X]]-($C$6/2)))-($C$5*(Tableau68[[#This Row],[X]]^2)/2)</f>
        <v>-645.75692499992147</v>
      </c>
      <c r="V34" s="30">
        <f t="shared" si="3"/>
        <v>3.1000000000000014</v>
      </c>
      <c r="W34" s="12">
        <f>((($C$11-$C$2)*((Tableau5[[#This Row],[X]]^3)/6))-($C$5*(Tableau5[[#This Row],[X]]^4)/24)+($C$17*Tableau5[[#This Row],[X]])+$C$18)/($C$7*$C$8)</f>
        <v>-3.0435307347581597E-2</v>
      </c>
      <c r="Y34" s="22"/>
      <c r="Z34" s="22"/>
    </row>
    <row r="35" spans="5:26" x14ac:dyDescent="0.3">
      <c r="E35" s="12"/>
      <c r="F35" s="12"/>
      <c r="G35" s="12"/>
      <c r="H35" s="12"/>
      <c r="J35" s="22"/>
      <c r="K35" s="19"/>
      <c r="L35" s="19"/>
      <c r="M35" s="19"/>
      <c r="V35" s="30">
        <f t="shared" si="3"/>
        <v>3.2000000000000015</v>
      </c>
      <c r="W35" s="19">
        <f>((($C$11-$C$2)*((Tableau5[[#This Row],[X]]^3)/6))-($C$5*(Tableau5[[#This Row],[X]]^4)/24)+($C$17*Tableau5[[#This Row],[X]])+$C$18)/($C$7*$C$8)</f>
        <v>-3.0332142640573163E-2</v>
      </c>
    </row>
    <row r="36" spans="5:26" x14ac:dyDescent="0.3">
      <c r="E36" s="12"/>
      <c r="F36" s="12"/>
      <c r="G36" s="12"/>
      <c r="H36" s="12"/>
      <c r="J36" s="22"/>
      <c r="K36" s="19"/>
      <c r="L36" s="19"/>
      <c r="M36" s="19"/>
      <c r="V36" s="30">
        <f t="shared" si="3"/>
        <v>3.3000000000000016</v>
      </c>
      <c r="W36" s="19">
        <f>((($C$11-$C$2)*((Tableau5[[#This Row],[X]]^3)/6))-($C$5*(Tableau5[[#This Row],[X]]^4)/24)+($C$17*Tableau5[[#This Row],[X]])+$C$18)/($C$7*$C$8)</f>
        <v>-3.0127865261307368E-2</v>
      </c>
    </row>
    <row r="37" spans="5:26" x14ac:dyDescent="0.3">
      <c r="E37" s="12"/>
      <c r="F37" s="12"/>
      <c r="G37" s="12"/>
      <c r="H37" s="12"/>
      <c r="J37" s="12"/>
      <c r="K37" s="12"/>
      <c r="L37" s="12"/>
      <c r="M37" s="12"/>
      <c r="V37" s="30">
        <f t="shared" si="3"/>
        <v>3.4000000000000017</v>
      </c>
      <c r="W37" s="19">
        <f>((($C$11-$C$2)*((Tableau5[[#This Row],[X]]^3)/6))-($C$5*(Tableau5[[#This Row],[X]]^4)/24)+($C$17*Tableau5[[#This Row],[X]])+$C$18)/($C$7*$C$8)</f>
        <v>-2.9819588130093264E-2</v>
      </c>
    </row>
    <row r="38" spans="5:26" x14ac:dyDescent="0.3">
      <c r="E38" s="12"/>
      <c r="F38" s="12"/>
      <c r="G38" s="12"/>
      <c r="H38" s="12"/>
      <c r="J38" s="12"/>
      <c r="K38" s="12"/>
      <c r="L38" s="12"/>
      <c r="M38" s="12"/>
      <c r="V38" s="30">
        <f t="shared" si="3"/>
        <v>3.5000000000000018</v>
      </c>
      <c r="W38" s="19">
        <f>((($C$11-$C$2)*((Tableau5[[#This Row],[X]]^3)/6))-($C$5*(Tableau5[[#This Row],[X]]^4)/24)+($C$17*Tableau5[[#This Row],[X]])+$C$18)/($C$7*$C$8)</f>
        <v>-2.940444069659516E-2</v>
      </c>
    </row>
    <row r="39" spans="5:26" x14ac:dyDescent="0.3">
      <c r="V39" s="30">
        <f t="shared" si="3"/>
        <v>3.6000000000000019</v>
      </c>
      <c r="W39" s="19">
        <f>((($C$11-$C$2)*((Tableau5[[#This Row],[X]]^3)/6))-($C$5*(Tableau5[[#This Row],[X]]^4)/24)+($C$17*Tableau5[[#This Row],[X]])+$C$18)/($C$7*$C$8)</f>
        <v>-2.8879568939832671E-2</v>
      </c>
    </row>
    <row r="40" spans="5:26" x14ac:dyDescent="0.3">
      <c r="V40" s="30">
        <f t="shared" si="3"/>
        <v>3.700000000000002</v>
      </c>
      <c r="W40" s="19">
        <f>((($C$11-$C$2)*((Tableau5[[#This Row],[X]]^3)/6))-($C$5*(Tableau5[[#This Row],[X]]^4)/24)+($C$17*Tableau5[[#This Row],[X]])+$C$18)/($C$7*$C$8)</f>
        <v>-2.824213536818071E-2</v>
      </c>
    </row>
    <row r="41" spans="5:26" x14ac:dyDescent="0.3">
      <c r="V41" s="30">
        <f t="shared" si="3"/>
        <v>3.800000000000002</v>
      </c>
      <c r="W41" s="19">
        <f>((($C$11-$C$2)*((Tableau5[[#This Row],[X]]^3)/6))-($C$5*(Tableau5[[#This Row],[X]]^4)/24)+($C$17*Tableau5[[#This Row],[X]])+$C$18)/($C$7*$C$8)</f>
        <v>-2.7489319019369452E-2</v>
      </c>
    </row>
    <row r="42" spans="5:26" x14ac:dyDescent="0.3">
      <c r="V42" s="30">
        <f t="shared" si="3"/>
        <v>3.9000000000000021</v>
      </c>
      <c r="W42" s="19">
        <f>((($C$11-$C$2)*((Tableau5[[#This Row],[X]]^3)/6))-($C$5*(Tableau5[[#This Row],[X]]^4)/24)+($C$17*Tableau5[[#This Row],[X]])+$C$18)/($C$7*$C$8)</f>
        <v>-2.6618315460484376E-2</v>
      </c>
    </row>
    <row r="43" spans="5:26" x14ac:dyDescent="0.3">
      <c r="V43" s="30">
        <f t="shared" si="3"/>
        <v>4.0000000000000018</v>
      </c>
      <c r="W43" s="19">
        <f>((($C$11-$C$2)*((Tableau5[[#This Row],[X]]^3)/6))-($C$5*(Tableau5[[#This Row],[X]]^4)/24)+($C$17*Tableau5[[#This Row],[X]])+$C$18)/($C$7*$C$8)</f>
        <v>-2.5626336787966272E-2</v>
      </c>
    </row>
    <row r="44" spans="5:26" x14ac:dyDescent="0.3">
      <c r="V44" s="30">
        <f t="shared" si="3"/>
        <v>4.1000000000000014</v>
      </c>
      <c r="W44" s="19">
        <f>((($C$11-$C$2)*((Tableau5[[#This Row],[X]]^3)/6))-($C$5*(Tableau5[[#This Row],[X]]^4)/24)+($C$17*Tableau5[[#This Row],[X]])+$C$18)/($C$7*$C$8)</f>
        <v>-2.4510611627611173E-2</v>
      </c>
    </row>
    <row r="45" spans="5:26" x14ac:dyDescent="0.3">
      <c r="V45" s="30">
        <f t="shared" si="3"/>
        <v>4.2000000000000011</v>
      </c>
      <c r="W45" s="19">
        <f>((($C$11-$C$2)*((Tableau5[[#This Row],[X]]^3)/6))-($C$5*(Tableau5[[#This Row],[X]]^4)/24)+($C$17*Tableau5[[#This Row],[X]])+$C$18)/($C$7*$C$8)</f>
        <v>-2.3268385134570468E-2</v>
      </c>
    </row>
    <row r="46" spans="5:26" x14ac:dyDescent="0.3">
      <c r="V46" s="30">
        <f t="shared" si="3"/>
        <v>4.3000000000000007</v>
      </c>
      <c r="W46" s="19">
        <f>((($C$11-$C$2)*((Tableau5[[#This Row],[X]]^3)/6))-($C$5*(Tableau5[[#This Row],[X]]^4)/24)+($C$17*Tableau5[[#This Row],[X]])+$C$18)/($C$7*$C$8)</f>
        <v>-2.1896918993350743E-2</v>
      </c>
    </row>
    <row r="47" spans="5:26" x14ac:dyDescent="0.3">
      <c r="V47" s="30">
        <f t="shared" si="3"/>
        <v>4.4000000000000004</v>
      </c>
      <c r="W47" s="19">
        <f>((($C$11-$C$2)*((Tableau5[[#This Row],[X]]^3)/6))-($C$5*(Tableau5[[#This Row],[X]]^4)/24)+($C$17*Tableau5[[#This Row],[X]])+$C$18)/($C$7*$C$8)</f>
        <v>-2.039349141781395E-2</v>
      </c>
    </row>
    <row r="48" spans="5:26" x14ac:dyDescent="0.3">
      <c r="V48" s="30">
        <f t="shared" si="3"/>
        <v>4.5</v>
      </c>
      <c r="W48" s="19">
        <f>((($C$11-$C$2)*((Tableau5[[#This Row],[X]]^3)/6))-($C$5*(Tableau5[[#This Row],[X]]^4)/24)+($C$17*Tableau5[[#This Row],[X]])+$C$18)/($C$7*$C$8)</f>
        <v>-1.87553971511773E-2</v>
      </c>
    </row>
    <row r="49" spans="22:23" x14ac:dyDescent="0.3">
      <c r="V49" s="30">
        <f t="shared" si="3"/>
        <v>4.5999999999999996</v>
      </c>
      <c r="W49" s="19">
        <f>((($C$11-$C$2)*((Tableau5[[#This Row],[X]]^3)/6))-($C$5*(Tableau5[[#This Row],[X]]^4)/24)+($C$17*Tableau5[[#This Row],[X]])+$C$18)/($C$7*$C$8)</f>
        <v>-1.6979947466013307E-2</v>
      </c>
    </row>
    <row r="50" spans="22:23" x14ac:dyDescent="0.3">
      <c r="V50" s="30">
        <f t="shared" si="3"/>
        <v>4.6999999999999993</v>
      </c>
      <c r="W50" s="19">
        <f>((($C$11-$C$2)*((Tableau5[[#This Row],[X]]^3)/6))-($C$5*(Tableau5[[#This Row],[X]]^4)/24)+($C$17*Tableau5[[#This Row],[X]])+$C$18)/($C$7*$C$8)</f>
        <v>-1.5064470164249761E-2</v>
      </c>
    </row>
    <row r="51" spans="22:23" x14ac:dyDescent="0.3">
      <c r="V51" s="30">
        <f t="shared" si="3"/>
        <v>4.7999999999999989</v>
      </c>
      <c r="W51" s="19">
        <f>((($C$11-$C$2)*((Tableau5[[#This Row],[X]]^3)/6))-($C$5*(Tableau5[[#This Row],[X]]^4)/24)+($C$17*Tableau5[[#This Row],[X]])+$C$18)/($C$7*$C$8)</f>
        <v>-1.3006309577169735E-2</v>
      </c>
    </row>
    <row r="52" spans="22:23" x14ac:dyDescent="0.3">
      <c r="V52" s="30">
        <f t="shared" si="3"/>
        <v>4.8999999999999986</v>
      </c>
      <c r="W52" s="19">
        <f>((($C$11-$C$2)*((Tableau5[[#This Row],[X]]^3)/6))-($C$5*(Tableau5[[#This Row],[X]]^4)/24)+($C$17*Tableau5[[#This Row],[X]])+$C$18)/($C$7*$C$8)</f>
        <v>-1.0802826565411599E-2</v>
      </c>
    </row>
    <row r="53" spans="22:23" x14ac:dyDescent="0.3">
      <c r="V53" s="30">
        <f t="shared" si="3"/>
        <v>4.9999999999999982</v>
      </c>
      <c r="W53" s="19">
        <f>((($C$11-$C$2)*((Tableau5[[#This Row],[X]]^3)/6))-($C$5*(Tableau5[[#This Row],[X]]^4)/24)+($C$17*Tableau5[[#This Row],[X]])+$C$18)/($C$7*$C$8)</f>
        <v>-8.4513985189690385E-3</v>
      </c>
    </row>
    <row r="54" spans="22:23" x14ac:dyDescent="0.3">
      <c r="V54" s="30">
        <f t="shared" si="3"/>
        <v>5.0999999999999979</v>
      </c>
      <c r="W54" s="19">
        <f>((($C$11-$C$2)*((Tableau5[[#This Row],[X]]^3)/6))-($C$5*(Tableau5[[#This Row],[X]]^4)/24)+($C$17*Tableau5[[#This Row],[X]])+$C$18)/($C$7*$C$8)</f>
        <v>-5.9494193571909965E-3</v>
      </c>
    </row>
    <row r="55" spans="22:23" x14ac:dyDescent="0.3">
      <c r="V55" s="30">
        <f t="shared" si="3"/>
        <v>5.1999999999999975</v>
      </c>
      <c r="W55" s="19">
        <f>((($C$11-$C$2)*((Tableau5[[#This Row],[X]]^3)/6))-($C$5*(Tableau5[[#This Row],[X]]^4)/24)+($C$17*Tableau5[[#This Row],[X]])+$C$18)/($C$7*$C$8)</f>
        <v>-3.2942995287816856E-3</v>
      </c>
    </row>
    <row r="56" spans="22:23" x14ac:dyDescent="0.3">
      <c r="V56" s="30">
        <f t="shared" si="3"/>
        <v>5.2999999999999972</v>
      </c>
      <c r="W56" s="19">
        <f>((($C$11-$C$2)*((Tableau5[[#This Row],[X]]^3)/6))-($C$5*(Tableau5[[#This Row],[X]]^4)/24)+($C$17*Tableau5[[#This Row],[X]])+$C$18)/($C$7*$C$8)</f>
        <v>-4.8346601180063365E-4</v>
      </c>
    </row>
    <row r="57" spans="22:23" x14ac:dyDescent="0.3">
      <c r="V57" s="30">
        <f t="shared" si="3"/>
        <v>5.3999999999999968</v>
      </c>
      <c r="W57" s="19">
        <f>((($C$11-$C$2)*((Tableau5[[#This Row],[X]]^3)/6))-($C$5*(Tableau5[[#This Row],[X]]^4)/24)+($C$17*Tableau5[[#This Row],[X]])+$C$18)/($C$7*$C$8)</f>
        <v>2.4856376863372697E-3</v>
      </c>
    </row>
    <row r="58" spans="22:23" x14ac:dyDescent="0.3">
      <c r="V58" s="30">
        <f t="shared" si="3"/>
        <v>5.4999999999999964</v>
      </c>
      <c r="W58" s="19">
        <f>((($C$11-$C$2)*((Tableau5[[#This Row],[X]]^3)/6))-($C$5*(Tableau5[[#This Row],[X]]^4)/24)+($C$17*Tableau5[[#This Row],[X]])+$C$18)/($C$7*$C$8)</f>
        <v>5.6155515288619871E-3</v>
      </c>
    </row>
    <row r="59" spans="22:23" x14ac:dyDescent="0.3">
      <c r="V59" s="30">
        <f t="shared" si="3"/>
        <v>5.5999999999999961</v>
      </c>
      <c r="W59" s="19">
        <f>((($C$11-$C$2)*((Tableau5[[#This Row],[X]]^3)/6))-($C$5*(Tableau5[[#This Row],[X]]^4)/24)+($C$17*Tableau5[[#This Row],[X]])+$C$18)/($C$7*$C$8)</f>
        <v>8.9087989496480866E-3</v>
      </c>
    </row>
    <row r="60" spans="22:23" x14ac:dyDescent="0.3">
      <c r="V60" s="30">
        <f t="shared" si="3"/>
        <v>5.6999999999999957</v>
      </c>
      <c r="W60" s="19">
        <f>((($C$11-$C$2)*((Tableau5[[#This Row],[X]]^3)/6))-($C$5*(Tableau5[[#This Row],[X]]^4)/24)+($C$17*Tableau5[[#This Row],[X]])+$C$18)/($C$7*$C$8)</f>
        <v>1.2367886853214896E-2</v>
      </c>
    </row>
    <row r="61" spans="22:23" x14ac:dyDescent="0.3">
      <c r="V61" s="30">
        <f t="shared" si="3"/>
        <v>5.7999999999999954</v>
      </c>
      <c r="W61" s="19">
        <f>((($C$11-$C$2)*((Tableau5[[#This Row],[X]]^3)/6))-($C$5*(Tableau5[[#This Row],[X]]^4)/24)+($C$17*Tableau5[[#This Row],[X]])+$C$18)/($C$7*$C$8)</f>
        <v>1.5995305614726434E-2</v>
      </c>
    </row>
    <row r="62" spans="22:23" x14ac:dyDescent="0.3">
      <c r="V62" s="30">
        <f t="shared" si="3"/>
        <v>5.899999999999995</v>
      </c>
      <c r="W62" s="19">
        <f>((($C$11-$C$2)*((Tableau5[[#This Row],[X]]^3)/6))-($C$5*(Tableau5[[#This Row],[X]]^4)/24)+($C$17*Tableau5[[#This Row],[X]])+$C$18)/($C$7*$C$8)</f>
        <v>1.9793529079991441E-2</v>
      </c>
    </row>
    <row r="63" spans="22:23" x14ac:dyDescent="0.3">
      <c r="V63" s="30">
        <f t="shared" si="3"/>
        <v>5.9999999999999947</v>
      </c>
      <c r="W63" s="19">
        <f>((($C$11-$C$2)*((Tableau5[[#This Row],[X]]^3)/6))-($C$5*(Tableau5[[#This Row],[X]]^4)/24)+($C$17*Tableau5[[#This Row],[X]])+$C$18)/($C$7*$C$8)</f>
        <v>2.3765014565463399E-2</v>
      </c>
    </row>
    <row r="64" spans="22:23" x14ac:dyDescent="0.3">
      <c r="V64" s="30"/>
      <c r="W64" s="19"/>
    </row>
    <row r="65" spans="22:23" x14ac:dyDescent="0.3">
      <c r="V65" s="30"/>
      <c r="W65" s="19"/>
    </row>
    <row r="66" spans="22:23" x14ac:dyDescent="0.3">
      <c r="V66" s="30"/>
      <c r="W66" s="19"/>
    </row>
    <row r="67" spans="22:23" x14ac:dyDescent="0.3">
      <c r="V67" s="30"/>
      <c r="W67" s="19"/>
    </row>
    <row r="68" spans="22:23" x14ac:dyDescent="0.3">
      <c r="V68" s="30"/>
      <c r="W68" s="19"/>
    </row>
    <row r="69" spans="22:23" x14ac:dyDescent="0.3">
      <c r="V69" s="30"/>
      <c r="W69" s="19"/>
    </row>
    <row r="70" spans="22:23" x14ac:dyDescent="0.3">
      <c r="V70" s="30"/>
      <c r="W70" s="19"/>
    </row>
    <row r="71" spans="22:23" x14ac:dyDescent="0.3">
      <c r="V71" s="30"/>
      <c r="W71" s="19"/>
    </row>
    <row r="72" spans="22:23" x14ac:dyDescent="0.3">
      <c r="V72" s="30"/>
      <c r="W72" s="19"/>
    </row>
    <row r="73" spans="22:23" x14ac:dyDescent="0.3">
      <c r="V73" s="30"/>
      <c r="W73" s="19"/>
    </row>
    <row r="74" spans="22:23" x14ac:dyDescent="0.3">
      <c r="V74" s="30"/>
      <c r="W74" s="19"/>
    </row>
    <row r="75" spans="22:23" x14ac:dyDescent="0.3">
      <c r="V75" s="30"/>
      <c r="W75" s="19"/>
    </row>
    <row r="76" spans="22:23" x14ac:dyDescent="0.3">
      <c r="V76" s="30"/>
      <c r="W76" s="19"/>
    </row>
    <row r="77" spans="22:23" x14ac:dyDescent="0.3">
      <c r="V77" s="30"/>
      <c r="W77" s="19"/>
    </row>
    <row r="78" spans="22:23" x14ac:dyDescent="0.3">
      <c r="V78" s="30"/>
      <c r="W78" s="19"/>
    </row>
    <row r="79" spans="22:23" x14ac:dyDescent="0.3">
      <c r="V79" s="30"/>
      <c r="W79" s="19"/>
    </row>
    <row r="80" spans="22:23" x14ac:dyDescent="0.3">
      <c r="V80" s="30"/>
      <c r="W80" s="19"/>
    </row>
    <row r="81" spans="22:23" x14ac:dyDescent="0.3">
      <c r="V81" s="30"/>
      <c r="W81" s="19"/>
    </row>
    <row r="82" spans="22:23" x14ac:dyDescent="0.3">
      <c r="V82" s="30"/>
      <c r="W82" s="19"/>
    </row>
    <row r="83" spans="22:23" x14ac:dyDescent="0.3">
      <c r="V83" s="30"/>
      <c r="W83" s="19"/>
    </row>
    <row r="84" spans="22:23" x14ac:dyDescent="0.3">
      <c r="V84" s="30"/>
      <c r="W84" s="19"/>
    </row>
    <row r="85" spans="22:23" x14ac:dyDescent="0.3">
      <c r="V85" s="30"/>
      <c r="W85" s="19"/>
    </row>
    <row r="86" spans="22:23" x14ac:dyDescent="0.3">
      <c r="V86" s="30"/>
      <c r="W86" s="19"/>
    </row>
    <row r="87" spans="22:23" x14ac:dyDescent="0.3">
      <c r="V87" s="30"/>
      <c r="W87" s="19"/>
    </row>
    <row r="88" spans="22:23" x14ac:dyDescent="0.3">
      <c r="V88" s="30"/>
      <c r="W88" s="19"/>
    </row>
    <row r="89" spans="22:23" x14ac:dyDescent="0.3">
      <c r="V89" s="30"/>
      <c r="W89" s="19"/>
    </row>
    <row r="90" spans="22:23" x14ac:dyDescent="0.3">
      <c r="V90" s="30"/>
      <c r="W90" s="19"/>
    </row>
    <row r="91" spans="22:23" x14ac:dyDescent="0.3">
      <c r="V91" s="30"/>
      <c r="W91" s="19"/>
    </row>
    <row r="92" spans="22:23" x14ac:dyDescent="0.3">
      <c r="V92" s="30"/>
      <c r="W92" s="19"/>
    </row>
    <row r="93" spans="22:23" x14ac:dyDescent="0.3">
      <c r="V93" s="30"/>
      <c r="W93" s="19"/>
    </row>
    <row r="94" spans="22:23" x14ac:dyDescent="0.3">
      <c r="V94" s="30"/>
      <c r="W94" s="19"/>
    </row>
    <row r="95" spans="22:23" x14ac:dyDescent="0.3">
      <c r="V95" s="30"/>
      <c r="W95" s="19"/>
    </row>
    <row r="96" spans="22:23" x14ac:dyDescent="0.3">
      <c r="V96" s="30"/>
      <c r="W96" s="19"/>
    </row>
    <row r="97" spans="22:23" x14ac:dyDescent="0.3">
      <c r="V97" s="30"/>
      <c r="W97" s="19"/>
    </row>
    <row r="98" spans="22:23" x14ac:dyDescent="0.3">
      <c r="V98" s="30"/>
      <c r="W98" s="19"/>
    </row>
    <row r="99" spans="22:23" x14ac:dyDescent="0.3">
      <c r="V99" s="30"/>
      <c r="W99" s="19"/>
    </row>
    <row r="100" spans="22:23" x14ac:dyDescent="0.3">
      <c r="V100" s="30"/>
      <c r="W100" s="19"/>
    </row>
    <row r="101" spans="22:23" x14ac:dyDescent="0.3">
      <c r="V101" s="30"/>
      <c r="W101" s="19"/>
    </row>
    <row r="102" spans="22:23" x14ac:dyDescent="0.3">
      <c r="V102" s="30"/>
      <c r="W102" s="19"/>
    </row>
    <row r="103" spans="22:23" x14ac:dyDescent="0.3">
      <c r="V103" s="30"/>
      <c r="W103" s="19"/>
    </row>
    <row r="104" spans="22:23" x14ac:dyDescent="0.3">
      <c r="V104" s="30"/>
      <c r="W104" s="19"/>
    </row>
    <row r="105" spans="22:23" x14ac:dyDescent="0.3">
      <c r="V105" s="30"/>
      <c r="W105" s="19"/>
    </row>
    <row r="106" spans="22:23" x14ac:dyDescent="0.3">
      <c r="V106" s="30"/>
      <c r="W106" s="19"/>
    </row>
    <row r="107" spans="22:23" x14ac:dyDescent="0.3">
      <c r="V107" s="30"/>
      <c r="W107" s="19"/>
    </row>
    <row r="108" spans="22:23" x14ac:dyDescent="0.3">
      <c r="V108" s="30"/>
      <c r="W108" s="19"/>
    </row>
    <row r="109" spans="22:23" x14ac:dyDescent="0.3">
      <c r="V109" s="30"/>
      <c r="W109" s="19"/>
    </row>
    <row r="110" spans="22:23" x14ac:dyDescent="0.3">
      <c r="V110" s="30"/>
      <c r="W110" s="19"/>
    </row>
    <row r="111" spans="22:23" x14ac:dyDescent="0.3">
      <c r="V111" s="30"/>
      <c r="W111" s="19"/>
    </row>
    <row r="112" spans="22:23" x14ac:dyDescent="0.3">
      <c r="V112" s="30"/>
      <c r="W112" s="19"/>
    </row>
    <row r="113" spans="22:23" x14ac:dyDescent="0.3">
      <c r="V113" s="30"/>
      <c r="W113" s="19"/>
    </row>
    <row r="114" spans="22:23" x14ac:dyDescent="0.3">
      <c r="V114" s="30"/>
      <c r="W114" s="19"/>
    </row>
    <row r="115" spans="22:23" x14ac:dyDescent="0.3">
      <c r="V115" s="30"/>
      <c r="W115" s="19"/>
    </row>
    <row r="116" spans="22:23" x14ac:dyDescent="0.3">
      <c r="V116" s="30"/>
      <c r="W116" s="19"/>
    </row>
    <row r="117" spans="22:23" x14ac:dyDescent="0.3">
      <c r="V117" s="30"/>
      <c r="W117" s="19"/>
    </row>
    <row r="118" spans="22:23" x14ac:dyDescent="0.3">
      <c r="V118" s="30"/>
      <c r="W118" s="19"/>
    </row>
    <row r="119" spans="22:23" x14ac:dyDescent="0.3">
      <c r="V119" s="30"/>
      <c r="W119" s="19"/>
    </row>
    <row r="120" spans="22:23" x14ac:dyDescent="0.3">
      <c r="V120" s="30"/>
      <c r="W120" s="19"/>
    </row>
    <row r="121" spans="22:23" x14ac:dyDescent="0.3">
      <c r="V121" s="30"/>
      <c r="W121" s="19"/>
    </row>
    <row r="122" spans="22:23" x14ac:dyDescent="0.3">
      <c r="V122" s="30"/>
      <c r="W122" s="19"/>
    </row>
    <row r="123" spans="22:23" x14ac:dyDescent="0.3">
      <c r="V123" s="30"/>
      <c r="W123" s="19"/>
    </row>
    <row r="124" spans="22:23" x14ac:dyDescent="0.3">
      <c r="V124" s="30"/>
      <c r="W124" s="19"/>
    </row>
    <row r="125" spans="22:23" x14ac:dyDescent="0.3">
      <c r="V125" s="30"/>
      <c r="W125" s="19"/>
    </row>
    <row r="126" spans="22:23" x14ac:dyDescent="0.3">
      <c r="V126" s="30"/>
      <c r="W126" s="19"/>
    </row>
    <row r="127" spans="22:23" x14ac:dyDescent="0.3">
      <c r="V127" s="30"/>
      <c r="W127" s="19"/>
    </row>
    <row r="128" spans="22:23" x14ac:dyDescent="0.3">
      <c r="V128" s="30"/>
      <c r="W128" s="19"/>
    </row>
    <row r="129" spans="22:23" x14ac:dyDescent="0.3">
      <c r="V129" s="30"/>
      <c r="W129" s="19"/>
    </row>
    <row r="130" spans="22:23" x14ac:dyDescent="0.3">
      <c r="V130" s="30"/>
      <c r="W130" s="19"/>
    </row>
    <row r="131" spans="22:23" x14ac:dyDescent="0.3">
      <c r="V131" s="30"/>
      <c r="W131" s="19"/>
    </row>
    <row r="132" spans="22:23" x14ac:dyDescent="0.3">
      <c r="V132" s="30"/>
      <c r="W132" s="19"/>
    </row>
    <row r="133" spans="22:23" x14ac:dyDescent="0.3">
      <c r="V133" s="30"/>
      <c r="W133" s="19"/>
    </row>
    <row r="134" spans="22:23" x14ac:dyDescent="0.3">
      <c r="V134" s="30"/>
      <c r="W134" s="19"/>
    </row>
    <row r="135" spans="22:23" x14ac:dyDescent="0.3">
      <c r="V135" s="30"/>
      <c r="W135" s="19"/>
    </row>
    <row r="136" spans="22:23" x14ac:dyDescent="0.3">
      <c r="V136" s="30"/>
      <c r="W136" s="19"/>
    </row>
    <row r="137" spans="22:23" x14ac:dyDescent="0.3">
      <c r="V137" s="30"/>
      <c r="W137" s="19"/>
    </row>
    <row r="138" spans="22:23" x14ac:dyDescent="0.3">
      <c r="V138" s="30"/>
      <c r="W138" s="19"/>
    </row>
    <row r="139" spans="22:23" x14ac:dyDescent="0.3">
      <c r="V139" s="30"/>
      <c r="W139" s="19"/>
    </row>
    <row r="140" spans="22:23" x14ac:dyDescent="0.3">
      <c r="V140" s="30"/>
      <c r="W140" s="19"/>
    </row>
    <row r="141" spans="22:23" x14ac:dyDescent="0.3">
      <c r="V141" s="30"/>
      <c r="W141" s="19"/>
    </row>
    <row r="142" spans="22:23" x14ac:dyDescent="0.3">
      <c r="V142" s="30"/>
      <c r="W142" s="19"/>
    </row>
    <row r="143" spans="22:23" x14ac:dyDescent="0.3">
      <c r="V143" s="30"/>
      <c r="W143" s="19"/>
    </row>
    <row r="144" spans="22:23" x14ac:dyDescent="0.3">
      <c r="V144" s="30"/>
      <c r="W144" s="19"/>
    </row>
    <row r="145" spans="22:23" x14ac:dyDescent="0.3">
      <c r="V145" s="30"/>
      <c r="W145" s="19"/>
    </row>
    <row r="146" spans="22:23" x14ac:dyDescent="0.3">
      <c r="V146" s="30"/>
      <c r="W146" s="19"/>
    </row>
    <row r="147" spans="22:23" x14ac:dyDescent="0.3">
      <c r="V147" s="30"/>
      <c r="W147" s="19"/>
    </row>
    <row r="148" spans="22:23" x14ac:dyDescent="0.3">
      <c r="V148" s="30"/>
      <c r="W148" s="19"/>
    </row>
    <row r="149" spans="22:23" x14ac:dyDescent="0.3">
      <c r="V149" s="30"/>
      <c r="W149" s="19"/>
    </row>
    <row r="150" spans="22:23" x14ac:dyDescent="0.3">
      <c r="V150" s="30"/>
      <c r="W150" s="19"/>
    </row>
    <row r="151" spans="22:23" x14ac:dyDescent="0.3">
      <c r="V151" s="30"/>
      <c r="W151" s="19"/>
    </row>
    <row r="152" spans="22:23" x14ac:dyDescent="0.3">
      <c r="V152" s="30"/>
      <c r="W152" s="19"/>
    </row>
    <row r="153" spans="22:23" x14ac:dyDescent="0.3">
      <c r="V153" s="30"/>
      <c r="W153" s="19"/>
    </row>
    <row r="154" spans="22:23" x14ac:dyDescent="0.3">
      <c r="V154" s="30"/>
      <c r="W154" s="19"/>
    </row>
    <row r="155" spans="22:23" x14ac:dyDescent="0.3">
      <c r="V155" s="30"/>
      <c r="W155" s="19"/>
    </row>
    <row r="156" spans="22:23" x14ac:dyDescent="0.3">
      <c r="V156" s="30"/>
      <c r="W156" s="19"/>
    </row>
    <row r="157" spans="22:23" x14ac:dyDescent="0.3">
      <c r="V157" s="30"/>
      <c r="W157" s="19"/>
    </row>
    <row r="158" spans="22:23" x14ac:dyDescent="0.3">
      <c r="V158" s="30"/>
      <c r="W158" s="19"/>
    </row>
    <row r="159" spans="22:23" x14ac:dyDescent="0.3">
      <c r="V159" s="30"/>
      <c r="W159" s="19"/>
    </row>
    <row r="160" spans="22:23" x14ac:dyDescent="0.3">
      <c r="V160" s="30"/>
      <c r="W160" s="19"/>
    </row>
    <row r="161" spans="22:23" x14ac:dyDescent="0.3">
      <c r="V161" s="30"/>
      <c r="W161" s="19"/>
    </row>
    <row r="162" spans="22:23" x14ac:dyDescent="0.3">
      <c r="V162" s="30"/>
      <c r="W162" s="19"/>
    </row>
    <row r="163" spans="22:23" x14ac:dyDescent="0.3">
      <c r="V163" s="30"/>
      <c r="W163" s="19"/>
    </row>
    <row r="164" spans="22:23" x14ac:dyDescent="0.3">
      <c r="V164" s="30"/>
      <c r="W164" s="19"/>
    </row>
    <row r="165" spans="22:23" x14ac:dyDescent="0.3">
      <c r="V165" s="30"/>
      <c r="W165" s="19"/>
    </row>
    <row r="166" spans="22:23" x14ac:dyDescent="0.3">
      <c r="V166" s="30"/>
      <c r="W166" s="19"/>
    </row>
    <row r="167" spans="22:23" x14ac:dyDescent="0.3">
      <c r="V167" s="30"/>
      <c r="W167" s="19"/>
    </row>
    <row r="168" spans="22:23" x14ac:dyDescent="0.3">
      <c r="V168" s="30"/>
      <c r="W168" s="19"/>
    </row>
    <row r="169" spans="22:23" x14ac:dyDescent="0.3">
      <c r="V169" s="30"/>
      <c r="W169" s="19"/>
    </row>
    <row r="170" spans="22:23" x14ac:dyDescent="0.3">
      <c r="V170" s="30"/>
      <c r="W170" s="19"/>
    </row>
    <row r="171" spans="22:23" x14ac:dyDescent="0.3">
      <c r="V171" s="30"/>
      <c r="W171" s="19"/>
    </row>
    <row r="172" spans="22:23" x14ac:dyDescent="0.3">
      <c r="V172" s="30"/>
      <c r="W172" s="19"/>
    </row>
    <row r="173" spans="22:23" x14ac:dyDescent="0.3">
      <c r="V173" s="30"/>
      <c r="W173" s="19"/>
    </row>
    <row r="174" spans="22:23" x14ac:dyDescent="0.3">
      <c r="V174" s="30"/>
      <c r="W174" s="19"/>
    </row>
    <row r="175" spans="22:23" x14ac:dyDescent="0.3">
      <c r="V175" s="30"/>
      <c r="W175" s="19"/>
    </row>
    <row r="176" spans="22:23" x14ac:dyDescent="0.3">
      <c r="V176" s="30"/>
      <c r="W176" s="19"/>
    </row>
    <row r="177" spans="22:23" x14ac:dyDescent="0.3">
      <c r="V177" s="30"/>
      <c r="W177" s="19"/>
    </row>
    <row r="178" spans="22:23" x14ac:dyDescent="0.3">
      <c r="V178" s="30"/>
      <c r="W178" s="19"/>
    </row>
    <row r="179" spans="22:23" x14ac:dyDescent="0.3">
      <c r="V179" s="30"/>
      <c r="W179" s="19"/>
    </row>
    <row r="180" spans="22:23" x14ac:dyDescent="0.3">
      <c r="V180" s="30"/>
      <c r="W180" s="19"/>
    </row>
    <row r="181" spans="22:23" x14ac:dyDescent="0.3">
      <c r="V181" s="30"/>
      <c r="W181" s="19"/>
    </row>
    <row r="182" spans="22:23" x14ac:dyDescent="0.3">
      <c r="V182" s="30"/>
      <c r="W182" s="19"/>
    </row>
    <row r="183" spans="22:23" x14ac:dyDescent="0.3">
      <c r="V183" s="30"/>
      <c r="W183" s="19"/>
    </row>
    <row r="184" spans="22:23" x14ac:dyDescent="0.3">
      <c r="V184" s="30"/>
      <c r="W184" s="19"/>
    </row>
    <row r="185" spans="22:23" x14ac:dyDescent="0.3">
      <c r="V185" s="30"/>
      <c r="W185" s="19"/>
    </row>
    <row r="186" spans="22:23" x14ac:dyDescent="0.3">
      <c r="V186" s="30"/>
      <c r="W186" s="19"/>
    </row>
    <row r="187" spans="22:23" x14ac:dyDescent="0.3">
      <c r="V187" s="30"/>
      <c r="W187" s="19"/>
    </row>
    <row r="188" spans="22:23" x14ac:dyDescent="0.3">
      <c r="V188" s="30"/>
      <c r="W188" s="19"/>
    </row>
    <row r="189" spans="22:23" x14ac:dyDescent="0.3">
      <c r="V189" s="30"/>
      <c r="W189" s="19"/>
    </row>
    <row r="190" spans="22:23" x14ac:dyDescent="0.3">
      <c r="V190" s="30"/>
      <c r="W190" s="19"/>
    </row>
    <row r="191" spans="22:23" x14ac:dyDescent="0.3">
      <c r="V191" s="30"/>
      <c r="W191" s="19"/>
    </row>
    <row r="192" spans="22:23" x14ac:dyDescent="0.3">
      <c r="V192" s="30"/>
      <c r="W192" s="19"/>
    </row>
    <row r="193" spans="22:23" x14ac:dyDescent="0.3">
      <c r="V193" s="30"/>
      <c r="W193" s="19"/>
    </row>
    <row r="194" spans="22:23" x14ac:dyDescent="0.3">
      <c r="V194" s="30"/>
      <c r="W194" s="19"/>
    </row>
    <row r="195" spans="22:23" x14ac:dyDescent="0.3">
      <c r="V195" s="30"/>
      <c r="W195" s="19"/>
    </row>
    <row r="196" spans="22:23" x14ac:dyDescent="0.3">
      <c r="V196" s="30"/>
      <c r="W196" s="19"/>
    </row>
    <row r="197" spans="22:23" x14ac:dyDescent="0.3">
      <c r="V197" s="30"/>
      <c r="W197" s="19"/>
    </row>
    <row r="198" spans="22:23" x14ac:dyDescent="0.3">
      <c r="V198" s="30"/>
      <c r="W198" s="19"/>
    </row>
    <row r="199" spans="22:23" x14ac:dyDescent="0.3">
      <c r="V199" s="30"/>
      <c r="W199" s="19"/>
    </row>
    <row r="200" spans="22:23" x14ac:dyDescent="0.3">
      <c r="V200" s="30"/>
      <c r="W200" s="19"/>
    </row>
    <row r="201" spans="22:23" x14ac:dyDescent="0.3">
      <c r="V201" s="30"/>
      <c r="W201" s="19"/>
    </row>
    <row r="202" spans="22:23" x14ac:dyDescent="0.3">
      <c r="V202" s="30"/>
      <c r="W202" s="19"/>
    </row>
    <row r="203" spans="22:23" x14ac:dyDescent="0.3">
      <c r="V203" s="30"/>
      <c r="W203" s="19"/>
    </row>
    <row r="204" spans="22:23" x14ac:dyDescent="0.3">
      <c r="V204" s="30"/>
      <c r="W204" s="19"/>
    </row>
    <row r="205" spans="22:23" x14ac:dyDescent="0.3">
      <c r="V205" s="30"/>
      <c r="W205" s="19"/>
    </row>
    <row r="206" spans="22:23" x14ac:dyDescent="0.3">
      <c r="V206" s="30"/>
      <c r="W206" s="19"/>
    </row>
    <row r="207" spans="22:23" x14ac:dyDescent="0.3">
      <c r="V207" s="30"/>
      <c r="W207" s="19"/>
    </row>
    <row r="208" spans="22:23" x14ac:dyDescent="0.3">
      <c r="V208" s="30"/>
      <c r="W208" s="19"/>
    </row>
    <row r="209" spans="22:23" x14ac:dyDescent="0.3">
      <c r="V209" s="30"/>
      <c r="W209" s="19"/>
    </row>
    <row r="210" spans="22:23" x14ac:dyDescent="0.3">
      <c r="V210" s="30"/>
      <c r="W210" s="19"/>
    </row>
    <row r="211" spans="22:23" x14ac:dyDescent="0.3">
      <c r="V211" s="30"/>
      <c r="W211" s="19"/>
    </row>
    <row r="212" spans="22:23" x14ac:dyDescent="0.3">
      <c r="V212" s="30"/>
      <c r="W212" s="19"/>
    </row>
    <row r="213" spans="22:23" x14ac:dyDescent="0.3">
      <c r="V213" s="30"/>
      <c r="W213" s="19"/>
    </row>
    <row r="214" spans="22:23" x14ac:dyDescent="0.3">
      <c r="V214" s="30"/>
      <c r="W214" s="19"/>
    </row>
    <row r="215" spans="22:23" x14ac:dyDescent="0.3">
      <c r="V215" s="30"/>
      <c r="W215" s="19"/>
    </row>
    <row r="216" spans="22:23" x14ac:dyDescent="0.3">
      <c r="V216" s="30"/>
      <c r="W216" s="19"/>
    </row>
    <row r="217" spans="22:23" x14ac:dyDescent="0.3">
      <c r="V217" s="30"/>
      <c r="W217" s="19"/>
    </row>
    <row r="218" spans="22:23" x14ac:dyDescent="0.3">
      <c r="V218" s="30"/>
      <c r="W218" s="19"/>
    </row>
    <row r="219" spans="22:23" x14ac:dyDescent="0.3">
      <c r="V219" s="30"/>
      <c r="W219" s="19"/>
    </row>
    <row r="220" spans="22:23" x14ac:dyDescent="0.3">
      <c r="V220" s="30"/>
      <c r="W220" s="19"/>
    </row>
    <row r="221" spans="22:23" x14ac:dyDescent="0.3">
      <c r="V221" s="30"/>
      <c r="W221" s="19"/>
    </row>
    <row r="222" spans="22:23" x14ac:dyDescent="0.3">
      <c r="V222" s="30"/>
      <c r="W222" s="19"/>
    </row>
    <row r="223" spans="22:23" x14ac:dyDescent="0.3">
      <c r="V223" s="30"/>
      <c r="W223" s="19"/>
    </row>
    <row r="224" spans="22:23" x14ac:dyDescent="0.3">
      <c r="V224" s="30"/>
      <c r="W224" s="19"/>
    </row>
    <row r="225" spans="22:23" x14ac:dyDescent="0.3">
      <c r="V225" s="30"/>
      <c r="W225" s="19"/>
    </row>
    <row r="226" spans="22:23" x14ac:dyDescent="0.3">
      <c r="V226" s="30"/>
      <c r="W226" s="19"/>
    </row>
    <row r="227" spans="22:23" x14ac:dyDescent="0.3">
      <c r="V227" s="30"/>
      <c r="W227" s="19"/>
    </row>
    <row r="228" spans="22:23" x14ac:dyDescent="0.3">
      <c r="V228" s="30"/>
      <c r="W228" s="19"/>
    </row>
    <row r="229" spans="22:23" x14ac:dyDescent="0.3">
      <c r="V229" s="30"/>
      <c r="W229" s="19"/>
    </row>
    <row r="230" spans="22:23" x14ac:dyDescent="0.3">
      <c r="V230" s="30"/>
      <c r="W230" s="19"/>
    </row>
    <row r="231" spans="22:23" x14ac:dyDescent="0.3">
      <c r="V231" s="30"/>
      <c r="W231" s="19"/>
    </row>
    <row r="232" spans="22:23" x14ac:dyDescent="0.3">
      <c r="V232" s="30"/>
      <c r="W232" s="19"/>
    </row>
    <row r="233" spans="22:23" x14ac:dyDescent="0.3">
      <c r="V233" s="30"/>
      <c r="W233" s="19"/>
    </row>
    <row r="234" spans="22:23" x14ac:dyDescent="0.3">
      <c r="V234" s="30"/>
      <c r="W234" s="19"/>
    </row>
    <row r="235" spans="22:23" x14ac:dyDescent="0.3">
      <c r="V235" s="30"/>
      <c r="W235" s="19"/>
    </row>
    <row r="236" spans="22:23" x14ac:dyDescent="0.3">
      <c r="V236" s="30"/>
      <c r="W236" s="19"/>
    </row>
    <row r="237" spans="22:23" x14ac:dyDescent="0.3">
      <c r="V237" s="30"/>
      <c r="W237" s="19"/>
    </row>
    <row r="238" spans="22:23" x14ac:dyDescent="0.3">
      <c r="V238" s="30"/>
      <c r="W238" s="19"/>
    </row>
    <row r="239" spans="22:23" x14ac:dyDescent="0.3">
      <c r="V239" s="30"/>
      <c r="W239" s="19"/>
    </row>
    <row r="240" spans="22:23" x14ac:dyDescent="0.3">
      <c r="V240" s="30"/>
      <c r="W240" s="19"/>
    </row>
    <row r="241" spans="22:23" x14ac:dyDescent="0.3">
      <c r="V241" s="30"/>
      <c r="W241" s="19"/>
    </row>
    <row r="242" spans="22:23" x14ac:dyDescent="0.3">
      <c r="V242" s="30"/>
      <c r="W242" s="19"/>
    </row>
    <row r="243" spans="22:23" x14ac:dyDescent="0.3">
      <c r="V243" s="30"/>
      <c r="W243" s="19"/>
    </row>
    <row r="244" spans="22:23" x14ac:dyDescent="0.3">
      <c r="V244" s="30"/>
      <c r="W244" s="19"/>
    </row>
    <row r="245" spans="22:23" x14ac:dyDescent="0.3">
      <c r="V245" s="30"/>
      <c r="W245" s="19"/>
    </row>
    <row r="246" spans="22:23" x14ac:dyDescent="0.3">
      <c r="V246" s="30"/>
      <c r="W246" s="19"/>
    </row>
    <row r="247" spans="22:23" x14ac:dyDescent="0.3">
      <c r="V247" s="30"/>
      <c r="W247" s="19"/>
    </row>
    <row r="248" spans="22:23" x14ac:dyDescent="0.3">
      <c r="V248" s="30"/>
      <c r="W248" s="19"/>
    </row>
    <row r="249" spans="22:23" x14ac:dyDescent="0.3">
      <c r="V249" s="30"/>
      <c r="W249" s="19"/>
    </row>
    <row r="250" spans="22:23" x14ac:dyDescent="0.3">
      <c r="V250" s="30"/>
      <c r="W250" s="19"/>
    </row>
    <row r="251" spans="22:23" x14ac:dyDescent="0.3">
      <c r="V251" s="30"/>
      <c r="W251" s="19"/>
    </row>
    <row r="252" spans="22:23" x14ac:dyDescent="0.3">
      <c r="V252" s="30"/>
      <c r="W252" s="19"/>
    </row>
    <row r="253" spans="22:23" x14ac:dyDescent="0.3">
      <c r="V253" s="30"/>
      <c r="W253" s="19"/>
    </row>
    <row r="254" spans="22:23" x14ac:dyDescent="0.3">
      <c r="V254" s="30"/>
      <c r="W254" s="19"/>
    </row>
    <row r="255" spans="22:23" x14ac:dyDescent="0.3">
      <c r="V255" s="30"/>
      <c r="W255" s="19"/>
    </row>
    <row r="256" spans="22:23" x14ac:dyDescent="0.3">
      <c r="V256" s="30"/>
      <c r="W256" s="19"/>
    </row>
    <row r="257" spans="22:23" x14ac:dyDescent="0.3">
      <c r="V257" s="30"/>
      <c r="W257" s="19"/>
    </row>
    <row r="258" spans="22:23" x14ac:dyDescent="0.3">
      <c r="V258" s="30"/>
      <c r="W258" s="19"/>
    </row>
    <row r="259" spans="22:23" x14ac:dyDescent="0.3">
      <c r="V259" s="30"/>
      <c r="W259" s="19"/>
    </row>
    <row r="260" spans="22:23" x14ac:dyDescent="0.3">
      <c r="V260" s="30"/>
      <c r="W260" s="19"/>
    </row>
    <row r="261" spans="22:23" x14ac:dyDescent="0.3">
      <c r="V261" s="30"/>
      <c r="W261" s="19"/>
    </row>
    <row r="262" spans="22:23" x14ac:dyDescent="0.3">
      <c r="V262" s="30"/>
      <c r="W262" s="19"/>
    </row>
    <row r="263" spans="22:23" x14ac:dyDescent="0.3">
      <c r="V263" s="30"/>
      <c r="W263" s="19"/>
    </row>
    <row r="264" spans="22:23" x14ac:dyDescent="0.3">
      <c r="V264" s="30"/>
      <c r="W264" s="19"/>
    </row>
    <row r="265" spans="22:23" x14ac:dyDescent="0.3">
      <c r="V265" s="30"/>
      <c r="W265" s="19"/>
    </row>
    <row r="266" spans="22:23" x14ac:dyDescent="0.3">
      <c r="V266" s="30"/>
      <c r="W266" s="19"/>
    </row>
    <row r="267" spans="22:23" x14ac:dyDescent="0.3">
      <c r="V267" s="30"/>
      <c r="W267" s="19"/>
    </row>
    <row r="268" spans="22:23" x14ac:dyDescent="0.3">
      <c r="V268" s="30"/>
      <c r="W268" s="19"/>
    </row>
    <row r="269" spans="22:23" x14ac:dyDescent="0.3">
      <c r="V269" s="30"/>
      <c r="W269" s="19"/>
    </row>
  </sheetData>
  <mergeCells count="9">
    <mergeCell ref="J1:M1"/>
    <mergeCell ref="A11:A12"/>
    <mergeCell ref="B11:B12"/>
    <mergeCell ref="C11:C12"/>
    <mergeCell ref="B16:C16"/>
    <mergeCell ref="A13:A14"/>
    <mergeCell ref="B13:B14"/>
    <mergeCell ref="C13:C14"/>
    <mergeCell ref="E1:H1"/>
  </mergeCells>
  <pageMargins left="0.7" right="0.7" top="0.75" bottom="0.75" header="0.3" footer="0.3"/>
  <pageSetup paperSize="9" orientation="portrait" horizontalDpi="4294967293" verticalDpi="0" r:id="rId1"/>
  <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7C127-D3EE-489D-B184-EC6DA5177211}">
  <dimension ref="A1:AD63"/>
  <sheetViews>
    <sheetView tabSelected="1" topLeftCell="D1" zoomScale="42" workbookViewId="0">
      <selection activeCell="AL33" sqref="AL33"/>
    </sheetView>
  </sheetViews>
  <sheetFormatPr baseColWidth="10" defaultRowHeight="14.4" x14ac:dyDescent="0.3"/>
  <cols>
    <col min="1" max="1" width="15.109375" bestFit="1" customWidth="1"/>
  </cols>
  <sheetData>
    <row r="1" spans="1:30" x14ac:dyDescent="0.3">
      <c r="A1" s="43" t="s">
        <v>23</v>
      </c>
      <c r="B1" s="44" t="s">
        <v>56</v>
      </c>
      <c r="C1" t="s">
        <v>57</v>
      </c>
      <c r="E1" s="45" t="s">
        <v>22</v>
      </c>
      <c r="F1" s="45" t="s">
        <v>70</v>
      </c>
      <c r="G1" s="45" t="s">
        <v>69</v>
      </c>
      <c r="H1" s="45" t="s">
        <v>71</v>
      </c>
      <c r="P1" s="45" t="s">
        <v>22</v>
      </c>
      <c r="Q1" s="45" t="s">
        <v>70</v>
      </c>
      <c r="R1" s="45" t="s">
        <v>69</v>
      </c>
      <c r="S1" s="45" t="s">
        <v>71</v>
      </c>
      <c r="AA1" s="45" t="s">
        <v>22</v>
      </c>
      <c r="AB1" s="45" t="s">
        <v>70</v>
      </c>
      <c r="AC1" s="45" t="s">
        <v>69</v>
      </c>
      <c r="AD1" s="45" t="s">
        <v>71</v>
      </c>
    </row>
    <row r="2" spans="1:30" x14ac:dyDescent="0.3">
      <c r="A2" s="43" t="s">
        <v>55</v>
      </c>
      <c r="B2" s="44" t="s">
        <v>58</v>
      </c>
      <c r="C2">
        <v>9.81</v>
      </c>
      <c r="E2" s="44">
        <v>0</v>
      </c>
      <c r="F2" s="44">
        <v>0</v>
      </c>
      <c r="G2" s="44">
        <f>$C$12</f>
        <v>17.902123823725159</v>
      </c>
      <c r="H2" s="44">
        <f>$C$12*E2</f>
        <v>0</v>
      </c>
      <c r="P2">
        <v>0</v>
      </c>
      <c r="Q2">
        <v>0</v>
      </c>
      <c r="R2">
        <f>$C$12-$C$9</f>
        <v>5.1600239256619584</v>
      </c>
      <c r="S2">
        <f>(17.9*P2)-(12.74*(P2-$C$4))</f>
        <v>16.562000000000001</v>
      </c>
      <c r="AA2">
        <v>0</v>
      </c>
      <c r="AB2">
        <v>0</v>
      </c>
      <c r="AC2">
        <f>$C$12-2*$C$9</f>
        <v>-7.5820759724012419</v>
      </c>
      <c r="AD2">
        <f>$C$12*AA2-($C$9*(AA2-$C$4))-$C$9*(AA2-$C$4-$C$5)</f>
        <v>45.871559633027516</v>
      </c>
    </row>
    <row r="3" spans="1:30" x14ac:dyDescent="0.3">
      <c r="A3" s="43" t="s">
        <v>59</v>
      </c>
      <c r="B3" s="44" t="s">
        <v>58</v>
      </c>
      <c r="C3">
        <v>500</v>
      </c>
      <c r="E3">
        <f>0.1+E2</f>
        <v>0.1</v>
      </c>
      <c r="F3">
        <v>0</v>
      </c>
      <c r="G3">
        <f t="shared" ref="G3:G63" si="0">$C$12</f>
        <v>17.902123823725159</v>
      </c>
      <c r="H3">
        <f t="shared" ref="H3:H63" si="1">$C$12*E3</f>
        <v>1.790212382372516</v>
      </c>
      <c r="P3">
        <f>0.1+P2</f>
        <v>0.1</v>
      </c>
      <c r="Q3">
        <v>0</v>
      </c>
      <c r="R3">
        <f t="shared" ref="R3:R63" si="2">$C$12-$C$9</f>
        <v>5.1600239256619584</v>
      </c>
      <c r="S3">
        <f t="shared" ref="S3:S63" si="3">(17.9*P3)-(12.74*(P3-$C$4))</f>
        <v>17.077999999999999</v>
      </c>
      <c r="AA3">
        <f>AA2+0.1</f>
        <v>0.1</v>
      </c>
      <c r="AB3">
        <v>0</v>
      </c>
      <c r="AC3">
        <f t="shared" ref="AC3:AC63" si="4">$C$12-2*$C$9</f>
        <v>-7.5820759724012419</v>
      </c>
      <c r="AD3">
        <f t="shared" ref="AD3:AD63" si="5">$C$12*AA3-($C$9*(AA3-$C$4))-$C$9*(AA3-$C$4-$C$5)</f>
        <v>45.1133520357874</v>
      </c>
    </row>
    <row r="4" spans="1:30" x14ac:dyDescent="0.3">
      <c r="A4" s="43"/>
      <c r="B4" s="44" t="s">
        <v>14</v>
      </c>
      <c r="C4">
        <v>1.3</v>
      </c>
      <c r="E4" s="44">
        <f t="shared" ref="E4:E63" si="6">0.1+E3</f>
        <v>0.2</v>
      </c>
      <c r="F4" s="44">
        <v>0</v>
      </c>
      <c r="G4" s="44">
        <f t="shared" si="0"/>
        <v>17.902123823725159</v>
      </c>
      <c r="H4" s="44">
        <f t="shared" si="1"/>
        <v>3.580424764745032</v>
      </c>
      <c r="P4">
        <f t="shared" ref="P4:P63" si="7">0.1+P3</f>
        <v>0.2</v>
      </c>
      <c r="Q4">
        <v>0</v>
      </c>
      <c r="R4">
        <f t="shared" si="2"/>
        <v>5.1600239256619584</v>
      </c>
      <c r="S4">
        <f t="shared" si="3"/>
        <v>17.594000000000001</v>
      </c>
      <c r="AA4">
        <f t="shared" ref="AA4:AA63" si="8">AA3+0.1</f>
        <v>0.2</v>
      </c>
      <c r="AB4">
        <v>0</v>
      </c>
      <c r="AC4">
        <f t="shared" si="4"/>
        <v>-7.5820759724012419</v>
      </c>
      <c r="AD4">
        <f t="shared" si="5"/>
        <v>44.355144438547271</v>
      </c>
    </row>
    <row r="5" spans="1:30" x14ac:dyDescent="0.3">
      <c r="A5" s="43" t="s">
        <v>60</v>
      </c>
      <c r="B5" s="44" t="s">
        <v>14</v>
      </c>
      <c r="C5">
        <v>1</v>
      </c>
      <c r="E5">
        <f t="shared" si="6"/>
        <v>0.30000000000000004</v>
      </c>
      <c r="F5">
        <v>0</v>
      </c>
      <c r="G5">
        <f t="shared" si="0"/>
        <v>17.902123823725159</v>
      </c>
      <c r="H5">
        <f t="shared" si="1"/>
        <v>5.3706371471175487</v>
      </c>
      <c r="P5">
        <f t="shared" si="7"/>
        <v>0.30000000000000004</v>
      </c>
      <c r="Q5">
        <v>0</v>
      </c>
      <c r="R5">
        <f t="shared" si="2"/>
        <v>5.1600239256619584</v>
      </c>
      <c r="S5">
        <f t="shared" si="3"/>
        <v>18.11</v>
      </c>
      <c r="AA5">
        <f t="shared" si="8"/>
        <v>0.30000000000000004</v>
      </c>
      <c r="AB5">
        <v>0</v>
      </c>
      <c r="AC5">
        <f t="shared" si="4"/>
        <v>-7.5820759724012419</v>
      </c>
      <c r="AD5">
        <f t="shared" si="5"/>
        <v>43.596936841307155</v>
      </c>
    </row>
    <row r="6" spans="1:30" x14ac:dyDescent="0.3">
      <c r="A6" s="43" t="s">
        <v>25</v>
      </c>
      <c r="B6" s="44" t="s">
        <v>14</v>
      </c>
      <c r="C6">
        <v>6.05</v>
      </c>
      <c r="E6" s="44">
        <f t="shared" si="6"/>
        <v>0.4</v>
      </c>
      <c r="F6" s="44">
        <v>0</v>
      </c>
      <c r="G6" s="44">
        <f t="shared" si="0"/>
        <v>17.902123823725159</v>
      </c>
      <c r="H6" s="44">
        <f t="shared" si="1"/>
        <v>7.160849529490064</v>
      </c>
      <c r="P6">
        <f t="shared" si="7"/>
        <v>0.4</v>
      </c>
      <c r="Q6">
        <v>0</v>
      </c>
      <c r="R6">
        <f t="shared" si="2"/>
        <v>5.1600239256619584</v>
      </c>
      <c r="S6">
        <f t="shared" si="3"/>
        <v>18.626000000000001</v>
      </c>
      <c r="AA6">
        <f t="shared" si="8"/>
        <v>0.4</v>
      </c>
      <c r="AB6">
        <v>0</v>
      </c>
      <c r="AC6">
        <f t="shared" si="4"/>
        <v>-7.5820759724012419</v>
      </c>
      <c r="AD6">
        <f t="shared" si="5"/>
        <v>42.838729244067025</v>
      </c>
    </row>
    <row r="7" spans="1:30" x14ac:dyDescent="0.3">
      <c r="A7" s="43" t="s">
        <v>26</v>
      </c>
      <c r="B7" s="44" t="s">
        <v>61</v>
      </c>
      <c r="C7" s="36">
        <v>210000000000</v>
      </c>
      <c r="E7">
        <f t="shared" si="6"/>
        <v>0.5</v>
      </c>
      <c r="F7">
        <v>0</v>
      </c>
      <c r="G7">
        <f t="shared" si="0"/>
        <v>17.902123823725159</v>
      </c>
      <c r="H7">
        <f t="shared" si="1"/>
        <v>8.9510619118625794</v>
      </c>
      <c r="P7">
        <f t="shared" si="7"/>
        <v>0.5</v>
      </c>
      <c r="Q7">
        <v>0</v>
      </c>
      <c r="R7">
        <f t="shared" si="2"/>
        <v>5.1600239256619584</v>
      </c>
      <c r="S7">
        <f t="shared" si="3"/>
        <v>19.141999999999999</v>
      </c>
      <c r="AA7">
        <f t="shared" si="8"/>
        <v>0.5</v>
      </c>
      <c r="AB7">
        <v>0</v>
      </c>
      <c r="AC7">
        <f t="shared" si="4"/>
        <v>-7.5820759724012419</v>
      </c>
      <c r="AD7">
        <f t="shared" si="5"/>
        <v>42.080521646826902</v>
      </c>
    </row>
    <row r="8" spans="1:30" x14ac:dyDescent="0.3">
      <c r="A8" s="43" t="s">
        <v>40</v>
      </c>
      <c r="B8" s="44" t="s">
        <v>62</v>
      </c>
      <c r="E8" s="44">
        <f t="shared" si="6"/>
        <v>0.6</v>
      </c>
      <c r="F8" s="44">
        <v>0</v>
      </c>
      <c r="G8" s="44">
        <f t="shared" si="0"/>
        <v>17.902123823725159</v>
      </c>
      <c r="H8" s="44">
        <f t="shared" si="1"/>
        <v>10.741274294235096</v>
      </c>
      <c r="P8">
        <f t="shared" si="7"/>
        <v>0.6</v>
      </c>
      <c r="Q8">
        <v>0</v>
      </c>
      <c r="R8">
        <f t="shared" si="2"/>
        <v>5.1600239256619584</v>
      </c>
      <c r="S8">
        <f t="shared" si="3"/>
        <v>19.658000000000001</v>
      </c>
      <c r="AA8">
        <f t="shared" si="8"/>
        <v>0.6</v>
      </c>
      <c r="AB8">
        <v>0</v>
      </c>
      <c r="AC8">
        <f t="shared" si="4"/>
        <v>-7.5820759724012419</v>
      </c>
      <c r="AD8">
        <f t="shared" si="5"/>
        <v>41.32231404958678</v>
      </c>
    </row>
    <row r="9" spans="1:30" x14ac:dyDescent="0.3">
      <c r="A9" s="43" t="s">
        <v>65</v>
      </c>
      <c r="B9" s="44" t="s">
        <v>66</v>
      </c>
      <c r="C9">
        <f>C3/(4*C2)</f>
        <v>12.7420998980632</v>
      </c>
      <c r="E9">
        <f t="shared" si="6"/>
        <v>0.7</v>
      </c>
      <c r="F9">
        <v>0</v>
      </c>
      <c r="G9">
        <f t="shared" si="0"/>
        <v>17.902123823725159</v>
      </c>
      <c r="H9">
        <f t="shared" si="1"/>
        <v>12.53148667660761</v>
      </c>
      <c r="P9">
        <f t="shared" si="7"/>
        <v>0.7</v>
      </c>
      <c r="Q9">
        <v>0</v>
      </c>
      <c r="R9">
        <f t="shared" si="2"/>
        <v>5.1600239256619584</v>
      </c>
      <c r="S9">
        <f t="shared" si="3"/>
        <v>20.173999999999999</v>
      </c>
      <c r="AA9">
        <f t="shared" si="8"/>
        <v>0.7</v>
      </c>
      <c r="AB9">
        <v>0</v>
      </c>
      <c r="AC9">
        <f t="shared" si="4"/>
        <v>-7.5820759724012419</v>
      </c>
      <c r="AD9">
        <f t="shared" si="5"/>
        <v>40.56410645234665</v>
      </c>
    </row>
    <row r="10" spans="1:30" x14ac:dyDescent="0.3">
      <c r="A10" s="43" t="s">
        <v>63</v>
      </c>
      <c r="B10" s="44">
        <v>0</v>
      </c>
      <c r="C10">
        <v>0</v>
      </c>
      <c r="E10" s="44">
        <f t="shared" si="6"/>
        <v>0.79999999999999993</v>
      </c>
      <c r="F10" s="44">
        <v>0</v>
      </c>
      <c r="G10" s="44">
        <f t="shared" si="0"/>
        <v>17.902123823725159</v>
      </c>
      <c r="H10" s="44">
        <f t="shared" si="1"/>
        <v>14.321699058980126</v>
      </c>
      <c r="P10">
        <f t="shared" si="7"/>
        <v>0.79999999999999993</v>
      </c>
      <c r="Q10">
        <v>0</v>
      </c>
      <c r="R10">
        <f t="shared" si="2"/>
        <v>5.1600239256619584</v>
      </c>
      <c r="S10">
        <f t="shared" si="3"/>
        <v>20.69</v>
      </c>
      <c r="AA10">
        <f t="shared" si="8"/>
        <v>0.79999999999999993</v>
      </c>
      <c r="AB10">
        <v>0</v>
      </c>
      <c r="AC10">
        <f t="shared" si="4"/>
        <v>-7.5820759724012419</v>
      </c>
      <c r="AD10">
        <f t="shared" si="5"/>
        <v>39.805898855106527</v>
      </c>
    </row>
    <row r="11" spans="1:30" x14ac:dyDescent="0.3">
      <c r="A11" s="43" t="s">
        <v>67</v>
      </c>
      <c r="B11" s="44" t="s">
        <v>64</v>
      </c>
      <c r="C11">
        <f>C9*((2*C4+C5)/C6)</f>
        <v>7.5820759724012436</v>
      </c>
      <c r="E11">
        <f t="shared" si="6"/>
        <v>0.89999999999999991</v>
      </c>
      <c r="F11">
        <v>0</v>
      </c>
      <c r="G11">
        <f t="shared" si="0"/>
        <v>17.902123823725159</v>
      </c>
      <c r="H11">
        <f t="shared" si="1"/>
        <v>16.111911441352643</v>
      </c>
      <c r="P11">
        <f t="shared" si="7"/>
        <v>0.89999999999999991</v>
      </c>
      <c r="Q11">
        <v>0</v>
      </c>
      <c r="R11">
        <f t="shared" si="2"/>
        <v>5.1600239256619584</v>
      </c>
      <c r="S11">
        <f t="shared" si="3"/>
        <v>21.205999999999996</v>
      </c>
      <c r="AA11">
        <f t="shared" si="8"/>
        <v>0.89999999999999991</v>
      </c>
      <c r="AB11">
        <v>0</v>
      </c>
      <c r="AC11">
        <f t="shared" si="4"/>
        <v>-7.5820759724012419</v>
      </c>
      <c r="AD11">
        <f t="shared" si="5"/>
        <v>39.047691257866404</v>
      </c>
    </row>
    <row r="12" spans="1:30" x14ac:dyDescent="0.3">
      <c r="A12" s="43" t="s">
        <v>39</v>
      </c>
      <c r="B12" s="44" t="s">
        <v>68</v>
      </c>
      <c r="C12">
        <f>(C9*(2*C6-2*C4-C5))/C6</f>
        <v>17.902123823725159</v>
      </c>
      <c r="E12" s="44">
        <f t="shared" si="6"/>
        <v>0.99999999999999989</v>
      </c>
      <c r="F12" s="44">
        <v>0</v>
      </c>
      <c r="G12" s="44">
        <f t="shared" si="0"/>
        <v>17.902123823725159</v>
      </c>
      <c r="H12" s="44">
        <f t="shared" si="1"/>
        <v>17.902123823725155</v>
      </c>
      <c r="P12">
        <f t="shared" si="7"/>
        <v>0.99999999999999989</v>
      </c>
      <c r="Q12">
        <v>0</v>
      </c>
      <c r="R12">
        <f t="shared" si="2"/>
        <v>5.1600239256619584</v>
      </c>
      <c r="S12">
        <f t="shared" si="3"/>
        <v>21.721999999999998</v>
      </c>
      <c r="AA12">
        <f t="shared" si="8"/>
        <v>0.99999999999999989</v>
      </c>
      <c r="AB12">
        <v>0</v>
      </c>
      <c r="AC12">
        <f t="shared" si="4"/>
        <v>-7.5820759724012419</v>
      </c>
      <c r="AD12">
        <f t="shared" si="5"/>
        <v>38.289483660626281</v>
      </c>
    </row>
    <row r="13" spans="1:30" x14ac:dyDescent="0.3">
      <c r="E13">
        <f t="shared" si="6"/>
        <v>1.0999999999999999</v>
      </c>
      <c r="F13">
        <v>0</v>
      </c>
      <c r="G13">
        <f t="shared" si="0"/>
        <v>17.902123823725159</v>
      </c>
      <c r="H13">
        <f t="shared" si="1"/>
        <v>19.692336206097671</v>
      </c>
      <c r="P13">
        <f t="shared" si="7"/>
        <v>1.0999999999999999</v>
      </c>
      <c r="Q13">
        <v>0</v>
      </c>
      <c r="R13">
        <f t="shared" si="2"/>
        <v>5.1600239256619584</v>
      </c>
      <c r="S13">
        <f t="shared" si="3"/>
        <v>22.238</v>
      </c>
      <c r="AA13">
        <f t="shared" si="8"/>
        <v>1.0999999999999999</v>
      </c>
      <c r="AB13">
        <v>0</v>
      </c>
      <c r="AC13">
        <f t="shared" si="4"/>
        <v>-7.5820759724012419</v>
      </c>
      <c r="AD13">
        <f t="shared" si="5"/>
        <v>37.531276063386159</v>
      </c>
    </row>
    <row r="14" spans="1:30" x14ac:dyDescent="0.3">
      <c r="E14" s="44">
        <f t="shared" si="6"/>
        <v>1.2</v>
      </c>
      <c r="F14" s="44">
        <v>0</v>
      </c>
      <c r="G14" s="44">
        <f t="shared" si="0"/>
        <v>17.902123823725159</v>
      </c>
      <c r="H14" s="44">
        <f t="shared" si="1"/>
        <v>21.482548588470191</v>
      </c>
      <c r="P14">
        <f t="shared" si="7"/>
        <v>1.2</v>
      </c>
      <c r="Q14">
        <v>0</v>
      </c>
      <c r="R14">
        <f t="shared" si="2"/>
        <v>5.1600239256619584</v>
      </c>
      <c r="S14">
        <f t="shared" si="3"/>
        <v>22.753999999999998</v>
      </c>
      <c r="AA14">
        <f t="shared" si="8"/>
        <v>1.2</v>
      </c>
      <c r="AB14">
        <v>0</v>
      </c>
      <c r="AC14">
        <f t="shared" si="4"/>
        <v>-7.5820759724012419</v>
      </c>
      <c r="AD14">
        <f t="shared" si="5"/>
        <v>36.773068466146029</v>
      </c>
    </row>
    <row r="15" spans="1:30" x14ac:dyDescent="0.3">
      <c r="E15">
        <f t="shared" si="6"/>
        <v>1.3</v>
      </c>
      <c r="F15">
        <v>0</v>
      </c>
      <c r="G15">
        <f t="shared" si="0"/>
        <v>17.902123823725159</v>
      </c>
      <c r="H15">
        <f t="shared" si="1"/>
        <v>23.272760970842707</v>
      </c>
      <c r="P15">
        <f t="shared" si="7"/>
        <v>1.3</v>
      </c>
      <c r="Q15">
        <v>0</v>
      </c>
      <c r="R15">
        <f t="shared" si="2"/>
        <v>5.1600239256619584</v>
      </c>
      <c r="S15">
        <f t="shared" si="3"/>
        <v>23.27</v>
      </c>
      <c r="AA15">
        <f t="shared" si="8"/>
        <v>1.3</v>
      </c>
      <c r="AB15">
        <v>0</v>
      </c>
      <c r="AC15">
        <f t="shared" si="4"/>
        <v>-7.5820759724012419</v>
      </c>
      <c r="AD15">
        <f t="shared" si="5"/>
        <v>36.014860868905906</v>
      </c>
    </row>
    <row r="16" spans="1:30" x14ac:dyDescent="0.3">
      <c r="E16" s="44">
        <f t="shared" si="6"/>
        <v>1.4000000000000001</v>
      </c>
      <c r="F16" s="44">
        <v>0</v>
      </c>
      <c r="G16" s="44">
        <f t="shared" si="0"/>
        <v>17.902123823725159</v>
      </c>
      <c r="H16" s="44">
        <f t="shared" si="1"/>
        <v>25.062973353215224</v>
      </c>
      <c r="P16">
        <f t="shared" si="7"/>
        <v>1.4000000000000001</v>
      </c>
      <c r="Q16">
        <v>0</v>
      </c>
      <c r="R16">
        <f t="shared" si="2"/>
        <v>5.1600239256619584</v>
      </c>
      <c r="S16">
        <f t="shared" si="3"/>
        <v>23.785999999999998</v>
      </c>
      <c r="AA16">
        <f t="shared" si="8"/>
        <v>1.4000000000000001</v>
      </c>
      <c r="AB16">
        <v>0</v>
      </c>
      <c r="AC16">
        <f t="shared" si="4"/>
        <v>-7.5820759724012419</v>
      </c>
      <c r="AD16">
        <f t="shared" si="5"/>
        <v>35.256653271665783</v>
      </c>
    </row>
    <row r="17" spans="5:30" x14ac:dyDescent="0.3">
      <c r="E17">
        <f t="shared" si="6"/>
        <v>1.5000000000000002</v>
      </c>
      <c r="F17">
        <v>0</v>
      </c>
      <c r="G17">
        <f t="shared" si="0"/>
        <v>17.902123823725159</v>
      </c>
      <c r="H17">
        <f t="shared" si="1"/>
        <v>26.853185735587743</v>
      </c>
      <c r="P17">
        <f t="shared" si="7"/>
        <v>1.5000000000000002</v>
      </c>
      <c r="Q17">
        <v>0</v>
      </c>
      <c r="R17">
        <f t="shared" si="2"/>
        <v>5.1600239256619584</v>
      </c>
      <c r="S17">
        <f t="shared" si="3"/>
        <v>24.302</v>
      </c>
      <c r="AA17">
        <f t="shared" si="8"/>
        <v>1.5000000000000002</v>
      </c>
      <c r="AB17">
        <v>0</v>
      </c>
      <c r="AC17">
        <f t="shared" si="4"/>
        <v>-7.5820759724012419</v>
      </c>
      <c r="AD17">
        <f t="shared" si="5"/>
        <v>34.49844567442566</v>
      </c>
    </row>
    <row r="18" spans="5:30" x14ac:dyDescent="0.3">
      <c r="E18" s="44">
        <f t="shared" si="6"/>
        <v>1.6000000000000003</v>
      </c>
      <c r="F18" s="44">
        <v>0</v>
      </c>
      <c r="G18" s="44">
        <f t="shared" si="0"/>
        <v>17.902123823725159</v>
      </c>
      <c r="H18" s="44">
        <f t="shared" si="1"/>
        <v>28.64339811796026</v>
      </c>
      <c r="P18">
        <f t="shared" si="7"/>
        <v>1.6000000000000003</v>
      </c>
      <c r="Q18">
        <v>0</v>
      </c>
      <c r="R18">
        <f t="shared" si="2"/>
        <v>5.1600239256619584</v>
      </c>
      <c r="S18">
        <f t="shared" si="3"/>
        <v>24.818000000000001</v>
      </c>
      <c r="AA18">
        <f t="shared" si="8"/>
        <v>1.6000000000000003</v>
      </c>
      <c r="AB18">
        <v>0</v>
      </c>
      <c r="AC18">
        <f t="shared" si="4"/>
        <v>-7.5820759724012419</v>
      </c>
      <c r="AD18">
        <f t="shared" si="5"/>
        <v>33.740238077185538</v>
      </c>
    </row>
    <row r="19" spans="5:30" x14ac:dyDescent="0.3">
      <c r="E19">
        <f t="shared" si="6"/>
        <v>1.7000000000000004</v>
      </c>
      <c r="F19">
        <v>0</v>
      </c>
      <c r="G19">
        <f t="shared" si="0"/>
        <v>17.902123823725159</v>
      </c>
      <c r="H19">
        <f t="shared" si="1"/>
        <v>30.433610500332776</v>
      </c>
      <c r="P19">
        <f t="shared" si="7"/>
        <v>1.7000000000000004</v>
      </c>
      <c r="Q19">
        <v>0</v>
      </c>
      <c r="R19">
        <f t="shared" si="2"/>
        <v>5.1600239256619584</v>
      </c>
      <c r="S19">
        <f t="shared" si="3"/>
        <v>25.334</v>
      </c>
      <c r="AA19">
        <f t="shared" si="8"/>
        <v>1.7000000000000004</v>
      </c>
      <c r="AB19">
        <v>0</v>
      </c>
      <c r="AC19">
        <f t="shared" si="4"/>
        <v>-7.5820759724012419</v>
      </c>
      <c r="AD19">
        <f t="shared" si="5"/>
        <v>32.982030479945408</v>
      </c>
    </row>
    <row r="20" spans="5:30" x14ac:dyDescent="0.3">
      <c r="E20" s="44">
        <f t="shared" si="6"/>
        <v>1.8000000000000005</v>
      </c>
      <c r="F20" s="44">
        <v>0</v>
      </c>
      <c r="G20" s="44">
        <f t="shared" si="0"/>
        <v>17.902123823725159</v>
      </c>
      <c r="H20" s="44">
        <f t="shared" si="1"/>
        <v>32.223822882705292</v>
      </c>
      <c r="P20">
        <f t="shared" si="7"/>
        <v>1.8000000000000005</v>
      </c>
      <c r="Q20">
        <v>0</v>
      </c>
      <c r="R20">
        <f t="shared" si="2"/>
        <v>5.1600239256619584</v>
      </c>
      <c r="S20">
        <f t="shared" si="3"/>
        <v>25.85</v>
      </c>
      <c r="AA20">
        <f t="shared" si="8"/>
        <v>1.8000000000000005</v>
      </c>
      <c r="AB20">
        <v>0</v>
      </c>
      <c r="AC20">
        <f t="shared" si="4"/>
        <v>-7.5820759724012419</v>
      </c>
      <c r="AD20">
        <f t="shared" si="5"/>
        <v>32.223822882705285</v>
      </c>
    </row>
    <row r="21" spans="5:30" x14ac:dyDescent="0.3">
      <c r="E21">
        <f t="shared" si="6"/>
        <v>1.9000000000000006</v>
      </c>
      <c r="F21">
        <v>0</v>
      </c>
      <c r="G21">
        <f t="shared" si="0"/>
        <v>17.902123823725159</v>
      </c>
      <c r="H21">
        <f t="shared" si="1"/>
        <v>34.014035265077815</v>
      </c>
      <c r="P21">
        <f t="shared" si="7"/>
        <v>1.9000000000000006</v>
      </c>
      <c r="Q21">
        <v>0</v>
      </c>
      <c r="R21">
        <f t="shared" si="2"/>
        <v>5.1600239256619584</v>
      </c>
      <c r="S21">
        <f t="shared" si="3"/>
        <v>26.366</v>
      </c>
      <c r="AA21">
        <f t="shared" si="8"/>
        <v>1.9000000000000006</v>
      </c>
      <c r="AB21">
        <v>0</v>
      </c>
      <c r="AC21">
        <f t="shared" si="4"/>
        <v>-7.5820759724012419</v>
      </c>
      <c r="AD21">
        <f t="shared" si="5"/>
        <v>31.465615285465162</v>
      </c>
    </row>
    <row r="22" spans="5:30" x14ac:dyDescent="0.3">
      <c r="E22" s="44">
        <f t="shared" si="6"/>
        <v>2.0000000000000004</v>
      </c>
      <c r="F22" s="44">
        <v>0</v>
      </c>
      <c r="G22" s="44">
        <f t="shared" si="0"/>
        <v>17.902123823725159</v>
      </c>
      <c r="H22" s="44">
        <f t="shared" si="1"/>
        <v>35.804247647450325</v>
      </c>
      <c r="P22">
        <f t="shared" si="7"/>
        <v>2.0000000000000004</v>
      </c>
      <c r="Q22">
        <v>0</v>
      </c>
      <c r="R22">
        <f t="shared" si="2"/>
        <v>5.1600239256619584</v>
      </c>
      <c r="S22">
        <f t="shared" si="3"/>
        <v>26.881999999999998</v>
      </c>
      <c r="AA22">
        <f t="shared" si="8"/>
        <v>2.0000000000000004</v>
      </c>
      <c r="AB22">
        <v>0</v>
      </c>
      <c r="AC22">
        <f t="shared" si="4"/>
        <v>-7.5820759724012419</v>
      </c>
      <c r="AD22">
        <f t="shared" si="5"/>
        <v>30.707407688225032</v>
      </c>
    </row>
    <row r="23" spans="5:30" x14ac:dyDescent="0.3">
      <c r="E23">
        <f t="shared" si="6"/>
        <v>2.1000000000000005</v>
      </c>
      <c r="F23">
        <v>0</v>
      </c>
      <c r="G23">
        <f t="shared" si="0"/>
        <v>17.902123823725159</v>
      </c>
      <c r="H23">
        <f t="shared" si="1"/>
        <v>37.594460029822841</v>
      </c>
      <c r="P23">
        <f t="shared" si="7"/>
        <v>2.1000000000000005</v>
      </c>
      <c r="Q23">
        <v>0</v>
      </c>
      <c r="R23">
        <f t="shared" si="2"/>
        <v>5.1600239256619584</v>
      </c>
      <c r="S23">
        <f t="shared" si="3"/>
        <v>27.397999999999996</v>
      </c>
      <c r="AA23">
        <f t="shared" si="8"/>
        <v>2.1000000000000005</v>
      </c>
      <c r="AB23">
        <v>0</v>
      </c>
      <c r="AC23">
        <f t="shared" si="4"/>
        <v>-7.5820759724012419</v>
      </c>
      <c r="AD23">
        <f t="shared" si="5"/>
        <v>29.94920009098491</v>
      </c>
    </row>
    <row r="24" spans="5:30" x14ac:dyDescent="0.3">
      <c r="E24" s="44">
        <f t="shared" si="6"/>
        <v>2.2000000000000006</v>
      </c>
      <c r="F24" s="44">
        <v>0</v>
      </c>
      <c r="G24" s="44">
        <f t="shared" si="0"/>
        <v>17.902123823725159</v>
      </c>
      <c r="H24" s="44">
        <f t="shared" si="1"/>
        <v>39.384672412195357</v>
      </c>
      <c r="P24">
        <f t="shared" si="7"/>
        <v>2.2000000000000006</v>
      </c>
      <c r="Q24">
        <v>0</v>
      </c>
      <c r="R24">
        <f t="shared" si="2"/>
        <v>5.1600239256619584</v>
      </c>
      <c r="S24">
        <f t="shared" si="3"/>
        <v>27.914000000000001</v>
      </c>
      <c r="AA24">
        <f t="shared" si="8"/>
        <v>2.2000000000000006</v>
      </c>
      <c r="AB24">
        <v>0</v>
      </c>
      <c r="AC24">
        <f t="shared" si="4"/>
        <v>-7.5820759724012419</v>
      </c>
      <c r="AD24">
        <f t="shared" si="5"/>
        <v>29.190992493744783</v>
      </c>
    </row>
    <row r="25" spans="5:30" x14ac:dyDescent="0.3">
      <c r="E25">
        <f t="shared" si="6"/>
        <v>2.3000000000000007</v>
      </c>
      <c r="F25">
        <v>0</v>
      </c>
      <c r="G25">
        <f t="shared" si="0"/>
        <v>17.902123823725159</v>
      </c>
      <c r="H25">
        <f t="shared" si="1"/>
        <v>41.17488479456788</v>
      </c>
      <c r="P25">
        <f t="shared" si="7"/>
        <v>2.3000000000000007</v>
      </c>
      <c r="Q25">
        <v>0</v>
      </c>
      <c r="R25">
        <f t="shared" si="2"/>
        <v>5.1600239256619584</v>
      </c>
      <c r="S25">
        <f t="shared" si="3"/>
        <v>28.43</v>
      </c>
      <c r="AA25">
        <f t="shared" si="8"/>
        <v>2.3000000000000007</v>
      </c>
      <c r="AB25">
        <v>0</v>
      </c>
      <c r="AC25">
        <f t="shared" si="4"/>
        <v>-7.5820759724012419</v>
      </c>
      <c r="AD25">
        <f t="shared" si="5"/>
        <v>28.432784896504664</v>
      </c>
    </row>
    <row r="26" spans="5:30" x14ac:dyDescent="0.3">
      <c r="E26" s="44">
        <f t="shared" si="6"/>
        <v>2.4000000000000008</v>
      </c>
      <c r="F26" s="44">
        <v>0</v>
      </c>
      <c r="G26" s="44">
        <f t="shared" si="0"/>
        <v>17.902123823725159</v>
      </c>
      <c r="H26" s="44">
        <f t="shared" si="1"/>
        <v>42.965097176940397</v>
      </c>
      <c r="P26">
        <f t="shared" si="7"/>
        <v>2.4000000000000008</v>
      </c>
      <c r="Q26">
        <v>0</v>
      </c>
      <c r="R26">
        <f t="shared" si="2"/>
        <v>5.1600239256619584</v>
      </c>
      <c r="S26">
        <f t="shared" si="3"/>
        <v>28.945999999999998</v>
      </c>
      <c r="AA26">
        <f t="shared" si="8"/>
        <v>2.4000000000000008</v>
      </c>
      <c r="AB26">
        <v>0</v>
      </c>
      <c r="AC26">
        <f t="shared" si="4"/>
        <v>-7.5820759724012419</v>
      </c>
      <c r="AD26">
        <f t="shared" si="5"/>
        <v>27.674577299264534</v>
      </c>
    </row>
    <row r="27" spans="5:30" x14ac:dyDescent="0.3">
      <c r="E27">
        <f t="shared" si="6"/>
        <v>2.5000000000000009</v>
      </c>
      <c r="F27">
        <v>0</v>
      </c>
      <c r="G27">
        <f t="shared" si="0"/>
        <v>17.902123823725159</v>
      </c>
      <c r="H27">
        <f t="shared" si="1"/>
        <v>44.755309559312913</v>
      </c>
      <c r="P27">
        <f t="shared" si="7"/>
        <v>2.5000000000000009</v>
      </c>
      <c r="Q27">
        <v>0</v>
      </c>
      <c r="R27">
        <f t="shared" si="2"/>
        <v>5.1600239256619584</v>
      </c>
      <c r="S27">
        <f t="shared" si="3"/>
        <v>29.462000000000003</v>
      </c>
      <c r="AA27">
        <f t="shared" si="8"/>
        <v>2.5000000000000009</v>
      </c>
      <c r="AB27">
        <v>0</v>
      </c>
      <c r="AC27">
        <f t="shared" si="4"/>
        <v>-7.5820759724012419</v>
      </c>
      <c r="AD27">
        <f t="shared" si="5"/>
        <v>26.916369702024411</v>
      </c>
    </row>
    <row r="28" spans="5:30" x14ac:dyDescent="0.3">
      <c r="E28" s="44">
        <f t="shared" si="6"/>
        <v>2.600000000000001</v>
      </c>
      <c r="F28" s="44">
        <v>0</v>
      </c>
      <c r="G28" s="44">
        <f t="shared" si="0"/>
        <v>17.902123823725159</v>
      </c>
      <c r="H28" s="44">
        <f t="shared" si="1"/>
        <v>46.545521941685429</v>
      </c>
      <c r="P28">
        <f t="shared" si="7"/>
        <v>2.600000000000001</v>
      </c>
      <c r="Q28">
        <v>0</v>
      </c>
      <c r="R28">
        <f t="shared" si="2"/>
        <v>5.1600239256619584</v>
      </c>
      <c r="S28">
        <f t="shared" si="3"/>
        <v>29.978000000000002</v>
      </c>
      <c r="AA28">
        <f t="shared" si="8"/>
        <v>2.600000000000001</v>
      </c>
      <c r="AB28">
        <v>0</v>
      </c>
      <c r="AC28">
        <f t="shared" si="4"/>
        <v>-7.5820759724012419</v>
      </c>
      <c r="AD28">
        <f t="shared" si="5"/>
        <v>26.158162104784285</v>
      </c>
    </row>
    <row r="29" spans="5:30" x14ac:dyDescent="0.3">
      <c r="E29">
        <f t="shared" si="6"/>
        <v>2.7000000000000011</v>
      </c>
      <c r="F29">
        <v>0</v>
      </c>
      <c r="G29">
        <f t="shared" si="0"/>
        <v>17.902123823725159</v>
      </c>
      <c r="H29">
        <f t="shared" si="1"/>
        <v>48.335734324057945</v>
      </c>
      <c r="P29">
        <f t="shared" si="7"/>
        <v>2.7000000000000011</v>
      </c>
      <c r="Q29">
        <v>0</v>
      </c>
      <c r="R29">
        <f t="shared" si="2"/>
        <v>5.1600239256619584</v>
      </c>
      <c r="S29">
        <f t="shared" si="3"/>
        <v>30.494</v>
      </c>
      <c r="AA29">
        <f t="shared" si="8"/>
        <v>2.7000000000000011</v>
      </c>
      <c r="AB29">
        <v>0</v>
      </c>
      <c r="AC29">
        <f t="shared" si="4"/>
        <v>-7.5820759724012419</v>
      </c>
      <c r="AD29">
        <f t="shared" si="5"/>
        <v>25.399954507544159</v>
      </c>
    </row>
    <row r="30" spans="5:30" x14ac:dyDescent="0.3">
      <c r="E30" s="44">
        <f t="shared" si="6"/>
        <v>2.8000000000000012</v>
      </c>
      <c r="F30" s="44">
        <v>0</v>
      </c>
      <c r="G30" s="44">
        <f t="shared" si="0"/>
        <v>17.902123823725159</v>
      </c>
      <c r="H30" s="44">
        <f t="shared" si="1"/>
        <v>50.125946706430469</v>
      </c>
      <c r="P30">
        <f t="shared" si="7"/>
        <v>2.8000000000000012</v>
      </c>
      <c r="Q30">
        <v>0</v>
      </c>
      <c r="R30">
        <f t="shared" si="2"/>
        <v>5.1600239256619584</v>
      </c>
      <c r="S30">
        <f t="shared" si="3"/>
        <v>31.010000000000005</v>
      </c>
      <c r="AA30">
        <f t="shared" si="8"/>
        <v>2.8000000000000012</v>
      </c>
      <c r="AB30">
        <v>0</v>
      </c>
      <c r="AC30">
        <f t="shared" si="4"/>
        <v>-7.5820759724012419</v>
      </c>
      <c r="AD30">
        <f t="shared" si="5"/>
        <v>24.64174691030404</v>
      </c>
    </row>
    <row r="31" spans="5:30" x14ac:dyDescent="0.3">
      <c r="E31">
        <f t="shared" si="6"/>
        <v>2.9000000000000012</v>
      </c>
      <c r="F31">
        <v>0</v>
      </c>
      <c r="G31">
        <f t="shared" si="0"/>
        <v>17.902123823725159</v>
      </c>
      <c r="H31">
        <f t="shared" si="1"/>
        <v>51.916159088802985</v>
      </c>
      <c r="P31">
        <f t="shared" si="7"/>
        <v>2.9000000000000012</v>
      </c>
      <c r="Q31">
        <v>0</v>
      </c>
      <c r="R31">
        <f t="shared" si="2"/>
        <v>5.1600239256619584</v>
      </c>
      <c r="S31">
        <f t="shared" si="3"/>
        <v>31.526000000000003</v>
      </c>
      <c r="AA31">
        <f t="shared" si="8"/>
        <v>2.9000000000000012</v>
      </c>
      <c r="AB31">
        <v>0</v>
      </c>
      <c r="AC31">
        <f t="shared" si="4"/>
        <v>-7.5820759724012419</v>
      </c>
      <c r="AD31">
        <f t="shared" si="5"/>
        <v>23.883539313063913</v>
      </c>
    </row>
    <row r="32" spans="5:30" x14ac:dyDescent="0.3">
      <c r="E32" s="44">
        <f t="shared" si="6"/>
        <v>3.0000000000000013</v>
      </c>
      <c r="F32" s="44">
        <v>0</v>
      </c>
      <c r="G32" s="44">
        <f t="shared" si="0"/>
        <v>17.902123823725159</v>
      </c>
      <c r="H32" s="44">
        <f t="shared" si="1"/>
        <v>53.706371471175501</v>
      </c>
      <c r="P32">
        <f t="shared" si="7"/>
        <v>3.0000000000000013</v>
      </c>
      <c r="Q32">
        <v>0</v>
      </c>
      <c r="R32">
        <f t="shared" si="2"/>
        <v>5.1600239256619584</v>
      </c>
      <c r="S32">
        <f t="shared" si="3"/>
        <v>32.042000000000002</v>
      </c>
      <c r="AA32">
        <f t="shared" si="8"/>
        <v>3.0000000000000013</v>
      </c>
      <c r="AB32">
        <v>0</v>
      </c>
      <c r="AC32">
        <f t="shared" si="4"/>
        <v>-7.5820759724012419</v>
      </c>
      <c r="AD32">
        <f t="shared" si="5"/>
        <v>23.125331715823791</v>
      </c>
    </row>
    <row r="33" spans="5:30" x14ac:dyDescent="0.3">
      <c r="E33">
        <f t="shared" si="6"/>
        <v>3.1000000000000014</v>
      </c>
      <c r="F33">
        <v>0</v>
      </c>
      <c r="G33">
        <f t="shared" si="0"/>
        <v>17.902123823725159</v>
      </c>
      <c r="H33">
        <f t="shared" si="1"/>
        <v>55.496583853548017</v>
      </c>
      <c r="P33">
        <f t="shared" si="7"/>
        <v>3.1000000000000014</v>
      </c>
      <c r="Q33">
        <v>0</v>
      </c>
      <c r="R33">
        <f t="shared" si="2"/>
        <v>5.1600239256619584</v>
      </c>
      <c r="S33">
        <f t="shared" si="3"/>
        <v>32.558000000000007</v>
      </c>
      <c r="AA33">
        <f t="shared" si="8"/>
        <v>3.1000000000000014</v>
      </c>
      <c r="AB33">
        <v>0</v>
      </c>
      <c r="AC33">
        <f t="shared" si="4"/>
        <v>-7.5820759724012419</v>
      </c>
      <c r="AD33">
        <f t="shared" si="5"/>
        <v>22.367124118583661</v>
      </c>
    </row>
    <row r="34" spans="5:30" x14ac:dyDescent="0.3">
      <c r="E34" s="44">
        <f t="shared" si="6"/>
        <v>3.2000000000000015</v>
      </c>
      <c r="F34" s="44">
        <v>0</v>
      </c>
      <c r="G34" s="44">
        <f t="shared" si="0"/>
        <v>17.902123823725159</v>
      </c>
      <c r="H34" s="44">
        <f t="shared" si="1"/>
        <v>57.286796235920534</v>
      </c>
      <c r="P34">
        <f t="shared" si="7"/>
        <v>3.2000000000000015</v>
      </c>
      <c r="Q34">
        <v>0</v>
      </c>
      <c r="R34">
        <f t="shared" si="2"/>
        <v>5.1600239256619584</v>
      </c>
      <c r="S34">
        <f t="shared" si="3"/>
        <v>33.073999999999998</v>
      </c>
      <c r="AA34">
        <f t="shared" si="8"/>
        <v>3.2000000000000015</v>
      </c>
      <c r="AB34">
        <v>0</v>
      </c>
      <c r="AC34">
        <f t="shared" si="4"/>
        <v>-7.5820759724012419</v>
      </c>
      <c r="AD34">
        <f t="shared" si="5"/>
        <v>21.608916521343538</v>
      </c>
    </row>
    <row r="35" spans="5:30" x14ac:dyDescent="0.3">
      <c r="E35">
        <f t="shared" si="6"/>
        <v>3.3000000000000016</v>
      </c>
      <c r="F35">
        <v>0</v>
      </c>
      <c r="G35">
        <f t="shared" si="0"/>
        <v>17.902123823725159</v>
      </c>
      <c r="H35">
        <f t="shared" si="1"/>
        <v>59.07700861829305</v>
      </c>
      <c r="P35">
        <f t="shared" si="7"/>
        <v>3.3000000000000016</v>
      </c>
      <c r="Q35">
        <v>0</v>
      </c>
      <c r="R35">
        <f t="shared" si="2"/>
        <v>5.1600239256619584</v>
      </c>
      <c r="S35">
        <f t="shared" si="3"/>
        <v>33.590000000000003</v>
      </c>
      <c r="AA35">
        <f t="shared" si="8"/>
        <v>3.3000000000000016</v>
      </c>
      <c r="AB35">
        <v>0</v>
      </c>
      <c r="AC35">
        <f t="shared" si="4"/>
        <v>-7.5820759724012419</v>
      </c>
      <c r="AD35">
        <f t="shared" si="5"/>
        <v>20.850708924103408</v>
      </c>
    </row>
    <row r="36" spans="5:30" x14ac:dyDescent="0.3">
      <c r="E36" s="44">
        <f t="shared" si="6"/>
        <v>3.4000000000000017</v>
      </c>
      <c r="F36" s="44">
        <v>0</v>
      </c>
      <c r="G36" s="44">
        <f t="shared" si="0"/>
        <v>17.902123823725159</v>
      </c>
      <c r="H36" s="44">
        <f t="shared" si="1"/>
        <v>60.867221000665573</v>
      </c>
      <c r="P36">
        <f t="shared" si="7"/>
        <v>3.4000000000000017</v>
      </c>
      <c r="Q36">
        <v>0</v>
      </c>
      <c r="R36">
        <f t="shared" si="2"/>
        <v>5.1600239256619584</v>
      </c>
      <c r="S36">
        <f t="shared" si="3"/>
        <v>34.106000000000009</v>
      </c>
      <c r="AA36">
        <f t="shared" si="8"/>
        <v>3.4000000000000017</v>
      </c>
      <c r="AB36">
        <v>0</v>
      </c>
      <c r="AC36">
        <f t="shared" si="4"/>
        <v>-7.5820759724012419</v>
      </c>
      <c r="AD36">
        <f t="shared" si="5"/>
        <v>20.092501326863299</v>
      </c>
    </row>
    <row r="37" spans="5:30" x14ac:dyDescent="0.3">
      <c r="E37">
        <f t="shared" si="6"/>
        <v>3.5000000000000018</v>
      </c>
      <c r="F37">
        <v>0</v>
      </c>
      <c r="G37">
        <f t="shared" si="0"/>
        <v>17.902123823725159</v>
      </c>
      <c r="H37">
        <f t="shared" si="1"/>
        <v>62.657433383038089</v>
      </c>
      <c r="P37">
        <f t="shared" si="7"/>
        <v>3.5000000000000018</v>
      </c>
      <c r="Q37">
        <v>0</v>
      </c>
      <c r="R37">
        <f t="shared" si="2"/>
        <v>5.1600239256619584</v>
      </c>
      <c r="S37">
        <f t="shared" si="3"/>
        <v>34.622</v>
      </c>
      <c r="AA37">
        <f t="shared" si="8"/>
        <v>3.5000000000000018</v>
      </c>
      <c r="AB37">
        <v>0</v>
      </c>
      <c r="AC37">
        <f t="shared" si="4"/>
        <v>-7.5820759724012419</v>
      </c>
      <c r="AD37">
        <f t="shared" si="5"/>
        <v>19.334293729623159</v>
      </c>
    </row>
    <row r="38" spans="5:30" x14ac:dyDescent="0.3">
      <c r="E38" s="44">
        <f t="shared" si="6"/>
        <v>3.6000000000000019</v>
      </c>
      <c r="F38" s="44">
        <v>0</v>
      </c>
      <c r="G38" s="44">
        <f t="shared" si="0"/>
        <v>17.902123823725159</v>
      </c>
      <c r="H38" s="44">
        <f t="shared" si="1"/>
        <v>64.447645765410599</v>
      </c>
      <c r="P38">
        <f t="shared" si="7"/>
        <v>3.6000000000000019</v>
      </c>
      <c r="Q38">
        <v>0</v>
      </c>
      <c r="R38">
        <f t="shared" si="2"/>
        <v>5.1600239256619584</v>
      </c>
      <c r="S38">
        <f t="shared" si="3"/>
        <v>35.138000000000005</v>
      </c>
      <c r="AA38">
        <f t="shared" si="8"/>
        <v>3.6000000000000019</v>
      </c>
      <c r="AB38">
        <v>0</v>
      </c>
      <c r="AC38">
        <f t="shared" si="4"/>
        <v>-7.5820759724012419</v>
      </c>
      <c r="AD38">
        <f>$C$12*AA38-($C$9*(AA38-$C$4))-$C$9*(AA38-$C$4-$C$5)</f>
        <v>18.576086132383036</v>
      </c>
    </row>
    <row r="39" spans="5:30" x14ac:dyDescent="0.3">
      <c r="E39">
        <f t="shared" si="6"/>
        <v>3.700000000000002</v>
      </c>
      <c r="F39">
        <v>0</v>
      </c>
      <c r="G39">
        <f t="shared" si="0"/>
        <v>17.902123823725159</v>
      </c>
      <c r="H39">
        <f t="shared" si="1"/>
        <v>66.237858147783129</v>
      </c>
      <c r="P39">
        <f t="shared" si="7"/>
        <v>3.700000000000002</v>
      </c>
      <c r="Q39">
        <v>0</v>
      </c>
      <c r="R39">
        <f t="shared" si="2"/>
        <v>5.1600239256619584</v>
      </c>
      <c r="S39">
        <f t="shared" si="3"/>
        <v>35.654000000000003</v>
      </c>
      <c r="AA39">
        <f t="shared" si="8"/>
        <v>3.700000000000002</v>
      </c>
      <c r="AB39">
        <v>0</v>
      </c>
      <c r="AC39">
        <f t="shared" si="4"/>
        <v>-7.5820759724012419</v>
      </c>
      <c r="AD39">
        <f t="shared" si="5"/>
        <v>17.81787853514291</v>
      </c>
    </row>
    <row r="40" spans="5:30" x14ac:dyDescent="0.3">
      <c r="E40" s="44">
        <f t="shared" si="6"/>
        <v>3.800000000000002</v>
      </c>
      <c r="F40" s="44">
        <v>0</v>
      </c>
      <c r="G40" s="44">
        <f t="shared" si="0"/>
        <v>17.902123823725159</v>
      </c>
      <c r="H40" s="44">
        <f t="shared" si="1"/>
        <v>68.028070530155645</v>
      </c>
      <c r="P40">
        <f t="shared" si="7"/>
        <v>3.800000000000002</v>
      </c>
      <c r="Q40">
        <v>0</v>
      </c>
      <c r="R40">
        <f t="shared" si="2"/>
        <v>5.1600239256619584</v>
      </c>
      <c r="S40">
        <f t="shared" si="3"/>
        <v>36.17</v>
      </c>
      <c r="AA40">
        <f t="shared" si="8"/>
        <v>3.800000000000002</v>
      </c>
      <c r="AB40">
        <v>0</v>
      </c>
      <c r="AC40">
        <f t="shared" si="4"/>
        <v>-7.5820759724012419</v>
      </c>
      <c r="AD40">
        <f t="shared" si="5"/>
        <v>17.059670937902801</v>
      </c>
    </row>
    <row r="41" spans="5:30" x14ac:dyDescent="0.3">
      <c r="E41">
        <f t="shared" si="6"/>
        <v>3.9000000000000021</v>
      </c>
      <c r="F41">
        <v>0</v>
      </c>
      <c r="G41">
        <f t="shared" si="0"/>
        <v>17.902123823725159</v>
      </c>
      <c r="H41">
        <f t="shared" si="1"/>
        <v>69.818282912528161</v>
      </c>
      <c r="P41">
        <f t="shared" si="7"/>
        <v>3.9000000000000021</v>
      </c>
      <c r="Q41">
        <v>0</v>
      </c>
      <c r="R41">
        <f t="shared" si="2"/>
        <v>5.1600239256619584</v>
      </c>
      <c r="S41">
        <f t="shared" si="3"/>
        <v>36.686</v>
      </c>
      <c r="AA41">
        <f t="shared" si="8"/>
        <v>3.9000000000000021</v>
      </c>
      <c r="AB41">
        <v>0</v>
      </c>
      <c r="AC41">
        <f t="shared" si="4"/>
        <v>-7.5820759724012419</v>
      </c>
      <c r="AD41">
        <f t="shared" si="5"/>
        <v>16.301463340662661</v>
      </c>
    </row>
    <row r="42" spans="5:30" x14ac:dyDescent="0.3">
      <c r="E42" s="44">
        <f t="shared" si="6"/>
        <v>4.0000000000000018</v>
      </c>
      <c r="F42" s="44">
        <v>0</v>
      </c>
      <c r="G42" s="44">
        <f t="shared" si="0"/>
        <v>17.902123823725159</v>
      </c>
      <c r="H42" s="44">
        <f t="shared" si="1"/>
        <v>71.608495294900663</v>
      </c>
      <c r="P42">
        <f t="shared" si="7"/>
        <v>4.0000000000000018</v>
      </c>
      <c r="Q42">
        <v>0</v>
      </c>
      <c r="R42">
        <f t="shared" si="2"/>
        <v>5.1600239256619584</v>
      </c>
      <c r="S42">
        <f t="shared" si="3"/>
        <v>37.201999999999998</v>
      </c>
      <c r="AA42">
        <f t="shared" si="8"/>
        <v>4.0000000000000018</v>
      </c>
      <c r="AB42">
        <v>0</v>
      </c>
      <c r="AC42">
        <f t="shared" si="4"/>
        <v>-7.5820759724012419</v>
      </c>
      <c r="AD42">
        <f t="shared" si="5"/>
        <v>15.543255743422531</v>
      </c>
    </row>
    <row r="43" spans="5:30" x14ac:dyDescent="0.3">
      <c r="E43">
        <f t="shared" si="6"/>
        <v>4.1000000000000014</v>
      </c>
      <c r="F43">
        <v>0</v>
      </c>
      <c r="G43">
        <f t="shared" si="0"/>
        <v>17.902123823725159</v>
      </c>
      <c r="H43">
        <f t="shared" si="1"/>
        <v>73.39870767727318</v>
      </c>
      <c r="P43">
        <f t="shared" si="7"/>
        <v>4.1000000000000014</v>
      </c>
      <c r="Q43">
        <v>0</v>
      </c>
      <c r="R43">
        <f t="shared" si="2"/>
        <v>5.1600239256619584</v>
      </c>
      <c r="S43">
        <f t="shared" si="3"/>
        <v>37.717999999999996</v>
      </c>
      <c r="AA43">
        <f t="shared" si="8"/>
        <v>4.1000000000000014</v>
      </c>
      <c r="AB43">
        <v>0</v>
      </c>
      <c r="AC43">
        <f t="shared" si="4"/>
        <v>-7.5820759724012419</v>
      </c>
      <c r="AD43">
        <f t="shared" si="5"/>
        <v>14.785048146182419</v>
      </c>
    </row>
    <row r="44" spans="5:30" x14ac:dyDescent="0.3">
      <c r="E44" s="44">
        <f t="shared" si="6"/>
        <v>4.2000000000000011</v>
      </c>
      <c r="F44" s="44">
        <v>0</v>
      </c>
      <c r="G44" s="44">
        <f t="shared" si="0"/>
        <v>17.902123823725159</v>
      </c>
      <c r="H44" s="44">
        <f t="shared" si="1"/>
        <v>75.188920059645682</v>
      </c>
      <c r="P44">
        <f t="shared" si="7"/>
        <v>4.2000000000000011</v>
      </c>
      <c r="Q44">
        <v>0</v>
      </c>
      <c r="R44">
        <f t="shared" si="2"/>
        <v>5.1600239256619584</v>
      </c>
      <c r="S44">
        <f t="shared" si="3"/>
        <v>38.233999999999988</v>
      </c>
      <c r="AA44">
        <f t="shared" si="8"/>
        <v>4.2000000000000011</v>
      </c>
      <c r="AB44">
        <v>0</v>
      </c>
      <c r="AC44">
        <f t="shared" si="4"/>
        <v>-7.5820759724012419</v>
      </c>
      <c r="AD44">
        <f t="shared" si="5"/>
        <v>14.026840548942289</v>
      </c>
    </row>
    <row r="45" spans="5:30" x14ac:dyDescent="0.3">
      <c r="E45">
        <f t="shared" si="6"/>
        <v>4.3000000000000007</v>
      </c>
      <c r="F45">
        <v>0</v>
      </c>
      <c r="G45">
        <f t="shared" si="0"/>
        <v>17.902123823725159</v>
      </c>
      <c r="H45">
        <f t="shared" si="1"/>
        <v>76.979132442018198</v>
      </c>
      <c r="P45">
        <f t="shared" si="7"/>
        <v>4.3000000000000007</v>
      </c>
      <c r="Q45">
        <v>0</v>
      </c>
      <c r="R45">
        <f t="shared" si="2"/>
        <v>5.1600239256619584</v>
      </c>
      <c r="S45">
        <f t="shared" si="3"/>
        <v>38.75</v>
      </c>
      <c r="AA45">
        <f t="shared" si="8"/>
        <v>4.3000000000000007</v>
      </c>
      <c r="AB45">
        <v>0</v>
      </c>
      <c r="AC45">
        <f t="shared" si="4"/>
        <v>-7.5820759724012419</v>
      </c>
      <c r="AD45">
        <f t="shared" si="5"/>
        <v>13.268632951702173</v>
      </c>
    </row>
    <row r="46" spans="5:30" x14ac:dyDescent="0.3">
      <c r="E46" s="44">
        <f t="shared" si="6"/>
        <v>4.4000000000000004</v>
      </c>
      <c r="F46" s="44">
        <v>0</v>
      </c>
      <c r="G46" s="44">
        <f t="shared" si="0"/>
        <v>17.902123823725159</v>
      </c>
      <c r="H46" s="44">
        <f t="shared" si="1"/>
        <v>78.7693448243907</v>
      </c>
      <c r="P46">
        <f t="shared" si="7"/>
        <v>4.4000000000000004</v>
      </c>
      <c r="Q46">
        <v>0</v>
      </c>
      <c r="R46">
        <f t="shared" si="2"/>
        <v>5.1600239256619584</v>
      </c>
      <c r="S46">
        <f t="shared" si="3"/>
        <v>39.265999999999998</v>
      </c>
      <c r="AA46">
        <f t="shared" si="8"/>
        <v>4.4000000000000004</v>
      </c>
      <c r="AB46">
        <v>0</v>
      </c>
      <c r="AC46">
        <f t="shared" si="4"/>
        <v>-7.5820759724012419</v>
      </c>
      <c r="AD46">
        <f t="shared" si="5"/>
        <v>12.510425354462043</v>
      </c>
    </row>
    <row r="47" spans="5:30" x14ac:dyDescent="0.3">
      <c r="E47">
        <f t="shared" si="6"/>
        <v>4.5</v>
      </c>
      <c r="F47">
        <v>0</v>
      </c>
      <c r="G47">
        <f t="shared" si="0"/>
        <v>17.902123823725159</v>
      </c>
      <c r="H47">
        <f t="shared" si="1"/>
        <v>80.559557206763216</v>
      </c>
      <c r="P47">
        <f t="shared" si="7"/>
        <v>4.5</v>
      </c>
      <c r="Q47">
        <v>0</v>
      </c>
      <c r="R47">
        <f t="shared" si="2"/>
        <v>5.1600239256619584</v>
      </c>
      <c r="S47">
        <f t="shared" si="3"/>
        <v>39.781999999999996</v>
      </c>
      <c r="AA47">
        <f t="shared" si="8"/>
        <v>4.5</v>
      </c>
      <c r="AB47">
        <v>0</v>
      </c>
      <c r="AC47">
        <f t="shared" si="4"/>
        <v>-7.5820759724012419</v>
      </c>
      <c r="AD47">
        <f t="shared" si="5"/>
        <v>11.752217757221928</v>
      </c>
    </row>
    <row r="48" spans="5:30" x14ac:dyDescent="0.3">
      <c r="E48" s="44">
        <f t="shared" si="6"/>
        <v>4.5999999999999996</v>
      </c>
      <c r="F48" s="44">
        <v>0</v>
      </c>
      <c r="G48" s="44">
        <f t="shared" si="0"/>
        <v>17.902123823725159</v>
      </c>
      <c r="H48" s="44">
        <f t="shared" si="1"/>
        <v>82.349769589135718</v>
      </c>
      <c r="P48">
        <f t="shared" si="7"/>
        <v>4.5999999999999996</v>
      </c>
      <c r="Q48">
        <v>0</v>
      </c>
      <c r="R48">
        <f t="shared" si="2"/>
        <v>5.1600239256619584</v>
      </c>
      <c r="S48">
        <f t="shared" si="3"/>
        <v>40.297999999999988</v>
      </c>
      <c r="AA48">
        <f t="shared" si="8"/>
        <v>4.5999999999999996</v>
      </c>
      <c r="AB48">
        <v>0</v>
      </c>
      <c r="AC48">
        <f t="shared" si="4"/>
        <v>-7.5820759724012419</v>
      </c>
      <c r="AD48">
        <f t="shared" si="5"/>
        <v>10.994010159981798</v>
      </c>
    </row>
    <row r="49" spans="5:30" x14ac:dyDescent="0.3">
      <c r="E49">
        <f t="shared" si="6"/>
        <v>4.6999999999999993</v>
      </c>
      <c r="F49">
        <v>0</v>
      </c>
      <c r="G49">
        <f t="shared" si="0"/>
        <v>17.902123823725159</v>
      </c>
      <c r="H49">
        <f t="shared" si="1"/>
        <v>84.139981971508234</v>
      </c>
      <c r="P49">
        <f t="shared" si="7"/>
        <v>4.6999999999999993</v>
      </c>
      <c r="Q49">
        <v>0</v>
      </c>
      <c r="R49">
        <f t="shared" si="2"/>
        <v>5.1600239256619584</v>
      </c>
      <c r="S49">
        <f t="shared" si="3"/>
        <v>40.813999999999986</v>
      </c>
      <c r="AA49">
        <f t="shared" si="8"/>
        <v>4.6999999999999993</v>
      </c>
      <c r="AB49">
        <v>0</v>
      </c>
      <c r="AC49">
        <f t="shared" si="4"/>
        <v>-7.5820759724012419</v>
      </c>
      <c r="AD49">
        <f t="shared" si="5"/>
        <v>10.235802562741682</v>
      </c>
    </row>
    <row r="50" spans="5:30" x14ac:dyDescent="0.3">
      <c r="E50" s="44">
        <f t="shared" si="6"/>
        <v>4.7999999999999989</v>
      </c>
      <c r="F50" s="44">
        <v>0</v>
      </c>
      <c r="G50" s="44">
        <f t="shared" si="0"/>
        <v>17.902123823725159</v>
      </c>
      <c r="H50" s="44">
        <f t="shared" si="1"/>
        <v>85.930194353880736</v>
      </c>
      <c r="P50">
        <f t="shared" si="7"/>
        <v>4.7999999999999989</v>
      </c>
      <c r="Q50">
        <v>0</v>
      </c>
      <c r="R50">
        <f t="shared" si="2"/>
        <v>5.1600239256619584</v>
      </c>
      <c r="S50">
        <f t="shared" si="3"/>
        <v>41.329999999999984</v>
      </c>
      <c r="AA50">
        <f t="shared" si="8"/>
        <v>4.7999999999999989</v>
      </c>
      <c r="AB50">
        <v>0</v>
      </c>
      <c r="AC50">
        <f t="shared" si="4"/>
        <v>-7.5820759724012419</v>
      </c>
      <c r="AD50">
        <f t="shared" si="5"/>
        <v>9.4775949655015523</v>
      </c>
    </row>
    <row r="51" spans="5:30" x14ac:dyDescent="0.3">
      <c r="E51">
        <f t="shared" si="6"/>
        <v>4.8999999999999986</v>
      </c>
      <c r="F51">
        <v>0</v>
      </c>
      <c r="G51">
        <f t="shared" si="0"/>
        <v>17.902123823725159</v>
      </c>
      <c r="H51">
        <f t="shared" si="1"/>
        <v>87.720406736253253</v>
      </c>
      <c r="P51">
        <f t="shared" si="7"/>
        <v>4.8999999999999986</v>
      </c>
      <c r="Q51">
        <v>0</v>
      </c>
      <c r="R51">
        <f t="shared" si="2"/>
        <v>5.1600239256619584</v>
      </c>
      <c r="S51">
        <f t="shared" si="3"/>
        <v>41.845999999999982</v>
      </c>
      <c r="AA51">
        <f t="shared" si="8"/>
        <v>4.8999999999999986</v>
      </c>
      <c r="AB51">
        <v>0</v>
      </c>
      <c r="AC51">
        <f t="shared" si="4"/>
        <v>-7.5820759724012419</v>
      </c>
      <c r="AD51">
        <f t="shared" si="5"/>
        <v>8.7193873682614438</v>
      </c>
    </row>
    <row r="52" spans="5:30" x14ac:dyDescent="0.3">
      <c r="E52" s="44">
        <f t="shared" si="6"/>
        <v>4.9999999999999982</v>
      </c>
      <c r="F52" s="44">
        <v>0</v>
      </c>
      <c r="G52" s="44">
        <f t="shared" si="0"/>
        <v>17.902123823725159</v>
      </c>
      <c r="H52" s="44">
        <f t="shared" si="1"/>
        <v>89.510619118625769</v>
      </c>
      <c r="P52">
        <f t="shared" si="7"/>
        <v>4.9999999999999982</v>
      </c>
      <c r="Q52">
        <v>0</v>
      </c>
      <c r="R52">
        <f t="shared" si="2"/>
        <v>5.1600239256619584</v>
      </c>
      <c r="S52">
        <f t="shared" si="3"/>
        <v>42.361999999999973</v>
      </c>
      <c r="AA52">
        <f t="shared" si="8"/>
        <v>4.9999999999999982</v>
      </c>
      <c r="AB52">
        <v>0</v>
      </c>
      <c r="AC52">
        <f t="shared" si="4"/>
        <v>-7.5820759724012419</v>
      </c>
      <c r="AD52">
        <f t="shared" si="5"/>
        <v>7.9611797710213281</v>
      </c>
    </row>
    <row r="53" spans="5:30" x14ac:dyDescent="0.3">
      <c r="E53">
        <f t="shared" si="6"/>
        <v>5.0999999999999979</v>
      </c>
      <c r="F53">
        <v>0</v>
      </c>
      <c r="G53">
        <f t="shared" si="0"/>
        <v>17.902123823725159</v>
      </c>
      <c r="H53">
        <f t="shared" si="1"/>
        <v>91.300831500998271</v>
      </c>
      <c r="P53">
        <f t="shared" si="7"/>
        <v>5.0999999999999979</v>
      </c>
      <c r="Q53">
        <v>0</v>
      </c>
      <c r="R53">
        <f t="shared" si="2"/>
        <v>5.1600239256619584</v>
      </c>
      <c r="S53">
        <f t="shared" si="3"/>
        <v>42.877999999999972</v>
      </c>
      <c r="AA53">
        <f t="shared" si="8"/>
        <v>5.0999999999999979</v>
      </c>
      <c r="AB53">
        <v>0</v>
      </c>
      <c r="AC53">
        <f t="shared" si="4"/>
        <v>-7.5820759724012419</v>
      </c>
      <c r="AD53">
        <f t="shared" si="5"/>
        <v>7.2029721737811983</v>
      </c>
    </row>
    <row r="54" spans="5:30" x14ac:dyDescent="0.3">
      <c r="E54" s="44">
        <f t="shared" si="6"/>
        <v>5.1999999999999975</v>
      </c>
      <c r="F54" s="44">
        <v>0</v>
      </c>
      <c r="G54" s="44">
        <f t="shared" si="0"/>
        <v>17.902123823725159</v>
      </c>
      <c r="H54" s="44">
        <f t="shared" si="1"/>
        <v>93.091043883370787</v>
      </c>
      <c r="P54">
        <f t="shared" si="7"/>
        <v>5.1999999999999975</v>
      </c>
      <c r="Q54">
        <v>0</v>
      </c>
      <c r="R54">
        <f>$C$12-$C$9</f>
        <v>5.1600239256619584</v>
      </c>
      <c r="S54">
        <f t="shared" si="3"/>
        <v>43.39399999999997</v>
      </c>
      <c r="AA54">
        <f t="shared" si="8"/>
        <v>5.1999999999999975</v>
      </c>
      <c r="AB54">
        <v>0</v>
      </c>
      <c r="AC54">
        <f t="shared" si="4"/>
        <v>-7.5820759724012419</v>
      </c>
      <c r="AD54">
        <f>$C$12*AA54-($C$9*(AA54-$C$4))-$C$9*(AA54-$C$4-$C$5)</f>
        <v>6.4447645765410826</v>
      </c>
    </row>
    <row r="55" spans="5:30" x14ac:dyDescent="0.3">
      <c r="E55">
        <f t="shared" si="6"/>
        <v>5.2999999999999972</v>
      </c>
      <c r="F55">
        <v>0</v>
      </c>
      <c r="G55">
        <f t="shared" si="0"/>
        <v>17.902123823725159</v>
      </c>
      <c r="H55">
        <f t="shared" si="1"/>
        <v>94.881256265743289</v>
      </c>
      <c r="P55">
        <f t="shared" si="7"/>
        <v>5.2999999999999972</v>
      </c>
      <c r="Q55">
        <v>0</v>
      </c>
      <c r="R55">
        <f t="shared" si="2"/>
        <v>5.1600239256619584</v>
      </c>
      <c r="S55">
        <f t="shared" si="3"/>
        <v>43.909999999999982</v>
      </c>
      <c r="AA55">
        <f t="shared" si="8"/>
        <v>5.2999999999999972</v>
      </c>
      <c r="AB55">
        <v>0</v>
      </c>
      <c r="AC55">
        <f t="shared" si="4"/>
        <v>-7.5820759724012419</v>
      </c>
      <c r="AD55">
        <f t="shared" si="5"/>
        <v>5.6865569793009598</v>
      </c>
    </row>
    <row r="56" spans="5:30" x14ac:dyDescent="0.3">
      <c r="E56" s="44">
        <f t="shared" si="6"/>
        <v>5.3999999999999968</v>
      </c>
      <c r="F56" s="44">
        <v>0</v>
      </c>
      <c r="G56" s="44">
        <f t="shared" si="0"/>
        <v>17.902123823725159</v>
      </c>
      <c r="H56" s="44">
        <f t="shared" si="1"/>
        <v>96.671468648115805</v>
      </c>
      <c r="P56">
        <f t="shared" si="7"/>
        <v>5.3999999999999968</v>
      </c>
      <c r="Q56">
        <v>0</v>
      </c>
      <c r="R56">
        <f t="shared" si="2"/>
        <v>5.1600239256619584</v>
      </c>
      <c r="S56">
        <f t="shared" si="3"/>
        <v>44.425999999999981</v>
      </c>
      <c r="AA56">
        <f t="shared" si="8"/>
        <v>5.3999999999999968</v>
      </c>
      <c r="AB56">
        <v>0</v>
      </c>
      <c r="AC56">
        <f>$C$12-2*$C$9</f>
        <v>-7.5820759724012419</v>
      </c>
      <c r="AD56">
        <f t="shared" si="5"/>
        <v>4.9283493820608442</v>
      </c>
    </row>
    <row r="57" spans="5:30" x14ac:dyDescent="0.3">
      <c r="E57">
        <f t="shared" si="6"/>
        <v>5.4999999999999964</v>
      </c>
      <c r="F57">
        <v>0</v>
      </c>
      <c r="G57">
        <f t="shared" si="0"/>
        <v>17.902123823725159</v>
      </c>
      <c r="H57">
        <f t="shared" si="1"/>
        <v>98.461681030488307</v>
      </c>
      <c r="P57">
        <f t="shared" si="7"/>
        <v>5.4999999999999964</v>
      </c>
      <c r="Q57">
        <v>0</v>
      </c>
      <c r="R57">
        <f t="shared" si="2"/>
        <v>5.1600239256619584</v>
      </c>
      <c r="S57">
        <f t="shared" si="3"/>
        <v>44.941999999999972</v>
      </c>
      <c r="AA57">
        <f t="shared" si="8"/>
        <v>5.4999999999999964</v>
      </c>
      <c r="AB57">
        <v>0</v>
      </c>
      <c r="AC57">
        <f t="shared" si="4"/>
        <v>-7.5820759724012419</v>
      </c>
      <c r="AD57">
        <f t="shared" si="5"/>
        <v>4.1701417848207143</v>
      </c>
    </row>
    <row r="58" spans="5:30" x14ac:dyDescent="0.3">
      <c r="E58" s="44">
        <f t="shared" si="6"/>
        <v>5.5999999999999961</v>
      </c>
      <c r="F58" s="44">
        <v>0</v>
      </c>
      <c r="G58" s="44">
        <f t="shared" si="0"/>
        <v>17.902123823725159</v>
      </c>
      <c r="H58" s="44">
        <f t="shared" si="1"/>
        <v>100.25189341286082</v>
      </c>
      <c r="P58">
        <f t="shared" si="7"/>
        <v>5.5999999999999961</v>
      </c>
      <c r="Q58">
        <v>0</v>
      </c>
      <c r="R58">
        <f t="shared" si="2"/>
        <v>5.1600239256619584</v>
      </c>
      <c r="S58">
        <f t="shared" si="3"/>
        <v>45.45799999999997</v>
      </c>
      <c r="AA58">
        <f t="shared" si="8"/>
        <v>5.5999999999999961</v>
      </c>
      <c r="AB58">
        <v>0</v>
      </c>
      <c r="AC58">
        <f t="shared" si="4"/>
        <v>-7.5820759724012419</v>
      </c>
      <c r="AD58">
        <f t="shared" si="5"/>
        <v>3.4119341875805986</v>
      </c>
    </row>
    <row r="59" spans="5:30" x14ac:dyDescent="0.3">
      <c r="E59">
        <f t="shared" si="6"/>
        <v>5.6999999999999957</v>
      </c>
      <c r="F59">
        <v>0</v>
      </c>
      <c r="G59">
        <f t="shared" si="0"/>
        <v>17.902123823725159</v>
      </c>
      <c r="H59">
        <f t="shared" si="1"/>
        <v>102.04210579523333</v>
      </c>
      <c r="P59">
        <f t="shared" si="7"/>
        <v>5.6999999999999957</v>
      </c>
      <c r="Q59">
        <v>0</v>
      </c>
      <c r="R59">
        <f t="shared" si="2"/>
        <v>5.1600239256619584</v>
      </c>
      <c r="S59">
        <f t="shared" si="3"/>
        <v>45.973999999999968</v>
      </c>
      <c r="AA59">
        <f t="shared" si="8"/>
        <v>5.6999999999999957</v>
      </c>
      <c r="AB59">
        <v>0</v>
      </c>
      <c r="AC59">
        <f t="shared" si="4"/>
        <v>-7.5820759724012419</v>
      </c>
      <c r="AD59">
        <f t="shared" si="5"/>
        <v>2.6537265903404688</v>
      </c>
    </row>
    <row r="60" spans="5:30" x14ac:dyDescent="0.3">
      <c r="E60" s="44">
        <f t="shared" si="6"/>
        <v>5.7999999999999954</v>
      </c>
      <c r="F60" s="44">
        <v>0</v>
      </c>
      <c r="G60" s="44">
        <f t="shared" si="0"/>
        <v>17.902123823725159</v>
      </c>
      <c r="H60" s="44">
        <f t="shared" si="1"/>
        <v>103.83231817760584</v>
      </c>
      <c r="P60">
        <f t="shared" si="7"/>
        <v>5.7999999999999954</v>
      </c>
      <c r="Q60">
        <v>0</v>
      </c>
      <c r="R60">
        <f t="shared" si="2"/>
        <v>5.1600239256619584</v>
      </c>
      <c r="S60">
        <f t="shared" si="3"/>
        <v>46.489999999999966</v>
      </c>
      <c r="AA60">
        <f t="shared" si="8"/>
        <v>5.7999999999999954</v>
      </c>
      <c r="AB60">
        <v>0</v>
      </c>
      <c r="AC60">
        <f t="shared" si="4"/>
        <v>-7.5820759724012419</v>
      </c>
      <c r="AD60">
        <f t="shared" si="5"/>
        <v>1.8955189931003531</v>
      </c>
    </row>
    <row r="61" spans="5:30" x14ac:dyDescent="0.3">
      <c r="E61">
        <f t="shared" si="6"/>
        <v>5.899999999999995</v>
      </c>
      <c r="F61">
        <v>0</v>
      </c>
      <c r="G61">
        <f t="shared" si="0"/>
        <v>17.902123823725159</v>
      </c>
      <c r="H61">
        <f t="shared" si="1"/>
        <v>105.62253055997834</v>
      </c>
      <c r="P61">
        <f t="shared" si="7"/>
        <v>5.899999999999995</v>
      </c>
      <c r="Q61">
        <v>0</v>
      </c>
      <c r="R61">
        <f t="shared" si="2"/>
        <v>5.1600239256619584</v>
      </c>
      <c r="S61">
        <f t="shared" si="3"/>
        <v>47.005999999999958</v>
      </c>
      <c r="AA61">
        <f t="shared" si="8"/>
        <v>5.899999999999995</v>
      </c>
      <c r="AB61">
        <v>0</v>
      </c>
      <c r="AC61">
        <f t="shared" si="4"/>
        <v>-7.5820759724012419</v>
      </c>
      <c r="AD61">
        <f t="shared" si="5"/>
        <v>1.1373113958602232</v>
      </c>
    </row>
    <row r="62" spans="5:30" x14ac:dyDescent="0.3">
      <c r="E62" s="44">
        <f t="shared" si="6"/>
        <v>5.9999999999999947</v>
      </c>
      <c r="F62" s="44">
        <v>0</v>
      </c>
      <c r="G62" s="44">
        <f t="shared" si="0"/>
        <v>17.902123823725159</v>
      </c>
      <c r="H62" s="44">
        <f t="shared" si="1"/>
        <v>107.41274294235086</v>
      </c>
      <c r="P62">
        <f>0.1+P61</f>
        <v>5.9999999999999947</v>
      </c>
      <c r="Q62">
        <v>0</v>
      </c>
      <c r="R62">
        <f t="shared" si="2"/>
        <v>5.1600239256619584</v>
      </c>
      <c r="S62">
        <f t="shared" si="3"/>
        <v>47.521999999999956</v>
      </c>
      <c r="AA62">
        <f t="shared" si="8"/>
        <v>5.9999999999999947</v>
      </c>
      <c r="AB62">
        <v>0</v>
      </c>
      <c r="AC62">
        <f t="shared" si="4"/>
        <v>-7.5820759724012419</v>
      </c>
      <c r="AD62">
        <f t="shared" si="5"/>
        <v>0.37910379862010757</v>
      </c>
    </row>
    <row r="63" spans="5:30" x14ac:dyDescent="0.3">
      <c r="E63">
        <f t="shared" si="6"/>
        <v>6.0999999999999943</v>
      </c>
      <c r="F63">
        <v>0</v>
      </c>
      <c r="G63">
        <f t="shared" si="0"/>
        <v>17.902123823725159</v>
      </c>
      <c r="H63">
        <f t="shared" si="1"/>
        <v>109.20295532472336</v>
      </c>
      <c r="P63">
        <f t="shared" si="7"/>
        <v>6.0999999999999943</v>
      </c>
      <c r="Q63">
        <v>0</v>
      </c>
      <c r="R63">
        <f t="shared" si="2"/>
        <v>5.1600239256619584</v>
      </c>
      <c r="S63">
        <f t="shared" si="3"/>
        <v>48.037999999999954</v>
      </c>
      <c r="AA63">
        <f t="shared" si="8"/>
        <v>6.0999999999999943</v>
      </c>
      <c r="AB63">
        <v>0</v>
      </c>
      <c r="AC63">
        <f t="shared" si="4"/>
        <v>-7.5820759724012419</v>
      </c>
      <c r="AD63">
        <f t="shared" si="5"/>
        <v>-0.3791037986200223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Solive</vt:lpstr>
      <vt:lpstr>Poutre</vt:lpstr>
      <vt:lpstr>Terrasse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nazim kadouche</dc:creator>
  <cp:lastModifiedBy>Dell</cp:lastModifiedBy>
  <dcterms:created xsi:type="dcterms:W3CDTF">2020-06-16T21:12:33Z</dcterms:created>
  <dcterms:modified xsi:type="dcterms:W3CDTF">2021-06-14T13:51:03Z</dcterms:modified>
</cp:coreProperties>
</file>