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369623C-0DDA-4BC8-BF0D-C0E7199C137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O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H33" i="5"/>
  <c r="H20" i="5"/>
  <c r="D13" i="5"/>
  <c r="D14" i="5"/>
  <c r="D20" i="5" l="1"/>
  <c r="D10" i="5" l="1"/>
  <c r="O20" i="5" l="1"/>
  <c r="O21" i="5"/>
  <c r="O23" i="5" l="1"/>
  <c r="M14" i="5" l="1"/>
  <c r="H7" i="5" l="1"/>
  <c r="D7" i="5"/>
  <c r="H10" i="5" l="1"/>
  <c r="H30" i="5"/>
  <c r="H28" i="5"/>
  <c r="M23" i="5"/>
  <c r="H14" i="5" l="1"/>
  <c r="M15" i="5" l="1"/>
  <c r="D12" i="5" l="1"/>
  <c r="D16" i="5" s="1"/>
  <c r="D22" i="5" s="1"/>
  <c r="D24" i="5" s="1"/>
  <c r="D30" i="5" l="1"/>
  <c r="H32" i="5" s="1"/>
  <c r="D26" i="5"/>
  <c r="D28" i="5" s="1"/>
  <c r="H12" i="5" l="1"/>
  <c r="H16" i="5" s="1"/>
  <c r="H2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M10" authorId="0" shapeId="0" xr:uid="{2B8CFA6F-74CF-4F87-8CA4-58DE69945B51}">
      <text>
        <r>
          <rPr>
            <sz val="9"/>
            <color indexed="81"/>
            <rFont val="Tahoma"/>
            <family val="2"/>
          </rPr>
          <t xml:space="preserve">110 pour la partie supérieure
100 pour la partie inférieure, on prend le max pour la cadence de ce poste (110)
</t>
        </r>
      </text>
    </comment>
  </commentList>
</comments>
</file>

<file path=xl/sharedStrings.xml><?xml version="1.0" encoding="utf-8"?>
<sst xmlns="http://schemas.openxmlformats.org/spreadsheetml/2006/main" count="45" uniqueCount="44">
  <si>
    <t>Description</t>
  </si>
  <si>
    <t>Coût Total de fabrication (5) = (3) + (4)</t>
  </si>
  <si>
    <t>Coût de fabrication (4)</t>
  </si>
  <si>
    <t>Coût de distribution (6)</t>
  </si>
  <si>
    <t>Coût indirects fixes imputés (7) (Frais de structure)</t>
  </si>
  <si>
    <t>Total des coûts (8) = (5) + (6) + (7)</t>
  </si>
  <si>
    <t>Coût revient unitaire (9)</t>
  </si>
  <si>
    <t>Coût d'achat (3)</t>
  </si>
  <si>
    <t>Nombre d'heures de production mensuelle (1)</t>
  </si>
  <si>
    <t>Poste</t>
  </si>
  <si>
    <t>TU Total (s)</t>
  </si>
  <si>
    <t>Coût opérateurs (€/h)</t>
  </si>
  <si>
    <t>Description des postes de charges</t>
  </si>
  <si>
    <t>Investissements nouveaux équipements</t>
  </si>
  <si>
    <t>Nom</t>
  </si>
  <si>
    <t>Coût (€)</t>
  </si>
  <si>
    <t>Durée amort. (an)</t>
  </si>
  <si>
    <t>Cout de fabrication opérateurs (€/produit)</t>
  </si>
  <si>
    <t>Mensualité (€/mois)</t>
  </si>
  <si>
    <t>Prix de vente (10)</t>
  </si>
  <si>
    <t>Chiffre des ventes mensuel (11)</t>
  </si>
  <si>
    <t>GAIN (€)</t>
  </si>
  <si>
    <t>TOTAUX (€)</t>
  </si>
  <si>
    <t>ROI (an)</t>
  </si>
  <si>
    <t>Production (2) - Qté de produits fabriqués vendus</t>
  </si>
  <si>
    <t>CADENCE DE PRODUCTION (seconde/produit)</t>
  </si>
  <si>
    <t>Version Améliorée</t>
  </si>
  <si>
    <t>Description  version améliorée</t>
  </si>
  <si>
    <t>Cadence de production améliorée (seconde/produit)</t>
  </si>
  <si>
    <t>COMPARAISON SOLUTION AMELIOREE VERSUS INITIALE</t>
  </si>
  <si>
    <t>COÛT AMORTISSEMENT NOUVEAUX EQUIPMENTS (€/mois)</t>
  </si>
  <si>
    <t>Cellules à renseigner</t>
  </si>
  <si>
    <t>Formule à ne pas modifier</t>
  </si>
  <si>
    <t>Version Initiale</t>
  </si>
  <si>
    <t>Marge brute (12) (avant impôt)</t>
  </si>
  <si>
    <t>Injection-Moulage</t>
  </si>
  <si>
    <t>Assemblage Csup+Cinf/Emballage</t>
  </si>
  <si>
    <t>Cellule à ne pas modifier</t>
  </si>
  <si>
    <t>Ligne d'assemblage simultané (partie inf + partie sup)</t>
  </si>
  <si>
    <t>Assemblage Partie supérieure + inferieure</t>
  </si>
  <si>
    <t>Révision de la machine 1</t>
  </si>
  <si>
    <t>MCH 1</t>
  </si>
  <si>
    <t>SA3</t>
  </si>
  <si>
    <t>Coût de main d'œuvre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</si>
</sst>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164" fontId="0" fillId="0" borderId="0" xfId="0" applyNumberFormat="1" applyFont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top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/>
    </xf>
    <xf numFmtId="0" fontId="5" fillId="0" borderId="22" xfId="0" applyFont="1" applyFill="1" applyBorder="1" applyAlignment="1"/>
    <xf numFmtId="0" fontId="5" fillId="0" borderId="17" xfId="0" applyFont="1" applyFill="1" applyBorder="1" applyAlignment="1"/>
    <xf numFmtId="164" fontId="2" fillId="0" borderId="0" xfId="0" applyNumberFormat="1" applyFont="1" applyBorder="1" applyAlignment="1">
      <alignment horizontal="left"/>
    </xf>
    <xf numFmtId="0" fontId="3" fillId="0" borderId="15" xfId="0" applyFont="1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vertical="top"/>
    </xf>
    <xf numFmtId="0" fontId="3" fillId="0" borderId="14" xfId="0" applyFont="1" applyBorder="1" applyAlignment="1"/>
    <xf numFmtId="0" fontId="3" fillId="0" borderId="23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4" xfId="0" applyFont="1" applyBorder="1"/>
    <xf numFmtId="0" fontId="5" fillId="0" borderId="0" xfId="0" applyFont="1" applyFill="1" applyBorder="1" applyAlignment="1"/>
    <xf numFmtId="0" fontId="0" fillId="0" borderId="0" xfId="0" applyFill="1" applyAlignment="1">
      <alignment vertical="center"/>
    </xf>
    <xf numFmtId="164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164" fontId="2" fillId="0" borderId="31" xfId="0" applyNumberFormat="1" applyFont="1" applyFill="1" applyBorder="1" applyAlignment="1">
      <alignment horizontal="center"/>
    </xf>
    <xf numFmtId="1" fontId="3" fillId="0" borderId="31" xfId="0" applyNumberFormat="1" applyFont="1" applyFill="1" applyBorder="1" applyAlignment="1">
      <alignment horizontal="center"/>
    </xf>
    <xf numFmtId="3" fontId="0" fillId="0" borderId="31" xfId="0" applyNumberFormat="1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center"/>
    </xf>
    <xf numFmtId="164" fontId="0" fillId="0" borderId="31" xfId="0" applyNumberFormat="1" applyFont="1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center" vertical="center"/>
    </xf>
    <xf numFmtId="164" fontId="0" fillId="0" borderId="31" xfId="0" applyNumberFormat="1" applyFill="1" applyBorder="1" applyAlignment="1">
      <alignment horizontal="center" vertical="center"/>
    </xf>
    <xf numFmtId="0" fontId="0" fillId="0" borderId="30" xfId="0" applyFill="1" applyBorder="1"/>
    <xf numFmtId="0" fontId="0" fillId="0" borderId="0" xfId="0" applyFill="1" applyBorder="1" applyAlignment="1">
      <alignment horizontal="center" vertical="center"/>
    </xf>
    <xf numFmtId="164" fontId="1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1" xfId="0" applyFill="1" applyBorder="1" applyAlignment="1">
      <alignment vertical="center"/>
    </xf>
    <xf numFmtId="4" fontId="3" fillId="0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Fill="1" applyBorder="1"/>
    <xf numFmtId="164" fontId="3" fillId="5" borderId="4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0" fontId="0" fillId="0" borderId="28" xfId="0" applyFill="1" applyBorder="1"/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3" fontId="0" fillId="7" borderId="4" xfId="0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/>
    </xf>
    <xf numFmtId="4" fontId="3" fillId="7" borderId="4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0" fillId="7" borderId="19" xfId="0" applyFill="1" applyBorder="1" applyAlignment="1">
      <alignment horizontal="left"/>
    </xf>
    <xf numFmtId="0" fontId="0" fillId="7" borderId="2" xfId="0" applyFill="1" applyBorder="1" applyAlignment="1"/>
    <xf numFmtId="4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" fontId="0" fillId="7" borderId="26" xfId="0" applyNumberFormat="1" applyFill="1" applyBorder="1" applyAlignment="1">
      <alignment horizontal="center"/>
    </xf>
    <xf numFmtId="0" fontId="0" fillId="7" borderId="20" xfId="0" applyFill="1" applyBorder="1" applyAlignment="1">
      <alignment horizontal="left"/>
    </xf>
    <xf numFmtId="0" fontId="0" fillId="7" borderId="18" xfId="0" applyFill="1" applyBorder="1" applyAlignment="1"/>
    <xf numFmtId="4" fontId="0" fillId="7" borderId="8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4" fontId="0" fillId="7" borderId="21" xfId="0" applyNumberForma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9" borderId="14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7" borderId="35" xfId="0" applyFill="1" applyBorder="1" applyAlignment="1">
      <alignment horizontal="left"/>
    </xf>
    <xf numFmtId="0" fontId="0" fillId="7" borderId="24" xfId="0" applyFill="1" applyBorder="1" applyAlignment="1"/>
    <xf numFmtId="4" fontId="0" fillId="7" borderId="3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4" fontId="0" fillId="7" borderId="25" xfId="0" applyNumberFormat="1" applyFill="1" applyBorder="1" applyAlignment="1">
      <alignment horizontal="center"/>
    </xf>
    <xf numFmtId="0" fontId="3" fillId="9" borderId="7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  <xf numFmtId="0" fontId="3" fillId="9" borderId="9" xfId="0" applyFont="1" applyFill="1" applyBorder="1" applyAlignment="1">
      <alignment horizontal="left"/>
    </xf>
    <xf numFmtId="0" fontId="0" fillId="8" borderId="4" xfId="0" applyFill="1" applyBorder="1"/>
    <xf numFmtId="0" fontId="0" fillId="6" borderId="4" xfId="0" applyFill="1" applyBorder="1"/>
    <xf numFmtId="3" fontId="3" fillId="4" borderId="4" xfId="0" applyNumberFormat="1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0" borderId="0" xfId="0"/>
    <xf numFmtId="164" fontId="5" fillId="7" borderId="4" xfId="0" applyNumberFormat="1" applyFont="1" applyFill="1" applyBorder="1" applyAlignment="1">
      <alignment horizontal="center"/>
    </xf>
    <xf numFmtId="164" fontId="5" fillId="7" borderId="21" xfId="0" applyNumberFormat="1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35"/>
  <sheetViews>
    <sheetView tabSelected="1" zoomScaleNormal="100" workbookViewId="0">
      <selection activeCell="K23" sqref="K23:L23"/>
    </sheetView>
  </sheetViews>
  <sheetFormatPr defaultColWidth="11.42578125" defaultRowHeight="15" x14ac:dyDescent="0.25"/>
  <cols>
    <col min="1" max="1" width="2.85546875" customWidth="1"/>
    <col min="2" max="2" width="58.140625" customWidth="1"/>
    <col min="3" max="3" width="2.5703125" style="13" customWidth="1"/>
    <col min="4" max="4" width="25.7109375" style="1" customWidth="1"/>
    <col min="5" max="7" width="2.7109375" customWidth="1"/>
    <col min="8" max="8" width="25.7109375" customWidth="1"/>
    <col min="9" max="10" width="2.7109375" style="20" customWidth="1"/>
    <col min="11" max="11" width="28.28515625" customWidth="1"/>
    <col min="12" max="12" width="56.7109375" customWidth="1"/>
    <col min="13" max="13" width="22.85546875" customWidth="1"/>
    <col min="14" max="14" width="24.28515625" customWidth="1"/>
    <col min="15" max="15" width="23.42578125" customWidth="1"/>
    <col min="16" max="16" width="13.5703125" customWidth="1"/>
    <col min="17" max="17" width="15.42578125" customWidth="1"/>
    <col min="20" max="20" width="13.85546875" customWidth="1"/>
  </cols>
  <sheetData>
    <row r="2" spans="2:17" ht="23.25" x14ac:dyDescent="0.25">
      <c r="B2" s="39" t="s">
        <v>29</v>
      </c>
      <c r="C2" s="17"/>
      <c r="D2" s="17"/>
    </row>
    <row r="3" spans="2:17" ht="19.5" thickBot="1" x14ac:dyDescent="0.3">
      <c r="B3" s="17"/>
      <c r="C3" s="17"/>
      <c r="D3" s="17"/>
    </row>
    <row r="4" spans="2:17" s="23" customFormat="1" ht="16.5" customHeight="1" thickBot="1" x14ac:dyDescent="0.3">
      <c r="B4" s="108" t="s">
        <v>8</v>
      </c>
      <c r="C4" s="22"/>
      <c r="D4" s="88">
        <v>160</v>
      </c>
      <c r="I4" s="48"/>
      <c r="J4" s="48"/>
    </row>
    <row r="5" spans="2:17" ht="15.75" thickTop="1" x14ac:dyDescent="0.25">
      <c r="B5" s="6"/>
      <c r="C5" s="4"/>
      <c r="D5" s="12"/>
      <c r="G5" s="57"/>
      <c r="H5" s="58"/>
      <c r="I5" s="59"/>
    </row>
    <row r="6" spans="2:17" ht="19.5" thickBot="1" x14ac:dyDescent="0.35">
      <c r="B6" s="6"/>
      <c r="C6" s="4"/>
      <c r="D6" s="21" t="s">
        <v>33</v>
      </c>
      <c r="G6" s="60"/>
      <c r="H6" s="21" t="s">
        <v>26</v>
      </c>
      <c r="I6" s="61"/>
      <c r="J6" s="49"/>
      <c r="K6" s="27" t="s">
        <v>27</v>
      </c>
    </row>
    <row r="7" spans="2:17" ht="16.5" thickBot="1" x14ac:dyDescent="0.3">
      <c r="B7" s="108" t="s">
        <v>24</v>
      </c>
      <c r="C7" s="14"/>
      <c r="D7" s="122">
        <f>ROUNDDOWN(D4*3600/D8,0)</f>
        <v>3840</v>
      </c>
      <c r="G7" s="60"/>
      <c r="H7" s="122">
        <f>ROUNDDOWN(D4*3600/H8,0)</f>
        <v>4430</v>
      </c>
      <c r="I7" s="62"/>
      <c r="J7" s="50"/>
      <c r="K7" s="130" t="s">
        <v>12</v>
      </c>
      <c r="L7" s="131"/>
      <c r="M7" s="131"/>
      <c r="N7" s="132"/>
      <c r="O7" s="14"/>
    </row>
    <row r="8" spans="2:17" ht="16.5" thickBot="1" x14ac:dyDescent="0.3">
      <c r="B8" s="46" t="s">
        <v>25</v>
      </c>
      <c r="D8" s="89">
        <v>150</v>
      </c>
      <c r="G8" s="60"/>
      <c r="H8" s="89">
        <v>130</v>
      </c>
      <c r="I8" s="63"/>
      <c r="J8" s="51"/>
      <c r="K8" s="109" t="s">
        <v>9</v>
      </c>
      <c r="L8" s="110" t="s">
        <v>0</v>
      </c>
      <c r="M8" s="110" t="s">
        <v>10</v>
      </c>
      <c r="N8" s="111" t="s">
        <v>11</v>
      </c>
    </row>
    <row r="9" spans="2:17" ht="15.75" thickBot="1" x14ac:dyDescent="0.3">
      <c r="G9" s="60"/>
      <c r="H9" s="3"/>
      <c r="I9" s="64"/>
      <c r="J9" s="36"/>
      <c r="K9" s="29">
        <v>1</v>
      </c>
      <c r="L9" s="93" t="s">
        <v>35</v>
      </c>
      <c r="M9" s="93">
        <v>60</v>
      </c>
      <c r="N9" s="94">
        <v>20.420000000000002</v>
      </c>
    </row>
    <row r="10" spans="2:17" ht="16.5" thickBot="1" x14ac:dyDescent="0.3">
      <c r="B10" s="108" t="s">
        <v>7</v>
      </c>
      <c r="C10" s="14"/>
      <c r="D10" s="125">
        <f>(19.27*D7)</f>
        <v>73996.800000000003</v>
      </c>
      <c r="G10" s="60"/>
      <c r="H10" s="125">
        <f>(19.27*H7)</f>
        <v>85366.099999999991</v>
      </c>
      <c r="I10" s="65"/>
      <c r="J10" s="18"/>
      <c r="K10" s="29">
        <v>2</v>
      </c>
      <c r="L10" s="93" t="s">
        <v>39</v>
      </c>
      <c r="M10" s="93">
        <v>110</v>
      </c>
      <c r="N10" s="94">
        <v>25</v>
      </c>
    </row>
    <row r="11" spans="2:17" ht="15.75" thickBot="1" x14ac:dyDescent="0.3">
      <c r="B11" s="8"/>
      <c r="C11" s="15"/>
      <c r="D11" s="9"/>
      <c r="G11" s="60"/>
      <c r="H11" s="34"/>
      <c r="I11" s="66"/>
      <c r="J11" s="52"/>
      <c r="K11" s="29"/>
      <c r="L11" s="93"/>
      <c r="M11" s="93"/>
      <c r="N11" s="94"/>
    </row>
    <row r="12" spans="2:17" ht="16.5" thickBot="1" x14ac:dyDescent="0.3">
      <c r="B12" s="108" t="s">
        <v>2</v>
      </c>
      <c r="C12" s="14"/>
      <c r="D12" s="38">
        <f>D13+D14</f>
        <v>3964.5714285714284</v>
      </c>
      <c r="G12" s="60"/>
      <c r="H12" s="38">
        <f>H13+H14</f>
        <v>3342.8883333333329</v>
      </c>
      <c r="I12" s="65"/>
      <c r="J12" s="18"/>
      <c r="K12" s="5">
        <v>4</v>
      </c>
      <c r="L12" s="123" t="s">
        <v>36</v>
      </c>
      <c r="M12" s="95">
        <v>130</v>
      </c>
      <c r="N12" s="96">
        <v>20</v>
      </c>
      <c r="O12" s="31"/>
      <c r="Q12" s="32"/>
    </row>
    <row r="13" spans="2:17" ht="16.5" thickBot="1" x14ac:dyDescent="0.3">
      <c r="B13" s="25" t="s">
        <v>43</v>
      </c>
      <c r="C13" s="14"/>
      <c r="D13" s="125">
        <f>3.35*D4</f>
        <v>536</v>
      </c>
      <c r="G13" s="60"/>
      <c r="H13" s="90">
        <f>2.36*160</f>
        <v>377.59999999999997</v>
      </c>
      <c r="I13" s="66"/>
      <c r="J13" s="52"/>
      <c r="K13" s="30"/>
      <c r="L13" s="31"/>
      <c r="M13" s="31"/>
      <c r="N13" s="31"/>
      <c r="O13" s="32"/>
    </row>
    <row r="14" spans="2:17" ht="16.5" thickBot="1" x14ac:dyDescent="0.3">
      <c r="B14" s="26" t="s">
        <v>30</v>
      </c>
      <c r="C14" s="14"/>
      <c r="D14" s="125">
        <f>30000*(160/1400)</f>
        <v>3428.5714285714284</v>
      </c>
      <c r="G14" s="60"/>
      <c r="H14" s="126">
        <f>O23</f>
        <v>2965.288333333333</v>
      </c>
      <c r="I14" s="67"/>
      <c r="J14" s="53"/>
      <c r="K14" s="40" t="s">
        <v>28</v>
      </c>
      <c r="L14" s="41"/>
      <c r="M14" s="97">
        <f>MAX(M9:M12)</f>
        <v>130</v>
      </c>
      <c r="N14" s="32"/>
      <c r="O14" s="32"/>
    </row>
    <row r="15" spans="2:17" ht="16.5" thickBot="1" x14ac:dyDescent="0.3">
      <c r="B15" s="47"/>
      <c r="C15" s="14"/>
      <c r="D15" s="18"/>
      <c r="G15" s="60"/>
      <c r="H15" s="35"/>
      <c r="I15" s="67"/>
      <c r="J15" s="53"/>
      <c r="K15" s="42" t="s">
        <v>17</v>
      </c>
      <c r="L15" s="43"/>
      <c r="M15" s="91">
        <f>SUM(N9:N12)/3600*M14</f>
        <v>2.3623888888888889</v>
      </c>
      <c r="N15" s="32"/>
      <c r="O15" s="32"/>
      <c r="P15" s="33"/>
      <c r="Q15" s="32"/>
    </row>
    <row r="16" spans="2:17" ht="16.5" thickBot="1" x14ac:dyDescent="0.3">
      <c r="B16" s="108" t="s">
        <v>1</v>
      </c>
      <c r="C16" s="14"/>
      <c r="D16" s="125">
        <f>D10+D12</f>
        <v>77961.371428571438</v>
      </c>
      <c r="G16" s="60"/>
      <c r="H16" s="127">
        <f>H12+H10</f>
        <v>88708.988333333327</v>
      </c>
      <c r="I16" s="68"/>
      <c r="J16" s="54"/>
      <c r="K16" s="79"/>
      <c r="L16" s="79"/>
      <c r="M16" s="80"/>
      <c r="N16" s="32"/>
      <c r="O16" s="32"/>
    </row>
    <row r="17" spans="2:17" ht="16.5" thickBot="1" x14ac:dyDescent="0.3">
      <c r="D17" s="19"/>
      <c r="E17" s="20"/>
      <c r="F17" s="20"/>
      <c r="G17" s="69"/>
      <c r="H17" s="70"/>
      <c r="I17" s="67"/>
      <c r="J17" s="53"/>
      <c r="K17" s="30"/>
      <c r="L17" s="31"/>
      <c r="M17" s="31"/>
      <c r="N17" s="31"/>
      <c r="O17" s="31"/>
    </row>
    <row r="18" spans="2:17" ht="16.5" thickBot="1" x14ac:dyDescent="0.3">
      <c r="B18" s="108" t="s">
        <v>3</v>
      </c>
      <c r="C18" s="14"/>
      <c r="D18" s="78"/>
      <c r="G18" s="60"/>
      <c r="H18" s="78"/>
      <c r="I18" s="64"/>
      <c r="J18" s="36"/>
      <c r="K18" s="133" t="s">
        <v>13</v>
      </c>
      <c r="L18" s="134"/>
      <c r="M18" s="134"/>
      <c r="N18" s="134"/>
      <c r="O18" s="135"/>
    </row>
    <row r="19" spans="2:17" ht="16.5" thickBot="1" x14ac:dyDescent="0.3">
      <c r="G19" s="60"/>
      <c r="H19" s="3"/>
      <c r="I19" s="67"/>
      <c r="J19" s="53"/>
      <c r="K19" s="117" t="s">
        <v>14</v>
      </c>
      <c r="L19" s="118" t="s">
        <v>0</v>
      </c>
      <c r="M19" s="118" t="s">
        <v>15</v>
      </c>
      <c r="N19" s="118" t="s">
        <v>16</v>
      </c>
      <c r="O19" s="119" t="s">
        <v>18</v>
      </c>
    </row>
    <row r="20" spans="2:17" ht="16.5" thickBot="1" x14ac:dyDescent="0.3">
      <c r="B20" s="108" t="s">
        <v>4</v>
      </c>
      <c r="C20" s="14"/>
      <c r="D20" s="125">
        <f>0.39*(160/1400)*1365000</f>
        <v>60840.000000000007</v>
      </c>
      <c r="E20" s="124"/>
      <c r="F20" s="124"/>
      <c r="G20" s="60"/>
      <c r="H20" s="125">
        <f>0.39*(160/1400)*1365000</f>
        <v>60840.000000000007</v>
      </c>
      <c r="I20" s="64"/>
      <c r="J20" s="36"/>
      <c r="K20" s="112" t="s">
        <v>42</v>
      </c>
      <c r="L20" s="113" t="s">
        <v>38</v>
      </c>
      <c r="M20" s="114">
        <v>101650.18</v>
      </c>
      <c r="N20" s="115">
        <v>3</v>
      </c>
      <c r="O20" s="116">
        <f>($M$20)/(3*12)</f>
        <v>2823.616111111111</v>
      </c>
    </row>
    <row r="21" spans="2:17" ht="16.5" thickBot="1" x14ac:dyDescent="0.3">
      <c r="B21" s="7"/>
      <c r="D21" s="10"/>
      <c r="G21" s="60"/>
      <c r="H21" s="37"/>
      <c r="I21" s="67"/>
      <c r="J21" s="53"/>
      <c r="K21" s="98" t="s">
        <v>41</v>
      </c>
      <c r="L21" s="99" t="s">
        <v>40</v>
      </c>
      <c r="M21" s="100">
        <v>5100.2</v>
      </c>
      <c r="N21" s="101">
        <v>3</v>
      </c>
      <c r="O21" s="102">
        <f>($M$21)/(3*12)</f>
        <v>141.67222222222222</v>
      </c>
    </row>
    <row r="22" spans="2:17" ht="16.5" thickBot="1" x14ac:dyDescent="0.3">
      <c r="B22" s="108" t="s">
        <v>5</v>
      </c>
      <c r="C22" s="14"/>
      <c r="D22" s="125">
        <f>SUM(D16,D20)</f>
        <v>138801.37142857144</v>
      </c>
      <c r="G22" s="60"/>
      <c r="H22" s="127">
        <f>SUM(H16,H20)</f>
        <v>149548.98833333334</v>
      </c>
      <c r="I22" s="71"/>
      <c r="J22" s="55"/>
      <c r="K22" s="103"/>
      <c r="L22" s="104"/>
      <c r="M22" s="105"/>
      <c r="N22" s="106"/>
      <c r="O22" s="107"/>
    </row>
    <row r="23" spans="2:17" ht="16.5" thickBot="1" x14ac:dyDescent="0.3">
      <c r="G23" s="60"/>
      <c r="H23" s="3"/>
      <c r="I23" s="67"/>
      <c r="J23" s="53"/>
      <c r="K23" s="128" t="s">
        <v>22</v>
      </c>
      <c r="L23" s="129"/>
      <c r="M23" s="38">
        <f>SUM(M20:M22)</f>
        <v>106750.37999999999</v>
      </c>
      <c r="N23" s="28"/>
      <c r="O23" s="38">
        <f>SUM(O20:O22)</f>
        <v>2965.288333333333</v>
      </c>
    </row>
    <row r="24" spans="2:17" ht="16.5" thickBot="1" x14ac:dyDescent="0.3">
      <c r="B24" s="108" t="s">
        <v>6</v>
      </c>
      <c r="C24" s="14"/>
      <c r="D24" s="125">
        <f>D22/D7</f>
        <v>36.146190476190476</v>
      </c>
      <c r="G24" s="60"/>
      <c r="H24" s="127">
        <v>38.286411768056503</v>
      </c>
      <c r="I24" s="64"/>
      <c r="J24" s="36"/>
    </row>
    <row r="25" spans="2:17" ht="16.5" thickBot="1" x14ac:dyDescent="0.3">
      <c r="G25" s="60"/>
      <c r="H25" s="72"/>
      <c r="I25" s="67"/>
      <c r="J25" s="53"/>
    </row>
    <row r="26" spans="2:17" ht="16.5" thickBot="1" x14ac:dyDescent="0.3">
      <c r="B26" s="108" t="s">
        <v>19</v>
      </c>
      <c r="D26" s="125">
        <f>D24+(0.25*D24)</f>
        <v>45.182738095238093</v>
      </c>
      <c r="G26" s="60"/>
      <c r="H26" s="127">
        <v>47.288390899122803</v>
      </c>
      <c r="I26" s="73"/>
      <c r="J26" s="48"/>
      <c r="K26" s="121"/>
      <c r="L26" s="23" t="s">
        <v>37</v>
      </c>
      <c r="P26" s="14"/>
      <c r="Q26" s="14"/>
    </row>
    <row r="27" spans="2:17" ht="16.5" thickBot="1" x14ac:dyDescent="0.3">
      <c r="G27" s="60"/>
      <c r="H27" s="72"/>
      <c r="I27" s="67"/>
      <c r="J27" s="53"/>
      <c r="K27" s="120"/>
      <c r="L27" t="s">
        <v>31</v>
      </c>
      <c r="P27" s="14"/>
      <c r="Q27" s="14"/>
    </row>
    <row r="28" spans="2:17" ht="16.5" thickBot="1" x14ac:dyDescent="0.3">
      <c r="B28" s="108" t="s">
        <v>20</v>
      </c>
      <c r="D28" s="125">
        <f>D26*D7</f>
        <v>173501.71428571429</v>
      </c>
      <c r="G28" s="60"/>
      <c r="H28" s="127">
        <f>H26*H7</f>
        <v>209487.57168311402</v>
      </c>
      <c r="I28" s="73"/>
      <c r="J28" s="48"/>
      <c r="K28" s="38"/>
      <c r="L28" t="s">
        <v>32</v>
      </c>
      <c r="M28" s="14"/>
      <c r="N28" s="14"/>
      <c r="O28" s="14"/>
      <c r="P28" s="45"/>
      <c r="Q28" s="45"/>
    </row>
    <row r="29" spans="2:17" ht="16.5" thickBot="1" x14ac:dyDescent="0.3">
      <c r="G29" s="60"/>
      <c r="H29" s="72"/>
      <c r="I29" s="67"/>
      <c r="J29" s="53"/>
      <c r="K29" s="14"/>
      <c r="L29" s="14"/>
      <c r="M29" s="14"/>
      <c r="N29" s="14"/>
      <c r="O29" s="14"/>
      <c r="P29" s="45"/>
      <c r="Q29" s="45"/>
    </row>
    <row r="30" spans="2:17" ht="16.5" thickBot="1" x14ac:dyDescent="0.3">
      <c r="B30" s="108" t="s">
        <v>34</v>
      </c>
      <c r="D30" s="125">
        <f>0.25*D24*D7</f>
        <v>34700.342857142859</v>
      </c>
      <c r="G30" s="60"/>
      <c r="H30" s="127">
        <f>0.25*H24*H7</f>
        <v>42402.201033122576</v>
      </c>
      <c r="I30" s="73"/>
      <c r="J30" s="48"/>
      <c r="K30" s="83"/>
      <c r="L30" s="84"/>
      <c r="M30" s="2"/>
      <c r="N30" s="45"/>
      <c r="O30" s="45"/>
      <c r="P30" s="44"/>
      <c r="Q30" s="44"/>
    </row>
    <row r="31" spans="2:17" ht="16.5" thickBot="1" x14ac:dyDescent="0.3">
      <c r="G31" s="60"/>
      <c r="H31" s="72"/>
      <c r="I31" s="67"/>
      <c r="J31" s="53"/>
      <c r="K31" s="45"/>
      <c r="L31" s="84"/>
      <c r="M31" s="2"/>
      <c r="N31" s="45"/>
      <c r="O31" s="45"/>
      <c r="P31" s="13"/>
      <c r="Q31" s="13"/>
    </row>
    <row r="32" spans="2:17" ht="21.75" thickBot="1" x14ac:dyDescent="0.4">
      <c r="C32" s="16"/>
      <c r="D32" s="24" t="s">
        <v>21</v>
      </c>
      <c r="G32" s="60"/>
      <c r="H32" s="92">
        <f>H30-D30</f>
        <v>7701.8581759797162</v>
      </c>
      <c r="I32" s="73"/>
      <c r="J32" s="48"/>
      <c r="K32" s="82"/>
      <c r="L32" s="84"/>
      <c r="M32" s="2"/>
      <c r="N32" s="44"/>
      <c r="O32" s="44"/>
    </row>
    <row r="33" spans="4:15" ht="21.75" thickBot="1" x14ac:dyDescent="0.4">
      <c r="D33" s="24" t="s">
        <v>23</v>
      </c>
      <c r="G33" s="60"/>
      <c r="H33" s="92">
        <f>(M23/H32)/12</f>
        <v>1.1550284096043353</v>
      </c>
      <c r="I33" s="74"/>
      <c r="J33" s="56"/>
      <c r="K33" s="13"/>
      <c r="L33" s="2"/>
      <c r="M33" s="85"/>
      <c r="N33" s="13"/>
      <c r="O33" s="13"/>
    </row>
    <row r="34" spans="4:15" ht="16.5" thickBot="1" x14ac:dyDescent="0.3">
      <c r="G34" s="75"/>
      <c r="H34" s="76"/>
      <c r="I34" s="77"/>
      <c r="J34" s="56"/>
      <c r="L34" s="1"/>
      <c r="M34" s="87"/>
    </row>
    <row r="35" spans="4:15" ht="15.75" thickTop="1" x14ac:dyDescent="0.25">
      <c r="D35" s="11"/>
      <c r="I35" s="81"/>
      <c r="L35" s="86"/>
      <c r="M35" s="86"/>
    </row>
  </sheetData>
  <mergeCells count="3">
    <mergeCell ref="K23:L23"/>
    <mergeCell ref="K7:N7"/>
    <mergeCell ref="K18:O18"/>
  </mergeCells>
  <pageMargins left="0.25" right="0.25" top="0.75" bottom="0.75" header="0.3" footer="0.3"/>
  <pageSetup paperSize="9" scale="51" orientation="landscape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F8F0C4156A0468329798477A07659" ma:contentTypeVersion="6" ma:contentTypeDescription="Crée un document." ma:contentTypeScope="" ma:versionID="536cfadd5c5d42f67bfb3cf813663ccb">
  <xsd:schema xmlns:xsd="http://www.w3.org/2001/XMLSchema" xmlns:xs="http://www.w3.org/2001/XMLSchema" xmlns:p="http://schemas.microsoft.com/office/2006/metadata/properties" xmlns:ns2="9a0db752-eefd-461a-857b-4d36d68af1e4" targetNamespace="http://schemas.microsoft.com/office/2006/metadata/properties" ma:root="true" ma:fieldsID="fdb5f67e17a3bede85742fb06c4d7c6d" ns2:_="">
    <xsd:import namespace="9a0db752-eefd-461a-857b-4d36d68af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b752-eefd-461a-857b-4d36d68af1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E19E17-AD93-45D6-90A8-EFC757395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db752-eefd-461a-857b-4d36d68af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036975-A488-4CB5-B2B7-F2E9D64DF0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7D2F3D-6F43-4F6A-9BC5-330E81093B0E}">
  <ds:schemaRefs>
    <ds:schemaRef ds:uri="9a0db752-eefd-461a-857b-4d36d68af1e4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David</dc:creator>
  <cp:lastModifiedBy>USER</cp:lastModifiedBy>
  <cp:lastPrinted>2021-01-21T10:54:30Z</cp:lastPrinted>
  <dcterms:created xsi:type="dcterms:W3CDTF">2020-01-23T09:34:58Z</dcterms:created>
  <dcterms:modified xsi:type="dcterms:W3CDTF">2021-03-24T21:44:44Z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0x01010036CF8F0C4156A0468329798477A07659</vt:lpwstr>
  </property>
</Properties>
</file>