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moji2unicode" sheetId="1" r:id="rId4"/>
  </sheets>
  <definedNames/>
  <calcPr/>
  <extLst>
    <ext uri="GoogleSheetsCustomDataVersion2">
      <go:sheetsCustomData xmlns:go="http://customooxmlschemas.google.com/" r:id="rId5" roundtripDataChecksum="zW3MsDZJxgQZp2KG8LIV5JRQeYHoAeZPwPedVV6zapE="/>
    </ext>
  </extLst>
</workbook>
</file>

<file path=xl/sharedStrings.xml><?xml version="1.0" encoding="utf-8"?>
<sst xmlns="http://schemas.openxmlformats.org/spreadsheetml/2006/main" count="9523" uniqueCount="9496">
  <si>
    <t>word</t>
  </si>
  <si>
    <t>emoji</t>
  </si>
  <si>
    <t>word_vn_upcase</t>
  </si>
  <si>
    <t>word_vn</t>
  </si>
  <si>
    <t>emoji_no_punc</t>
  </si>
  <si>
    <t>:1st_place_medal:</t>
  </si>
  <si>
    <t>🥇</t>
  </si>
  <si>
    <t>:2nd_place_medal:</t>
  </si>
  <si>
    <t>🥈</t>
  </si>
  <si>
    <t>huy chương vị trí số 2</t>
  </si>
  <si>
    <t>:3rd_place_medal:</t>
  </si>
  <si>
    <t>🥉</t>
  </si>
  <si>
    <t>:AB_button_(blood_type):</t>
  </si>
  <si>
    <t>🆎</t>
  </si>
  <si>
    <t>:ATM_sign:</t>
  </si>
  <si>
    <t>🏧</t>
  </si>
  <si>
    <t>dấu hiệu atm</t>
  </si>
  <si>
    <t>:A_button_(blood_type):</t>
  </si>
  <si>
    <t>🅰</t>
  </si>
  <si>
    <t>nút A (nhóm máu)</t>
  </si>
  <si>
    <t>:Afghanistan:</t>
  </si>
  <si>
    <t>🇦🇫</t>
  </si>
  <si>
    <t>afghanistan</t>
  </si>
  <si>
    <t>:Albania:</t>
  </si>
  <si>
    <t>🇦🇱</t>
  </si>
  <si>
    <t>albania</t>
  </si>
  <si>
    <t>:Algeria:</t>
  </si>
  <si>
    <t>🇩🇿</t>
  </si>
  <si>
    <t>algeria</t>
  </si>
  <si>
    <t>:American_Samoa:</t>
  </si>
  <si>
    <t>🇦🇸</t>
  </si>
  <si>
    <t>:Andorra:</t>
  </si>
  <si>
    <t>🇦🇩</t>
  </si>
  <si>
    <t>:Angola:</t>
  </si>
  <si>
    <t>🇦🇴</t>
  </si>
  <si>
    <t>angola</t>
  </si>
  <si>
    <t>:Anguilla:</t>
  </si>
  <si>
    <t>🇦🇮</t>
  </si>
  <si>
    <t>anguilla</t>
  </si>
  <si>
    <t>:Antarctica:</t>
  </si>
  <si>
    <t>🇦🇶</t>
  </si>
  <si>
    <t>:Antigua_&amp;_Barbuda:</t>
  </si>
  <si>
    <t>🇦🇬</t>
  </si>
  <si>
    <t>Antigua và Barbuda</t>
  </si>
  <si>
    <t>:Aquarius:</t>
  </si>
  <si>
    <t>♒</t>
  </si>
  <si>
    <t>:Argentina:</t>
  </si>
  <si>
    <t>🇦🇷</t>
  </si>
  <si>
    <t>argentina</t>
  </si>
  <si>
    <t>:Aries:</t>
  </si>
  <si>
    <t>♈</t>
  </si>
  <si>
    <t>:Armenia:</t>
  </si>
  <si>
    <t>🇦🇲</t>
  </si>
  <si>
    <t>armenia</t>
  </si>
  <si>
    <t>:Aruba:</t>
  </si>
  <si>
    <t>🇦🇼</t>
  </si>
  <si>
    <t>aruba</t>
  </si>
  <si>
    <t>:Ascension_Island:</t>
  </si>
  <si>
    <t>🇦🇨</t>
  </si>
  <si>
    <t>:Australia:</t>
  </si>
  <si>
    <t>🇦🇺</t>
  </si>
  <si>
    <t>Úc</t>
  </si>
  <si>
    <t>:Austria:</t>
  </si>
  <si>
    <t>🇦🇹</t>
  </si>
  <si>
    <t>áo</t>
  </si>
  <si>
    <t>:Azerbaijan:</t>
  </si>
  <si>
    <t>🇦🇿</t>
  </si>
  <si>
    <t>azerbaijan</t>
  </si>
  <si>
    <t>:BACK_arrow:</t>
  </si>
  <si>
    <t>🔙</t>
  </si>
  <si>
    <t>:B_button_(blood_type):</t>
  </si>
  <si>
    <t>🅱</t>
  </si>
  <si>
    <t>:Bahamas:</t>
  </si>
  <si>
    <t>🇧🇸</t>
  </si>
  <si>
    <t>bahamas</t>
  </si>
  <si>
    <t>:Bahrain:</t>
  </si>
  <si>
    <t>🇧🇭</t>
  </si>
  <si>
    <t>bahrain</t>
  </si>
  <si>
    <t>:Bangladesh:</t>
  </si>
  <si>
    <t>🇧🇩</t>
  </si>
  <si>
    <t>bangladesh</t>
  </si>
  <si>
    <t>:Barbados:</t>
  </si>
  <si>
    <t>🇧🇧</t>
  </si>
  <si>
    <t>:Belarus:</t>
  </si>
  <si>
    <t>🇧🇾</t>
  </si>
  <si>
    <t>belarus</t>
  </si>
  <si>
    <t>:Belgium:</t>
  </si>
  <si>
    <t>🇧🇪</t>
  </si>
  <si>
    <t>Bỉ</t>
  </si>
  <si>
    <t>:Belize:</t>
  </si>
  <si>
    <t>🇧🇿</t>
  </si>
  <si>
    <t>belize</t>
  </si>
  <si>
    <t>:Benin:</t>
  </si>
  <si>
    <t>🇧🇯</t>
  </si>
  <si>
    <t>bénin</t>
  </si>
  <si>
    <t>:Bermuda:</t>
  </si>
  <si>
    <t>🇧🇲</t>
  </si>
  <si>
    <t>bermuda</t>
  </si>
  <si>
    <t>:Bhutan:</t>
  </si>
  <si>
    <t>🇧🇹</t>
  </si>
  <si>
    <t>bhutan</t>
  </si>
  <si>
    <t>:Bolivia:</t>
  </si>
  <si>
    <t>🇧🇴</t>
  </si>
  <si>
    <t>bôlivia</t>
  </si>
  <si>
    <t>:Bosnia_&amp;_Herzegovina:</t>
  </si>
  <si>
    <t>🇧🇦</t>
  </si>
  <si>
    <t>bosnia và herzegovina</t>
  </si>
  <si>
    <t>:Botswana:</t>
  </si>
  <si>
    <t>🇧🇼</t>
  </si>
  <si>
    <t>botswana</t>
  </si>
  <si>
    <t>:Bouvet_Island:</t>
  </si>
  <si>
    <t>🇧🇻</t>
  </si>
  <si>
    <t>:Brazil:</t>
  </si>
  <si>
    <t>🇧🇷</t>
  </si>
  <si>
    <t>brazil</t>
  </si>
  <si>
    <t>:British_Indian_Ocean_Territory:</t>
  </si>
  <si>
    <t>🇮🇴</t>
  </si>
  <si>
    <t>:British_Virgin_Islands:</t>
  </si>
  <si>
    <t>🇻🇬</t>
  </si>
  <si>
    <t>:Brunei:</t>
  </si>
  <si>
    <t>🇧🇳</t>
  </si>
  <si>
    <t>brunei</t>
  </si>
  <si>
    <t>:Bulgaria:</t>
  </si>
  <si>
    <t>🇧🇬</t>
  </si>
  <si>
    <t>bulgaria</t>
  </si>
  <si>
    <t>:Burkina_Faso:</t>
  </si>
  <si>
    <t>🇧🇫</t>
  </si>
  <si>
    <t>bukina faso</t>
  </si>
  <si>
    <t>:Burundi:</t>
  </si>
  <si>
    <t>🇧🇮</t>
  </si>
  <si>
    <t>burundi</t>
  </si>
  <si>
    <t>:CL_button:</t>
  </si>
  <si>
    <t>🆑</t>
  </si>
  <si>
    <t>nút cl</t>
  </si>
  <si>
    <t>:COOL_button:</t>
  </si>
  <si>
    <t>🆒</t>
  </si>
  <si>
    <t>nút lạnh</t>
  </si>
  <si>
    <t>:Cambodia:</t>
  </si>
  <si>
    <t>🇰🇭</t>
  </si>
  <si>
    <t>:Cameroon:</t>
  </si>
  <si>
    <t>🇨🇲</t>
  </si>
  <si>
    <t>cameroon</t>
  </si>
  <si>
    <t>:Canada:</t>
  </si>
  <si>
    <t>🇨🇦</t>
  </si>
  <si>
    <t>:Canary_Islands:</t>
  </si>
  <si>
    <t>🇮🇨</t>
  </si>
  <si>
    <t>:Cancer:</t>
  </si>
  <si>
    <t>♋</t>
  </si>
  <si>
    <t>:Cape_Verde:</t>
  </si>
  <si>
    <t>🇨🇻</t>
  </si>
  <si>
    <t>cape verde</t>
  </si>
  <si>
    <t>:Capricorn:</t>
  </si>
  <si>
    <t>♑</t>
  </si>
  <si>
    <t>:Caribbean_Netherlands:</t>
  </si>
  <si>
    <t>🇧🇶</t>
  </si>
  <si>
    <t>caribbean hà lan</t>
  </si>
  <si>
    <t>:Cayman_Islands:</t>
  </si>
  <si>
    <t>🇰🇾</t>
  </si>
  <si>
    <t>:Central_African_Republic:</t>
  </si>
  <si>
    <t>🇨🇫</t>
  </si>
  <si>
    <t>:Ceuta_&amp;_Melilla:</t>
  </si>
  <si>
    <t>🇪🇦</t>
  </si>
  <si>
    <t>ceuta và melilla</t>
  </si>
  <si>
    <t>:Chad:</t>
  </si>
  <si>
    <t>🇹🇩</t>
  </si>
  <si>
    <t>Chad</t>
  </si>
  <si>
    <t>:Chile:</t>
  </si>
  <si>
    <t>🇨🇱</t>
  </si>
  <si>
    <t>chile</t>
  </si>
  <si>
    <t>:China:</t>
  </si>
  <si>
    <t>🇨🇳</t>
  </si>
  <si>
    <t>:Christmas_Island:</t>
  </si>
  <si>
    <t>🇨🇽</t>
  </si>
  <si>
    <t>đảo giáng sinh</t>
  </si>
  <si>
    <t>:Christmas_tree:</t>
  </si>
  <si>
    <t>🎄</t>
  </si>
  <si>
    <t>:Clipperton_Island:</t>
  </si>
  <si>
    <t>🇨🇵</t>
  </si>
  <si>
    <t>:Cocos_(Keeling)_Islands:</t>
  </si>
  <si>
    <t>🇨🇨</t>
  </si>
  <si>
    <t>:Colombia:</t>
  </si>
  <si>
    <t>🇨🇴</t>
  </si>
  <si>
    <t>colombia</t>
  </si>
  <si>
    <t>:Comoros:</t>
  </si>
  <si>
    <t>🇰🇲</t>
  </si>
  <si>
    <t>comoros</t>
  </si>
  <si>
    <t>:Congo_-_Brazzaville:</t>
  </si>
  <si>
    <t>🇨🇬</t>
  </si>
  <si>
    <t>congo brazzaville</t>
  </si>
  <si>
    <t>:Congo_-_Kinshasa:</t>
  </si>
  <si>
    <t>🇨🇩</t>
  </si>
  <si>
    <t>congo kinshasa</t>
  </si>
  <si>
    <t>:Cook_Islands:</t>
  </si>
  <si>
    <t>🇨🇰</t>
  </si>
  <si>
    <t>:Costa_Rica:</t>
  </si>
  <si>
    <t>🇨🇷</t>
  </si>
  <si>
    <t>costa rica</t>
  </si>
  <si>
    <t>:Croatia:</t>
  </si>
  <si>
    <t>🇭🇷</t>
  </si>
  <si>
    <t>croatia</t>
  </si>
  <si>
    <t>:Cuba:</t>
  </si>
  <si>
    <t>🇨🇺</t>
  </si>
  <si>
    <t>cuba</t>
  </si>
  <si>
    <t>:Curaçao:</t>
  </si>
  <si>
    <t>🇨🇼</t>
  </si>
  <si>
    <t>Curacao</t>
  </si>
  <si>
    <t>:Cyprus:</t>
  </si>
  <si>
    <t>🇨🇾</t>
  </si>
  <si>
    <t>:Czechia:</t>
  </si>
  <si>
    <t>🇨🇿</t>
  </si>
  <si>
    <t>séc</t>
  </si>
  <si>
    <t>:Côte_d’Ivoire:</t>
  </si>
  <si>
    <t>🇨🇮</t>
  </si>
  <si>
    <t>Bờ biển ngà</t>
  </si>
  <si>
    <t>:Denmark:</t>
  </si>
  <si>
    <t>🇩🇰</t>
  </si>
  <si>
    <t>:Diego_Garcia:</t>
  </si>
  <si>
    <t>🇩🇬</t>
  </si>
  <si>
    <t>diego garcia</t>
  </si>
  <si>
    <t>:Djibouti:</t>
  </si>
  <si>
    <t>🇩🇯</t>
  </si>
  <si>
    <t>djibouti</t>
  </si>
  <si>
    <t>:Dominica:</t>
  </si>
  <si>
    <t>🇩🇲</t>
  </si>
  <si>
    <t>dominica</t>
  </si>
  <si>
    <t>:Dominican_Republic:</t>
  </si>
  <si>
    <t>🇩🇴</t>
  </si>
  <si>
    <t>cộng hoà dominica</t>
  </si>
  <si>
    <t>:END_arrow:</t>
  </si>
  <si>
    <t>🔚</t>
  </si>
  <si>
    <t>mũi tên kết thúc</t>
  </si>
  <si>
    <t>:Ecuador:</t>
  </si>
  <si>
    <t>🇪🇨</t>
  </si>
  <si>
    <t>ecuador</t>
  </si>
  <si>
    <t>:Egypt:</t>
  </si>
  <si>
    <t>🇪🇬</t>
  </si>
  <si>
    <t>ai cập</t>
  </si>
  <si>
    <t>:El_Salvador:</t>
  </si>
  <si>
    <t>🇸🇻</t>
  </si>
  <si>
    <t>:England:</t>
  </si>
  <si>
    <t>🏴󠁧󠁢󠁥󠁮󠁧󠁿</t>
  </si>
  <si>
    <t>:Equatorial_Guinea:</t>
  </si>
  <si>
    <t>🇬🇶</t>
  </si>
  <si>
    <t>:Eritrea:</t>
  </si>
  <si>
    <t>🇪🇷</t>
  </si>
  <si>
    <t>eritrea</t>
  </si>
  <si>
    <t>:Estonia:</t>
  </si>
  <si>
    <t>🇪🇪</t>
  </si>
  <si>
    <t>estonia</t>
  </si>
  <si>
    <t>:Eswatini:</t>
  </si>
  <si>
    <t>🇸🇿</t>
  </si>
  <si>
    <t>eswatini</t>
  </si>
  <si>
    <t>:Ethiopia:</t>
  </si>
  <si>
    <t>🇪🇹</t>
  </si>
  <si>
    <t>ethiopia</t>
  </si>
  <si>
    <t>:European_Union:</t>
  </si>
  <si>
    <t>🇪🇺</t>
  </si>
  <si>
    <t>:FREE_button:</t>
  </si>
  <si>
    <t>🆓</t>
  </si>
  <si>
    <t>:Falkland_Islands:</t>
  </si>
  <si>
    <t>🇫🇰</t>
  </si>
  <si>
    <t>:Faroe_Islands:</t>
  </si>
  <si>
    <t>🇫🇴</t>
  </si>
  <si>
    <t>quần đảo faroe</t>
  </si>
  <si>
    <t>:Fiji:</t>
  </si>
  <si>
    <t>🇫🇯</t>
  </si>
  <si>
    <t>fiji</t>
  </si>
  <si>
    <t>:Finland:</t>
  </si>
  <si>
    <t>🇫🇮</t>
  </si>
  <si>
    <t>:France:</t>
  </si>
  <si>
    <t>🇫🇷</t>
  </si>
  <si>
    <t>pháp</t>
  </si>
  <si>
    <t>:French_Guiana:</t>
  </si>
  <si>
    <t>🇬🇫</t>
  </si>
  <si>
    <t>:French_Polynesia:</t>
  </si>
  <si>
    <t>🇵🇫</t>
  </si>
  <si>
    <t>polunesia thuộc pháp</t>
  </si>
  <si>
    <t>:French_Southern_Territories:</t>
  </si>
  <si>
    <t>🇹🇫</t>
  </si>
  <si>
    <t>:Gabon:</t>
  </si>
  <si>
    <t>🇬🇦</t>
  </si>
  <si>
    <t>gabon</t>
  </si>
  <si>
    <t>:Gambia:</t>
  </si>
  <si>
    <t>🇬🇲</t>
  </si>
  <si>
    <t>gambia</t>
  </si>
  <si>
    <t>:Gemini:</t>
  </si>
  <si>
    <t>♊</t>
  </si>
  <si>
    <t>:Georgia:</t>
  </si>
  <si>
    <t>🇬🇪</t>
  </si>
  <si>
    <t>georgia</t>
  </si>
  <si>
    <t>:Germany:</t>
  </si>
  <si>
    <t>🇩🇪</t>
  </si>
  <si>
    <t>:Ghana:</t>
  </si>
  <si>
    <t>🇬🇭</t>
  </si>
  <si>
    <t>ghana</t>
  </si>
  <si>
    <t>:Gibraltar:</t>
  </si>
  <si>
    <t>🇬🇮</t>
  </si>
  <si>
    <t>:Greece:</t>
  </si>
  <si>
    <t>🇬🇷</t>
  </si>
  <si>
    <t>:Greenland:</t>
  </si>
  <si>
    <t>🇬🇱</t>
  </si>
  <si>
    <t>:Grenada:</t>
  </si>
  <si>
    <t>🇬🇩</t>
  </si>
  <si>
    <t>:Guadeloupe:</t>
  </si>
  <si>
    <t>🇬🇵</t>
  </si>
  <si>
    <t>:Guam:</t>
  </si>
  <si>
    <t>🇬🇺</t>
  </si>
  <si>
    <t>:Guatemala:</t>
  </si>
  <si>
    <t>🇬🇹</t>
  </si>
  <si>
    <t>:Guernsey:</t>
  </si>
  <si>
    <t>🇬🇬</t>
  </si>
  <si>
    <t>:Guinea:</t>
  </si>
  <si>
    <t>🇬🇳</t>
  </si>
  <si>
    <t>:Guinea-Bissau:</t>
  </si>
  <si>
    <t>🇬🇼</t>
  </si>
  <si>
    <t>:Guyana:</t>
  </si>
  <si>
    <t>🇬🇾</t>
  </si>
  <si>
    <t>:Haiti:</t>
  </si>
  <si>
    <t>🇭🇹</t>
  </si>
  <si>
    <t>:Heard_&amp;_McDonald_Islands:</t>
  </si>
  <si>
    <t>🇭🇲</t>
  </si>
  <si>
    <t>:Honduras:</t>
  </si>
  <si>
    <t>🇭🇳</t>
  </si>
  <si>
    <t>:Hong_Kong_SAR_China:</t>
  </si>
  <si>
    <t>🇭🇰</t>
  </si>
  <si>
    <t>:Hungary:</t>
  </si>
  <si>
    <t>🇭🇺</t>
  </si>
  <si>
    <t>:ID_button:</t>
  </si>
  <si>
    <t>🆔</t>
  </si>
  <si>
    <t>:Iceland:</t>
  </si>
  <si>
    <t>🇮🇸</t>
  </si>
  <si>
    <t>:India:</t>
  </si>
  <si>
    <t>🇮🇳</t>
  </si>
  <si>
    <t>:Indonesia:</t>
  </si>
  <si>
    <t>🇮🇩</t>
  </si>
  <si>
    <t>:Iran:</t>
  </si>
  <si>
    <t>🇮🇷</t>
  </si>
  <si>
    <t>:Iraq:</t>
  </si>
  <si>
    <t>🇮🇶</t>
  </si>
  <si>
    <t>:Ireland:</t>
  </si>
  <si>
    <t>🇮🇪</t>
  </si>
  <si>
    <t>:Isle_of_Man:</t>
  </si>
  <si>
    <t>🇮🇲</t>
  </si>
  <si>
    <t>:Israel:</t>
  </si>
  <si>
    <t>🇮🇱</t>
  </si>
  <si>
    <t>:Italy:</t>
  </si>
  <si>
    <t>🇮🇹</t>
  </si>
  <si>
    <t>:Jamaica:</t>
  </si>
  <si>
    <t>🇯🇲</t>
  </si>
  <si>
    <t>:Japan:</t>
  </si>
  <si>
    <t>🇯🇵</t>
  </si>
  <si>
    <t>:Japanese_acceptable_button:</t>
  </si>
  <si>
    <t>🉑</t>
  </si>
  <si>
    <t>nút chấp nhận tiếng Nhật</t>
  </si>
  <si>
    <t>:Japanese_application_button:</t>
  </si>
  <si>
    <t>🈸</t>
  </si>
  <si>
    <t xml:space="preserve">nút ứng dụng tiếng Nhật </t>
  </si>
  <si>
    <t>:Japanese_bargain_button:</t>
  </si>
  <si>
    <t>🉐</t>
  </si>
  <si>
    <t>nút mặc cả tiếng Nhật</t>
  </si>
  <si>
    <t>:Japanese_castle:</t>
  </si>
  <si>
    <t>🏯</t>
  </si>
  <si>
    <t>lâu đài Nhật bản</t>
  </si>
  <si>
    <t>:Japanese_congratulations_button:</t>
  </si>
  <si>
    <t>㊗</t>
  </si>
  <si>
    <t>nút chúc mừng tiếng Nhật</t>
  </si>
  <si>
    <t>:Japanese_discount_button:</t>
  </si>
  <si>
    <t>🈹</t>
  </si>
  <si>
    <t xml:space="preserve">nút giảm giá tiếng Nhật </t>
  </si>
  <si>
    <t>:Japanese_dolls:</t>
  </si>
  <si>
    <t>🎎</t>
  </si>
  <si>
    <t>:Japanese_free_of_charge_button:</t>
  </si>
  <si>
    <t>🈚</t>
  </si>
  <si>
    <t>nút miễn phí tiếng Nhật</t>
  </si>
  <si>
    <t>:Japanese_here_button:</t>
  </si>
  <si>
    <t>🈁</t>
  </si>
  <si>
    <t>nút ở đây tiếng Nhật</t>
  </si>
  <si>
    <t>:Japanese_monthly_amount_button:</t>
  </si>
  <si>
    <t>🈷</t>
  </si>
  <si>
    <t>nút số tiền hàng tháng tiếng Nhật</t>
  </si>
  <si>
    <t>:Japanese_no_vacancy_button:</t>
  </si>
  <si>
    <t>🈵</t>
  </si>
  <si>
    <t>nút không tuyển dụng tiếng Nhật</t>
  </si>
  <si>
    <t>:Japanese_not_free_of_charge_button:</t>
  </si>
  <si>
    <t>🈶</t>
  </si>
  <si>
    <t>nút không miễn phí tiếng Nhật</t>
  </si>
  <si>
    <t>:Japanese_open_for_business_button:</t>
  </si>
  <si>
    <t>🈺</t>
  </si>
  <si>
    <t>nút cho kinh doanh tiếng Nhật</t>
  </si>
  <si>
    <t>:Japanese_passing_grade_button:</t>
  </si>
  <si>
    <t>🈴</t>
  </si>
  <si>
    <t>nút điểm đậu tiếng Nhật</t>
  </si>
  <si>
    <t>:Japanese_post_office:</t>
  </si>
  <si>
    <t>🏣</t>
  </si>
  <si>
    <t>:Japanese_prohibited_button:</t>
  </si>
  <si>
    <t>🈲</t>
  </si>
  <si>
    <t>nút cấm tiếng Nhật</t>
  </si>
  <si>
    <t>:Japanese_reserved_button:</t>
  </si>
  <si>
    <t>🈯</t>
  </si>
  <si>
    <t>nút dành riêng tiếng Nhật</t>
  </si>
  <si>
    <t>:Japanese_secret_button:</t>
  </si>
  <si>
    <t>㊙</t>
  </si>
  <si>
    <t>nút bí mật tiếng Nhật</t>
  </si>
  <si>
    <t>:Japanese_service_charge_button:</t>
  </si>
  <si>
    <t>🈂</t>
  </si>
  <si>
    <t>Nút phí phục vụ tiếng Nhật</t>
  </si>
  <si>
    <t>:Japanese_symbol_for_beginner:</t>
  </si>
  <si>
    <t>🔰</t>
  </si>
  <si>
    <t>:Japanese_vacancy_button:</t>
  </si>
  <si>
    <t>🈳</t>
  </si>
  <si>
    <t>nút vị trí tuyển dụng tiếng Nhật</t>
  </si>
  <si>
    <t>:Jersey:</t>
  </si>
  <si>
    <t>🇯🇪</t>
  </si>
  <si>
    <t>Jersey</t>
  </si>
  <si>
    <t>:Jordan:</t>
  </si>
  <si>
    <t>🇯🇴</t>
  </si>
  <si>
    <t>:Kazakhstan:</t>
  </si>
  <si>
    <t>🇰🇿</t>
  </si>
  <si>
    <t>:Kenya:</t>
  </si>
  <si>
    <t>🇰🇪</t>
  </si>
  <si>
    <t>:Kiribati:</t>
  </si>
  <si>
    <t>🇰🇮</t>
  </si>
  <si>
    <t>:Kosovo:</t>
  </si>
  <si>
    <t>🇽🇰</t>
  </si>
  <si>
    <t>:Kuwait:</t>
  </si>
  <si>
    <t>🇰🇼</t>
  </si>
  <si>
    <t>:Kyrgyzstan:</t>
  </si>
  <si>
    <t>🇰🇬</t>
  </si>
  <si>
    <t>:Laos:</t>
  </si>
  <si>
    <t>🇱🇦</t>
  </si>
  <si>
    <t>:Latvia:</t>
  </si>
  <si>
    <t>🇱🇻</t>
  </si>
  <si>
    <t>:Lebanon:</t>
  </si>
  <si>
    <t>🇱🇧</t>
  </si>
  <si>
    <t>Li băng</t>
  </si>
  <si>
    <t>:Leo:</t>
  </si>
  <si>
    <t>♌</t>
  </si>
  <si>
    <t>:Lesotho:</t>
  </si>
  <si>
    <t>🇱🇸</t>
  </si>
  <si>
    <t>:Liberia:</t>
  </si>
  <si>
    <t>🇱🇷</t>
  </si>
  <si>
    <t>:Libra:</t>
  </si>
  <si>
    <t>♎</t>
  </si>
  <si>
    <t>:Libya:</t>
  </si>
  <si>
    <t>🇱🇾</t>
  </si>
  <si>
    <t>:Liechtenstein:</t>
  </si>
  <si>
    <t>🇱🇮</t>
  </si>
  <si>
    <t>:Lithuania:</t>
  </si>
  <si>
    <t>🇱🇹</t>
  </si>
  <si>
    <t>:Luxembourg:</t>
  </si>
  <si>
    <t>🇱🇺</t>
  </si>
  <si>
    <t>:Macao_SAR_China:</t>
  </si>
  <si>
    <t>🇲🇴</t>
  </si>
  <si>
    <t>Macao Trung quốc</t>
  </si>
  <si>
    <t>:Madagascar:</t>
  </si>
  <si>
    <t>🇲🇬</t>
  </si>
  <si>
    <t>:Malawi:</t>
  </si>
  <si>
    <t>🇲🇼</t>
  </si>
  <si>
    <t>:Malaysia:</t>
  </si>
  <si>
    <t>🇲🇾</t>
  </si>
  <si>
    <t>:Maldives:</t>
  </si>
  <si>
    <t>🇲🇻</t>
  </si>
  <si>
    <t>:Mali:</t>
  </si>
  <si>
    <t>🇲🇱</t>
  </si>
  <si>
    <t>:Malta:</t>
  </si>
  <si>
    <t>🇲🇹</t>
  </si>
  <si>
    <t>:Marshall_Islands:</t>
  </si>
  <si>
    <t>🇲🇭</t>
  </si>
  <si>
    <t>:Martinique:</t>
  </si>
  <si>
    <t>🇲🇶</t>
  </si>
  <si>
    <t>:Mauritania:</t>
  </si>
  <si>
    <t>🇲🇷</t>
  </si>
  <si>
    <t>:Mauritius:</t>
  </si>
  <si>
    <t>🇲🇺</t>
  </si>
  <si>
    <t>:Mayotte:</t>
  </si>
  <si>
    <t>🇾🇹</t>
  </si>
  <si>
    <t>:Mexico:</t>
  </si>
  <si>
    <t>🇲🇽</t>
  </si>
  <si>
    <t>:Micronesia:</t>
  </si>
  <si>
    <t>🇫🇲</t>
  </si>
  <si>
    <t>:Moldova:</t>
  </si>
  <si>
    <t>🇲🇩</t>
  </si>
  <si>
    <t>:Monaco:</t>
  </si>
  <si>
    <t>🇲🇨</t>
  </si>
  <si>
    <t>:Mongolia:</t>
  </si>
  <si>
    <t>🇲🇳</t>
  </si>
  <si>
    <t>:Montenegro:</t>
  </si>
  <si>
    <t>🇲🇪</t>
  </si>
  <si>
    <t>:Montserrat:</t>
  </si>
  <si>
    <t>🇲🇸</t>
  </si>
  <si>
    <t>:Morocco:</t>
  </si>
  <si>
    <t>🇲🇦</t>
  </si>
  <si>
    <t>Maroc</t>
  </si>
  <si>
    <t>:Mozambique:</t>
  </si>
  <si>
    <t>🇲🇿</t>
  </si>
  <si>
    <t>:Mrs._Claus:</t>
  </si>
  <si>
    <t>🤶</t>
  </si>
  <si>
    <t>bà claus</t>
  </si>
  <si>
    <t>:Mrs._Claus_dark_skin_tone:</t>
  </si>
  <si>
    <t>🤶🏿</t>
  </si>
  <si>
    <t>bà claus màu da sẫm</t>
  </si>
  <si>
    <t>:Mrs._Claus_light_skin_tone:</t>
  </si>
  <si>
    <t>🤶🏻</t>
  </si>
  <si>
    <t>bà claus màu da sáng</t>
  </si>
  <si>
    <t>:Mrs._Claus_medium-dark_skin_tone:</t>
  </si>
  <si>
    <t>🤶🏾</t>
  </si>
  <si>
    <t>Bà Claus màu da tối vừa</t>
  </si>
  <si>
    <t>bà claus màu da sẫm vừa</t>
  </si>
  <si>
    <t>:Mrs._Claus_medium-light_skin_tone:</t>
  </si>
  <si>
    <t>🤶🏼</t>
  </si>
  <si>
    <t>Bà Claus màu da sáng vừa</t>
  </si>
  <si>
    <t>bà claus màu da sáng vừa</t>
  </si>
  <si>
    <t>:Mrs._Claus_medium_skin_tone:</t>
  </si>
  <si>
    <t>🤶🏽</t>
  </si>
  <si>
    <t>Bà Claus màu da thường</t>
  </si>
  <si>
    <t>bà claus màu da thường</t>
  </si>
  <si>
    <t>:Myanmar_(Burma):</t>
  </si>
  <si>
    <t>🇲🇲</t>
  </si>
  <si>
    <t>:NEW_button:</t>
  </si>
  <si>
    <t>🆕</t>
  </si>
  <si>
    <t>:NG_button:</t>
  </si>
  <si>
    <t>🆖</t>
  </si>
  <si>
    <t>nút n</t>
  </si>
  <si>
    <t>:Namibia:</t>
  </si>
  <si>
    <t>🇳🇦</t>
  </si>
  <si>
    <t>:Nauru:</t>
  </si>
  <si>
    <t>🇳🇷</t>
  </si>
  <si>
    <t>:Nepal:</t>
  </si>
  <si>
    <t>🇳🇵</t>
  </si>
  <si>
    <t>:Netherlands:</t>
  </si>
  <si>
    <t>🇳🇱</t>
  </si>
  <si>
    <t>:New_Caledonia:</t>
  </si>
  <si>
    <t>🇳🇨</t>
  </si>
  <si>
    <t>:New_Zealand:</t>
  </si>
  <si>
    <t>🇳🇿</t>
  </si>
  <si>
    <t>:Nicaragua:</t>
  </si>
  <si>
    <t>🇳🇮</t>
  </si>
  <si>
    <t>:Niger:</t>
  </si>
  <si>
    <t>🇳🇪</t>
  </si>
  <si>
    <t>:Nigeria:</t>
  </si>
  <si>
    <t>🇳🇬</t>
  </si>
  <si>
    <t>:Niue:</t>
  </si>
  <si>
    <t>🇳🇺</t>
  </si>
  <si>
    <t>:Norfolk_Island:</t>
  </si>
  <si>
    <t>🇳🇫</t>
  </si>
  <si>
    <t>:North_Korea:</t>
  </si>
  <si>
    <t>🇰🇵</t>
  </si>
  <si>
    <t>:North_Macedonia:</t>
  </si>
  <si>
    <t>🇲🇰</t>
  </si>
  <si>
    <t>:Northern_Mariana_Islands:</t>
  </si>
  <si>
    <t>🇲🇵</t>
  </si>
  <si>
    <t>:Norway:</t>
  </si>
  <si>
    <t>🇳🇴</t>
  </si>
  <si>
    <t>:OK_button:</t>
  </si>
  <si>
    <t>🆗</t>
  </si>
  <si>
    <t>:OK_hand:</t>
  </si>
  <si>
    <t>👌</t>
  </si>
  <si>
    <t>tay OK</t>
  </si>
  <si>
    <t>:OK_hand_dark_skin_tone:</t>
  </si>
  <si>
    <t>👌🏿</t>
  </si>
  <si>
    <t>tay OK màu da sẫm</t>
  </si>
  <si>
    <t>:OK_hand_light_skin_tone:</t>
  </si>
  <si>
    <t>👌🏻</t>
  </si>
  <si>
    <t>tay OK màu da sáng</t>
  </si>
  <si>
    <t>:OK_hand_medium-dark_skin_tone:</t>
  </si>
  <si>
    <t>👌🏾</t>
  </si>
  <si>
    <t>tay OK màu da vừa tối</t>
  </si>
  <si>
    <t>:OK_hand_medium-light_skin_tone:</t>
  </si>
  <si>
    <t>👌🏼</t>
  </si>
  <si>
    <t>tay OK màu da vừa sáng</t>
  </si>
  <si>
    <t>:OK_hand_medium_skin_tone:</t>
  </si>
  <si>
    <t>👌🏽</t>
  </si>
  <si>
    <t>tay OK màu da thường</t>
  </si>
  <si>
    <t>:ON!_arrow:</t>
  </si>
  <si>
    <t>🔛</t>
  </si>
  <si>
    <t>mũi tên trên!</t>
  </si>
  <si>
    <t>:O_button_(blood_type):</t>
  </si>
  <si>
    <t>🅾</t>
  </si>
  <si>
    <t>:Oman:</t>
  </si>
  <si>
    <t>🇴🇲</t>
  </si>
  <si>
    <t>:Ophiuchus:</t>
  </si>
  <si>
    <t>⛎</t>
  </si>
  <si>
    <t>chòm sao Xà phu</t>
  </si>
  <si>
    <t>:P_button:</t>
  </si>
  <si>
    <t>🅿</t>
  </si>
  <si>
    <t>:Pakistan:</t>
  </si>
  <si>
    <t>🇵🇰</t>
  </si>
  <si>
    <t>:Palau:</t>
  </si>
  <si>
    <t>🇵🇼</t>
  </si>
  <si>
    <t>:Palestinian_Territories:</t>
  </si>
  <si>
    <t>🇵🇸</t>
  </si>
  <si>
    <t>:Panama:</t>
  </si>
  <si>
    <t>🇵🇦</t>
  </si>
  <si>
    <t>:Papua_New_Guinea:</t>
  </si>
  <si>
    <t>🇵🇬</t>
  </si>
  <si>
    <t>:Paraguay:</t>
  </si>
  <si>
    <t>🇵🇾</t>
  </si>
  <si>
    <t>:Peru:</t>
  </si>
  <si>
    <t>🇵🇪</t>
  </si>
  <si>
    <t>:Philippines:</t>
  </si>
  <si>
    <t>🇵🇭</t>
  </si>
  <si>
    <t>:Pisces:</t>
  </si>
  <si>
    <t>♓</t>
  </si>
  <si>
    <t>:Pitcairn_Islands:</t>
  </si>
  <si>
    <t>🇵🇳</t>
  </si>
  <si>
    <t>:Poland:</t>
  </si>
  <si>
    <t>🇵🇱</t>
  </si>
  <si>
    <t>:Portugal:</t>
  </si>
  <si>
    <t>🇵🇹</t>
  </si>
  <si>
    <t>:Puerto_Rico:</t>
  </si>
  <si>
    <t>🇵🇷</t>
  </si>
  <si>
    <t>:Qatar:</t>
  </si>
  <si>
    <t>🇶🇦</t>
  </si>
  <si>
    <t>:Romania:</t>
  </si>
  <si>
    <t>🇷🇴</t>
  </si>
  <si>
    <t>:Russia:</t>
  </si>
  <si>
    <t>🇷🇺</t>
  </si>
  <si>
    <t>:Rwanda:</t>
  </si>
  <si>
    <t>🇷🇼</t>
  </si>
  <si>
    <t>:Réunion:</t>
  </si>
  <si>
    <t>🇷🇪</t>
  </si>
  <si>
    <t>Réunion</t>
  </si>
  <si>
    <t>:SOON_arrow:</t>
  </si>
  <si>
    <t>🔜</t>
  </si>
  <si>
    <t>mũi tên sớm</t>
  </si>
  <si>
    <t>:SOS_button:</t>
  </si>
  <si>
    <t>🆘</t>
  </si>
  <si>
    <t>:Sagittarius:</t>
  </si>
  <si>
    <t>♐</t>
  </si>
  <si>
    <t>:Samoa:</t>
  </si>
  <si>
    <t>🇼🇸</t>
  </si>
  <si>
    <t>:San_Marino:</t>
  </si>
  <si>
    <t>🇸🇲</t>
  </si>
  <si>
    <t>:Santa_Claus:</t>
  </si>
  <si>
    <t>🎅</t>
  </si>
  <si>
    <t>ông già noen</t>
  </si>
  <si>
    <t>:Santa_Claus_dark_skin_tone:</t>
  </si>
  <si>
    <t>🎅🏿</t>
  </si>
  <si>
    <t>ông già noen màu da sẫm</t>
  </si>
  <si>
    <t>:Santa_Claus_light_skin_tone:</t>
  </si>
  <si>
    <t>🎅🏻</t>
  </si>
  <si>
    <t>ông già noen màu da sáng</t>
  </si>
  <si>
    <t>:Santa_Claus_medium-dark_skin_tone:</t>
  </si>
  <si>
    <t>🎅🏾</t>
  </si>
  <si>
    <t>Ông già Noel màu da sẫm vừa</t>
  </si>
  <si>
    <t>ông già noen màu da sẫm vừa</t>
  </si>
  <si>
    <t>:Santa_Claus_medium-light_skin_tone:</t>
  </si>
  <si>
    <t>🎅🏼</t>
  </si>
  <si>
    <t>Ông già Noel màu gia sáng vừa</t>
  </si>
  <si>
    <t>ông già noen màu da sáng vừa</t>
  </si>
  <si>
    <t>:Santa_Claus_medium_skin_tone:</t>
  </si>
  <si>
    <t>🎅🏽</t>
  </si>
  <si>
    <t>Ông già Noel màu da thường</t>
  </si>
  <si>
    <t>ông già noen màu da thường</t>
  </si>
  <si>
    <t>:Saudi_Arabia:</t>
  </si>
  <si>
    <t>🇸🇦</t>
  </si>
  <si>
    <t>:Scorpio:</t>
  </si>
  <si>
    <t>♏</t>
  </si>
  <si>
    <t>:Scotland:</t>
  </si>
  <si>
    <t>🏴󠁧󠁢󠁳󠁣󠁴󠁿</t>
  </si>
  <si>
    <t>:Senegal:</t>
  </si>
  <si>
    <t>🇸🇳</t>
  </si>
  <si>
    <t>:Serbia:</t>
  </si>
  <si>
    <t>🇷🇸</t>
  </si>
  <si>
    <t>:Seychelles:</t>
  </si>
  <si>
    <t>🇸🇨</t>
  </si>
  <si>
    <t>:Sierra_Leone:</t>
  </si>
  <si>
    <t>🇸🇱</t>
  </si>
  <si>
    <t>:Singapore:</t>
  </si>
  <si>
    <t>🇸🇬</t>
  </si>
  <si>
    <t>:Sint_Maarten:</t>
  </si>
  <si>
    <t>🇸🇽</t>
  </si>
  <si>
    <t>:Slovakia:</t>
  </si>
  <si>
    <t>🇸🇰</t>
  </si>
  <si>
    <t>:Slovenia:</t>
  </si>
  <si>
    <t>🇸🇮</t>
  </si>
  <si>
    <t>:Solomon_Islands:</t>
  </si>
  <si>
    <t>🇸🇧</t>
  </si>
  <si>
    <t>:Somalia:</t>
  </si>
  <si>
    <t>🇸🇴</t>
  </si>
  <si>
    <t>:South_Africa:</t>
  </si>
  <si>
    <t>🇿🇦</t>
  </si>
  <si>
    <t>:South_Georgia_&amp;_South_Sandwich_Islands:</t>
  </si>
  <si>
    <t>🇬🇸</t>
  </si>
  <si>
    <t>:South_Korea:</t>
  </si>
  <si>
    <t>🇰🇷</t>
  </si>
  <si>
    <t>:South_Sudan:</t>
  </si>
  <si>
    <t>🇸🇸</t>
  </si>
  <si>
    <t>:Spain:</t>
  </si>
  <si>
    <t>🇪🇸</t>
  </si>
  <si>
    <t>:Sri_Lanka:</t>
  </si>
  <si>
    <t>🇱🇰</t>
  </si>
  <si>
    <t>:St._Barthélemy:</t>
  </si>
  <si>
    <t>🇧🇱</t>
  </si>
  <si>
    <t>:St._Helena:</t>
  </si>
  <si>
    <t>🇸🇭</t>
  </si>
  <si>
    <t>:St._Kitts_&amp;_Nevis:</t>
  </si>
  <si>
    <t>🇰🇳</t>
  </si>
  <si>
    <t>:St._Lucia:</t>
  </si>
  <si>
    <t>🇱🇨</t>
  </si>
  <si>
    <t>:St._Martin:</t>
  </si>
  <si>
    <t>🇲🇫</t>
  </si>
  <si>
    <t>:St._Pierre_&amp;_Miquelon:</t>
  </si>
  <si>
    <t>🇵🇲</t>
  </si>
  <si>
    <t>:St._Vincent_&amp;_Grenadines:</t>
  </si>
  <si>
    <t>🇻🇨</t>
  </si>
  <si>
    <t>:Statue_of_Liberty:</t>
  </si>
  <si>
    <t>🗽</t>
  </si>
  <si>
    <t>tượng nữ thần tự do</t>
  </si>
  <si>
    <t>:Sudan:</t>
  </si>
  <si>
    <t>🇸🇩</t>
  </si>
  <si>
    <t>:Suriname:</t>
  </si>
  <si>
    <t>🇸🇷</t>
  </si>
  <si>
    <t>:Svalbard_&amp;_Jan_Mayen:</t>
  </si>
  <si>
    <t>🇸🇯</t>
  </si>
  <si>
    <t>:Sweden:</t>
  </si>
  <si>
    <t>🇸🇪</t>
  </si>
  <si>
    <t>:Switzerland:</t>
  </si>
  <si>
    <t>🇨🇭</t>
  </si>
  <si>
    <t>:Syria:</t>
  </si>
  <si>
    <t>🇸🇾</t>
  </si>
  <si>
    <t>:São_Tomé_&amp;_Príncipe:</t>
  </si>
  <si>
    <t>🇸🇹</t>
  </si>
  <si>
    <t>:T-Rex:</t>
  </si>
  <si>
    <t>🦖</t>
  </si>
  <si>
    <t>:TOP_arrow:</t>
  </si>
  <si>
    <t>🔝</t>
  </si>
  <si>
    <t>mũi tên hướng lên</t>
  </si>
  <si>
    <t>:Taiwan:</t>
  </si>
  <si>
    <t>🇹🇼</t>
  </si>
  <si>
    <t>:Tajikistan:</t>
  </si>
  <si>
    <t>🇹🇯</t>
  </si>
  <si>
    <t>:Tanzania:</t>
  </si>
  <si>
    <t>🇹🇿</t>
  </si>
  <si>
    <t>:Taurus:</t>
  </si>
  <si>
    <t>♉</t>
  </si>
  <si>
    <t>:Thailand:</t>
  </si>
  <si>
    <t>🇹🇭</t>
  </si>
  <si>
    <t>Thái Lan</t>
  </si>
  <si>
    <t>:Timor-Leste:</t>
  </si>
  <si>
    <t>🇹🇱</t>
  </si>
  <si>
    <t>:Togo:</t>
  </si>
  <si>
    <t>🇹🇬</t>
  </si>
  <si>
    <t>togo</t>
  </si>
  <si>
    <t>:Tokelau:</t>
  </si>
  <si>
    <t>🇹🇰</t>
  </si>
  <si>
    <t>:Tokyo_tower:</t>
  </si>
  <si>
    <t>🗼</t>
  </si>
  <si>
    <t>:Tonga:</t>
  </si>
  <si>
    <t>🇹🇴</t>
  </si>
  <si>
    <t>tonga</t>
  </si>
  <si>
    <t>:Trinidad_&amp;_Tobago:</t>
  </si>
  <si>
    <t>🇹🇹</t>
  </si>
  <si>
    <t>:Tristan_da_Cunha:</t>
  </si>
  <si>
    <t>🇹🇦</t>
  </si>
  <si>
    <t>:Tunisia:</t>
  </si>
  <si>
    <t>🇹🇳</t>
  </si>
  <si>
    <t>:Turkey:</t>
  </si>
  <si>
    <t>🇹🇷</t>
  </si>
  <si>
    <t>thổ nhĩ kỳ</t>
  </si>
  <si>
    <t>:Turkmenistan:</t>
  </si>
  <si>
    <t>🇹🇲</t>
  </si>
  <si>
    <t>:Turks_&amp;_Caicos_Islands:</t>
  </si>
  <si>
    <t>🇹🇨</t>
  </si>
  <si>
    <t>:Tuvalu:</t>
  </si>
  <si>
    <t>🇹🇻</t>
  </si>
  <si>
    <t>:U.S._Outlying_Islands:</t>
  </si>
  <si>
    <t>🇺🇲</t>
  </si>
  <si>
    <t>:U.S._Virgin_Islands:</t>
  </si>
  <si>
    <t>🇻🇮</t>
  </si>
  <si>
    <t>:UP!_button:</t>
  </si>
  <si>
    <t>🆙</t>
  </si>
  <si>
    <t>nút lên!</t>
  </si>
  <si>
    <t>:Uganda:</t>
  </si>
  <si>
    <t>🇺🇬</t>
  </si>
  <si>
    <t>:Ukraine:</t>
  </si>
  <si>
    <t>🇺🇦</t>
  </si>
  <si>
    <t>:United_Arab_Emirates:</t>
  </si>
  <si>
    <t>🇦🇪</t>
  </si>
  <si>
    <t>:United_Kingdom:</t>
  </si>
  <si>
    <t>🇬🇧</t>
  </si>
  <si>
    <t>:United_Nations:</t>
  </si>
  <si>
    <t>🇺🇳</t>
  </si>
  <si>
    <t>:United_States:</t>
  </si>
  <si>
    <t>🇺🇸</t>
  </si>
  <si>
    <t>:Uruguay:</t>
  </si>
  <si>
    <t>🇺🇾</t>
  </si>
  <si>
    <t>:Uzbekistan:</t>
  </si>
  <si>
    <t>🇺🇿</t>
  </si>
  <si>
    <t>:VS_button:</t>
  </si>
  <si>
    <t>🆚</t>
  </si>
  <si>
    <t>:Vanuatu:</t>
  </si>
  <si>
    <t>🇻🇺</t>
  </si>
  <si>
    <t>:Vatican_City:</t>
  </si>
  <si>
    <t>🇻🇦</t>
  </si>
  <si>
    <t>:Venezuela:</t>
  </si>
  <si>
    <t>🇻🇪</t>
  </si>
  <si>
    <t>:Vietnam:</t>
  </si>
  <si>
    <t>🇻🇳</t>
  </si>
  <si>
    <t>:Virgo:</t>
  </si>
  <si>
    <t>♍</t>
  </si>
  <si>
    <t>:Wales:</t>
  </si>
  <si>
    <t>🏴󠁧󠁢󠁷󠁬󠁳󠁿</t>
  </si>
  <si>
    <t>:Wallis_&amp;_Futuna:</t>
  </si>
  <si>
    <t>🇼🇫</t>
  </si>
  <si>
    <t>:Western_Sahara:</t>
  </si>
  <si>
    <t>🇪🇭</t>
  </si>
  <si>
    <t>:Yemen:</t>
  </si>
  <si>
    <t>🇾🇪</t>
  </si>
  <si>
    <t>:Zambia:</t>
  </si>
  <si>
    <t>🇿🇲</t>
  </si>
  <si>
    <t>:Zimbabwe:</t>
  </si>
  <si>
    <t>🇿🇼</t>
  </si>
  <si>
    <t>:abacus:</t>
  </si>
  <si>
    <t>🧮</t>
  </si>
  <si>
    <t>bàn tính</t>
  </si>
  <si>
    <t>:accordion:</t>
  </si>
  <si>
    <t>🪗</t>
  </si>
  <si>
    <t>phong cầm</t>
  </si>
  <si>
    <t>:adhesive_bandage:</t>
  </si>
  <si>
    <t>🩹</t>
  </si>
  <si>
    <t>băng keo cá nhân</t>
  </si>
  <si>
    <t>:admission_tickets:</t>
  </si>
  <si>
    <t>🎟</t>
  </si>
  <si>
    <t>:aerial_tramway:</t>
  </si>
  <si>
    <t>🚡</t>
  </si>
  <si>
    <t>:airplane:</t>
  </si>
  <si>
    <t>✈</t>
  </si>
  <si>
    <t>:airplane_arrival:</t>
  </si>
  <si>
    <t>🛬</t>
  </si>
  <si>
    <t>:airplane_departure:</t>
  </si>
  <si>
    <t>🛫</t>
  </si>
  <si>
    <t>:alarm_clock:</t>
  </si>
  <si>
    <t>⏰</t>
  </si>
  <si>
    <t>:alembic:</t>
  </si>
  <si>
    <t>⚗</t>
  </si>
  <si>
    <t>:alien:</t>
  </si>
  <si>
    <t>👽</t>
  </si>
  <si>
    <t>:alien_monster:</t>
  </si>
  <si>
    <t>👾</t>
  </si>
  <si>
    <t>quái vật ngoài hành tinh</t>
  </si>
  <si>
    <t>:ambulance:</t>
  </si>
  <si>
    <t>🚑</t>
  </si>
  <si>
    <t>:american_football:</t>
  </si>
  <si>
    <t>🏈</t>
  </si>
  <si>
    <t>:amphora:</t>
  </si>
  <si>
    <t>🏺</t>
  </si>
  <si>
    <t>bình hai quai xưa</t>
  </si>
  <si>
    <t>:anatomical_heart:</t>
  </si>
  <si>
    <t>🫀</t>
  </si>
  <si>
    <t>:anchor:</t>
  </si>
  <si>
    <t>⚓</t>
  </si>
  <si>
    <t>:anger_symbol:</t>
  </si>
  <si>
    <t>💢</t>
  </si>
  <si>
    <t>:angry_face:</t>
  </si>
  <si>
    <t>😠</t>
  </si>
  <si>
    <t>:angry_face_with_horns:</t>
  </si>
  <si>
    <t>👿</t>
  </si>
  <si>
    <t>gương mặt giận dữ có sừng</t>
  </si>
  <si>
    <t>:anguished_face:</t>
  </si>
  <si>
    <t>😧</t>
  </si>
  <si>
    <t>gương mặt đau khổ</t>
  </si>
  <si>
    <t>:ant:</t>
  </si>
  <si>
    <t>🐜</t>
  </si>
  <si>
    <t>:antenna_bars:</t>
  </si>
  <si>
    <t>📶</t>
  </si>
  <si>
    <t>:anxious_face_with_sweat:</t>
  </si>
  <si>
    <t>😰</t>
  </si>
  <si>
    <t>gương mặt lo lắng với mồ hôi</t>
  </si>
  <si>
    <t>:articulated_lorry:</t>
  </si>
  <si>
    <t>🚛</t>
  </si>
  <si>
    <t>:artist:</t>
  </si>
  <si>
    <t>🧑‍🎨</t>
  </si>
  <si>
    <t>:artist_dark_skin_tone:</t>
  </si>
  <si>
    <t>🧑🏿‍🎨</t>
  </si>
  <si>
    <t>:artist_light_skin_tone:</t>
  </si>
  <si>
    <t>🧑🏻‍🎨</t>
  </si>
  <si>
    <t>nghệ sĩ màu da sáng</t>
  </si>
  <si>
    <t>:artist_medium-dark_skin_tone:</t>
  </si>
  <si>
    <t>🧑🏾‍🎨</t>
  </si>
  <si>
    <t>nghệ sĩ màu da tối vừa</t>
  </si>
  <si>
    <t>:artist_medium-light_skin_tone:</t>
  </si>
  <si>
    <t>🧑🏼‍🎨</t>
  </si>
  <si>
    <t>nghệ sĩ màu da sáng vừa</t>
  </si>
  <si>
    <t>:artist_medium_skin_tone:</t>
  </si>
  <si>
    <t>🧑🏽‍🎨</t>
  </si>
  <si>
    <t>nghệ sĩ màu da thường</t>
  </si>
  <si>
    <t>:artist_palette:</t>
  </si>
  <si>
    <t>🎨</t>
  </si>
  <si>
    <t>bảng màu nghệ sĩ</t>
  </si>
  <si>
    <t>:astonished_face:</t>
  </si>
  <si>
    <t>😲</t>
  </si>
  <si>
    <t>:astronaut:</t>
  </si>
  <si>
    <t>🧑‍🚀</t>
  </si>
  <si>
    <t>:astronaut_dark_skin_tone:</t>
  </si>
  <si>
    <t>🧑🏿‍🚀</t>
  </si>
  <si>
    <t>:astronaut_light_skin_tone:</t>
  </si>
  <si>
    <t>🧑🏻‍🚀</t>
  </si>
  <si>
    <t>phi hành gia màu da sáng</t>
  </si>
  <si>
    <t>:astronaut_medium-dark_skin_tone:</t>
  </si>
  <si>
    <t>🧑🏾‍🚀</t>
  </si>
  <si>
    <t>phi hành gia màu da sáng vừa</t>
  </si>
  <si>
    <t>:astronaut_medium-light_skin_tone:</t>
  </si>
  <si>
    <t>🧑🏼‍🚀</t>
  </si>
  <si>
    <t>:astronaut_medium_skin_tone:</t>
  </si>
  <si>
    <t>🧑🏽‍🚀</t>
  </si>
  <si>
    <t>phi hành gia màu da thường</t>
  </si>
  <si>
    <t>:atom_symbol:</t>
  </si>
  <si>
    <t>⚛</t>
  </si>
  <si>
    <t>:auto_rickshaw:</t>
  </si>
  <si>
    <t>🛺</t>
  </si>
  <si>
    <t>xe lam</t>
  </si>
  <si>
    <t>:automobile:</t>
  </si>
  <si>
    <t>🚗</t>
  </si>
  <si>
    <t>:avocado:</t>
  </si>
  <si>
    <t>🥑</t>
  </si>
  <si>
    <t>:axe:</t>
  </si>
  <si>
    <t>🪓</t>
  </si>
  <si>
    <t>:baby:</t>
  </si>
  <si>
    <t>👶</t>
  </si>
  <si>
    <t>:baby_angel:</t>
  </si>
  <si>
    <t>👼</t>
  </si>
  <si>
    <t>:baby_angel_dark_skin_tone:</t>
  </si>
  <si>
    <t>👼🏿</t>
  </si>
  <si>
    <t>:baby_angel_light_skin_tone:</t>
  </si>
  <si>
    <t>👼🏻</t>
  </si>
  <si>
    <t>bé thiên thần màu da sáng</t>
  </si>
  <si>
    <t>:baby_angel_medium-dark_skin_tone:</t>
  </si>
  <si>
    <t>👼🏾</t>
  </si>
  <si>
    <t>bé thiên thần màu da sẫm vừa</t>
  </si>
  <si>
    <t>:baby_angel_medium-light_skin_tone:</t>
  </si>
  <si>
    <t>👼🏼</t>
  </si>
  <si>
    <t>bé thiên thần màu da sáng vừa</t>
  </si>
  <si>
    <t>:baby_angel_medium_skin_tone:</t>
  </si>
  <si>
    <t>👼🏽</t>
  </si>
  <si>
    <t>bé thiên thần màu da thường</t>
  </si>
  <si>
    <t>:baby_bottle:</t>
  </si>
  <si>
    <t>🍼</t>
  </si>
  <si>
    <t>bình sữa trẻ em</t>
  </si>
  <si>
    <t>:baby_chick:</t>
  </si>
  <si>
    <t>🐤</t>
  </si>
  <si>
    <t>:baby_dark_skin_tone:</t>
  </si>
  <si>
    <t>👶🏿</t>
  </si>
  <si>
    <t>:baby_light_skin_tone:</t>
  </si>
  <si>
    <t>👶🏻</t>
  </si>
  <si>
    <t>bé màu da sáng</t>
  </si>
  <si>
    <t>:baby_medium-dark_skin_tone:</t>
  </si>
  <si>
    <t>👶🏾</t>
  </si>
  <si>
    <t>bé màu da sẫm vừa</t>
  </si>
  <si>
    <t>:baby_medium-light_skin_tone:</t>
  </si>
  <si>
    <t>👶🏼</t>
  </si>
  <si>
    <t>bé màu da sáng vừa</t>
  </si>
  <si>
    <t>:baby_medium_skin_tone:</t>
  </si>
  <si>
    <t>👶🏽</t>
  </si>
  <si>
    <t>bé màu da thường</t>
  </si>
  <si>
    <t>:baby_symbol:</t>
  </si>
  <si>
    <t>🚼</t>
  </si>
  <si>
    <t>:backhand_index_pointing_down:</t>
  </si>
  <si>
    <t>👇</t>
  </si>
  <si>
    <t>ngón tay trái tay chỉ xuống</t>
  </si>
  <si>
    <t>:backhand_index_pointing_down_dark_skin_tone:</t>
  </si>
  <si>
    <t>👇🏿</t>
  </si>
  <si>
    <t>ngón tay trái tay màu da sẫm chỉ xuống</t>
  </si>
  <si>
    <t>:backhand_index_pointing_down_light_skin_tone:</t>
  </si>
  <si>
    <t>👇🏻</t>
  </si>
  <si>
    <t>ngón tay trái tay màu da sáng chỉ xuống</t>
  </si>
  <si>
    <t>:backhand_index_pointing_down_medium-dark_skin_tone:</t>
  </si>
  <si>
    <t>👇🏾</t>
  </si>
  <si>
    <t>ngón tay trái tay màu da sẫm vừa chỉ xuống</t>
  </si>
  <si>
    <t>:backhand_index_pointing_down_medium-light_skin_tone:</t>
  </si>
  <si>
    <t>👇🏼</t>
  </si>
  <si>
    <t>ngón tay trái tay màu da sáng vừa chỉ xuống</t>
  </si>
  <si>
    <t>:backhand_index_pointing_down_medium_skin_tone:</t>
  </si>
  <si>
    <t>👇🏽</t>
  </si>
  <si>
    <t>ngón tay trái tay màu da thường chỉ xuống</t>
  </si>
  <si>
    <t>:backhand_index_pointing_left:</t>
  </si>
  <si>
    <t>👈</t>
  </si>
  <si>
    <t>ngón tay trái tay chỉ bên trái</t>
  </si>
  <si>
    <t>:backhand_index_pointing_left_dark_skin_tone:</t>
  </si>
  <si>
    <t>👈🏿</t>
  </si>
  <si>
    <t>ngón tay trái tay màu da sẫm chỉ bên trái</t>
  </si>
  <si>
    <t>:backhand_index_pointing_left_light_skin_tone:</t>
  </si>
  <si>
    <t>👈🏻</t>
  </si>
  <si>
    <t>ngón tay trái tay màu da sáng chỉ bên trái</t>
  </si>
  <si>
    <t>:backhand_index_pointing_left_medium-dark_skin_tone:</t>
  </si>
  <si>
    <t>👈🏾</t>
  </si>
  <si>
    <t>ngón tay trái tay màu da sẫm vừa chỉ bên trái</t>
  </si>
  <si>
    <t>:backhand_index_pointing_left_medium-light_skin_tone:</t>
  </si>
  <si>
    <t>👈🏼</t>
  </si>
  <si>
    <t>ngón tay trái tay màu da sáng vừa chỉ bên trái</t>
  </si>
  <si>
    <t>:backhand_index_pointing_left_medium_skin_tone:</t>
  </si>
  <si>
    <t>👈🏽</t>
  </si>
  <si>
    <t>ngón tay trái tay màu da thường chỉ bên trái</t>
  </si>
  <si>
    <t>:backhand_index_pointing_right:</t>
  </si>
  <si>
    <t>👉</t>
  </si>
  <si>
    <t>ngón tay trái tay chỉ bên phải</t>
  </si>
  <si>
    <t>:backhand_index_pointing_right_dark_skin_tone:</t>
  </si>
  <si>
    <t>👉🏿</t>
  </si>
  <si>
    <t>ngón tay trái tay màu sẫm chỉ bên phải</t>
  </si>
  <si>
    <t>:backhand_index_pointing_right_light_skin_tone:</t>
  </si>
  <si>
    <t>👉🏻</t>
  </si>
  <si>
    <t>ngón tay trái tay màu sáng chỉ bên phải</t>
  </si>
  <si>
    <t>:backhand_index_pointing_right_medium-dark_skin_tone:</t>
  </si>
  <si>
    <t>👉🏾</t>
  </si>
  <si>
    <t>ngón tay trái tay màu sẫm vừa chỉ bên phải</t>
  </si>
  <si>
    <t>:backhand_index_pointing_right_medium-light_skin_tone:</t>
  </si>
  <si>
    <t>👉🏼</t>
  </si>
  <si>
    <t>ngón tay trái tay màu sáng vừa chỉ bên phải</t>
  </si>
  <si>
    <t>:backhand_index_pointing_right_medium_skin_tone:</t>
  </si>
  <si>
    <t>👉🏽</t>
  </si>
  <si>
    <t>ngón tay trái tay màu thường chỉ bên phải</t>
  </si>
  <si>
    <t>:backhand_index_pointing_up:</t>
  </si>
  <si>
    <t>👆</t>
  </si>
  <si>
    <t>ngón tay trái tay chỉ lên</t>
  </si>
  <si>
    <t>:backhand_index_pointing_up_dark_skin_tone:</t>
  </si>
  <si>
    <t>👆🏿</t>
  </si>
  <si>
    <t>ngón tay trái tay màu sẫm chỉ lên</t>
  </si>
  <si>
    <t>:backhand_index_pointing_up_light_skin_tone:</t>
  </si>
  <si>
    <t>👆🏻</t>
  </si>
  <si>
    <t>ngón tay trái tay màu sáng chỉ lên</t>
  </si>
  <si>
    <t>:backhand_index_pointing_up_medium-dark_skin_tone:</t>
  </si>
  <si>
    <t>👆🏾</t>
  </si>
  <si>
    <t>ngón tay trái tay màu sẫm vừa chỉ lên</t>
  </si>
  <si>
    <t>:backhand_index_pointing_up_medium-light_skin_tone:</t>
  </si>
  <si>
    <t>👆🏼</t>
  </si>
  <si>
    <t>ngón tay trái tay màu sáng vừa chỉ lên</t>
  </si>
  <si>
    <t>:backhand_index_pointing_up_medium_skin_tone:</t>
  </si>
  <si>
    <t>👆🏽</t>
  </si>
  <si>
    <t>ngón tay trái tay màu thường chỉ lên</t>
  </si>
  <si>
    <t>:backpack:</t>
  </si>
  <si>
    <t>🎒</t>
  </si>
  <si>
    <t>:bacon:</t>
  </si>
  <si>
    <t>🥓</t>
  </si>
  <si>
    <t>:badger:</t>
  </si>
  <si>
    <t>🦡</t>
  </si>
  <si>
    <t>con lửng</t>
  </si>
  <si>
    <t>:badminton:</t>
  </si>
  <si>
    <t>🏸</t>
  </si>
  <si>
    <t>:bagel:</t>
  </si>
  <si>
    <t>🥯</t>
  </si>
  <si>
    <t>:baggage_claim:</t>
  </si>
  <si>
    <t>🛄</t>
  </si>
  <si>
    <t>:baguette_bread:</t>
  </si>
  <si>
    <t>🥖</t>
  </si>
  <si>
    <t>bánh mì que</t>
  </si>
  <si>
    <t>:balance_scale:</t>
  </si>
  <si>
    <t>⚖</t>
  </si>
  <si>
    <t>cân cân bằng</t>
  </si>
  <si>
    <t>:bald:</t>
  </si>
  <si>
    <t>🦲</t>
  </si>
  <si>
    <t>:ballet_shoes:</t>
  </si>
  <si>
    <t>🩰</t>
  </si>
  <si>
    <t>giày ba lê</t>
  </si>
  <si>
    <t>:balloon:</t>
  </si>
  <si>
    <t>🎈</t>
  </si>
  <si>
    <t>:ballot_box_with_ballot:</t>
  </si>
  <si>
    <t>🗳</t>
  </si>
  <si>
    <t>:banana:</t>
  </si>
  <si>
    <t>🍌</t>
  </si>
  <si>
    <t>:banjo:</t>
  </si>
  <si>
    <t>🪕</t>
  </si>
  <si>
    <t>băng cầm</t>
  </si>
  <si>
    <t>:bank:</t>
  </si>
  <si>
    <t>🏦</t>
  </si>
  <si>
    <t>:bar_chart:</t>
  </si>
  <si>
    <t>📊</t>
  </si>
  <si>
    <t>:barber_pole:</t>
  </si>
  <si>
    <t>💈</t>
  </si>
  <si>
    <t>cột hiệu cắt tóc</t>
  </si>
  <si>
    <t>:baseball:</t>
  </si>
  <si>
    <t>⚾</t>
  </si>
  <si>
    <t>:basket:</t>
  </si>
  <si>
    <t>🧺</t>
  </si>
  <si>
    <t>:basketball:</t>
  </si>
  <si>
    <t>🏀</t>
  </si>
  <si>
    <t>:bat:</t>
  </si>
  <si>
    <t>🦇</t>
  </si>
  <si>
    <t>:bathtub:</t>
  </si>
  <si>
    <t>🛁</t>
  </si>
  <si>
    <t>:battery:</t>
  </si>
  <si>
    <t>🔋</t>
  </si>
  <si>
    <t>:beach_with_umbrella:</t>
  </si>
  <si>
    <t>🏖</t>
  </si>
  <si>
    <t>:beaming_face_with_smiling_eyes:</t>
  </si>
  <si>
    <t>😁</t>
  </si>
  <si>
    <t>:bear:</t>
  </si>
  <si>
    <t>🐻</t>
  </si>
  <si>
    <t>gấu</t>
  </si>
  <si>
    <t>:beating_heart:</t>
  </si>
  <si>
    <t>💓</t>
  </si>
  <si>
    <t>trái tim đập</t>
  </si>
  <si>
    <t>:beaver:</t>
  </si>
  <si>
    <t>🦫</t>
  </si>
  <si>
    <t>hải ly</t>
  </si>
  <si>
    <t>:bed:</t>
  </si>
  <si>
    <t>🛏</t>
  </si>
  <si>
    <t>:beer_mug:</t>
  </si>
  <si>
    <t>🍺</t>
  </si>
  <si>
    <t>:beetle:</t>
  </si>
  <si>
    <t>🪲</t>
  </si>
  <si>
    <t>:bell:</t>
  </si>
  <si>
    <t>🔔</t>
  </si>
  <si>
    <t>:bell_pepper:</t>
  </si>
  <si>
    <t>🫑</t>
  </si>
  <si>
    <t>:bell_with_slash:</t>
  </si>
  <si>
    <t>🔕</t>
  </si>
  <si>
    <t>:bellhop_bell:</t>
  </si>
  <si>
    <t>🛎</t>
  </si>
  <si>
    <t>chuông cửa hàng</t>
  </si>
  <si>
    <t>:bento_box:</t>
  </si>
  <si>
    <t>🍱</t>
  </si>
  <si>
    <t>:beverage_box:</t>
  </si>
  <si>
    <t>🧃</t>
  </si>
  <si>
    <t>:bicycle:</t>
  </si>
  <si>
    <t>🚲</t>
  </si>
  <si>
    <t>:bikini:</t>
  </si>
  <si>
    <t>👙</t>
  </si>
  <si>
    <t>bikini</t>
  </si>
  <si>
    <t>:billed_cap:</t>
  </si>
  <si>
    <t>🧢</t>
  </si>
  <si>
    <t>nón lưỡi trai</t>
  </si>
  <si>
    <t>:biohazard:</t>
  </si>
  <si>
    <t>☣</t>
  </si>
  <si>
    <t>nguy cơ sinh học</t>
  </si>
  <si>
    <t>:bird:</t>
  </si>
  <si>
    <t>🐦</t>
  </si>
  <si>
    <t>:birthday_cake:</t>
  </si>
  <si>
    <t>🎂</t>
  </si>
  <si>
    <t>:bison:</t>
  </si>
  <si>
    <t>🦬</t>
  </si>
  <si>
    <t>bò bi son</t>
  </si>
  <si>
    <t>:black_cat:</t>
  </si>
  <si>
    <t>🐈‍⬛</t>
  </si>
  <si>
    <t>:black_circle:</t>
  </si>
  <si>
    <t>⚫</t>
  </si>
  <si>
    <t>:black_flag:</t>
  </si>
  <si>
    <t>🏴</t>
  </si>
  <si>
    <t>:black_heart:</t>
  </si>
  <si>
    <t>🖤</t>
  </si>
  <si>
    <t>:black_large_square:</t>
  </si>
  <si>
    <t>⬛</t>
  </si>
  <si>
    <t>hình vuông lớn màu đen</t>
  </si>
  <si>
    <t>:black_medium-small_square:</t>
  </si>
  <si>
    <t>◾</t>
  </si>
  <si>
    <t>hình vuông màu đen nhỏ vừa</t>
  </si>
  <si>
    <t>:black_medium_square:</t>
  </si>
  <si>
    <t>◼</t>
  </si>
  <si>
    <t>hình vuông màu đen vừa</t>
  </si>
  <si>
    <t>:black_nib:</t>
  </si>
  <si>
    <t>✒</t>
  </si>
  <si>
    <t>ngòi bút màu đen</t>
  </si>
  <si>
    <t>:black_small_square:</t>
  </si>
  <si>
    <t>▪</t>
  </si>
  <si>
    <t xml:space="preserve">hình vuông màu đen nhỏ  </t>
  </si>
  <si>
    <t>:black_square_button:</t>
  </si>
  <si>
    <t>🔲</t>
  </si>
  <si>
    <t>nút hình vuông màu đen</t>
  </si>
  <si>
    <t>:blossom:</t>
  </si>
  <si>
    <t>🌼</t>
  </si>
  <si>
    <t>hoa nở</t>
  </si>
  <si>
    <t>:blowfish:</t>
  </si>
  <si>
    <t>🐡</t>
  </si>
  <si>
    <t>cá nóc</t>
  </si>
  <si>
    <t>:blue_book:</t>
  </si>
  <si>
    <t>📘</t>
  </si>
  <si>
    <t>:blue_circle:</t>
  </si>
  <si>
    <t>🔵</t>
  </si>
  <si>
    <t>:blue_heart:</t>
  </si>
  <si>
    <t>💙</t>
  </si>
  <si>
    <t>trái tim màu xanh</t>
  </si>
  <si>
    <t>:blue_square:</t>
  </si>
  <si>
    <t>🟦</t>
  </si>
  <si>
    <t>:blueberries:</t>
  </si>
  <si>
    <t>🫐</t>
  </si>
  <si>
    <t>:boar:</t>
  </si>
  <si>
    <t>🐗</t>
  </si>
  <si>
    <t>:bomb:</t>
  </si>
  <si>
    <t>💣</t>
  </si>
  <si>
    <t>:bone:</t>
  </si>
  <si>
    <t>🦴</t>
  </si>
  <si>
    <t>:bookmark:</t>
  </si>
  <si>
    <t>🔖</t>
  </si>
  <si>
    <t>kẹp sách</t>
  </si>
  <si>
    <t>:bookmark_tabs:</t>
  </si>
  <si>
    <t>📑</t>
  </si>
  <si>
    <t>:books:</t>
  </si>
  <si>
    <t>📚</t>
  </si>
  <si>
    <t>:boomerang:</t>
  </si>
  <si>
    <t>🪃</t>
  </si>
  <si>
    <t>boomerang</t>
  </si>
  <si>
    <t>:bottle_with_popping_cork:</t>
  </si>
  <si>
    <t>🍾</t>
  </si>
  <si>
    <t>chai với nút chai</t>
  </si>
  <si>
    <t>:bouquet:</t>
  </si>
  <si>
    <t>💐</t>
  </si>
  <si>
    <t>:bow_and_arrow:</t>
  </si>
  <si>
    <t>🏹</t>
  </si>
  <si>
    <t>:bowl_with_spoon:</t>
  </si>
  <si>
    <t>🥣</t>
  </si>
  <si>
    <t>:bowling:</t>
  </si>
  <si>
    <t>🎳</t>
  </si>
  <si>
    <t>:boxing_glove:</t>
  </si>
  <si>
    <t>🥊</t>
  </si>
  <si>
    <t>:boy:</t>
  </si>
  <si>
    <t>👦</t>
  </si>
  <si>
    <t>:boy_dark_skin_tone:</t>
  </si>
  <si>
    <t>👦🏿</t>
  </si>
  <si>
    <t>:boy_light_skin_tone:</t>
  </si>
  <si>
    <t>👦🏻</t>
  </si>
  <si>
    <t>cậu bé màu da sáng</t>
  </si>
  <si>
    <t>:boy_medium-dark_skin_tone:</t>
  </si>
  <si>
    <t>👦🏾</t>
  </si>
  <si>
    <t>cậu bé màu da sẫm vừa</t>
  </si>
  <si>
    <t>:boy_medium-light_skin_tone:</t>
  </si>
  <si>
    <t>👦🏼</t>
  </si>
  <si>
    <t>cậu bé màu da sáng vừa</t>
  </si>
  <si>
    <t>:boy_medium_skin_tone:</t>
  </si>
  <si>
    <t>👦🏽</t>
  </si>
  <si>
    <t>cậu bé màu da thường</t>
  </si>
  <si>
    <t>:brain:</t>
  </si>
  <si>
    <t>🧠</t>
  </si>
  <si>
    <t>não</t>
  </si>
  <si>
    <t>:bread:</t>
  </si>
  <si>
    <t>🍞</t>
  </si>
  <si>
    <t>:breast-feeding:</t>
  </si>
  <si>
    <t>🤱</t>
  </si>
  <si>
    <t>:breast-feeding_dark_skin_tone:</t>
  </si>
  <si>
    <t>🤱🏿</t>
  </si>
  <si>
    <t xml:space="preserve">cho con bú màu da sẫm </t>
  </si>
  <si>
    <t>:breast-feeding_light_skin_tone:</t>
  </si>
  <si>
    <t>🤱🏻</t>
  </si>
  <si>
    <t>cho con bú màu da sáng</t>
  </si>
  <si>
    <t>:breast-feeding_medium-dark_skin_tone:</t>
  </si>
  <si>
    <t>🤱🏾</t>
  </si>
  <si>
    <t>cho con bú màu da sẫm vừa</t>
  </si>
  <si>
    <t>:breast-feeding_medium-light_skin_tone:</t>
  </si>
  <si>
    <t>🤱🏼</t>
  </si>
  <si>
    <t>cho con bú màu da sáng vừa</t>
  </si>
  <si>
    <t>:breast-feeding_medium_skin_tone:</t>
  </si>
  <si>
    <t>🤱🏽</t>
  </si>
  <si>
    <t xml:space="preserve">cho con bú màu da vừa </t>
  </si>
  <si>
    <t>:brick:</t>
  </si>
  <si>
    <t>🧱</t>
  </si>
  <si>
    <t>:bridge_at_night:</t>
  </si>
  <si>
    <t>🌉</t>
  </si>
  <si>
    <t>:briefcase:</t>
  </si>
  <si>
    <t>💼</t>
  </si>
  <si>
    <t>:briefs:</t>
  </si>
  <si>
    <t>🩲</t>
  </si>
  <si>
    <t>quần sịp</t>
  </si>
  <si>
    <t>:bright_button:</t>
  </si>
  <si>
    <t>🔆</t>
  </si>
  <si>
    <t>:broccoli:</t>
  </si>
  <si>
    <t>🥦</t>
  </si>
  <si>
    <t>:broken_heart:</t>
  </si>
  <si>
    <t>💔</t>
  </si>
  <si>
    <t>:broom:</t>
  </si>
  <si>
    <t>🧹</t>
  </si>
  <si>
    <t>chổi</t>
  </si>
  <si>
    <t>:brown_circle:</t>
  </si>
  <si>
    <t>🟤</t>
  </si>
  <si>
    <t>:brown_heart:</t>
  </si>
  <si>
    <t>🤎</t>
  </si>
  <si>
    <t>:brown_square:</t>
  </si>
  <si>
    <t>🟫</t>
  </si>
  <si>
    <t>hình vuông nâu</t>
  </si>
  <si>
    <t>:bubble_tea:</t>
  </si>
  <si>
    <t>🧋</t>
  </si>
  <si>
    <t>:bucket:</t>
  </si>
  <si>
    <t>🪣</t>
  </si>
  <si>
    <t>:bug:</t>
  </si>
  <si>
    <t>🐛</t>
  </si>
  <si>
    <t>:building_construction:</t>
  </si>
  <si>
    <t>🏗</t>
  </si>
  <si>
    <t>toà nhà xây dựng</t>
  </si>
  <si>
    <t>:bullet_train:</t>
  </si>
  <si>
    <t>🚅</t>
  </si>
  <si>
    <t>:bullseye:</t>
  </si>
  <si>
    <t>🎯</t>
  </si>
  <si>
    <t>mắt bò</t>
  </si>
  <si>
    <t>:burrito:</t>
  </si>
  <si>
    <t>🌯</t>
  </si>
  <si>
    <t>:bus:</t>
  </si>
  <si>
    <t>🚌</t>
  </si>
  <si>
    <t>:bus_stop:</t>
  </si>
  <si>
    <t>🚏</t>
  </si>
  <si>
    <t>:bust_in_silhouette:</t>
  </si>
  <si>
    <t>👤</t>
  </si>
  <si>
    <t>hình bóng tượng</t>
  </si>
  <si>
    <t>:busts_in_silhouette:</t>
  </si>
  <si>
    <t>👥</t>
  </si>
  <si>
    <t>hình bóng các tượng</t>
  </si>
  <si>
    <t>:butter:</t>
  </si>
  <si>
    <t>🧈</t>
  </si>
  <si>
    <t>:butterfly:</t>
  </si>
  <si>
    <t>🦋</t>
  </si>
  <si>
    <t>:cactus:</t>
  </si>
  <si>
    <t>🌵</t>
  </si>
  <si>
    <t>:calendar:</t>
  </si>
  <si>
    <t>📅</t>
  </si>
  <si>
    <t>:call_me_hand:</t>
  </si>
  <si>
    <t>🤙</t>
  </si>
  <si>
    <t>tay gọi tôi</t>
  </si>
  <si>
    <t>:call_me_hand_dark_skin_tone:</t>
  </si>
  <si>
    <t>🤙🏿</t>
  </si>
  <si>
    <t>tay gọi tôi màu da sẫm</t>
  </si>
  <si>
    <t>:call_me_hand_light_skin_tone:</t>
  </si>
  <si>
    <t>🤙🏻</t>
  </si>
  <si>
    <t>tay gọi tôi màu da sáng</t>
  </si>
  <si>
    <t>:call_me_hand_medium-dark_skin_tone:</t>
  </si>
  <si>
    <t>🤙🏾</t>
  </si>
  <si>
    <t>tay gọi tôi màu da sẫm vừa</t>
  </si>
  <si>
    <t>:call_me_hand_medium-light_skin_tone:</t>
  </si>
  <si>
    <t>🤙🏼</t>
  </si>
  <si>
    <t>tay gọi tôi màu da sáng vừa</t>
  </si>
  <si>
    <t>:call_me_hand_medium_skin_tone:</t>
  </si>
  <si>
    <t>🤙🏽</t>
  </si>
  <si>
    <t>tay gọi tôi màu da vừa</t>
  </si>
  <si>
    <t>:camel:</t>
  </si>
  <si>
    <t>🐪</t>
  </si>
  <si>
    <t>:camera:</t>
  </si>
  <si>
    <t>📷</t>
  </si>
  <si>
    <t>:camera_with_flash:</t>
  </si>
  <si>
    <t>📸</t>
  </si>
  <si>
    <t>:camping:</t>
  </si>
  <si>
    <t>🏕</t>
  </si>
  <si>
    <t>:candle:</t>
  </si>
  <si>
    <t>🕯</t>
  </si>
  <si>
    <t>:candy:</t>
  </si>
  <si>
    <t>🍬</t>
  </si>
  <si>
    <t>:canned_food:</t>
  </si>
  <si>
    <t>🥫</t>
  </si>
  <si>
    <t>:canoe:</t>
  </si>
  <si>
    <t>🛶</t>
  </si>
  <si>
    <t>:card_file_box:</t>
  </si>
  <si>
    <t>🗃</t>
  </si>
  <si>
    <t>hộp thẻ tập tin</t>
  </si>
  <si>
    <t>:card_index:</t>
  </si>
  <si>
    <t>📇</t>
  </si>
  <si>
    <t>chỉ mục thẻ</t>
  </si>
  <si>
    <t>:card_index_dividers:</t>
  </si>
  <si>
    <t>🗂</t>
  </si>
  <si>
    <t>chia chỉ mục thẻ</t>
  </si>
  <si>
    <t>:carousel_horse:</t>
  </si>
  <si>
    <t>🎠</t>
  </si>
  <si>
    <t>:carp_streamer:</t>
  </si>
  <si>
    <t>🎏</t>
  </si>
  <si>
    <t>lồng đèn cá chép</t>
  </si>
  <si>
    <t>:carpentry_saw:</t>
  </si>
  <si>
    <t>🪚</t>
  </si>
  <si>
    <t>:carrot:</t>
  </si>
  <si>
    <t>🥕</t>
  </si>
  <si>
    <t>:castle:</t>
  </si>
  <si>
    <t>🏰</t>
  </si>
  <si>
    <t>:cat:</t>
  </si>
  <si>
    <t>🐈</t>
  </si>
  <si>
    <t>:cat_face:</t>
  </si>
  <si>
    <t>🐱</t>
  </si>
  <si>
    <t>:cat_with_tears_of_joy:</t>
  </si>
  <si>
    <t>😹</t>
  </si>
  <si>
    <t>:cat_with_wry_smile:</t>
  </si>
  <si>
    <t>😼</t>
  </si>
  <si>
    <t>:chains:</t>
  </si>
  <si>
    <t>⛓</t>
  </si>
  <si>
    <t>các dây xích</t>
  </si>
  <si>
    <t>:chair:</t>
  </si>
  <si>
    <t>🪑</t>
  </si>
  <si>
    <t>:chart_decreasing:</t>
  </si>
  <si>
    <t>📉</t>
  </si>
  <si>
    <t>:chart_increasing:</t>
  </si>
  <si>
    <t>📈</t>
  </si>
  <si>
    <t>:chart_increasing_with_yen:</t>
  </si>
  <si>
    <t>💹</t>
  </si>
  <si>
    <t>:check_box_with_check:</t>
  </si>
  <si>
    <t>☑</t>
  </si>
  <si>
    <t>hộp kiểm tra với dấu tích</t>
  </si>
  <si>
    <t>:check_mark:</t>
  </si>
  <si>
    <t>✔</t>
  </si>
  <si>
    <t>dấu tích</t>
  </si>
  <si>
    <t>:check_mark_button:</t>
  </si>
  <si>
    <t>✅</t>
  </si>
  <si>
    <t>nút dấu tích</t>
  </si>
  <si>
    <t>:cheese_wedge:</t>
  </si>
  <si>
    <t>🧀</t>
  </si>
  <si>
    <t>:chequered_flag:</t>
  </si>
  <si>
    <t>🏁</t>
  </si>
  <si>
    <t>:cherries:</t>
  </si>
  <si>
    <t>🍒</t>
  </si>
  <si>
    <t>:cherry_blossom:</t>
  </si>
  <si>
    <t>🌸</t>
  </si>
  <si>
    <t>:chess_pawn:</t>
  </si>
  <si>
    <t>♟</t>
  </si>
  <si>
    <t>con tốt cờ vua</t>
  </si>
  <si>
    <t>:chestnut:</t>
  </si>
  <si>
    <t>🌰</t>
  </si>
  <si>
    <t>:chicken:</t>
  </si>
  <si>
    <t>🐔</t>
  </si>
  <si>
    <t>:child:</t>
  </si>
  <si>
    <t>🧒</t>
  </si>
  <si>
    <t>:child_dark_skin_tone:</t>
  </si>
  <si>
    <t>🧒🏿</t>
  </si>
  <si>
    <t>đứa trẻ màu da sẫm</t>
  </si>
  <si>
    <t>:child_light_skin_tone:</t>
  </si>
  <si>
    <t>🧒🏻</t>
  </si>
  <si>
    <t>đứa trẻ màu da sáng</t>
  </si>
  <si>
    <t>:child_medium-dark_skin_tone:</t>
  </si>
  <si>
    <t>🧒🏾</t>
  </si>
  <si>
    <t>đứa trẻ màu da sẫm vừa</t>
  </si>
  <si>
    <t>:child_medium-light_skin_tone:</t>
  </si>
  <si>
    <t>🧒🏼</t>
  </si>
  <si>
    <t>đứa trẻ màu da sáng vừa</t>
  </si>
  <si>
    <t>:child_medium_skin_tone:</t>
  </si>
  <si>
    <t>🧒🏽</t>
  </si>
  <si>
    <t>đứa trẻ màu da vừa</t>
  </si>
  <si>
    <t>:children_crossing:</t>
  </si>
  <si>
    <t>🚸</t>
  </si>
  <si>
    <t>cho trẻ em qua</t>
  </si>
  <si>
    <t>:chipmunk:</t>
  </si>
  <si>
    <t>🐿</t>
  </si>
  <si>
    <t>:chocolate_bar:</t>
  </si>
  <si>
    <t>🍫</t>
  </si>
  <si>
    <t>:chopsticks:</t>
  </si>
  <si>
    <t>🥢</t>
  </si>
  <si>
    <t>:church:</t>
  </si>
  <si>
    <t>⛪</t>
  </si>
  <si>
    <t>:cigarette:</t>
  </si>
  <si>
    <t>🚬</t>
  </si>
  <si>
    <t>:cinema:</t>
  </si>
  <si>
    <t>🎦</t>
  </si>
  <si>
    <t>:circled_M:</t>
  </si>
  <si>
    <t>Ⓜ</t>
  </si>
  <si>
    <t>M được khoanh tròn</t>
  </si>
  <si>
    <t>:circus_tent:</t>
  </si>
  <si>
    <t>🎪</t>
  </si>
  <si>
    <t>lều xiếc</t>
  </si>
  <si>
    <t>:cityscape:</t>
  </si>
  <si>
    <t>🏙</t>
  </si>
  <si>
    <t>:cityscape_at_dusk:</t>
  </si>
  <si>
    <t>🌆</t>
  </si>
  <si>
    <t>:clamp:</t>
  </si>
  <si>
    <t>🗜</t>
  </si>
  <si>
    <t>:clapper_board:</t>
  </si>
  <si>
    <t>🎬</t>
  </si>
  <si>
    <t>:clapping_hands:</t>
  </si>
  <si>
    <t>👏</t>
  </si>
  <si>
    <t>:clapping_hands_dark_skin_tone:</t>
  </si>
  <si>
    <t>👏🏿</t>
  </si>
  <si>
    <t>vỗ tay màu da sẫm</t>
  </si>
  <si>
    <t>:clapping_hands_light_skin_tone:</t>
  </si>
  <si>
    <t>👏🏻</t>
  </si>
  <si>
    <t>vỗ tay màu da sáng</t>
  </si>
  <si>
    <t>:clapping_hands_medium-dark_skin_tone:</t>
  </si>
  <si>
    <t>👏🏾</t>
  </si>
  <si>
    <t>vỗ tay màu da sẫm vừa</t>
  </si>
  <si>
    <t>:clapping_hands_medium-light_skin_tone:</t>
  </si>
  <si>
    <t>👏🏼</t>
  </si>
  <si>
    <t>vỗ tay màu da sáng vừa</t>
  </si>
  <si>
    <t>:clapping_hands_medium_skin_tone:</t>
  </si>
  <si>
    <t>👏🏽</t>
  </si>
  <si>
    <t>vỗ tay màu da vừa</t>
  </si>
  <si>
    <t>:classical_building:</t>
  </si>
  <si>
    <t>🏛</t>
  </si>
  <si>
    <t>:clinking_beer_mugs:</t>
  </si>
  <si>
    <t>🍻</t>
  </si>
  <si>
    <t>các cốc bia cụng</t>
  </si>
  <si>
    <t>:clinking_glasses:</t>
  </si>
  <si>
    <t>🥂</t>
  </si>
  <si>
    <t>các ly cụng</t>
  </si>
  <si>
    <t>:clipboard:</t>
  </si>
  <si>
    <t>📋</t>
  </si>
  <si>
    <t>bìa kẹp hồ sơ</t>
  </si>
  <si>
    <t>:clockwise_vertical_arrows:</t>
  </si>
  <si>
    <t>🔃</t>
  </si>
  <si>
    <t>:closed_book:</t>
  </si>
  <si>
    <t>📕</t>
  </si>
  <si>
    <t>cuốn sách gấp lại</t>
  </si>
  <si>
    <t>:closed_mailbox_with_lowered_flag:</t>
  </si>
  <si>
    <t>📪</t>
  </si>
  <si>
    <t>:closed_mailbox_with_raised_flag:</t>
  </si>
  <si>
    <t>📫</t>
  </si>
  <si>
    <t>:closed_umbrella:</t>
  </si>
  <si>
    <t>🌂</t>
  </si>
  <si>
    <t>cái ô gấp lại</t>
  </si>
  <si>
    <t>:cloud:</t>
  </si>
  <si>
    <t>☁</t>
  </si>
  <si>
    <t>:cloud_with_lightning:</t>
  </si>
  <si>
    <t>🌩</t>
  </si>
  <si>
    <t>:cloud_with_lightning_and_rain:</t>
  </si>
  <si>
    <t>⛈</t>
  </si>
  <si>
    <t>:cloud_with_rain:</t>
  </si>
  <si>
    <t>🌧</t>
  </si>
  <si>
    <t>:cloud_with_snow:</t>
  </si>
  <si>
    <t>🌨</t>
  </si>
  <si>
    <t>đám mây với tuyết</t>
  </si>
  <si>
    <t>:clown_face:</t>
  </si>
  <si>
    <t>🤡</t>
  </si>
  <si>
    <t>:club_suit:</t>
  </si>
  <si>
    <t>♣</t>
  </si>
  <si>
    <t>bài chuồn</t>
  </si>
  <si>
    <t>:clutch_bag:</t>
  </si>
  <si>
    <t>👝</t>
  </si>
  <si>
    <t>:coat:</t>
  </si>
  <si>
    <t>🧥</t>
  </si>
  <si>
    <t>:cockroach:</t>
  </si>
  <si>
    <t>🪳</t>
  </si>
  <si>
    <t>:cocktail_glass:</t>
  </si>
  <si>
    <t>🍸</t>
  </si>
  <si>
    <t>:coconut:</t>
  </si>
  <si>
    <t>🥥</t>
  </si>
  <si>
    <t>:coffin:</t>
  </si>
  <si>
    <t>⚰</t>
  </si>
  <si>
    <t>:coin:</t>
  </si>
  <si>
    <t>🪙</t>
  </si>
  <si>
    <t>:cold_face:</t>
  </si>
  <si>
    <t>🥶</t>
  </si>
  <si>
    <t>:collision:</t>
  </si>
  <si>
    <t>💥</t>
  </si>
  <si>
    <t>:comet:</t>
  </si>
  <si>
    <t>☄</t>
  </si>
  <si>
    <t>:compass:</t>
  </si>
  <si>
    <t>🧭</t>
  </si>
  <si>
    <t>:computer_disk:</t>
  </si>
  <si>
    <t>💽</t>
  </si>
  <si>
    <t>:computer_mouse:</t>
  </si>
  <si>
    <t>🖱</t>
  </si>
  <si>
    <t>:confetti_ball:</t>
  </si>
  <si>
    <t>🎊</t>
  </si>
  <si>
    <t>:confounded_face:</t>
  </si>
  <si>
    <t>😖</t>
  </si>
  <si>
    <t>:confused_face:</t>
  </si>
  <si>
    <t>😕</t>
  </si>
  <si>
    <t>:construction:</t>
  </si>
  <si>
    <t>🚧</t>
  </si>
  <si>
    <t>:construction_worker:</t>
  </si>
  <si>
    <t>👷</t>
  </si>
  <si>
    <t>:construction_worker_dark_skin_tone:</t>
  </si>
  <si>
    <t>👷🏿</t>
  </si>
  <si>
    <t>công nhân xây dựng màu da sẫm</t>
  </si>
  <si>
    <t>:construction_worker_light_skin_tone:</t>
  </si>
  <si>
    <t>👷🏻</t>
  </si>
  <si>
    <t>công nhân xây dựng màu da sáng</t>
  </si>
  <si>
    <t>:construction_worker_medium-dark_skin_tone:</t>
  </si>
  <si>
    <t>👷🏾</t>
  </si>
  <si>
    <t>công nhân xây dựng màu da sẫm vừa</t>
  </si>
  <si>
    <t>:construction_worker_medium-light_skin_tone:</t>
  </si>
  <si>
    <t>👷🏼</t>
  </si>
  <si>
    <t>công nhân xây dựng màu da sáng vừa</t>
  </si>
  <si>
    <t>:construction_worker_medium_skin_tone:</t>
  </si>
  <si>
    <t>👷🏽</t>
  </si>
  <si>
    <t>công nhân xây dựng màu da vừa</t>
  </si>
  <si>
    <t>:control_knobs:</t>
  </si>
  <si>
    <t>🎛</t>
  </si>
  <si>
    <t>nút bấm điều khiển</t>
  </si>
  <si>
    <t>:convenience_store:</t>
  </si>
  <si>
    <t>🏪</t>
  </si>
  <si>
    <t>cửa hàng tiện lợi</t>
  </si>
  <si>
    <t>:cook:</t>
  </si>
  <si>
    <t>🧑‍🍳</t>
  </si>
  <si>
    <t>:cook_dark_skin_tone:</t>
  </si>
  <si>
    <t>🧑🏿‍🍳</t>
  </si>
  <si>
    <t>đầu bếp màu da sẫm</t>
  </si>
  <si>
    <t>:cook_light_skin_tone:</t>
  </si>
  <si>
    <t>🧑🏻‍🍳</t>
  </si>
  <si>
    <t>đầu bếp màu da sáng</t>
  </si>
  <si>
    <t>:cook_medium-dark_skin_tone:</t>
  </si>
  <si>
    <t>🧑🏾‍🍳</t>
  </si>
  <si>
    <t>đầu bếp màu da sẫm vừa</t>
  </si>
  <si>
    <t>:cook_medium-light_skin_tone:</t>
  </si>
  <si>
    <t>🧑🏼‍🍳</t>
  </si>
  <si>
    <t>đầu bếp màu da sáng vừa</t>
  </si>
  <si>
    <t>:cook_medium_skin_tone:</t>
  </si>
  <si>
    <t>🧑🏽‍🍳</t>
  </si>
  <si>
    <t>đầu bếp màu da vừa</t>
  </si>
  <si>
    <t>:cooked_rice:</t>
  </si>
  <si>
    <t>🍚</t>
  </si>
  <si>
    <t>cơm nấu</t>
  </si>
  <si>
    <t>:cookie:</t>
  </si>
  <si>
    <t>🍪</t>
  </si>
  <si>
    <t>:cooking:</t>
  </si>
  <si>
    <t>🍳</t>
  </si>
  <si>
    <t>:copyright:</t>
  </si>
  <si>
    <t>©</t>
  </si>
  <si>
    <t>:couch_and_lamp:</t>
  </si>
  <si>
    <t>🛋</t>
  </si>
  <si>
    <t>:counterclockwise_arrows_button:</t>
  </si>
  <si>
    <t>🔄</t>
  </si>
  <si>
    <t>:couple_with_heart:</t>
  </si>
  <si>
    <t>💑</t>
  </si>
  <si>
    <t>cặp đôi với trái tim</t>
  </si>
  <si>
    <t>:couple_with_heart_dark_skin_tone:</t>
  </si>
  <si>
    <t>💑🏿</t>
  </si>
  <si>
    <t xml:space="preserve">cặp đôi màu da sẫm với trái tim </t>
  </si>
  <si>
    <t>:couple_with_heart_light_skin_tone:</t>
  </si>
  <si>
    <t>💑🏻</t>
  </si>
  <si>
    <t>cặp đôi màu da sáng với trái tim</t>
  </si>
  <si>
    <t>:couple_with_heart_man_man:</t>
  </si>
  <si>
    <t>👨‍❤️‍👨</t>
  </si>
  <si>
    <t>cặp đôi nam với trái tim</t>
  </si>
  <si>
    <t>:couple_with_heart_man_man_dark_skin_tone:</t>
  </si>
  <si>
    <t>👨🏿‍❤️‍👨🏿</t>
  </si>
  <si>
    <t>cặp đôi nam màu da sẫm với trái tim</t>
  </si>
  <si>
    <t>:couple_with_heart_man_man_dark_skin_tone_light_skin_tone:</t>
  </si>
  <si>
    <t>👨🏿‍❤️‍👨🏻</t>
  </si>
  <si>
    <t>cặp đôi nam màu da sẫm nam màu da sáng với trái tim</t>
  </si>
  <si>
    <t>:couple_with_heart_man_man_dark_skin_tone_medium-dark_skin_tone:</t>
  </si>
  <si>
    <t>👨🏿‍❤️‍👨🏾</t>
  </si>
  <si>
    <t>cặp đôi nam màu da sẫm nam màu da sẫm vừa với trái tim</t>
  </si>
  <si>
    <t>:couple_with_heart_man_man_dark_skin_tone_medium-light_skin_tone:</t>
  </si>
  <si>
    <t>👨🏿‍❤️‍👨🏼</t>
  </si>
  <si>
    <t>cặp đôi nam màu da sáng vừa nam màu da sẫm với trái tim</t>
  </si>
  <si>
    <t>:couple_with_heart_man_man_dark_skin_tone_medium_skin_tone:</t>
  </si>
  <si>
    <t>👨🏿‍❤️‍👨🏽</t>
  </si>
  <si>
    <t>cặp đôi nam màu da tối nam màu da vừa với trái tim</t>
  </si>
  <si>
    <t>:couple_with_heart_man_man_light_skin_tone:</t>
  </si>
  <si>
    <t>👨🏻‍❤️‍👨🏻</t>
  </si>
  <si>
    <t>cặp đôi nam nam màu da sáng với trái tim</t>
  </si>
  <si>
    <t>:couple_with_heart_man_man_light_skin_tone_dark_skin_tone:</t>
  </si>
  <si>
    <t>👨🏻‍❤️‍👨🏿</t>
  </si>
  <si>
    <t>cặp đôi nam màu da sáng nam màu da sẫm với trái tim</t>
  </si>
  <si>
    <t>:couple_with_heart_man_man_light_skin_tone_medium-dark_skin_tone:</t>
  </si>
  <si>
    <t>👨🏻‍❤️‍👨🏾</t>
  </si>
  <si>
    <t>cặp đôi nam màu da sáng nam màu da sẫm vừa với trái tim</t>
  </si>
  <si>
    <t>:couple_with_heart_man_man_light_skin_tone_medium-light_skin_tone:</t>
  </si>
  <si>
    <t>👨🏻‍❤️‍👨🏼</t>
  </si>
  <si>
    <t>cặp đôi nam màu da sáng nam màu da sáng vừa với trái tim</t>
  </si>
  <si>
    <t>:couple_with_heart_man_man_light_skin_tone_medium_skin_tone:</t>
  </si>
  <si>
    <t>👨🏻‍❤️‍👨🏽</t>
  </si>
  <si>
    <t>cặp đôi nam màu da sáng nam màu da thường với trái tim</t>
  </si>
  <si>
    <t>:couple_with_heart_man_man_medium-dark_skin_tone:</t>
  </si>
  <si>
    <t>👨🏾‍❤️‍👨🏾</t>
  </si>
  <si>
    <t>cặp đôi nam màu da sẫm vừa với trái tim</t>
  </si>
  <si>
    <t>:couple_with_heart_man_man_medium-dark_skin_tone_dark_skin_tone:</t>
  </si>
  <si>
    <t>👨🏾‍❤️‍👨🏿</t>
  </si>
  <si>
    <t>cặp đôi nam màu da sẫm vừa nam màu da tối với trái tim</t>
  </si>
  <si>
    <t>:couple_with_heart_man_man_medium-dark_skin_tone_light_skin_tone:</t>
  </si>
  <si>
    <t>👨🏾‍❤️‍👨🏻</t>
  </si>
  <si>
    <t>cặp đôi nam màu da sẫm vừa nam màu da sáng với trái tim</t>
  </si>
  <si>
    <t>:couple_with_heart_man_man_medium-dark_skin_tone_medium-light_skin_tone:</t>
  </si>
  <si>
    <t>👨🏾‍❤️‍👨🏼</t>
  </si>
  <si>
    <t>cặp đôi nam màu da sẫm vừa nam màu da sáng vừa với trái tim</t>
  </si>
  <si>
    <t>:couple_with_heart_man_man_medium-dark_skin_tone_medium_skin_tone:</t>
  </si>
  <si>
    <t>👨🏾‍❤️‍👨🏽</t>
  </si>
  <si>
    <t>cặp đôi nam màu da sẫm vừa nam màu da thường với trái tim</t>
  </si>
  <si>
    <t>:couple_with_heart_man_man_medium-light_skin_tone:</t>
  </si>
  <si>
    <t>👨🏼‍❤️‍👨🏼</t>
  </si>
  <si>
    <t>cặp đôi nam màu da sáng vừa với trái tim</t>
  </si>
  <si>
    <t>:couple_with_heart_man_man_medium-light_skin_tone_dark_skin_tone:</t>
  </si>
  <si>
    <t>👨🏼‍❤️‍👨🏿</t>
  </si>
  <si>
    <t>:couple_with_heart_man_man_medium-light_skin_tone_light_skin_tone:</t>
  </si>
  <si>
    <t>👨🏼‍❤️‍👨🏻</t>
  </si>
  <si>
    <t>cặp đôi nam màu da sáng vừa nam màu da sáng với trái tim</t>
  </si>
  <si>
    <t>:couple_with_heart_man_man_medium-light_skin_tone_medium-dark_skin_tone:</t>
  </si>
  <si>
    <t>👨🏼‍❤️‍👨🏾</t>
  </si>
  <si>
    <t>cặp đôi nam màu da sáng vừa nam màu da sẫm vừa với trái tim</t>
  </si>
  <si>
    <t>:couple_with_heart_man_man_medium-light_skin_tone_medium_skin_tone:</t>
  </si>
  <si>
    <t>👨🏼‍❤️‍👨🏽</t>
  </si>
  <si>
    <t>cặp đôi nam màu da sáng vừa nam màu da thường với trái tim</t>
  </si>
  <si>
    <t>:couple_with_heart_man_man_medium_skin_tone:</t>
  </si>
  <si>
    <t>👨🏽‍❤️‍👨🏽</t>
  </si>
  <si>
    <t>cặp đôi nam màu da thường với trái tim</t>
  </si>
  <si>
    <t>:couple_with_heart_man_man_medium_skin_tone_dark_skin_tone:</t>
  </si>
  <si>
    <t>👨🏽‍❤️‍👨🏿</t>
  </si>
  <si>
    <t>cặp đôi nam màu da thường nam màu da sẫm với trái tim</t>
  </si>
  <si>
    <t>:couple_with_heart_man_man_medium_skin_tone_light_skin_tone:</t>
  </si>
  <si>
    <t>👨🏽‍❤️‍👨🏻</t>
  </si>
  <si>
    <t>cặp đôi nam màu da thường nam màu da sáng với trái tim</t>
  </si>
  <si>
    <t>:couple_with_heart_man_man_medium_skin_tone_medium-dark_skin_tone:</t>
  </si>
  <si>
    <t>👨🏽‍❤️‍👨🏾</t>
  </si>
  <si>
    <t>cặp đôi nam màu da thường nam màu da sẫm vừa với trái tim</t>
  </si>
  <si>
    <t>:couple_with_heart_man_man_medium_skin_tone_medium-light_skin_tone:</t>
  </si>
  <si>
    <t>👨🏽‍❤️‍👨🏼</t>
  </si>
  <si>
    <t>cặp đôi nam màu da thường nam màu da sáng vừa với trái tim</t>
  </si>
  <si>
    <t>:couple_with_heart_medium-dark_skin_tone:</t>
  </si>
  <si>
    <t>💑🏾</t>
  </si>
  <si>
    <t>cặp đôi màu da sẫm vừa với trái tim</t>
  </si>
  <si>
    <t>:couple_with_heart_medium-light_skin_tone:</t>
  </si>
  <si>
    <t>💑🏼</t>
  </si>
  <si>
    <t>cặp đôi màu da sáng vừa với trái tim</t>
  </si>
  <si>
    <t>:couple_with_heart_medium_skin_tone:</t>
  </si>
  <si>
    <t>💑🏽</t>
  </si>
  <si>
    <t>cặp đôi màu da thường với trái tim</t>
  </si>
  <si>
    <t>:couple_with_heart_person_person_dark_skin_tone_light_skin_tone:</t>
  </si>
  <si>
    <t>🧑🏿‍❤️‍🧑🏻</t>
  </si>
  <si>
    <t>cặp đôi người màu da sẫm người màu da sáng với trái tim</t>
  </si>
  <si>
    <t>:couple_with_heart_person_person_dark_skin_tone_medium-dark_skin_tone:</t>
  </si>
  <si>
    <t>🧑🏿‍❤️‍🧑🏾</t>
  </si>
  <si>
    <t>cặp đôi người màu da sẫm người màu da sẫm vừa với trái tim</t>
  </si>
  <si>
    <t>:couple_with_heart_person_person_dark_skin_tone_medium-light_skin_tone:</t>
  </si>
  <si>
    <t>🧑🏿‍❤️‍🧑🏼</t>
  </si>
  <si>
    <t>cặp đôi người màu da sẫm người màu da sáng vừa với trái tim</t>
  </si>
  <si>
    <t>:couple_with_heart_person_person_dark_skin_tone_medium_skin_tone:</t>
  </si>
  <si>
    <t>🧑🏿‍❤️‍🧑🏽</t>
  </si>
  <si>
    <t>cặp đôi người màu da sẫm người màu da thường với trái tim</t>
  </si>
  <si>
    <t>:couple_with_heart_person_person_light_skin_tone_dark_skin_tone:</t>
  </si>
  <si>
    <t>🧑🏻‍❤️‍🧑🏿</t>
  </si>
  <si>
    <t>cặp đôi người màu da sáng người màu da sẫm với trái tim</t>
  </si>
  <si>
    <t>:couple_with_heart_person_person_light_skin_tone_medium-dark_skin_tone:</t>
  </si>
  <si>
    <t>🧑🏻‍❤️‍🧑🏾</t>
  </si>
  <si>
    <t>cặp đôi người màu da sáng người màu da sẫm vừa với trái tim</t>
  </si>
  <si>
    <t>:couple_with_heart_person_person_light_skin_tone_medium-light_skin_tone:</t>
  </si>
  <si>
    <t>🧑🏻‍❤️‍🧑🏼</t>
  </si>
  <si>
    <t>cặp đôi người màu da sáng người màu da sáng vừa với trái tim</t>
  </si>
  <si>
    <t>:couple_with_heart_person_person_light_skin_tone_medium_skin_tone:</t>
  </si>
  <si>
    <t>🧑🏻‍❤️‍🧑🏽</t>
  </si>
  <si>
    <t>cặp đôi người màu da sáng người màu da thường với trái tim</t>
  </si>
  <si>
    <t>:couple_with_heart_person_person_medium-dark_skin_tone_dark_skin_tone:</t>
  </si>
  <si>
    <t>🧑🏾‍❤️‍🧑🏿</t>
  </si>
  <si>
    <t>cặp đôi người màu da sẫm vừa người màu da sẫm với trái tim</t>
  </si>
  <si>
    <t>:couple_with_heart_person_person_medium-dark_skin_tone_light_skin_tone:</t>
  </si>
  <si>
    <t>🧑🏾‍❤️‍🧑🏻</t>
  </si>
  <si>
    <t>cặp đôi người màu da sẫm vừa người màu da sáng với trái tim</t>
  </si>
  <si>
    <t>:couple_with_heart_person_person_medium-dark_skin_tone_medium-light_skin_tone:</t>
  </si>
  <si>
    <t>🧑🏾‍❤️‍🧑🏼</t>
  </si>
  <si>
    <t>cặp đôi người màu da sẫm vừa người màu da sáng vừa với trái tim</t>
  </si>
  <si>
    <t>:couple_with_heart_person_person_medium-dark_skin_tone_medium_skin_tone:</t>
  </si>
  <si>
    <t>🧑🏾‍❤️‍🧑🏽</t>
  </si>
  <si>
    <t>cặp đôi người màu da sẫm vừa người màu da thường với trái tim</t>
  </si>
  <si>
    <t>:couple_with_heart_person_person_medium-light_skin_tone_dark_skin_tone:</t>
  </si>
  <si>
    <t>🧑🏼‍❤️‍🧑🏿</t>
  </si>
  <si>
    <t>cặp đôi người màu da sáng vừa người màu da sẫm với trái tim</t>
  </si>
  <si>
    <t>:couple_with_heart_person_person_medium-light_skin_tone_light_skin_tone:</t>
  </si>
  <si>
    <t>🧑🏼‍❤️‍🧑🏻</t>
  </si>
  <si>
    <t>cặp đôi người màu da sáng vừa người màu da sáng với trái tim</t>
  </si>
  <si>
    <t>:couple_with_heart_person_person_medium-light_skin_tone_medium-dark_skin_tone:</t>
  </si>
  <si>
    <t>🧑🏼‍❤️‍🧑🏾</t>
  </si>
  <si>
    <t>cặp đôi người màu da sáng vừa người màu da sẫm vừa với trái tim</t>
  </si>
  <si>
    <t>:couple_with_heart_person_person_medium-light_skin_tone_medium_skin_tone:</t>
  </si>
  <si>
    <t>🧑🏼‍❤️‍🧑🏽</t>
  </si>
  <si>
    <t>cặp đôi người màu da sáng vừa người màu da thường với trái tim</t>
  </si>
  <si>
    <t>:couple_with_heart_person_person_medium_skin_tone_dark_skin_tone:</t>
  </si>
  <si>
    <t>🧑🏽‍❤️‍🧑🏿</t>
  </si>
  <si>
    <t>cặp đôi người màu da thường người màu da sẫm với trái tim</t>
  </si>
  <si>
    <t>:couple_with_heart_person_person_medium_skin_tone_light_skin_tone:</t>
  </si>
  <si>
    <t>🧑🏽‍❤️‍🧑🏻</t>
  </si>
  <si>
    <t>cặp đôi người màu da thường người màu da sáng với trái tim</t>
  </si>
  <si>
    <t>:couple_with_heart_person_person_medium_skin_tone_medium-dark_skin_tone:</t>
  </si>
  <si>
    <t>🧑🏽‍❤️‍🧑🏾</t>
  </si>
  <si>
    <t>cặp đôi người màu da thường người màu da sẫm vừa với trái tim</t>
  </si>
  <si>
    <t>:couple_with_heart_person_person_medium_skin_tone_medium-light_skin_tone:</t>
  </si>
  <si>
    <t>🧑🏽‍❤️‍🧑🏼</t>
  </si>
  <si>
    <t>cặp đôi người màu da thường người màu da sáng vừa với trái tim</t>
  </si>
  <si>
    <t>:couple_with_heart_woman_man:</t>
  </si>
  <si>
    <t>👩‍❤️‍👨</t>
  </si>
  <si>
    <t>cặp đôi nữ nam với trái tim</t>
  </si>
  <si>
    <t>:couple_with_heart_woman_man_dark_skin_tone:</t>
  </si>
  <si>
    <t>👩🏿‍❤️‍👨🏿</t>
  </si>
  <si>
    <t>cặp đôi nữ nam màu da sẫm với trái tim</t>
  </si>
  <si>
    <t>:couple_with_heart_woman_man_dark_skin_tone_light_skin_tone:</t>
  </si>
  <si>
    <t>👩🏿‍❤️‍👨🏻</t>
  </si>
  <si>
    <t>cặp đôi nữ màu da sẫm nam màu da sáng với trái tim</t>
  </si>
  <si>
    <t>:couple_with_heart_woman_man_dark_skin_tone_medium-dark_skin_tone:</t>
  </si>
  <si>
    <t>👩🏿‍❤️‍👨🏾</t>
  </si>
  <si>
    <t>cặp đôi nữ màu da sẫm nam màu da sẫm vừa với trái tim</t>
  </si>
  <si>
    <t>:couple_with_heart_woman_man_dark_skin_tone_medium-light_skin_tone:</t>
  </si>
  <si>
    <t>👩🏿‍❤️‍👨🏼</t>
  </si>
  <si>
    <t>cặp đôi nữ màu da sẫm nam màu da sáng vừa với trái tim</t>
  </si>
  <si>
    <t>:couple_with_heart_woman_man_dark_skin_tone_medium_skin_tone:</t>
  </si>
  <si>
    <t>👩🏿‍❤️‍👨🏽</t>
  </si>
  <si>
    <t>cặp đôi nữ màu da sẫm nam màu da thường với trái tim</t>
  </si>
  <si>
    <t>:couple_with_heart_woman_man_light_skin_tone:</t>
  </si>
  <si>
    <t>👩🏻‍❤️‍👨🏻</t>
  </si>
  <si>
    <t>cặp đôi nữ nam màu da sáng với trái tim</t>
  </si>
  <si>
    <t>:couple_with_heart_woman_man_light_skin_tone_dark_skin_tone:</t>
  </si>
  <si>
    <t>👩🏻‍❤️‍👨🏿</t>
  </si>
  <si>
    <t>cặp đôi nữ màu da sáng nam màu da sẫm với trái tim</t>
  </si>
  <si>
    <t>:couple_with_heart_woman_man_light_skin_tone_medium-dark_skin_tone:</t>
  </si>
  <si>
    <t>👩🏻‍❤️‍👨🏾</t>
  </si>
  <si>
    <t>cặp đôi nữ màu da sáng nam màu da sẫm vừa với trái tim</t>
  </si>
  <si>
    <t>:couple_with_heart_woman_man_light_skin_tone_medium-light_skin_tone:</t>
  </si>
  <si>
    <t>👩🏻‍❤️‍👨🏼</t>
  </si>
  <si>
    <t>cặp đôi nữ màu da sáng nam màu da sáng vừa với trái tim</t>
  </si>
  <si>
    <t>:couple_with_heart_woman_man_light_skin_tone_medium_skin_tone:</t>
  </si>
  <si>
    <t>👩🏻‍❤️‍👨🏽</t>
  </si>
  <si>
    <t>cặp đôi nữ màu da sáng nam màu da thường với trái tim</t>
  </si>
  <si>
    <t>:couple_with_heart_woman_man_medium-dark_skin_tone:</t>
  </si>
  <si>
    <t>👩🏾‍❤️‍👨🏾</t>
  </si>
  <si>
    <t>cặp đôi nữ nam màu da sẫm vừa với trái tim</t>
  </si>
  <si>
    <t>:couple_with_heart_woman_man_medium-dark_skin_tone_dark_skin_tone:</t>
  </si>
  <si>
    <t>👩🏾‍❤️‍👨🏿</t>
  </si>
  <si>
    <t>cặp đôi nữ màu da sẫm vừa nam màu da sẫm với trái tim</t>
  </si>
  <si>
    <t>:couple_with_heart_woman_man_medium-dark_skin_tone_light_skin_tone:</t>
  </si>
  <si>
    <t>👩🏾‍❤️‍👨🏻</t>
  </si>
  <si>
    <t>cặp đôi nữ màu da sẫm vừa nam màu da sáng với trái tim</t>
  </si>
  <si>
    <t>:couple_with_heart_woman_man_medium-dark_skin_tone_medium-light_skin_tone:</t>
  </si>
  <si>
    <t>👩🏾‍❤️‍👨🏼</t>
  </si>
  <si>
    <t>cặp đôi nữ màu da sẫm vừa nam màu da sáng vừa với trái tim</t>
  </si>
  <si>
    <t>:couple_with_heart_woman_man_medium-dark_skin_tone_medium_skin_tone:</t>
  </si>
  <si>
    <t>👩🏾‍❤️‍👨🏽</t>
  </si>
  <si>
    <t>cặp đôi nữ màu da sẫm vừa nam màu da thường với trái tim</t>
  </si>
  <si>
    <t>:couple_with_heart_woman_man_medium-light_skin_tone:</t>
  </si>
  <si>
    <t>👩🏼‍❤️‍👨🏼</t>
  </si>
  <si>
    <t>cặp đôi nữ nam màu da sáng vừa với trái tim</t>
  </si>
  <si>
    <t>:couple_with_heart_woman_man_medium-light_skin_tone_dark_skin_tone:</t>
  </si>
  <si>
    <t>👩🏼‍❤️‍👨🏿</t>
  </si>
  <si>
    <t>cặp đôi nữ màu da sáng vừa nam màu da sẫm với trái tim</t>
  </si>
  <si>
    <t>:couple_with_heart_woman_man_medium-light_skin_tone_light_skin_tone:</t>
  </si>
  <si>
    <t>👩🏼‍❤️‍👨🏻</t>
  </si>
  <si>
    <t>cặp đôi nữ màu da sáng vừa nam màu da sáng với trái tim</t>
  </si>
  <si>
    <t>:couple_with_heart_woman_man_medium-light_skin_tone_medium-dark_skin_tone:</t>
  </si>
  <si>
    <t>👩🏼‍❤️‍👨🏾</t>
  </si>
  <si>
    <t>cặp đôi nữ màu da sáng vừa nam màu da sẫm vừa với trái tim</t>
  </si>
  <si>
    <t>:couple_with_heart_woman_man_medium-light_skin_tone_medium_skin_tone:</t>
  </si>
  <si>
    <t>👩🏼‍❤️‍👨🏽</t>
  </si>
  <si>
    <t>cặp đôi nữ màu da sáng vừa nam màu da thường với trái tim</t>
  </si>
  <si>
    <t>:couple_with_heart_woman_man_medium_skin_tone:</t>
  </si>
  <si>
    <t>👩🏽‍❤️‍👨🏽</t>
  </si>
  <si>
    <t>cặp đôi nữ nam màu da thường với trái tim</t>
  </si>
  <si>
    <t>:couple_with_heart_woman_man_medium_skin_tone_dark_skin_tone:</t>
  </si>
  <si>
    <t>👩🏽‍❤️‍👨🏿</t>
  </si>
  <si>
    <t>cặp đôi nữ màu da thường nam màu da sẫm với trái tim</t>
  </si>
  <si>
    <t>:couple_with_heart_woman_man_medium_skin_tone_light_skin_tone:</t>
  </si>
  <si>
    <t>👩🏽‍❤️‍👨🏻</t>
  </si>
  <si>
    <t>cặp đôi nữ màu da thường nam màu da sáng với trái tim</t>
  </si>
  <si>
    <t>:couple_with_heart_woman_man_medium_skin_tone_medium-dark_skin_tone:</t>
  </si>
  <si>
    <t>👩🏽‍❤️‍👨🏾</t>
  </si>
  <si>
    <t>cặp đôi nữ màu da thường nam màu da sẫm vừa với trái tim</t>
  </si>
  <si>
    <t>:couple_with_heart_woman_man_medium_skin_tone_medium-light_skin_tone:</t>
  </si>
  <si>
    <t>👩🏽‍❤️‍👨🏼</t>
  </si>
  <si>
    <t>cặp đôi nữ màu da thường nam màu da sáng vừa với trái tim</t>
  </si>
  <si>
    <t>:couple_with_heart_woman_woman:</t>
  </si>
  <si>
    <t>👩‍❤️‍👩</t>
  </si>
  <si>
    <t>cặp đôi nữ với trái tim</t>
  </si>
  <si>
    <t>:couple_with_heart_woman_woman_dark_skin_tone:</t>
  </si>
  <si>
    <t>👩🏿‍❤️‍👩🏿</t>
  </si>
  <si>
    <t>cặp đôi nữ màu da sẫm với trái tim</t>
  </si>
  <si>
    <t>:couple_with_heart_woman_woman_dark_skin_tone_light_skin_tone:</t>
  </si>
  <si>
    <t>👩🏿‍❤️‍👩🏻</t>
  </si>
  <si>
    <t>cặp đôi nữ màu da sẫm nữ màu da sáng với trái tim</t>
  </si>
  <si>
    <t>:couple_with_heart_woman_woman_dark_skin_tone_medium-dark_skin_tone:</t>
  </si>
  <si>
    <t>👩🏿‍❤️‍👩🏾</t>
  </si>
  <si>
    <t>cặp đôi nữ màu da sẫm nữ màu da sẫm vừa với trái tim</t>
  </si>
  <si>
    <t>:couple_with_heart_woman_woman_dark_skin_tone_medium-light_skin_tone:</t>
  </si>
  <si>
    <t>👩🏿‍❤️‍👩🏼</t>
  </si>
  <si>
    <t>cặp đôi nữ màu da sẫm nữ màu da sáng vừa với trái tim</t>
  </si>
  <si>
    <t>:couple_with_heart_woman_woman_dark_skin_tone_medium_skin_tone:</t>
  </si>
  <si>
    <t>👩🏿‍❤️‍👩🏽</t>
  </si>
  <si>
    <t>cặp đôi nữ màu da sẫm nữ màu da thường với trái tim</t>
  </si>
  <si>
    <t>:couple_with_heart_woman_woman_light_skin_tone:</t>
  </si>
  <si>
    <t>👩🏻‍❤️‍👩🏻</t>
  </si>
  <si>
    <t>cặp đôi nữ màu da sáng với trái tim</t>
  </si>
  <si>
    <t>:couple_with_heart_woman_woman_light_skin_tone_dark_skin_tone:</t>
  </si>
  <si>
    <t>👩🏻‍❤️‍👩🏿</t>
  </si>
  <si>
    <t>cặp đôi nữ màu da sáng nữ màu da sẫm với trái tim</t>
  </si>
  <si>
    <t>:couple_with_heart_woman_woman_light_skin_tone_medium-dark_skin_tone:</t>
  </si>
  <si>
    <t>👩🏻‍❤️‍👩🏾</t>
  </si>
  <si>
    <t>cặp đôi nữ màu da sáng nữ màu da sẫm vừa với trái tim</t>
  </si>
  <si>
    <t>:couple_with_heart_woman_woman_light_skin_tone_medium-light_skin_tone:</t>
  </si>
  <si>
    <t>👩🏻‍❤️‍👩🏼</t>
  </si>
  <si>
    <t>cặp đôi nữ màu da sáng nữ màu da sáng vừa với trái tim</t>
  </si>
  <si>
    <t>:couple_with_heart_woman_woman_light_skin_tone_medium_skin_tone:</t>
  </si>
  <si>
    <t>👩🏻‍❤️‍👩🏽</t>
  </si>
  <si>
    <t>cặp đôi nữ màu da sáng nữ màu da thường với trái tim</t>
  </si>
  <si>
    <t>:couple_with_heart_woman_woman_medium-dark_skin_tone:</t>
  </si>
  <si>
    <t>👩🏾‍❤️‍👩🏾</t>
  </si>
  <si>
    <t>cặp đôi nữ màu da sẫm vừa với trái tim</t>
  </si>
  <si>
    <t>:couple_with_heart_woman_woman_medium-dark_skin_tone_dark_skin_tone:</t>
  </si>
  <si>
    <t>👩🏾‍❤️‍👩🏿</t>
  </si>
  <si>
    <t>cặp đôi nữ màu da sẫm vừa nữ màu da sẫm với trái tim</t>
  </si>
  <si>
    <t>:couple_with_heart_woman_woman_medium-dark_skin_tone_light_skin_tone:</t>
  </si>
  <si>
    <t>👩🏾‍❤️‍👩🏻</t>
  </si>
  <si>
    <t>cặp đôi nữ màu da sẫm vừa nữ màu da sáng với trái tim</t>
  </si>
  <si>
    <t>:couple_with_heart_woman_woman_medium-dark_skin_tone_medium-light_skin_tone:</t>
  </si>
  <si>
    <t>👩🏾‍❤️‍👩🏼</t>
  </si>
  <si>
    <t>cặp đôi nữ màu da sẫm vừa nữ màu da sáng vừa với trái tim</t>
  </si>
  <si>
    <t>:couple_with_heart_woman_woman_medium-dark_skin_tone_medium_skin_tone:</t>
  </si>
  <si>
    <t>👩🏾‍❤️‍👩🏽</t>
  </si>
  <si>
    <t>cặp đôi nữ màu da sẫm vừa nữ màu da thường với trái tim</t>
  </si>
  <si>
    <t>:couple_with_heart_woman_woman_medium-light_skin_tone:</t>
  </si>
  <si>
    <t>👩🏼‍❤️‍👩🏼</t>
  </si>
  <si>
    <t>cặp đôi nữ màu da sáng vừa với trái tim</t>
  </si>
  <si>
    <t>:couple_with_heart_woman_woman_medium-light_skin_tone_dark_skin_tone:</t>
  </si>
  <si>
    <t>👩🏼‍❤️‍👩🏿</t>
  </si>
  <si>
    <t>cặp đôi nữ màu da sáng vừa nữ màu da sẫm với trái tim</t>
  </si>
  <si>
    <t>:couple_with_heart_woman_woman_medium-light_skin_tone_light_skin_tone:</t>
  </si>
  <si>
    <t>👩🏼‍❤️‍👩🏻</t>
  </si>
  <si>
    <t>cặp đôi nữ màu da sáng vừa nữ màu da sáng với trái tim</t>
  </si>
  <si>
    <t>:couple_with_heart_woman_woman_medium-light_skin_tone_medium-dark_skin_tone:</t>
  </si>
  <si>
    <t>👩🏼‍❤️‍👩🏾</t>
  </si>
  <si>
    <t>cặp đôi nữ màu da sáng vừa nữ màu da sẫm vừa với trái tim</t>
  </si>
  <si>
    <t>:couple_with_heart_woman_woman_medium-light_skin_tone_medium_skin_tone:</t>
  </si>
  <si>
    <t>👩🏼‍❤️‍👩🏽</t>
  </si>
  <si>
    <t>cặp đôi nữ màu da sáng vừa nữ màu da thường với trái tim</t>
  </si>
  <si>
    <t>:couple_with_heart_woman_woman_medium_skin_tone:</t>
  </si>
  <si>
    <t>👩🏽‍❤️‍👩🏽</t>
  </si>
  <si>
    <t>cặp đôi nữa màu da thường với trái tim</t>
  </si>
  <si>
    <t>:couple_with_heart_woman_woman_medium_skin_tone_dark_skin_tone:</t>
  </si>
  <si>
    <t>👩🏽‍❤️‍👩🏿</t>
  </si>
  <si>
    <t>cặp đôi nữ màu da thường nữ màu da sẫm với trái tim</t>
  </si>
  <si>
    <t>:couple_with_heart_woman_woman_medium_skin_tone_light_skin_tone:</t>
  </si>
  <si>
    <t>👩🏽‍❤️‍👩🏻</t>
  </si>
  <si>
    <t>cặp đôi nữ màu da thường nữ màu da sáng với trái tim</t>
  </si>
  <si>
    <t>:couple_with_heart_woman_woman_medium_skin_tone_medium-dark_skin_tone:</t>
  </si>
  <si>
    <t>👩🏽‍❤️‍👩🏾</t>
  </si>
  <si>
    <t>cặp đôi nữ màu da thường nữ màu da sẫm vừa với trái tim</t>
  </si>
  <si>
    <t>:couple_with_heart_woman_woman_medium_skin_tone_medium-light_skin_tone:</t>
  </si>
  <si>
    <t>👩🏽‍❤️‍👩🏼</t>
  </si>
  <si>
    <t>cặp đôi nữ màu da thường nữ màu da sáng vừa với trái tim</t>
  </si>
  <si>
    <t>:cow:</t>
  </si>
  <si>
    <t>🐄</t>
  </si>
  <si>
    <t>:cow_face:</t>
  </si>
  <si>
    <t>🐮</t>
  </si>
  <si>
    <t>:cowboy_hat_face:</t>
  </si>
  <si>
    <t>🤠</t>
  </si>
  <si>
    <t>:crab:</t>
  </si>
  <si>
    <t>🦀</t>
  </si>
  <si>
    <t>:crayon:</t>
  </si>
  <si>
    <t>🖍</t>
  </si>
  <si>
    <t>:credit_card:</t>
  </si>
  <si>
    <t>💳</t>
  </si>
  <si>
    <t>:crescent_moon:</t>
  </si>
  <si>
    <t>🌙</t>
  </si>
  <si>
    <t>:cricket:</t>
  </si>
  <si>
    <t>🦗</t>
  </si>
  <si>
    <t>con dế</t>
  </si>
  <si>
    <t>:cricket_game:</t>
  </si>
  <si>
    <t>🏏</t>
  </si>
  <si>
    <t>bóng chày</t>
  </si>
  <si>
    <t>:crocodile:</t>
  </si>
  <si>
    <t>🐊</t>
  </si>
  <si>
    <t>:croissant:</t>
  </si>
  <si>
    <t>🥐</t>
  </si>
  <si>
    <t>bánh sừng bò</t>
  </si>
  <si>
    <t>:cross_mark:</t>
  </si>
  <si>
    <t>❌</t>
  </si>
  <si>
    <t>:cross_mark_button:</t>
  </si>
  <si>
    <t>❎</t>
  </si>
  <si>
    <t>nút dấu chéo</t>
  </si>
  <si>
    <t>:crossed_fingers:</t>
  </si>
  <si>
    <t>🤞</t>
  </si>
  <si>
    <t>ngón tay đan chéo</t>
  </si>
  <si>
    <t>:crossed_fingers_dark_skin_tone:</t>
  </si>
  <si>
    <t>🤞🏿</t>
  </si>
  <si>
    <t>ngón tay đan chéo màu da sẫm</t>
  </si>
  <si>
    <t>:crossed_fingers_light_skin_tone:</t>
  </si>
  <si>
    <t>🤞🏻</t>
  </si>
  <si>
    <t>ngón tay đan chéo màu da sáng</t>
  </si>
  <si>
    <t>:crossed_fingers_medium-dark_skin_tone:</t>
  </si>
  <si>
    <t>🤞🏾</t>
  </si>
  <si>
    <t>ngón tay đan chéo màu da sẫm vừa</t>
  </si>
  <si>
    <t>:crossed_fingers_medium-light_skin_tone:</t>
  </si>
  <si>
    <t>🤞🏼</t>
  </si>
  <si>
    <t>ngón tay đan chéo màu da sáng vừa</t>
  </si>
  <si>
    <t>:crossed_fingers_medium_skin_tone:</t>
  </si>
  <si>
    <t>🤞🏽</t>
  </si>
  <si>
    <t>ngón tay đan chéo màu da thường</t>
  </si>
  <si>
    <t>:crossed_flags:</t>
  </si>
  <si>
    <t>🎌</t>
  </si>
  <si>
    <t>:crossed_swords:</t>
  </si>
  <si>
    <t>⚔</t>
  </si>
  <si>
    <t>:crown:</t>
  </si>
  <si>
    <t>👑</t>
  </si>
  <si>
    <t>:crying_cat:</t>
  </si>
  <si>
    <t>😿</t>
  </si>
  <si>
    <t>mèo khóc</t>
  </si>
  <si>
    <t>:crying_face:</t>
  </si>
  <si>
    <t>😢</t>
  </si>
  <si>
    <t>:crystal_ball:</t>
  </si>
  <si>
    <t>🔮</t>
  </si>
  <si>
    <t>:cucumber:</t>
  </si>
  <si>
    <t>🥒</t>
  </si>
  <si>
    <t>:cup_with_straw:</t>
  </si>
  <si>
    <t>🥤</t>
  </si>
  <si>
    <t>cốc với ống rơm</t>
  </si>
  <si>
    <t>:cupcake:</t>
  </si>
  <si>
    <t>🧁</t>
  </si>
  <si>
    <t>bánh cupcake</t>
  </si>
  <si>
    <t>:curling_stone:</t>
  </si>
  <si>
    <t>🥌</t>
  </si>
  <si>
    <t>:curly_hair:</t>
  </si>
  <si>
    <t>🦱</t>
  </si>
  <si>
    <t>:curly_loop:</t>
  </si>
  <si>
    <t>➰</t>
  </si>
  <si>
    <t>:currency_exchange:</t>
  </si>
  <si>
    <t>💱</t>
  </si>
  <si>
    <t>:curry_rice:</t>
  </si>
  <si>
    <t>🍛</t>
  </si>
  <si>
    <t>:custard:</t>
  </si>
  <si>
    <t>🍮</t>
  </si>
  <si>
    <t>:customs:</t>
  </si>
  <si>
    <t>🛃</t>
  </si>
  <si>
    <t>:cut_of_meat:</t>
  </si>
  <si>
    <t>🥩</t>
  </si>
  <si>
    <t>miếng thịt</t>
  </si>
  <si>
    <t>:cyclone:</t>
  </si>
  <si>
    <t>🌀</t>
  </si>
  <si>
    <t>:dagger:</t>
  </si>
  <si>
    <t>🗡</t>
  </si>
  <si>
    <t>:dango:</t>
  </si>
  <si>
    <t>🍡</t>
  </si>
  <si>
    <t>bánh dango</t>
  </si>
  <si>
    <t>:dark_skin_tone:</t>
  </si>
  <si>
    <t>🏿</t>
  </si>
  <si>
    <t>:dashing_away:</t>
  </si>
  <si>
    <t>💨</t>
  </si>
  <si>
    <t>lướt đi</t>
  </si>
  <si>
    <t>:deaf_man:</t>
  </si>
  <si>
    <t>🧏‍♂️</t>
  </si>
  <si>
    <t>:deaf_man_dark_skin_tone:</t>
  </si>
  <si>
    <t>🧏🏿‍♂️</t>
  </si>
  <si>
    <t>Người đàn ông điếc màu da sẫm</t>
  </si>
  <si>
    <t>:deaf_man_light_skin_tone:</t>
  </si>
  <si>
    <t>🧏🏻‍♂️</t>
  </si>
  <si>
    <t>người đàn ông điếc màu da sáng</t>
  </si>
  <si>
    <t>:deaf_man_medium-dark_skin_tone:</t>
  </si>
  <si>
    <t>🧏🏾‍♂️</t>
  </si>
  <si>
    <t>Người đàn ông điếc màu da sẫm vừa</t>
  </si>
  <si>
    <t>:deaf_man_medium-light_skin_tone:</t>
  </si>
  <si>
    <t>🧏🏼‍♂️</t>
  </si>
  <si>
    <t>Người đàn ông điếc màu da sáng vừa</t>
  </si>
  <si>
    <t>:deaf_man_medium_skin_tone:</t>
  </si>
  <si>
    <t>🧏🏽‍♂️</t>
  </si>
  <si>
    <t>Người đàn ông điếc màu da thường</t>
  </si>
  <si>
    <t>:deaf_person:</t>
  </si>
  <si>
    <t>🧏</t>
  </si>
  <si>
    <t>:deaf_person_dark_skin_tone:</t>
  </si>
  <si>
    <t>🧏🏿</t>
  </si>
  <si>
    <t>Người điếc màu da sẫm</t>
  </si>
  <si>
    <t>:deaf_person_light_skin_tone:</t>
  </si>
  <si>
    <t>🧏🏻</t>
  </si>
  <si>
    <t>người điếc màu da sáng</t>
  </si>
  <si>
    <t>:deaf_person_medium-dark_skin_tone:</t>
  </si>
  <si>
    <t>🧏🏾</t>
  </si>
  <si>
    <t>Người điếc màu da sẫm vừa</t>
  </si>
  <si>
    <t>:deaf_person_medium-light_skin_tone:</t>
  </si>
  <si>
    <t>🧏🏼</t>
  </si>
  <si>
    <t>Người điếc màu da sáng vừa</t>
  </si>
  <si>
    <t>:deaf_person_medium_skin_tone:</t>
  </si>
  <si>
    <t>🧏🏽</t>
  </si>
  <si>
    <t>Người điếc màu da thường</t>
  </si>
  <si>
    <t>:deaf_woman:</t>
  </si>
  <si>
    <t>🧏‍♀️</t>
  </si>
  <si>
    <t>:deaf_woman_dark_skin_tone:</t>
  </si>
  <si>
    <t>🧏🏿‍♀️</t>
  </si>
  <si>
    <t>Người phụ nữ điếc màu da sẫm</t>
  </si>
  <si>
    <t>:deaf_woman_light_skin_tone:</t>
  </si>
  <si>
    <t>🧏🏻‍♀️</t>
  </si>
  <si>
    <t>người phụ nữ điếc màu da sáng</t>
  </si>
  <si>
    <t>:deaf_woman_medium-dark_skin_tone:</t>
  </si>
  <si>
    <t>🧏🏾‍♀️</t>
  </si>
  <si>
    <t>Người phụ nữ điếc màu da sẫm vừa</t>
  </si>
  <si>
    <t>:deaf_woman_medium-light_skin_tone:</t>
  </si>
  <si>
    <t>🧏🏼‍♀️</t>
  </si>
  <si>
    <t>Người phụ nữ điếc màu da sáng vừa</t>
  </si>
  <si>
    <t>:deaf_woman_medium_skin_tone:</t>
  </si>
  <si>
    <t>🧏🏽‍♀️</t>
  </si>
  <si>
    <t>Người phụ nữ điếc màu da thường</t>
  </si>
  <si>
    <t>:deciduous_tree:</t>
  </si>
  <si>
    <t>🌳</t>
  </si>
  <si>
    <t>:deer:</t>
  </si>
  <si>
    <t>🦌</t>
  </si>
  <si>
    <t>:delivery_truck:</t>
  </si>
  <si>
    <t>🚚</t>
  </si>
  <si>
    <t>:department_store:</t>
  </si>
  <si>
    <t>🏬</t>
  </si>
  <si>
    <t>:derelict_house:</t>
  </si>
  <si>
    <t>🏚</t>
  </si>
  <si>
    <t>:desert:</t>
  </si>
  <si>
    <t>🏜</t>
  </si>
  <si>
    <t>:desert_island:</t>
  </si>
  <si>
    <t>🏝</t>
  </si>
  <si>
    <t>:desktop_computer:</t>
  </si>
  <si>
    <t>🖥</t>
  </si>
  <si>
    <t>máy tính bàn</t>
  </si>
  <si>
    <t>:detective:</t>
  </si>
  <si>
    <t>🕵</t>
  </si>
  <si>
    <t>:detective_dark_skin_tone:</t>
  </si>
  <si>
    <t>🕵🏿</t>
  </si>
  <si>
    <t>thám tử màu da sẫm</t>
  </si>
  <si>
    <t>:detective_light_skin_tone:</t>
  </si>
  <si>
    <t>🕵🏻</t>
  </si>
  <si>
    <t>thám tử màu da sáng</t>
  </si>
  <si>
    <t>:detective_medium-dark_skin_tone:</t>
  </si>
  <si>
    <t>🕵🏾</t>
  </si>
  <si>
    <t>thám tử màu da sẫm vừa</t>
  </si>
  <si>
    <t>:detective_medium-light_skin_tone:</t>
  </si>
  <si>
    <t>🕵🏼</t>
  </si>
  <si>
    <t>thám tử màu da sáng vừa</t>
  </si>
  <si>
    <t>:detective_medium_skin_tone:</t>
  </si>
  <si>
    <t>🕵🏽</t>
  </si>
  <si>
    <t>thám tử màu da thường</t>
  </si>
  <si>
    <t>:diamond_suit:</t>
  </si>
  <si>
    <t>♦</t>
  </si>
  <si>
    <t>bộ đồ kim cương</t>
  </si>
  <si>
    <t>:diamond_with_a_dot:</t>
  </si>
  <si>
    <t>💠</t>
  </si>
  <si>
    <t>:dim_button:</t>
  </si>
  <si>
    <t>🔅</t>
  </si>
  <si>
    <t>nút lờ mờ</t>
  </si>
  <si>
    <t>:disappointed_face:</t>
  </si>
  <si>
    <t>😞</t>
  </si>
  <si>
    <t>:disguised_face:</t>
  </si>
  <si>
    <t>🥸</t>
  </si>
  <si>
    <t>:divide:</t>
  </si>
  <si>
    <t>➗</t>
  </si>
  <si>
    <t>:diving_mask:</t>
  </si>
  <si>
    <t>🤿</t>
  </si>
  <si>
    <t>:diya_lamp:</t>
  </si>
  <si>
    <t>🪔</t>
  </si>
  <si>
    <t>đèn diya</t>
  </si>
  <si>
    <t>:dizzy:</t>
  </si>
  <si>
    <t>💫</t>
  </si>
  <si>
    <t>:dna:</t>
  </si>
  <si>
    <t>🧬</t>
  </si>
  <si>
    <t>dna</t>
  </si>
  <si>
    <t>:dodo:</t>
  </si>
  <si>
    <t>🦤</t>
  </si>
  <si>
    <t>dodo</t>
  </si>
  <si>
    <t>:dog:</t>
  </si>
  <si>
    <t>🐕</t>
  </si>
  <si>
    <t>:dog_face:</t>
  </si>
  <si>
    <t>🐶</t>
  </si>
  <si>
    <t>khuôn mặt chó</t>
  </si>
  <si>
    <t>:dollar_banknote:</t>
  </si>
  <si>
    <t>💵</t>
  </si>
  <si>
    <t>:dolphin:</t>
  </si>
  <si>
    <t>🐬</t>
  </si>
  <si>
    <t>:door:</t>
  </si>
  <si>
    <t>🚪</t>
  </si>
  <si>
    <t>:dotted_six-pointed_star:</t>
  </si>
  <si>
    <t>🔯</t>
  </si>
  <si>
    <t>:double_curly_loop:</t>
  </si>
  <si>
    <t>➿</t>
  </si>
  <si>
    <t>:double_exclamation_mark:</t>
  </si>
  <si>
    <t>‼</t>
  </si>
  <si>
    <t>:doughnut:</t>
  </si>
  <si>
    <t>🍩</t>
  </si>
  <si>
    <t>:dove:</t>
  </si>
  <si>
    <t>🕊</t>
  </si>
  <si>
    <t>chim bồ câu</t>
  </si>
  <si>
    <t>:down-left_arrow:</t>
  </si>
  <si>
    <t>↙</t>
  </si>
  <si>
    <t>:down-right_arrow:</t>
  </si>
  <si>
    <t>↘</t>
  </si>
  <si>
    <t>mũi tên xuống phải</t>
  </si>
  <si>
    <t>:down_arrow:</t>
  </si>
  <si>
    <t>⬇</t>
  </si>
  <si>
    <t>:downcast_face_with_sweat:</t>
  </si>
  <si>
    <t>😓</t>
  </si>
  <si>
    <t>khuôn mặt u ám với mồ hôi</t>
  </si>
  <si>
    <t>:downwards_button:</t>
  </si>
  <si>
    <t>🔽</t>
  </si>
  <si>
    <t>:dragon:</t>
  </si>
  <si>
    <t>🐉</t>
  </si>
  <si>
    <t>rồng</t>
  </si>
  <si>
    <t>:dragon_face:</t>
  </si>
  <si>
    <t>🐲</t>
  </si>
  <si>
    <t>:dress:</t>
  </si>
  <si>
    <t>👗</t>
  </si>
  <si>
    <t>:drooling_face:</t>
  </si>
  <si>
    <t>🤤</t>
  </si>
  <si>
    <t>:drop_of_blood:</t>
  </si>
  <si>
    <t>🩸</t>
  </si>
  <si>
    <t>:droplet:</t>
  </si>
  <si>
    <t>💧</t>
  </si>
  <si>
    <t>:drum:</t>
  </si>
  <si>
    <t>🥁</t>
  </si>
  <si>
    <t>:duck:</t>
  </si>
  <si>
    <t>🦆</t>
  </si>
  <si>
    <t>:dumpling:</t>
  </si>
  <si>
    <t>🥟</t>
  </si>
  <si>
    <t>:dvd:</t>
  </si>
  <si>
    <t>📀</t>
  </si>
  <si>
    <t>:e-mail:</t>
  </si>
  <si>
    <t>📧</t>
  </si>
  <si>
    <t>:eagle:</t>
  </si>
  <si>
    <t>🦅</t>
  </si>
  <si>
    <t>:ear:</t>
  </si>
  <si>
    <t>👂</t>
  </si>
  <si>
    <t>:ear_dark_skin_tone:</t>
  </si>
  <si>
    <t>👂🏿</t>
  </si>
  <si>
    <t>tai màu da sẫm</t>
  </si>
  <si>
    <t>:ear_light_skin_tone:</t>
  </si>
  <si>
    <t>👂🏻</t>
  </si>
  <si>
    <t>tai điếc màu da sáng</t>
  </si>
  <si>
    <t>:ear_medium-dark_skin_tone:</t>
  </si>
  <si>
    <t>👂🏾</t>
  </si>
  <si>
    <t>tai điếc màu da sẫm vừa</t>
  </si>
  <si>
    <t>:ear_medium-light_skin_tone:</t>
  </si>
  <si>
    <t>👂🏼</t>
  </si>
  <si>
    <t>tai điếc màu da sáng vừa</t>
  </si>
  <si>
    <t>:ear_medium_skin_tone:</t>
  </si>
  <si>
    <t>👂🏽</t>
  </si>
  <si>
    <t>tai điếc màu da thường</t>
  </si>
  <si>
    <t>:ear_of_corn:</t>
  </si>
  <si>
    <t>🌽</t>
  </si>
  <si>
    <t>bắp ngô</t>
  </si>
  <si>
    <t>:ear_with_hearing_aid:</t>
  </si>
  <si>
    <t>🦻</t>
  </si>
  <si>
    <t>:ear_with_hearing_aid_dark_skin_tone:</t>
  </si>
  <si>
    <t>🦻🏿</t>
  </si>
  <si>
    <t>tai màu da sẫm với máy trợ thính</t>
  </si>
  <si>
    <t>:ear_with_hearing_aid_light_skin_tone:</t>
  </si>
  <si>
    <t>🦻🏻</t>
  </si>
  <si>
    <t>tai điếc màu da sáng với máy trợ thính</t>
  </si>
  <si>
    <t>:ear_with_hearing_aid_medium-dark_skin_tone:</t>
  </si>
  <si>
    <t>🦻🏾</t>
  </si>
  <si>
    <t>tai điếc màu da sẫm vừa với máy trợ thính</t>
  </si>
  <si>
    <t>:ear_with_hearing_aid_medium-light_skin_tone:</t>
  </si>
  <si>
    <t>🦻🏼</t>
  </si>
  <si>
    <t>tai điếc màu da sáng vừa với máy trợ thính</t>
  </si>
  <si>
    <t>:ear_with_hearing_aid_medium_skin_tone:</t>
  </si>
  <si>
    <t>🦻🏽</t>
  </si>
  <si>
    <t>tai điếc màu da thường với máy trợ thính</t>
  </si>
  <si>
    <t>:egg:</t>
  </si>
  <si>
    <t>🥚</t>
  </si>
  <si>
    <t>:eggplant:</t>
  </si>
  <si>
    <t>🍆</t>
  </si>
  <si>
    <t>:eight-pointed_star:</t>
  </si>
  <si>
    <t>✴</t>
  </si>
  <si>
    <t>:eight-spoked_asterisk:</t>
  </si>
  <si>
    <t>✳</t>
  </si>
  <si>
    <t>dấu hoa thị tám cánh</t>
  </si>
  <si>
    <t>:eight-thirty:</t>
  </si>
  <si>
    <t>🕣</t>
  </si>
  <si>
    <t>:eight_o’clock:</t>
  </si>
  <si>
    <t>🕗</t>
  </si>
  <si>
    <t>:eject_button:</t>
  </si>
  <si>
    <t>⏏</t>
  </si>
  <si>
    <t>:electric_plug:</t>
  </si>
  <si>
    <t>🔌</t>
  </si>
  <si>
    <t>phích cắm điện</t>
  </si>
  <si>
    <t>:elephant:</t>
  </si>
  <si>
    <t>🐘</t>
  </si>
  <si>
    <t>:elevator:</t>
  </si>
  <si>
    <t>🛗</t>
  </si>
  <si>
    <t>:eleven-thirty:</t>
  </si>
  <si>
    <t>🕦</t>
  </si>
  <si>
    <t>:eleven_o’clock:</t>
  </si>
  <si>
    <t>🕚</t>
  </si>
  <si>
    <t>:elf:</t>
  </si>
  <si>
    <t>🧝</t>
  </si>
  <si>
    <t>elf</t>
  </si>
  <si>
    <t>:elf_dark_skin_tone:</t>
  </si>
  <si>
    <t>🧝🏿</t>
  </si>
  <si>
    <t>elf màu da sẫm</t>
  </si>
  <si>
    <t>:elf_light_skin_tone:</t>
  </si>
  <si>
    <t>🧝🏻</t>
  </si>
  <si>
    <t>elf màu da sáng</t>
  </si>
  <si>
    <t>:elf_medium-dark_skin_tone:</t>
  </si>
  <si>
    <t>🧝🏾</t>
  </si>
  <si>
    <t>elf màu da sẫm vừa</t>
  </si>
  <si>
    <t>:elf_medium-light_skin_tone:</t>
  </si>
  <si>
    <t>🧝🏼</t>
  </si>
  <si>
    <t>elf màu da sáng vừa</t>
  </si>
  <si>
    <t>:elf_medium_skin_tone:</t>
  </si>
  <si>
    <t>🧝🏽</t>
  </si>
  <si>
    <t>elf màu da thường</t>
  </si>
  <si>
    <t>:envelope:</t>
  </si>
  <si>
    <t>✉</t>
  </si>
  <si>
    <t>:envelope_with_arrow:</t>
  </si>
  <si>
    <t>📩</t>
  </si>
  <si>
    <t>:euro_banknote:</t>
  </si>
  <si>
    <t>💶</t>
  </si>
  <si>
    <t>tiền giấy euro</t>
  </si>
  <si>
    <t>:evergreen_tree:</t>
  </si>
  <si>
    <t>🌲</t>
  </si>
  <si>
    <t>:ewe:</t>
  </si>
  <si>
    <t>🐑</t>
  </si>
  <si>
    <t>:exclamation_question_mark:</t>
  </si>
  <si>
    <t>⁉</t>
  </si>
  <si>
    <t>dấu chấm than hỏi</t>
  </si>
  <si>
    <t>:exploding_head:</t>
  </si>
  <si>
    <t>🤯</t>
  </si>
  <si>
    <t>:expressionless_face:</t>
  </si>
  <si>
    <t>😑</t>
  </si>
  <si>
    <t>:eye:</t>
  </si>
  <si>
    <t>👁</t>
  </si>
  <si>
    <t>:eye_in_speech_bubble:</t>
  </si>
  <si>
    <t>👁️‍🗨️</t>
  </si>
  <si>
    <t>:eyes:</t>
  </si>
  <si>
    <t>👀</t>
  </si>
  <si>
    <t>:face_blowing_a_kiss:</t>
  </si>
  <si>
    <t>😘</t>
  </si>
  <si>
    <t>:face_exhaling:</t>
  </si>
  <si>
    <t>😮‍💨</t>
  </si>
  <si>
    <t>mặt thở ra</t>
  </si>
  <si>
    <t>:face_in_clouds:</t>
  </si>
  <si>
    <t>😶‍🌫️</t>
  </si>
  <si>
    <t>mặt trong đám mây</t>
  </si>
  <si>
    <t>:face_savoring_food:</t>
  </si>
  <si>
    <t>😋</t>
  </si>
  <si>
    <t>:face_screaming_in_fear:</t>
  </si>
  <si>
    <t>😱</t>
  </si>
  <si>
    <t>mặt la hét trong sợ hãi</t>
  </si>
  <si>
    <t>:face_vomiting:</t>
  </si>
  <si>
    <t>🤮</t>
  </si>
  <si>
    <t>mặt nôn mửa</t>
  </si>
  <si>
    <t>:face_with_hand_over_mouth:</t>
  </si>
  <si>
    <t>🤭</t>
  </si>
  <si>
    <t>:face_with_head-bandage:</t>
  </si>
  <si>
    <t>🤕</t>
  </si>
  <si>
    <t>mặt với băng đầu</t>
  </si>
  <si>
    <t>:face_with_medical_mask:</t>
  </si>
  <si>
    <t>😷</t>
  </si>
  <si>
    <t>:face_with_monocle:</t>
  </si>
  <si>
    <t>🧐</t>
  </si>
  <si>
    <t>mặt với kính một mắt</t>
  </si>
  <si>
    <t>:face_with_open_mouth:</t>
  </si>
  <si>
    <t>😮</t>
  </si>
  <si>
    <t>:face_with_raised_eyebrow:</t>
  </si>
  <si>
    <t>🤨</t>
  </si>
  <si>
    <t>mặt với lông mày nhếch lên</t>
  </si>
  <si>
    <t>:face_with_rolling_eyes:</t>
  </si>
  <si>
    <t>🙄</t>
  </si>
  <si>
    <t>:face_with_spiral_eyes:</t>
  </si>
  <si>
    <t>😵‍💫</t>
  </si>
  <si>
    <t>:face_with_steam_from_nose:</t>
  </si>
  <si>
    <t>😤</t>
  </si>
  <si>
    <t>mặt với hơi nước từ mũi</t>
  </si>
  <si>
    <t>:face_with_symbols_on_mouth:</t>
  </si>
  <si>
    <t>🤬</t>
  </si>
  <si>
    <t>:face_with_tears_of_joy:</t>
  </si>
  <si>
    <t>😂</t>
  </si>
  <si>
    <t>mặt với nước mắt vui sướng</t>
  </si>
  <si>
    <t>:face_with_thermometer:</t>
  </si>
  <si>
    <t>🤒</t>
  </si>
  <si>
    <t>mặt với nhiệt kế</t>
  </si>
  <si>
    <t>:face_with_tongue:</t>
  </si>
  <si>
    <t>😛</t>
  </si>
  <si>
    <t>mặt với lưỡi</t>
  </si>
  <si>
    <t>:face_without_mouth:</t>
  </si>
  <si>
    <t>😶</t>
  </si>
  <si>
    <t>:factory:</t>
  </si>
  <si>
    <t>🏭</t>
  </si>
  <si>
    <t>:factory_worker:</t>
  </si>
  <si>
    <t>🧑‍🏭</t>
  </si>
  <si>
    <t>:factory_worker_dark_skin_tone:</t>
  </si>
  <si>
    <t>🧑🏿‍🏭</t>
  </si>
  <si>
    <t>công nhân nhà máy màu da sẫm</t>
  </si>
  <si>
    <t>:factory_worker_light_skin_tone:</t>
  </si>
  <si>
    <t>🧑🏻‍🏭</t>
  </si>
  <si>
    <t>công nhân nhà máy màu da sáng</t>
  </si>
  <si>
    <t>:factory_worker_medium-dark_skin_tone:</t>
  </si>
  <si>
    <t>🧑🏾‍🏭</t>
  </si>
  <si>
    <t>công nhân nhà máy màu da sẫm vừa</t>
  </si>
  <si>
    <t>:factory_worker_medium-light_skin_tone:</t>
  </si>
  <si>
    <t>🧑🏼‍🏭</t>
  </si>
  <si>
    <t>công nhân nhà máy màu da sáng vừa</t>
  </si>
  <si>
    <t>:factory_worker_medium_skin_tone:</t>
  </si>
  <si>
    <t>🧑🏽‍🏭</t>
  </si>
  <si>
    <t>công nhân nhà máy màu da thường</t>
  </si>
  <si>
    <t>:fairy:</t>
  </si>
  <si>
    <t>🧚</t>
  </si>
  <si>
    <t>:fairy_dark_skin_tone:</t>
  </si>
  <si>
    <t>🧚🏿</t>
  </si>
  <si>
    <t>nàng tiên nhà máy màu da sẫm</t>
  </si>
  <si>
    <t>:fairy_light_skin_tone:</t>
  </si>
  <si>
    <t>🧚🏻</t>
  </si>
  <si>
    <t>nàng tiên nhà máy màu da sáng</t>
  </si>
  <si>
    <t>:fairy_medium-dark_skin_tone:</t>
  </si>
  <si>
    <t>🧚🏾</t>
  </si>
  <si>
    <t>nàng tiên nhà máy màu da sẫm vừa</t>
  </si>
  <si>
    <t>:fairy_medium-light_skin_tone:</t>
  </si>
  <si>
    <t>🧚🏼</t>
  </si>
  <si>
    <t>nàng tiên nhà máy màu da sáng vừa</t>
  </si>
  <si>
    <t>:fairy_medium_skin_tone:</t>
  </si>
  <si>
    <t>🧚🏽</t>
  </si>
  <si>
    <t>nàng tiên nhà máy màu da thường</t>
  </si>
  <si>
    <t>:falafel:</t>
  </si>
  <si>
    <t>🧆</t>
  </si>
  <si>
    <t>viên bột đậu rán</t>
  </si>
  <si>
    <t>:fallen_leaf:</t>
  </si>
  <si>
    <t>🍂</t>
  </si>
  <si>
    <t>lá rơi</t>
  </si>
  <si>
    <t>:family:</t>
  </si>
  <si>
    <t>👪</t>
  </si>
  <si>
    <t>:family_man_boy:</t>
  </si>
  <si>
    <t>👨‍👦</t>
  </si>
  <si>
    <t>gia đình có đàn ông và bé trai</t>
  </si>
  <si>
    <t>:family_man_boy_boy:</t>
  </si>
  <si>
    <t>👨‍👦‍👦</t>
  </si>
  <si>
    <t>gia đình có đàn ông và hai bé trai</t>
  </si>
  <si>
    <t>:family_man_girl:</t>
  </si>
  <si>
    <t>👨‍👧</t>
  </si>
  <si>
    <t>gia đình có đàn ông và bé gái</t>
  </si>
  <si>
    <t>:family_man_girl_boy:</t>
  </si>
  <si>
    <t>👨‍👧‍👦</t>
  </si>
  <si>
    <t>gia định có đàn ông bé gái và bé trai</t>
  </si>
  <si>
    <t>:family_man_girl_girl:</t>
  </si>
  <si>
    <t>👨‍👧‍👧</t>
  </si>
  <si>
    <t>gia đình có đàn ông và hai phụ nữ</t>
  </si>
  <si>
    <t>:family_man_man_boy:</t>
  </si>
  <si>
    <t>👨‍👨‍👦</t>
  </si>
  <si>
    <t>gia đình có hai đàn ông và bé trai</t>
  </si>
  <si>
    <t>:family_man_man_boy_boy:</t>
  </si>
  <si>
    <t>👨‍👨‍👦‍👦</t>
  </si>
  <si>
    <t>gia đình có hai đàn ông và hai bé trai</t>
  </si>
  <si>
    <t>:family_man_man_girl:</t>
  </si>
  <si>
    <t>👨‍👨‍👧</t>
  </si>
  <si>
    <t>gia đình có hai đàn ông và bé gái</t>
  </si>
  <si>
    <t>:family_man_man_girl_boy:</t>
  </si>
  <si>
    <t>👨‍👨‍👧‍👦</t>
  </si>
  <si>
    <t>gia đình có hai đàn ông bé gái và bé trai</t>
  </si>
  <si>
    <t>:family_man_man_girl_girl:</t>
  </si>
  <si>
    <t>👨‍👨‍👧‍👧</t>
  </si>
  <si>
    <t>gia đình có hai đàn ông và hai bé gái</t>
  </si>
  <si>
    <t>:family_man_woman_boy:</t>
  </si>
  <si>
    <t>👨‍👩‍👦</t>
  </si>
  <si>
    <t>gia đình có đàn ông phụ nữ và bé trai</t>
  </si>
  <si>
    <t>:family_man_woman_boy_boy:</t>
  </si>
  <si>
    <t>👨‍👩‍👦‍👦</t>
  </si>
  <si>
    <t>gia đình có đàn ông phụ nữ bé trai và bé gái</t>
  </si>
  <si>
    <t>:family_man_woman_girl:</t>
  </si>
  <si>
    <t>👨‍👩‍👧</t>
  </si>
  <si>
    <t>gia đình có đàn ông phụ nữ và bé gái</t>
  </si>
  <si>
    <t>:family_man_woman_girl_boy:</t>
  </si>
  <si>
    <t>👨‍👩‍👧‍👦</t>
  </si>
  <si>
    <t>gia đình có đàn ông phụ nữ bé gái và bé trai</t>
  </si>
  <si>
    <t>:family_man_woman_girl_girl:</t>
  </si>
  <si>
    <t>👨‍👩‍👧‍👧</t>
  </si>
  <si>
    <t>gia đình có đàn ông phụ nữ và hai bé gái</t>
  </si>
  <si>
    <t>:family_woman_boy:</t>
  </si>
  <si>
    <t>👩‍👦</t>
  </si>
  <si>
    <t>gia đình có phụ nữ và bé trai</t>
  </si>
  <si>
    <t>:family_woman_boy_boy:</t>
  </si>
  <si>
    <t>👩‍👦‍👦</t>
  </si>
  <si>
    <t>gia đình có phụ nữ và hai bé trai</t>
  </si>
  <si>
    <t>:family_woman_girl:</t>
  </si>
  <si>
    <t>👩‍👧</t>
  </si>
  <si>
    <t>gia đình có phụ nữ và bé gái</t>
  </si>
  <si>
    <t>:family_woman_girl_boy:</t>
  </si>
  <si>
    <t>👩‍👧‍👦</t>
  </si>
  <si>
    <t>gia đình có phụ nữ bé gái và bé trai</t>
  </si>
  <si>
    <t>:family_woman_girl_girl:</t>
  </si>
  <si>
    <t>👩‍👧‍👧</t>
  </si>
  <si>
    <t>gia đình có phụ nữ và hai bé gái</t>
  </si>
  <si>
    <t>:family_woman_woman_boy:</t>
  </si>
  <si>
    <t>👩‍👩‍👦</t>
  </si>
  <si>
    <t>gia đình có hai phụ nữ và bé trai</t>
  </si>
  <si>
    <t>:family_woman_woman_boy_boy:</t>
  </si>
  <si>
    <t>👩‍👩‍👦‍👦</t>
  </si>
  <si>
    <t>gia đình có hai phụ nữ và hai bé trai</t>
  </si>
  <si>
    <t>:family_woman_woman_girl:</t>
  </si>
  <si>
    <t>👩‍👩‍👧</t>
  </si>
  <si>
    <t>gia đình có hai phụ nữ và bé gái</t>
  </si>
  <si>
    <t>:family_woman_woman_girl_boy:</t>
  </si>
  <si>
    <t>👩‍👩‍👧‍👦</t>
  </si>
  <si>
    <t>gia đình có hai phụ nữ bé gái và bé trai</t>
  </si>
  <si>
    <t>:family_woman_woman_girl_girl:</t>
  </si>
  <si>
    <t>👩‍👩‍👧‍👧</t>
  </si>
  <si>
    <t>gia đình có hai phụ nữ và hai bé gái</t>
  </si>
  <si>
    <t>:farmer:</t>
  </si>
  <si>
    <t>🧑‍🌾</t>
  </si>
  <si>
    <t>nông dân</t>
  </si>
  <si>
    <t>:farmer_dark_skin_tone:</t>
  </si>
  <si>
    <t>🧑🏿‍🌾</t>
  </si>
  <si>
    <t>nông dân màu da sẫm</t>
  </si>
  <si>
    <t>:farmer_light_skin_tone:</t>
  </si>
  <si>
    <t>🧑🏻‍🌾</t>
  </si>
  <si>
    <t>nông dân màu da sáng</t>
  </si>
  <si>
    <t>:farmer_medium-dark_skin_tone:</t>
  </si>
  <si>
    <t>🧑🏾‍🌾</t>
  </si>
  <si>
    <t>nông dân màu da sẫm vừa</t>
  </si>
  <si>
    <t>:farmer_medium-light_skin_tone:</t>
  </si>
  <si>
    <t>🧑🏼‍🌾</t>
  </si>
  <si>
    <t>nông dân màu da sáng vừa</t>
  </si>
  <si>
    <t>:farmer_medium_skin_tone:</t>
  </si>
  <si>
    <t>🧑🏽‍🌾</t>
  </si>
  <si>
    <t>nông dân màu da thường</t>
  </si>
  <si>
    <t>:fast-forward_button:</t>
  </si>
  <si>
    <t>⏩</t>
  </si>
  <si>
    <t>:fast_down_button:</t>
  </si>
  <si>
    <t>⏬</t>
  </si>
  <si>
    <t>:fast_reverse_button:</t>
  </si>
  <si>
    <t>⏪</t>
  </si>
  <si>
    <t>:fast_up_button:</t>
  </si>
  <si>
    <t>⏫</t>
  </si>
  <si>
    <t>:fax_machine:</t>
  </si>
  <si>
    <t>📠</t>
  </si>
  <si>
    <t>:fearful_face:</t>
  </si>
  <si>
    <t>😨</t>
  </si>
  <si>
    <t>:feather:</t>
  </si>
  <si>
    <t>🪶</t>
  </si>
  <si>
    <t>:female_sign:</t>
  </si>
  <si>
    <t>♀</t>
  </si>
  <si>
    <t>:ferris_wheel:</t>
  </si>
  <si>
    <t>🎡</t>
  </si>
  <si>
    <t>vòng đu quay</t>
  </si>
  <si>
    <t>:ferry:</t>
  </si>
  <si>
    <t>⛴</t>
  </si>
  <si>
    <t>:field_hockey:</t>
  </si>
  <si>
    <t>🏑</t>
  </si>
  <si>
    <t>:file_cabinet:</t>
  </si>
  <si>
    <t>🗄</t>
  </si>
  <si>
    <t>:file_folder:</t>
  </si>
  <si>
    <t>📁</t>
  </si>
  <si>
    <t>:film_frames:</t>
  </si>
  <si>
    <t>🎞</t>
  </si>
  <si>
    <t>:film_projector:</t>
  </si>
  <si>
    <t>📽</t>
  </si>
  <si>
    <t>:fire:</t>
  </si>
  <si>
    <t>🔥</t>
  </si>
  <si>
    <t>lửa</t>
  </si>
  <si>
    <t>:fire_engine:</t>
  </si>
  <si>
    <t>🚒</t>
  </si>
  <si>
    <t>:fire_extinguisher:</t>
  </si>
  <si>
    <t>🧯</t>
  </si>
  <si>
    <t>:firecracker:</t>
  </si>
  <si>
    <t>🧨</t>
  </si>
  <si>
    <t>pháo nổ</t>
  </si>
  <si>
    <t>:firefighter:</t>
  </si>
  <si>
    <t>🧑‍🚒</t>
  </si>
  <si>
    <t>:firefighter_dark_skin_tone:</t>
  </si>
  <si>
    <t>🧑🏿‍🚒</t>
  </si>
  <si>
    <t>lính cứu hỏa màu da sẫm</t>
  </si>
  <si>
    <t>:firefighter_light_skin_tone:</t>
  </si>
  <si>
    <t>🧑🏻‍🚒</t>
  </si>
  <si>
    <t>lính cứu hỏa màu da sáng</t>
  </si>
  <si>
    <t>:firefighter_medium-dark_skin_tone:</t>
  </si>
  <si>
    <t>🧑🏾‍🚒</t>
  </si>
  <si>
    <t>lính cứu hỏa màu da sẫm vừa</t>
  </si>
  <si>
    <t>:firefighter_medium-light_skin_tone:</t>
  </si>
  <si>
    <t>🧑🏼‍🚒</t>
  </si>
  <si>
    <t>lính cứu hỏa màu da sáng vừa</t>
  </si>
  <si>
    <t>:firefighter_medium_skin_tone:</t>
  </si>
  <si>
    <t>🧑🏽‍🚒</t>
  </si>
  <si>
    <t>lính cứu hỏa màu da thường</t>
  </si>
  <si>
    <t>:fireworks:</t>
  </si>
  <si>
    <t>🎆</t>
  </si>
  <si>
    <t>pháo hoa</t>
  </si>
  <si>
    <t>:first_quarter_moon:</t>
  </si>
  <si>
    <t>🌓</t>
  </si>
  <si>
    <t>:first_quarter_moon_face:</t>
  </si>
  <si>
    <t>🌛</t>
  </si>
  <si>
    <t>khuôn mặt mặt trăng quí đầu tiên</t>
  </si>
  <si>
    <t>:fish:</t>
  </si>
  <si>
    <t>🐟</t>
  </si>
  <si>
    <t>:fish_cake_with_swirl:</t>
  </si>
  <si>
    <t>🍥</t>
  </si>
  <si>
    <t>:fishing_pole:</t>
  </si>
  <si>
    <t>🎣</t>
  </si>
  <si>
    <t>:five-thirty:</t>
  </si>
  <si>
    <t>🕠</t>
  </si>
  <si>
    <t>:five_o’clock:</t>
  </si>
  <si>
    <t>🕔</t>
  </si>
  <si>
    <t>:flag_in_hole:</t>
  </si>
  <si>
    <t>⛳</t>
  </si>
  <si>
    <t>cờ trong lỗ</t>
  </si>
  <si>
    <t>:flamingo:</t>
  </si>
  <si>
    <t>🦩</t>
  </si>
  <si>
    <t>:flashlight:</t>
  </si>
  <si>
    <t>🔦</t>
  </si>
  <si>
    <t>:flat_shoe:</t>
  </si>
  <si>
    <t>🥿</t>
  </si>
  <si>
    <t>:flatbread:</t>
  </si>
  <si>
    <t>🫓</t>
  </si>
  <si>
    <t>:fleur-de-lis:</t>
  </si>
  <si>
    <t>⚜</t>
  </si>
  <si>
    <t>:flexed_biceps:</t>
  </si>
  <si>
    <t>💪</t>
  </si>
  <si>
    <t>:flexed_biceps_dark_skin_tone:</t>
  </si>
  <si>
    <t>💪🏿</t>
  </si>
  <si>
    <t>bắp tay uốn cong màu da sẫm</t>
  </si>
  <si>
    <t>:flexed_biceps_light_skin_tone:</t>
  </si>
  <si>
    <t>💪🏻</t>
  </si>
  <si>
    <t>bắp tay uốn cong màu da sáng</t>
  </si>
  <si>
    <t>:flexed_biceps_medium-dark_skin_tone:</t>
  </si>
  <si>
    <t>💪🏾</t>
  </si>
  <si>
    <t>bắp tay uốn cong màu da sẫm vừa</t>
  </si>
  <si>
    <t>:flexed_biceps_medium-light_skin_tone:</t>
  </si>
  <si>
    <t>💪🏼</t>
  </si>
  <si>
    <t>bắp tay uốn cong màu da sáng vừa</t>
  </si>
  <si>
    <t>:flexed_biceps_medium_skin_tone:</t>
  </si>
  <si>
    <t>💪🏽</t>
  </si>
  <si>
    <t>bắp tay uốn cong màu da thường</t>
  </si>
  <si>
    <t>:floppy_disk:</t>
  </si>
  <si>
    <t>💾</t>
  </si>
  <si>
    <t>:flower_playing_cards:</t>
  </si>
  <si>
    <t>🎴</t>
  </si>
  <si>
    <t>lá bài hoa</t>
  </si>
  <si>
    <t>:flushed_face:</t>
  </si>
  <si>
    <t>😳</t>
  </si>
  <si>
    <t>:fly:</t>
  </si>
  <si>
    <t>🪰</t>
  </si>
  <si>
    <t>:flying_disc:</t>
  </si>
  <si>
    <t>🥏</t>
  </si>
  <si>
    <t>:flying_saucer:</t>
  </si>
  <si>
    <t>🛸</t>
  </si>
  <si>
    <t>:fog:</t>
  </si>
  <si>
    <t>🌫</t>
  </si>
  <si>
    <t>:foggy:</t>
  </si>
  <si>
    <t>🌁</t>
  </si>
  <si>
    <t>:folded_hands:</t>
  </si>
  <si>
    <t>🙏</t>
  </si>
  <si>
    <t>chắp tay</t>
  </si>
  <si>
    <t>:folded_hands_dark_skin_tone:</t>
  </si>
  <si>
    <t>🙏🏿</t>
  </si>
  <si>
    <t>chắp tay màu da sẫm</t>
  </si>
  <si>
    <t>:folded_hands_light_skin_tone:</t>
  </si>
  <si>
    <t>🙏🏻</t>
  </si>
  <si>
    <t>chắp tay màu da sáng</t>
  </si>
  <si>
    <t>:folded_hands_medium-dark_skin_tone:</t>
  </si>
  <si>
    <t>🙏🏾</t>
  </si>
  <si>
    <t>chắp tay màu da sẫm vừa</t>
  </si>
  <si>
    <t>:folded_hands_medium-light_skin_tone:</t>
  </si>
  <si>
    <t>🙏🏼</t>
  </si>
  <si>
    <t>chắp tay màu da sáng vừa</t>
  </si>
  <si>
    <t>:folded_hands_medium_skin_tone:</t>
  </si>
  <si>
    <t>🙏🏽</t>
  </si>
  <si>
    <t>chắp tay màu da thường</t>
  </si>
  <si>
    <t>:fondue:</t>
  </si>
  <si>
    <t>🫕</t>
  </si>
  <si>
    <t>nước xốt</t>
  </si>
  <si>
    <t>:foot:</t>
  </si>
  <si>
    <t>🦶</t>
  </si>
  <si>
    <t>:foot_dark_skin_tone:</t>
  </si>
  <si>
    <t>🦶🏿</t>
  </si>
  <si>
    <t>Bàn Chân màu da sẫm</t>
  </si>
  <si>
    <t>:foot_light_skin_tone:</t>
  </si>
  <si>
    <t>🦶🏻</t>
  </si>
  <si>
    <t>Bàn Chân màu da sáng</t>
  </si>
  <si>
    <t>:foot_medium-dark_skin_tone:</t>
  </si>
  <si>
    <t>🦶🏾</t>
  </si>
  <si>
    <t>Bàn Chân màu da sẫm vừa</t>
  </si>
  <si>
    <t>:foot_medium-light_skin_tone:</t>
  </si>
  <si>
    <t>🦶🏼</t>
  </si>
  <si>
    <t>Bàn Chân màu da sáng vừa</t>
  </si>
  <si>
    <t>:foot_medium_skin_tone:</t>
  </si>
  <si>
    <t>🦶🏽</t>
  </si>
  <si>
    <t>Bàn Chân màu da thường</t>
  </si>
  <si>
    <t>:footprints:</t>
  </si>
  <si>
    <t>👣</t>
  </si>
  <si>
    <t>dấu chân</t>
  </si>
  <si>
    <t>:fork_and_knife:</t>
  </si>
  <si>
    <t>🍴</t>
  </si>
  <si>
    <t>:fork_and_knife_with_plate:</t>
  </si>
  <si>
    <t>🍽</t>
  </si>
  <si>
    <t>:fortune_cookie:</t>
  </si>
  <si>
    <t>🥠</t>
  </si>
  <si>
    <t>bánh may mắn</t>
  </si>
  <si>
    <t>:fountain:</t>
  </si>
  <si>
    <t>⛲</t>
  </si>
  <si>
    <t>:fountain_pen:</t>
  </si>
  <si>
    <t>🖋</t>
  </si>
  <si>
    <t>:four-thirty:</t>
  </si>
  <si>
    <t>🕟</t>
  </si>
  <si>
    <t>bốn giờ ba mươi</t>
  </si>
  <si>
    <t>:four_leaf_clover:</t>
  </si>
  <si>
    <t>🍀</t>
  </si>
  <si>
    <t>cỏ ba lá bốn lá</t>
  </si>
  <si>
    <t>:four_o’clock:</t>
  </si>
  <si>
    <t>🕓</t>
  </si>
  <si>
    <t>:fox:</t>
  </si>
  <si>
    <t>🦊</t>
  </si>
  <si>
    <t>:framed_picture:</t>
  </si>
  <si>
    <t>🖼</t>
  </si>
  <si>
    <t>:french_fries:</t>
  </si>
  <si>
    <t>🍟</t>
  </si>
  <si>
    <t>:fried_shrimp:</t>
  </si>
  <si>
    <t>🍤</t>
  </si>
  <si>
    <t>:frog:</t>
  </si>
  <si>
    <t>🐸</t>
  </si>
  <si>
    <t>:front-facing_baby_chick:</t>
  </si>
  <si>
    <t>🐥</t>
  </si>
  <si>
    <t>:frowning_face:</t>
  </si>
  <si>
    <t>☹</t>
  </si>
  <si>
    <t>:frowning_face_with_open_mouth:</t>
  </si>
  <si>
    <t>😦</t>
  </si>
  <si>
    <t>:fuel_pump:</t>
  </si>
  <si>
    <t>⛽</t>
  </si>
  <si>
    <t>:full_moon:</t>
  </si>
  <si>
    <t>🌕</t>
  </si>
  <si>
    <t>:full_moon_face:</t>
  </si>
  <si>
    <t>🌝</t>
  </si>
  <si>
    <t>:funeral_urn:</t>
  </si>
  <si>
    <t>⚱</t>
  </si>
  <si>
    <t>bình tang lễ</t>
  </si>
  <si>
    <t>:game_die:</t>
  </si>
  <si>
    <t>🎲</t>
  </si>
  <si>
    <t>xúc xắc</t>
  </si>
  <si>
    <t>:garlic:</t>
  </si>
  <si>
    <t>🧄</t>
  </si>
  <si>
    <t>:gear:</t>
  </si>
  <si>
    <t>⚙</t>
  </si>
  <si>
    <t>bàn đạp</t>
  </si>
  <si>
    <t>:gem_stone:</t>
  </si>
  <si>
    <t>💎</t>
  </si>
  <si>
    <t>:genie:</t>
  </si>
  <si>
    <t>🧞</t>
  </si>
  <si>
    <t>:ghost:</t>
  </si>
  <si>
    <t>👻</t>
  </si>
  <si>
    <t>:giraffe:</t>
  </si>
  <si>
    <t>🦒</t>
  </si>
  <si>
    <t>:girl:</t>
  </si>
  <si>
    <t>👧</t>
  </si>
  <si>
    <t>:girl_dark_skin_tone:</t>
  </si>
  <si>
    <t>👧🏿</t>
  </si>
  <si>
    <t>cô gái màu da sẫm</t>
  </si>
  <si>
    <t>:girl_light_skin_tone:</t>
  </si>
  <si>
    <t>👧🏻</t>
  </si>
  <si>
    <t>cô gái màu da sáng</t>
  </si>
  <si>
    <t>:girl_medium-dark_skin_tone:</t>
  </si>
  <si>
    <t>👧🏾</t>
  </si>
  <si>
    <t>cô gái màu da sẫm vừa</t>
  </si>
  <si>
    <t>:girl_medium-light_skin_tone:</t>
  </si>
  <si>
    <t>👧🏼</t>
  </si>
  <si>
    <t>cô gái màu da sáng vừa</t>
  </si>
  <si>
    <t>:girl_medium_skin_tone:</t>
  </si>
  <si>
    <t>👧🏽</t>
  </si>
  <si>
    <t>cô gái màu da thường</t>
  </si>
  <si>
    <t>:glass_of_milk:</t>
  </si>
  <si>
    <t>🥛</t>
  </si>
  <si>
    <t>:glasses:</t>
  </si>
  <si>
    <t>👓</t>
  </si>
  <si>
    <t>:globe_showing_Americas:</t>
  </si>
  <si>
    <t>🌎</t>
  </si>
  <si>
    <t>:globe_showing_Asia-Australia:</t>
  </si>
  <si>
    <t>🌏</t>
  </si>
  <si>
    <t>:globe_showing_Europe-Africa:</t>
  </si>
  <si>
    <t>🌍</t>
  </si>
  <si>
    <t>:globe_with_meridians:</t>
  </si>
  <si>
    <t>🌐</t>
  </si>
  <si>
    <t>:gloves:</t>
  </si>
  <si>
    <t>🧤</t>
  </si>
  <si>
    <t>:glowing_star:</t>
  </si>
  <si>
    <t>🌟</t>
  </si>
  <si>
    <t>ngôi sao phát sáng</t>
  </si>
  <si>
    <t>:goal_net:</t>
  </si>
  <si>
    <t>🥅</t>
  </si>
  <si>
    <t>gôn lưới</t>
  </si>
  <si>
    <t>:goat:</t>
  </si>
  <si>
    <t>🐐</t>
  </si>
  <si>
    <t>:goblin:</t>
  </si>
  <si>
    <t>👺</t>
  </si>
  <si>
    <t>:goggles:</t>
  </si>
  <si>
    <t>🥽</t>
  </si>
  <si>
    <t>:gorilla:</t>
  </si>
  <si>
    <t>🦍</t>
  </si>
  <si>
    <t>:graduation_cap:</t>
  </si>
  <si>
    <t>🎓</t>
  </si>
  <si>
    <t>:grapes:</t>
  </si>
  <si>
    <t>🍇</t>
  </si>
  <si>
    <t>:green_apple:</t>
  </si>
  <si>
    <t>🍏</t>
  </si>
  <si>
    <t>:green_book:</t>
  </si>
  <si>
    <t>📗</t>
  </si>
  <si>
    <t>:green_circle:</t>
  </si>
  <si>
    <t>🟢</t>
  </si>
  <si>
    <t>:green_heart:</t>
  </si>
  <si>
    <t>💚</t>
  </si>
  <si>
    <t>:green_salad:</t>
  </si>
  <si>
    <t>🥗</t>
  </si>
  <si>
    <t>:green_square:</t>
  </si>
  <si>
    <t>🟩</t>
  </si>
  <si>
    <t>hình vuông xanh</t>
  </si>
  <si>
    <t>:grimacing_face:</t>
  </si>
  <si>
    <t>😬</t>
  </si>
  <si>
    <t>:grinning_cat:</t>
  </si>
  <si>
    <t>😺</t>
  </si>
  <si>
    <t>mèo cười toa toét</t>
  </si>
  <si>
    <t>:grinning_cat_with_smiling_eyes:</t>
  </si>
  <si>
    <t>😸</t>
  </si>
  <si>
    <t>mèo cười toa toét với đôi mắt mỉm cười</t>
  </si>
  <si>
    <t>:grinning_face:</t>
  </si>
  <si>
    <t>😀</t>
  </si>
  <si>
    <t>:grinning_face_with_big_eyes:</t>
  </si>
  <si>
    <t>😃</t>
  </si>
  <si>
    <t>:grinning_face_with_smiling_eyes:</t>
  </si>
  <si>
    <t>😄</t>
  </si>
  <si>
    <t>khuôn mặt cười toe toét với đôi mắt mỉm cười</t>
  </si>
  <si>
    <t>:grinning_face_with_sweat:</t>
  </si>
  <si>
    <t>😅</t>
  </si>
  <si>
    <t>:grinning_squinting_face:</t>
  </si>
  <si>
    <t>😆</t>
  </si>
  <si>
    <t>mặt nheo mắt cười toa toét</t>
  </si>
  <si>
    <t>:growing_heart:</t>
  </si>
  <si>
    <t>💗</t>
  </si>
  <si>
    <t>trái tim bành trướng</t>
  </si>
  <si>
    <t>:guard:</t>
  </si>
  <si>
    <t>💂</t>
  </si>
  <si>
    <t>:guard_dark_skin_tone:</t>
  </si>
  <si>
    <t>💂🏿</t>
  </si>
  <si>
    <t>bảo vệ màu da sẫm</t>
  </si>
  <si>
    <t>:guard_light_skin_tone:</t>
  </si>
  <si>
    <t>💂🏻</t>
  </si>
  <si>
    <t>bảo vệ màu da sáng</t>
  </si>
  <si>
    <t>:guard_medium-dark_skin_tone:</t>
  </si>
  <si>
    <t>💂🏾</t>
  </si>
  <si>
    <t>bảo vệ màu da sẫm vừa</t>
  </si>
  <si>
    <t>:guard_medium-light_skin_tone:</t>
  </si>
  <si>
    <t>💂🏼</t>
  </si>
  <si>
    <t>bảo vệ màu da sáng vừa</t>
  </si>
  <si>
    <t>:guard_medium_skin_tone:</t>
  </si>
  <si>
    <t>💂🏽</t>
  </si>
  <si>
    <t>bảo vệ màu da thường</t>
  </si>
  <si>
    <t>:guide_dog:</t>
  </si>
  <si>
    <t>🦮</t>
  </si>
  <si>
    <t>:guitar:</t>
  </si>
  <si>
    <t>🎸</t>
  </si>
  <si>
    <t>:hamburger:</t>
  </si>
  <si>
    <t>🍔</t>
  </si>
  <si>
    <t>:hammer:</t>
  </si>
  <si>
    <t>🔨</t>
  </si>
  <si>
    <t>:hammer_and_pick:</t>
  </si>
  <si>
    <t>⚒</t>
  </si>
  <si>
    <t>búa và cuốc</t>
  </si>
  <si>
    <t>:hammer_and_wrench:</t>
  </si>
  <si>
    <t>🛠</t>
  </si>
  <si>
    <t>:hamster:</t>
  </si>
  <si>
    <t>🐹</t>
  </si>
  <si>
    <t>chuột hamster</t>
  </si>
  <si>
    <t>:hand_with_fingers_splayed:</t>
  </si>
  <si>
    <t>🖐</t>
  </si>
  <si>
    <t>bàn tay với ngón tay xoè ra</t>
  </si>
  <si>
    <t>:hand_with_fingers_splayed_dark_skin_tone:</t>
  </si>
  <si>
    <t>🖐🏿</t>
  </si>
  <si>
    <t>bàn tay với ngón tay xoè ra màu da sẫm</t>
  </si>
  <si>
    <t>:hand_with_fingers_splayed_light_skin_tone:</t>
  </si>
  <si>
    <t>🖐🏻</t>
  </si>
  <si>
    <t>bàn tay với ngón tay xoè ra màu da sáng</t>
  </si>
  <si>
    <t>:hand_with_fingers_splayed_medium-dark_skin_tone:</t>
  </si>
  <si>
    <t>🖐🏾</t>
  </si>
  <si>
    <t>bàn tay với ngón tay xoè ra màu da sẫm vừa</t>
  </si>
  <si>
    <t>:hand_with_fingers_splayed_medium-light_skin_tone:</t>
  </si>
  <si>
    <t>🖐🏼</t>
  </si>
  <si>
    <t>bàn tay với ngón tay xoè ra màu da sáng vừa</t>
  </si>
  <si>
    <t>:hand_with_fingers_splayed_medium_skin_tone:</t>
  </si>
  <si>
    <t>🖐🏽</t>
  </si>
  <si>
    <t>bàn tay với ngón tay xoè ra màu da thường</t>
  </si>
  <si>
    <t>:handbag:</t>
  </si>
  <si>
    <t>👜</t>
  </si>
  <si>
    <t>:handshake:</t>
  </si>
  <si>
    <t>🤝</t>
  </si>
  <si>
    <t>:hatching_chick:</t>
  </si>
  <si>
    <t>🐣</t>
  </si>
  <si>
    <t>gà nở</t>
  </si>
  <si>
    <t>:headphone:</t>
  </si>
  <si>
    <t>🎧</t>
  </si>
  <si>
    <t>:headstone:</t>
  </si>
  <si>
    <t>🪦</t>
  </si>
  <si>
    <t>bia đá</t>
  </si>
  <si>
    <t>:health_worker:</t>
  </si>
  <si>
    <t>🧑‍⚕️</t>
  </si>
  <si>
    <t>:health_worker_dark_skin_tone:</t>
  </si>
  <si>
    <t>🧑🏿‍⚕️</t>
  </si>
  <si>
    <t>Nhân viên y tế màu da sẫm</t>
  </si>
  <si>
    <t>:health_worker_light_skin_tone:</t>
  </si>
  <si>
    <t>🧑🏻‍⚕️</t>
  </si>
  <si>
    <t>Nhân viên y tế màu da sáng</t>
  </si>
  <si>
    <t>:health_worker_medium-dark_skin_tone:</t>
  </si>
  <si>
    <t>🧑🏾‍⚕️</t>
  </si>
  <si>
    <t>Nhân viên y tế màu da sẫm vừa</t>
  </si>
  <si>
    <t>:health_worker_medium-light_skin_tone:</t>
  </si>
  <si>
    <t>🧑🏼‍⚕️</t>
  </si>
  <si>
    <t>Nhân viên y tế màu da sáng vừa</t>
  </si>
  <si>
    <t>:health_worker_medium_skin_tone:</t>
  </si>
  <si>
    <t>🧑🏽‍⚕️</t>
  </si>
  <si>
    <t>Nhân viên y tế màu da thường</t>
  </si>
  <si>
    <t>:hear-no-evil_monkey:</t>
  </si>
  <si>
    <t>🙉</t>
  </si>
  <si>
    <t>khỉ bịt tai</t>
  </si>
  <si>
    <t>:heart_decoration:</t>
  </si>
  <si>
    <t>💟</t>
  </si>
  <si>
    <t>:heart_exclamation:</t>
  </si>
  <si>
    <t>❣</t>
  </si>
  <si>
    <t>chấm than trái tim</t>
  </si>
  <si>
    <t>:heart_on_fire:</t>
  </si>
  <si>
    <t>❤️‍🔥</t>
  </si>
  <si>
    <t>:heart_suit:</t>
  </si>
  <si>
    <t>♥</t>
  </si>
  <si>
    <t>:heart_with_arrow:</t>
  </si>
  <si>
    <t>💘</t>
  </si>
  <si>
    <t>:heart_with_ribbon:</t>
  </si>
  <si>
    <t>💝</t>
  </si>
  <si>
    <t>:heavy_dollar_sign:</t>
  </si>
  <si>
    <t>💲</t>
  </si>
  <si>
    <t>:hedgehog:</t>
  </si>
  <si>
    <t>🦔</t>
  </si>
  <si>
    <t>:helicopter:</t>
  </si>
  <si>
    <t>🚁</t>
  </si>
  <si>
    <t>:herb:</t>
  </si>
  <si>
    <t>🌿</t>
  </si>
  <si>
    <t>thảo mộc</t>
  </si>
  <si>
    <t>:hibiscus:</t>
  </si>
  <si>
    <t>🌺</t>
  </si>
  <si>
    <t>dâm bụt</t>
  </si>
  <si>
    <t>:high-heeled_shoe:</t>
  </si>
  <si>
    <t>👠</t>
  </si>
  <si>
    <t>:high-speed_train:</t>
  </si>
  <si>
    <t>🚄</t>
  </si>
  <si>
    <t>:high_voltage:</t>
  </si>
  <si>
    <t>⚡</t>
  </si>
  <si>
    <t>:hiking_boot:</t>
  </si>
  <si>
    <t>🥾</t>
  </si>
  <si>
    <t>giày leo núi</t>
  </si>
  <si>
    <t>:hindu_temple:</t>
  </si>
  <si>
    <t>🛕</t>
  </si>
  <si>
    <t>:hippopotamus:</t>
  </si>
  <si>
    <t>🦛</t>
  </si>
  <si>
    <t>:hole:</t>
  </si>
  <si>
    <t>🕳</t>
  </si>
  <si>
    <t>:hollow_red_circle:</t>
  </si>
  <si>
    <t>⭕</t>
  </si>
  <si>
    <t>vòng tròn đỏ rỗng</t>
  </si>
  <si>
    <t>:honey_pot:</t>
  </si>
  <si>
    <t>🍯</t>
  </si>
  <si>
    <t>:honeybee:</t>
  </si>
  <si>
    <t>🐝</t>
  </si>
  <si>
    <t>:hook:</t>
  </si>
  <si>
    <t>🪝</t>
  </si>
  <si>
    <t>:horizontal_traffic_light:</t>
  </si>
  <si>
    <t>🚥</t>
  </si>
  <si>
    <t>:horse:</t>
  </si>
  <si>
    <t>🐎</t>
  </si>
  <si>
    <t>:horse_face:</t>
  </si>
  <si>
    <t>🐴</t>
  </si>
  <si>
    <t>:horse_racing:</t>
  </si>
  <si>
    <t>🏇</t>
  </si>
  <si>
    <t>:horse_racing_dark_skin_tone:</t>
  </si>
  <si>
    <t>🏇🏿</t>
  </si>
  <si>
    <t>đua ngựa màu da sẫm</t>
  </si>
  <si>
    <t>:horse_racing_light_skin_tone:</t>
  </si>
  <si>
    <t>🏇🏻</t>
  </si>
  <si>
    <t>đua ngựa màu da sáng</t>
  </si>
  <si>
    <t>:horse_racing_medium-dark_skin_tone:</t>
  </si>
  <si>
    <t>🏇🏾</t>
  </si>
  <si>
    <t>đua ngựa màu da sẫm vừa</t>
  </si>
  <si>
    <t>:horse_racing_medium-light_skin_tone:</t>
  </si>
  <si>
    <t>🏇🏼</t>
  </si>
  <si>
    <t>đua ngựa màu da sáng vừa</t>
  </si>
  <si>
    <t>:horse_racing_medium_skin_tone:</t>
  </si>
  <si>
    <t>🏇🏽</t>
  </si>
  <si>
    <t>đua ngựa màu da thường</t>
  </si>
  <si>
    <t>:hospital:</t>
  </si>
  <si>
    <t>🏥</t>
  </si>
  <si>
    <t>:hot_beverage:</t>
  </si>
  <si>
    <t>☕</t>
  </si>
  <si>
    <t>:hot_dog:</t>
  </si>
  <si>
    <t>🌭</t>
  </si>
  <si>
    <t>:hot_face:</t>
  </si>
  <si>
    <t>🥵</t>
  </si>
  <si>
    <t>khuôn mặt nóng</t>
  </si>
  <si>
    <t>:hot_pepper:</t>
  </si>
  <si>
    <t>🌶</t>
  </si>
  <si>
    <t>:hot_springs:</t>
  </si>
  <si>
    <t>♨</t>
  </si>
  <si>
    <t>:hotel:</t>
  </si>
  <si>
    <t>🏨</t>
  </si>
  <si>
    <t>:hourglass_done:</t>
  </si>
  <si>
    <t>⌛</t>
  </si>
  <si>
    <t>:hourglass_not_done:</t>
  </si>
  <si>
    <t>⏳</t>
  </si>
  <si>
    <t>:house:</t>
  </si>
  <si>
    <t>🏠</t>
  </si>
  <si>
    <t>:house_with_garden:</t>
  </si>
  <si>
    <t>🏡</t>
  </si>
  <si>
    <t>:houses:</t>
  </si>
  <si>
    <t>🏘</t>
  </si>
  <si>
    <t>:hugging_face:</t>
  </si>
  <si>
    <t>🤗</t>
  </si>
  <si>
    <t>:hundred_points:</t>
  </si>
  <si>
    <t>💯</t>
  </si>
  <si>
    <t>trăm điểm</t>
  </si>
  <si>
    <t>:hushed_face:</t>
  </si>
  <si>
    <t>😯</t>
  </si>
  <si>
    <t>mặt im lặng</t>
  </si>
  <si>
    <t>:hut:</t>
  </si>
  <si>
    <t>🛖</t>
  </si>
  <si>
    <t>:ice:</t>
  </si>
  <si>
    <t>🧊</t>
  </si>
  <si>
    <t>:ice_cream:</t>
  </si>
  <si>
    <t>🍨</t>
  </si>
  <si>
    <t>:ice_hockey:</t>
  </si>
  <si>
    <t>🏒</t>
  </si>
  <si>
    <t>:ice_skate:</t>
  </si>
  <si>
    <t>⛸</t>
  </si>
  <si>
    <t>:inbox_tray:</t>
  </si>
  <si>
    <t>📥</t>
  </si>
  <si>
    <t>:incoming_envelope:</t>
  </si>
  <si>
    <t>📨</t>
  </si>
  <si>
    <t>phong bì tới</t>
  </si>
  <si>
    <t>:index_pointing_up:</t>
  </si>
  <si>
    <t>☝</t>
  </si>
  <si>
    <t>ngón trỏ chỉ lên</t>
  </si>
  <si>
    <t>:index_pointing_up_dark_skin_tone:</t>
  </si>
  <si>
    <t>☝🏿</t>
  </si>
  <si>
    <t>ngón trỏ chỉ lên màu da sẫm</t>
  </si>
  <si>
    <t>:index_pointing_up_light_skin_tone:</t>
  </si>
  <si>
    <t>☝🏻</t>
  </si>
  <si>
    <t>ngón trỏ chỉ lên màu da sáng</t>
  </si>
  <si>
    <t>:index_pointing_up_medium-dark_skin_tone:</t>
  </si>
  <si>
    <t>☝🏾</t>
  </si>
  <si>
    <t>ngón trỏ chỉ lên màu da sẫm vừa</t>
  </si>
  <si>
    <t>:index_pointing_up_medium-light_skin_tone:</t>
  </si>
  <si>
    <t>☝🏼</t>
  </si>
  <si>
    <t>ngón trỏ chỉ lên màu da sáng vừa</t>
  </si>
  <si>
    <t>:index_pointing_up_medium_skin_tone:</t>
  </si>
  <si>
    <t>☝🏽</t>
  </si>
  <si>
    <t>ngón trỏ chỉ lên màu da thường</t>
  </si>
  <si>
    <t>:infinity:</t>
  </si>
  <si>
    <t>♾</t>
  </si>
  <si>
    <t>:information:</t>
  </si>
  <si>
    <t>ℹ</t>
  </si>
  <si>
    <t>:input_latin_letters:</t>
  </si>
  <si>
    <t>🔤</t>
  </si>
  <si>
    <t>chữ cái latin đầu vào</t>
  </si>
  <si>
    <t>:input_latin_lowercase:</t>
  </si>
  <si>
    <t>🔡</t>
  </si>
  <si>
    <t>chữ cái thường latin đầu vào</t>
  </si>
  <si>
    <t>:input_latin_uppercase:</t>
  </si>
  <si>
    <t>🔠</t>
  </si>
  <si>
    <t>chữ cái hoa latin đầu vào</t>
  </si>
  <si>
    <t>:input_numbers:</t>
  </si>
  <si>
    <t>🔢</t>
  </si>
  <si>
    <t>:input_symbols:</t>
  </si>
  <si>
    <t>🔣</t>
  </si>
  <si>
    <t>ký tự đầu vào</t>
  </si>
  <si>
    <t>:jack-o-lantern:</t>
  </si>
  <si>
    <t>🎃</t>
  </si>
  <si>
    <t>:jeans:</t>
  </si>
  <si>
    <t>👖</t>
  </si>
  <si>
    <t>:joker:</t>
  </si>
  <si>
    <t>🃏</t>
  </si>
  <si>
    <t>joker</t>
  </si>
  <si>
    <t>:joystick:</t>
  </si>
  <si>
    <t>🕹</t>
  </si>
  <si>
    <t>cần điều khiển</t>
  </si>
  <si>
    <t>:judge:</t>
  </si>
  <si>
    <t>🧑‍⚖️</t>
  </si>
  <si>
    <t>thẩm phán</t>
  </si>
  <si>
    <t>:judge_dark_skin_tone:</t>
  </si>
  <si>
    <t>🧑🏿‍⚖️</t>
  </si>
  <si>
    <t>thẩm phán màu da sẫm</t>
  </si>
  <si>
    <t>:judge_light_skin_tone:</t>
  </si>
  <si>
    <t>🧑🏻‍⚖️</t>
  </si>
  <si>
    <t>thẩm phán màu da sáng</t>
  </si>
  <si>
    <t>:judge_medium-dark_skin_tone:</t>
  </si>
  <si>
    <t>🧑🏾‍⚖️</t>
  </si>
  <si>
    <t>thẩm phán màu da sẫm vừa</t>
  </si>
  <si>
    <t>:judge_medium-light_skin_tone:</t>
  </si>
  <si>
    <t>🧑🏼‍⚖️</t>
  </si>
  <si>
    <t>thẩm phán màu da sáng vừa</t>
  </si>
  <si>
    <t>:judge_medium_skin_tone:</t>
  </si>
  <si>
    <t>🧑🏽‍⚖️</t>
  </si>
  <si>
    <t>thẩm phán màu da thường</t>
  </si>
  <si>
    <t>:kaaba:</t>
  </si>
  <si>
    <t>🕋</t>
  </si>
  <si>
    <t>kaaba</t>
  </si>
  <si>
    <t>:kangaroo:</t>
  </si>
  <si>
    <t>🦘</t>
  </si>
  <si>
    <t>:key:</t>
  </si>
  <si>
    <t>🔑</t>
  </si>
  <si>
    <t>:keyboard:</t>
  </si>
  <si>
    <t>⌨</t>
  </si>
  <si>
    <t>bàn phím</t>
  </si>
  <si>
    <t>:keycap_#:</t>
  </si>
  <si>
    <t>#️⃣</t>
  </si>
  <si>
    <t>p</t>
  </si>
  <si>
    <t>:keycap_*:</t>
  </si>
  <si>
    <t>*️⃣</t>
  </si>
  <si>
    <t>:keycap_0:</t>
  </si>
  <si>
    <t>0️⃣</t>
  </si>
  <si>
    <t>keycap 0</t>
  </si>
  <si>
    <t>:keycap_1:</t>
  </si>
  <si>
    <t>1️⃣</t>
  </si>
  <si>
    <t>Keycap 1</t>
  </si>
  <si>
    <t>:keycap_10:</t>
  </si>
  <si>
    <t>🔟</t>
  </si>
  <si>
    <t>keycap 10</t>
  </si>
  <si>
    <t>:keycap_2:</t>
  </si>
  <si>
    <t>2️⃣</t>
  </si>
  <si>
    <t>keycap 2</t>
  </si>
  <si>
    <t>:keycap_3:</t>
  </si>
  <si>
    <t>3️⃣</t>
  </si>
  <si>
    <t>keycap 3</t>
  </si>
  <si>
    <t>:keycap_4:</t>
  </si>
  <si>
    <t>4️⃣</t>
  </si>
  <si>
    <t>keycap 4</t>
  </si>
  <si>
    <t>:keycap_5:</t>
  </si>
  <si>
    <t>5️⃣</t>
  </si>
  <si>
    <t>keycap 5</t>
  </si>
  <si>
    <t>:keycap_6:</t>
  </si>
  <si>
    <t>6️⃣</t>
  </si>
  <si>
    <t>keycap 6</t>
  </si>
  <si>
    <t>:keycap_7:</t>
  </si>
  <si>
    <t>7️⃣</t>
  </si>
  <si>
    <t>keycap 7</t>
  </si>
  <si>
    <t>:keycap_8:</t>
  </si>
  <si>
    <t>8️⃣</t>
  </si>
  <si>
    <t>keycap 8</t>
  </si>
  <si>
    <t>:keycap_9:</t>
  </si>
  <si>
    <t>9️⃣</t>
  </si>
  <si>
    <t>keycap 9</t>
  </si>
  <si>
    <t>:kick_scooter:</t>
  </si>
  <si>
    <t>🛴</t>
  </si>
  <si>
    <t>xe trượt</t>
  </si>
  <si>
    <t>:kimono:</t>
  </si>
  <si>
    <t>👘</t>
  </si>
  <si>
    <t>kimono</t>
  </si>
  <si>
    <t>:kiss:</t>
  </si>
  <si>
    <t>💏</t>
  </si>
  <si>
    <t>:kiss_dark_skin_tone:</t>
  </si>
  <si>
    <t>💏🏿</t>
  </si>
  <si>
    <t>hôn màu da sẫm</t>
  </si>
  <si>
    <t>:kiss_light_skin_tone:</t>
  </si>
  <si>
    <t>💏🏻</t>
  </si>
  <si>
    <t>hôn màu da sáng</t>
  </si>
  <si>
    <t>:kiss_man_man:</t>
  </si>
  <si>
    <t>👨‍❤️‍💋‍👨</t>
  </si>
  <si>
    <t>hôn nam nam</t>
  </si>
  <si>
    <t>:kiss_man_man_dark_skin_tone:</t>
  </si>
  <si>
    <t>👨🏿‍❤️‍💋‍👨🏿</t>
  </si>
  <si>
    <t>hôn nam nam màu da sẫm</t>
  </si>
  <si>
    <t>:kiss_man_man_dark_skin_tone_light_skin_tone:</t>
  </si>
  <si>
    <t>👨🏿‍❤️‍💋‍👨🏻</t>
  </si>
  <si>
    <t>hôn nam màu da sẫm nam màu da sáng</t>
  </si>
  <si>
    <t>:kiss_man_man_dark_skin_tone_medium-dark_skin_tone:</t>
  </si>
  <si>
    <t>👨🏿‍❤️‍💋‍👨🏾</t>
  </si>
  <si>
    <t>hôn nam màu da sẫm nam màu da sẫm vừa</t>
  </si>
  <si>
    <t>:kiss_man_man_dark_skin_tone_medium-light_skin_tone:</t>
  </si>
  <si>
    <t>👨🏿‍❤️‍💋‍👨🏼</t>
  </si>
  <si>
    <t>hôn nam màu da sẫm nam màu da sáng vừa</t>
  </si>
  <si>
    <t>:kiss_man_man_dark_skin_tone_medium_skin_tone:</t>
  </si>
  <si>
    <t>👨🏿‍❤️‍💋‍👨🏽</t>
  </si>
  <si>
    <t>hôn nam màu da sẫm nam màu da thường</t>
  </si>
  <si>
    <t>:kiss_man_man_light_skin_tone:</t>
  </si>
  <si>
    <t>👨🏻‍❤️‍💋‍👨🏻</t>
  </si>
  <si>
    <t>hôn nam nam màu da sáng</t>
  </si>
  <si>
    <t>:kiss_man_man_light_skin_tone_dark_skin_tone:</t>
  </si>
  <si>
    <t>👨🏻‍❤️‍💋‍👨🏿</t>
  </si>
  <si>
    <t>hôn nam màu da sáng nam màu da sẫm</t>
  </si>
  <si>
    <t>:kiss_man_man_light_skin_tone_medium-dark_skin_tone:</t>
  </si>
  <si>
    <t>👨🏻‍❤️‍💋‍👨🏾</t>
  </si>
  <si>
    <t>hôn nam màu da sáng nam màu da sẫm vừa</t>
  </si>
  <si>
    <t>:kiss_man_man_light_skin_tone_medium-light_skin_tone:</t>
  </si>
  <si>
    <t>👨🏻‍❤️‍💋‍👨🏼</t>
  </si>
  <si>
    <t>hôn nam màu da sáng nam màu da sáng vừa</t>
  </si>
  <si>
    <t>:kiss_man_man_light_skin_tone_medium_skin_tone:</t>
  </si>
  <si>
    <t>👨🏻‍❤️‍💋‍👨🏽</t>
  </si>
  <si>
    <t>hôn nam màu da sáng nam màu da thường</t>
  </si>
  <si>
    <t>:kiss_man_man_medium-dark_skin_tone:</t>
  </si>
  <si>
    <t>👨🏾‍❤️‍💋‍👨🏾</t>
  </si>
  <si>
    <t>hôn nam nam màu da sẫm vừa</t>
  </si>
  <si>
    <t>:kiss_man_man_medium-dark_skin_tone_dark_skin_tone:</t>
  </si>
  <si>
    <t>👨🏾‍❤️‍💋‍👨🏿</t>
  </si>
  <si>
    <t>hôn nam màu da sẫm vừa nam màu da sẫm</t>
  </si>
  <si>
    <t>:kiss_man_man_medium-dark_skin_tone_light_skin_tone:</t>
  </si>
  <si>
    <t>👨🏾‍❤️‍💋‍👨🏻</t>
  </si>
  <si>
    <t>hôn nam màu da sẫm vừa nam màu da sáng</t>
  </si>
  <si>
    <t>:kiss_man_man_medium-dark_skin_tone_medium-light_skin_tone:</t>
  </si>
  <si>
    <t>👨🏾‍❤️‍💋‍👨🏼</t>
  </si>
  <si>
    <t>hôn nam màu da sẫm vừa nam màu da sáng vừa</t>
  </si>
  <si>
    <t>:kiss_man_man_medium-dark_skin_tone_medium_skin_tone:</t>
  </si>
  <si>
    <t>👨🏾‍❤️‍💋‍👨🏽</t>
  </si>
  <si>
    <t>hôn nam màu da sẫm vừa nam màu da thường</t>
  </si>
  <si>
    <t>:kiss_man_man_medium-light_skin_tone:</t>
  </si>
  <si>
    <t>👨🏼‍❤️‍💋‍👨🏼</t>
  </si>
  <si>
    <t>hôn nam nam màu da sáng vừa</t>
  </si>
  <si>
    <t>:kiss_man_man_medium-light_skin_tone_dark_skin_tone:</t>
  </si>
  <si>
    <t>👨🏼‍❤️‍💋‍👨🏿</t>
  </si>
  <si>
    <t>hôn nam màu da sáng vừa nam màu da sẫm</t>
  </si>
  <si>
    <t>:kiss_man_man_medium-light_skin_tone_light_skin_tone:</t>
  </si>
  <si>
    <t>👨🏼‍❤️‍💋‍👨🏻</t>
  </si>
  <si>
    <t>hôn nam màu da sáng vừa nam màu da sáng</t>
  </si>
  <si>
    <t>:kiss_man_man_medium-light_skin_tone_medium-dark_skin_tone:</t>
  </si>
  <si>
    <t>👨🏼‍❤️‍💋‍👨🏾</t>
  </si>
  <si>
    <t>hôn nam màu da sáng vừa nam màu da sẫm vừa</t>
  </si>
  <si>
    <t>:kiss_man_man_medium-light_skin_tone_medium_skin_tone:</t>
  </si>
  <si>
    <t>👨🏼‍❤️‍💋‍👨🏽</t>
  </si>
  <si>
    <t>hôn nam màu da sáng vừa nam màu da thường</t>
  </si>
  <si>
    <t>:kiss_man_man_medium_skin_tone:</t>
  </si>
  <si>
    <t>👨🏽‍❤️‍💋‍👨🏽</t>
  </si>
  <si>
    <t>hôn nam nam màu da thường</t>
  </si>
  <si>
    <t>:kiss_man_man_medium_skin_tone_dark_skin_tone:</t>
  </si>
  <si>
    <t>👨🏽‍❤️‍💋‍👨🏿</t>
  </si>
  <si>
    <t>hôn nam màu da thường nam màu da sẫm</t>
  </si>
  <si>
    <t>:kiss_man_man_medium_skin_tone_light_skin_tone:</t>
  </si>
  <si>
    <t>👨🏽‍❤️‍💋‍👨🏻</t>
  </si>
  <si>
    <t>hôn nam màu da thường nam màu da sáng</t>
  </si>
  <si>
    <t>:kiss_man_man_medium_skin_tone_medium-dark_skin_tone:</t>
  </si>
  <si>
    <t>👨🏽‍❤️‍💋‍👨🏾</t>
  </si>
  <si>
    <t>hôn nam màu da thường nam màu da sẫm vừa</t>
  </si>
  <si>
    <t>:kiss_man_man_medium_skin_tone_medium-light_skin_tone:</t>
  </si>
  <si>
    <t>👨🏽‍❤️‍💋‍👨🏼</t>
  </si>
  <si>
    <t>hôn nam màu da thường nam màu da sáng vừa</t>
  </si>
  <si>
    <t>:kiss_mark:</t>
  </si>
  <si>
    <t>💋</t>
  </si>
  <si>
    <t>dấu hôn</t>
  </si>
  <si>
    <t>:kiss_medium-dark_skin_tone:</t>
  </si>
  <si>
    <t>💏🏾</t>
  </si>
  <si>
    <t>hôn màu da sẫm vừa</t>
  </si>
  <si>
    <t>:kiss_medium-light_skin_tone:</t>
  </si>
  <si>
    <t>💏🏼</t>
  </si>
  <si>
    <t>hôn màu da sáng vừa</t>
  </si>
  <si>
    <t>:kiss_medium_skin_tone:</t>
  </si>
  <si>
    <t>💏🏽</t>
  </si>
  <si>
    <t>hôn màu da thường</t>
  </si>
  <si>
    <t>:kiss_person_person_dark_skin_tone_light_skin_tone:</t>
  </si>
  <si>
    <t>🧑🏿‍❤️‍💋‍🧑🏻</t>
  </si>
  <si>
    <t>hôn người màu da sẫm người màu da sáng</t>
  </si>
  <si>
    <t>:kiss_person_person_dark_skin_tone_medium-dark_skin_tone:</t>
  </si>
  <si>
    <t>🧑🏿‍❤️‍💋‍🧑🏾</t>
  </si>
  <si>
    <t>hôn người màu da sẫm người màu da sẫm vừa</t>
  </si>
  <si>
    <t>:kiss_person_person_dark_skin_tone_medium-light_skin_tone:</t>
  </si>
  <si>
    <t>🧑🏿‍❤️‍💋‍🧑🏼</t>
  </si>
  <si>
    <t>hôn người màu da sẫm người màu da sáng vừa</t>
  </si>
  <si>
    <t>:kiss_person_person_dark_skin_tone_medium_skin_tone:</t>
  </si>
  <si>
    <t>🧑🏿‍❤️‍💋‍🧑🏽</t>
  </si>
  <si>
    <t>hôn người màu da sẫm người màu da thường</t>
  </si>
  <si>
    <t>:kiss_person_person_light_skin_tone_dark_skin_tone:</t>
  </si>
  <si>
    <t>🧑🏻‍❤️‍💋‍🧑🏿</t>
  </si>
  <si>
    <t>hôn người màu da sáng vừa người màu da sẫm</t>
  </si>
  <si>
    <t>:kiss_person_person_light_skin_tone_medium-dark_skin_tone:</t>
  </si>
  <si>
    <t>🧑🏻‍❤️‍💋‍🧑🏾</t>
  </si>
  <si>
    <t>hôn người màu da sáng vừa người màu da sáng</t>
  </si>
  <si>
    <t>:kiss_person_person_light_skin_tone_medium-light_skin_tone:</t>
  </si>
  <si>
    <t>🧑🏻‍❤️‍💋‍🧑🏼</t>
  </si>
  <si>
    <t>hôn người màu da sáng vừa người màu da sẫm vừa</t>
  </si>
  <si>
    <t>:kiss_person_person_light_skin_tone_medium_skin_tone:</t>
  </si>
  <si>
    <t>🧑🏻‍❤️‍💋‍🧑🏽</t>
  </si>
  <si>
    <t>hôn người màu da sáng vừa người màu da thường</t>
  </si>
  <si>
    <t>:kiss_person_person_medium-dark_skin_tone_dark_skin_tone:</t>
  </si>
  <si>
    <t>🧑🏾‍❤️‍💋‍🧑🏿</t>
  </si>
  <si>
    <t>hôn người màu da sẫm vừa người màu da sẫm</t>
  </si>
  <si>
    <t>:kiss_person_person_medium-dark_skin_tone_light_skin_tone:</t>
  </si>
  <si>
    <t>🧑🏾‍❤️‍💋‍🧑🏻</t>
  </si>
  <si>
    <t>hôn người màu da sẫm vừa người màu da sáng</t>
  </si>
  <si>
    <t>:kiss_person_person_medium-dark_skin_tone_medium-light_skin_tone:</t>
  </si>
  <si>
    <t>🧑🏾‍❤️‍💋‍🧑🏼</t>
  </si>
  <si>
    <t>hôn người màu da sẫm vừa người màu da sáng vừa</t>
  </si>
  <si>
    <t>:kiss_person_person_medium-dark_skin_tone_medium_skin_tone:</t>
  </si>
  <si>
    <t>🧑🏾‍❤️‍💋‍🧑🏽</t>
  </si>
  <si>
    <t>hôn người màu da sẫm vừa người màu da thường</t>
  </si>
  <si>
    <t>:kiss_person_person_medium-light_skin_tone_dark_skin_tone:</t>
  </si>
  <si>
    <t>🧑🏼‍❤️‍💋‍🧑🏿</t>
  </si>
  <si>
    <t>:kiss_person_person_medium-light_skin_tone_light_skin_tone:</t>
  </si>
  <si>
    <t>🧑🏼‍❤️‍💋‍🧑🏻</t>
  </si>
  <si>
    <t>:kiss_person_person_medium-light_skin_tone_medium-dark_skin_tone:</t>
  </si>
  <si>
    <t>🧑🏼‍❤️‍💋‍🧑🏾</t>
  </si>
  <si>
    <t>:kiss_person_person_medium-light_skin_tone_medium_skin_tone:</t>
  </si>
  <si>
    <t>🧑🏼‍❤️‍💋‍🧑🏽</t>
  </si>
  <si>
    <t>:kiss_person_person_medium_skin_tone_dark_skin_tone:</t>
  </si>
  <si>
    <t>🧑🏽‍❤️‍💋‍🧑🏿</t>
  </si>
  <si>
    <t>hôn người màu da thường người màu da sẫm</t>
  </si>
  <si>
    <t>:kiss_person_person_medium_skin_tone_light_skin_tone:</t>
  </si>
  <si>
    <t>🧑🏽‍❤️‍💋‍🧑🏻</t>
  </si>
  <si>
    <t>hôn người màu da thường người màu da sáng</t>
  </si>
  <si>
    <t>:kiss_person_person_medium_skin_tone_medium-dark_skin_tone:</t>
  </si>
  <si>
    <t>🧑🏽‍❤️‍💋‍🧑🏾</t>
  </si>
  <si>
    <t>hôn người màu da thường người màu da sẫm vừa</t>
  </si>
  <si>
    <t>:kiss_person_person_medium_skin_tone_medium-light_skin_tone:</t>
  </si>
  <si>
    <t>🧑🏽‍❤️‍💋‍🧑🏼</t>
  </si>
  <si>
    <t>hôn người màu da thường người màu da sáng vừa</t>
  </si>
  <si>
    <t>:kiss_woman_man:</t>
  </si>
  <si>
    <t>👩‍❤️‍💋‍👨</t>
  </si>
  <si>
    <t>hôn nữ nam</t>
  </si>
  <si>
    <t>:kiss_woman_man_dark_skin_tone:</t>
  </si>
  <si>
    <t>👩🏿‍❤️‍💋‍👨🏿</t>
  </si>
  <si>
    <t>hôn nữ nam màu da sẫm</t>
  </si>
  <si>
    <t>:kiss_woman_man_dark_skin_tone_light_skin_tone:</t>
  </si>
  <si>
    <t>👩🏿‍❤️‍💋‍👨🏻</t>
  </si>
  <si>
    <t>hôn nữ màu da sẫm nam màu da sáng</t>
  </si>
  <si>
    <t>:kiss_woman_man_dark_skin_tone_medium-dark_skin_tone:</t>
  </si>
  <si>
    <t>👩🏿‍❤️‍💋‍👨🏾</t>
  </si>
  <si>
    <t>hôn nữ màu da sẫm nam màu da sẫm vừa</t>
  </si>
  <si>
    <t>:kiss_woman_man_dark_skin_tone_medium-light_skin_tone:</t>
  </si>
  <si>
    <t>👩🏿‍❤️‍💋‍👨🏼</t>
  </si>
  <si>
    <t>hôn nữ màu da sẫm nam màu da sáng vừa</t>
  </si>
  <si>
    <t>:kiss_woman_man_dark_skin_tone_medium_skin_tone:</t>
  </si>
  <si>
    <t>👩🏿‍❤️‍💋‍👨🏽</t>
  </si>
  <si>
    <t>hôn nữ màu da sẫm nam màu da thường</t>
  </si>
  <si>
    <t>:kiss_woman_man_light_skin_tone:</t>
  </si>
  <si>
    <t>👩🏻‍❤️‍💋‍👨🏻</t>
  </si>
  <si>
    <t>hôn nữ nam màu da sáng</t>
  </si>
  <si>
    <t>:kiss_woman_man_light_skin_tone_dark_skin_tone:</t>
  </si>
  <si>
    <t>👩🏻‍❤️‍💋‍👨🏿</t>
  </si>
  <si>
    <t>hôn nữ màu da sáng nam màu da sẫm</t>
  </si>
  <si>
    <t>:kiss_woman_man_light_skin_tone_medium-dark_skin_tone:</t>
  </si>
  <si>
    <t>👩🏻‍❤️‍💋‍👨🏾</t>
  </si>
  <si>
    <t>hôn nữ màu da sáng nam màu da sẫm vừa</t>
  </si>
  <si>
    <t>:kiss_woman_man_light_skin_tone_medium-light_skin_tone:</t>
  </si>
  <si>
    <t>👩🏻‍❤️‍💋‍👨🏼</t>
  </si>
  <si>
    <t>hôn nữ màu da sáng nam màu da sáng vừa</t>
  </si>
  <si>
    <t>:kiss_woman_man_light_skin_tone_medium_skin_tone:</t>
  </si>
  <si>
    <t>👩🏻‍❤️‍💋‍👨🏽</t>
  </si>
  <si>
    <t>hôn nữ màu da sáng nam màu da thường</t>
  </si>
  <si>
    <t>:kiss_woman_man_medium-dark_skin_tone:</t>
  </si>
  <si>
    <t>👩🏾‍❤️‍💋‍👨🏾</t>
  </si>
  <si>
    <t>hôn nữ nam màu da sẫm vừa</t>
  </si>
  <si>
    <t>:kiss_woman_man_medium-dark_skin_tone_dark_skin_tone:</t>
  </si>
  <si>
    <t>👩🏾‍❤️‍💋‍👨🏿</t>
  </si>
  <si>
    <t>hôn nữ màu da sẫm vừa nam màu da sẫm</t>
  </si>
  <si>
    <t>:kiss_woman_man_medium-dark_skin_tone_light_skin_tone:</t>
  </si>
  <si>
    <t>👩🏾‍❤️‍💋‍👨🏻</t>
  </si>
  <si>
    <t>hôn nữ màu da sẫm vừa nam màu da sáng</t>
  </si>
  <si>
    <t>:kiss_woman_man_medium-dark_skin_tone_medium-light_skin_tone:</t>
  </si>
  <si>
    <t>👩🏾‍❤️‍💋‍👨🏼</t>
  </si>
  <si>
    <t>hôn nữ màu da sẫm vừa nam màu da sáng vừa</t>
  </si>
  <si>
    <t>:kiss_woman_man_medium-dark_skin_tone_medium_skin_tone:</t>
  </si>
  <si>
    <t>👩🏾‍❤️‍💋‍👨🏽</t>
  </si>
  <si>
    <t>hôn nữ màu da sẫm vừa nam màu da thường</t>
  </si>
  <si>
    <t>:kiss_woman_man_medium-light_skin_tone:</t>
  </si>
  <si>
    <t>👩🏼‍❤️‍💋‍👨🏼</t>
  </si>
  <si>
    <t>hôn nữ nam màu da sáng vừa</t>
  </si>
  <si>
    <t>:kiss_woman_man_medium-light_skin_tone_dark_skin_tone:</t>
  </si>
  <si>
    <t>👩🏼‍❤️‍💋‍👨🏿</t>
  </si>
  <si>
    <t>hôn nữ màu da sáng vừa nam màu da sẫm</t>
  </si>
  <si>
    <t>:kiss_woman_man_medium-light_skin_tone_light_skin_tone:</t>
  </si>
  <si>
    <t>👩🏼‍❤️‍💋‍👨🏻</t>
  </si>
  <si>
    <t>hôn nữ màu da sáng vừa nam màu da sáng</t>
  </si>
  <si>
    <t>:kiss_woman_man_medium-light_skin_tone_medium-dark_skin_tone:</t>
  </si>
  <si>
    <t>👩🏼‍❤️‍💋‍👨🏾</t>
  </si>
  <si>
    <t>hôn nữ màu da sáng vừa nam màu da sẫm vừa</t>
  </si>
  <si>
    <t>:kiss_woman_man_medium-light_skin_tone_medium_skin_tone:</t>
  </si>
  <si>
    <t>👩🏼‍❤️‍💋‍👨🏽</t>
  </si>
  <si>
    <t>hôn nữ màu da sáng vừa nam màu da thường</t>
  </si>
  <si>
    <t>:kiss_woman_man_medium_skin_tone:</t>
  </si>
  <si>
    <t>👩🏽‍❤️‍💋‍👨🏽</t>
  </si>
  <si>
    <t>hôn nữ nam màu da thường</t>
  </si>
  <si>
    <t>:kiss_woman_man_medium_skin_tone_dark_skin_tone:</t>
  </si>
  <si>
    <t>👩🏽‍❤️‍💋‍👨🏿</t>
  </si>
  <si>
    <t>hôn nữ màu da thường nam màu da sẫm</t>
  </si>
  <si>
    <t>:kiss_woman_man_medium_skin_tone_light_skin_tone:</t>
  </si>
  <si>
    <t>👩🏽‍❤️‍💋‍👨🏻</t>
  </si>
  <si>
    <t>hôn nữ màu da thường nam màu da sáng</t>
  </si>
  <si>
    <t>:kiss_woman_man_medium_skin_tone_medium-dark_skin_tone:</t>
  </si>
  <si>
    <t>👩🏽‍❤️‍💋‍👨🏾</t>
  </si>
  <si>
    <t>hôn nữ màu da thường nam màu da sẫm vừa</t>
  </si>
  <si>
    <t>:kiss_woman_man_medium_skin_tone_medium-light_skin_tone:</t>
  </si>
  <si>
    <t>👩🏽‍❤️‍💋‍👨🏼</t>
  </si>
  <si>
    <t>hôn nữ màu da thường nam màu da sáng vừa</t>
  </si>
  <si>
    <t>:kiss_woman_woman:</t>
  </si>
  <si>
    <t>👩‍❤️‍💋‍👩</t>
  </si>
  <si>
    <t>hôn nữ nữ</t>
  </si>
  <si>
    <t>:kiss_woman_woman_dark_skin_tone:</t>
  </si>
  <si>
    <t>👩🏿‍❤️‍💋‍👩🏿</t>
  </si>
  <si>
    <t>hôn nữ nữ màu da sẫm</t>
  </si>
  <si>
    <t>:kiss_woman_woman_dark_skin_tone_light_skin_tone:</t>
  </si>
  <si>
    <t>👩🏿‍❤️‍💋‍👩🏻</t>
  </si>
  <si>
    <t>hôn nữ màu da sẫm nữ màu da sáng</t>
  </si>
  <si>
    <t>:kiss_woman_woman_dark_skin_tone_medium-dark_skin_tone:</t>
  </si>
  <si>
    <t>👩🏿‍❤️‍💋‍👩🏾</t>
  </si>
  <si>
    <t>hôn nữ màu da sẫm nữ màu da sẫm vừa</t>
  </si>
  <si>
    <t>:kiss_woman_woman_dark_skin_tone_medium-light_skin_tone:</t>
  </si>
  <si>
    <t>👩🏿‍❤️‍💋‍👩🏼</t>
  </si>
  <si>
    <t>hôn nữ màu da sẫm nữ màu da sáng vừa</t>
  </si>
  <si>
    <t>:kiss_woman_woman_dark_skin_tone_medium_skin_tone:</t>
  </si>
  <si>
    <t>👩🏿‍❤️‍💋‍👩🏽</t>
  </si>
  <si>
    <t>hôn nữ màu da sẫm nữ màu da thường</t>
  </si>
  <si>
    <t>:kiss_woman_woman_light_skin_tone:</t>
  </si>
  <si>
    <t>👩🏻‍❤️‍💋‍👩🏻</t>
  </si>
  <si>
    <t>hôn nữ nữ màu da sáng</t>
  </si>
  <si>
    <t>:kiss_woman_woman_light_skin_tone_dark_skin_tone:</t>
  </si>
  <si>
    <t>👩🏻‍❤️‍💋‍👩🏿</t>
  </si>
  <si>
    <t>hôn nữ màu da sáng nữ màu da sẫm</t>
  </si>
  <si>
    <t>:kiss_woman_woman_light_skin_tone_medium-dark_skin_tone:</t>
  </si>
  <si>
    <t>👩🏻‍❤️‍💋‍👩🏾</t>
  </si>
  <si>
    <t>hôn nữ màu da sáng nữ màu da sẫm vừa</t>
  </si>
  <si>
    <t>:kiss_woman_woman_light_skin_tone_medium-light_skin_tone:</t>
  </si>
  <si>
    <t>👩🏻‍❤️‍💋‍👩🏼</t>
  </si>
  <si>
    <t>hôn nữ màu da sáng nữ màu da sáng vừa</t>
  </si>
  <si>
    <t>:kiss_woman_woman_light_skin_tone_medium_skin_tone:</t>
  </si>
  <si>
    <t>👩🏻‍❤️‍💋‍👩🏽</t>
  </si>
  <si>
    <t>hôn nữ màu da sáng nữ màu da thường</t>
  </si>
  <si>
    <t>:kiss_woman_woman_medium-dark_skin_tone:</t>
  </si>
  <si>
    <t>👩🏾‍❤️‍💋‍👩🏾</t>
  </si>
  <si>
    <t>hôn nữ nữ màu da sẫm vừa</t>
  </si>
  <si>
    <t>:kiss_woman_woman_medium-dark_skin_tone_dark_skin_tone:</t>
  </si>
  <si>
    <t>👩🏾‍❤️‍💋‍👩🏿</t>
  </si>
  <si>
    <t>hôn nữ màu da sẫm vừa nữ màu da sẫm</t>
  </si>
  <si>
    <t>:kiss_woman_woman_medium-dark_skin_tone_light_skin_tone:</t>
  </si>
  <si>
    <t>👩🏾‍❤️‍💋‍👩🏻</t>
  </si>
  <si>
    <t>hôn nữ màu da sẫm vừa nữ màu da sáng</t>
  </si>
  <si>
    <t>:kiss_woman_woman_medium-dark_skin_tone_medium-light_skin_tone:</t>
  </si>
  <si>
    <t>👩🏾‍❤️‍💋‍👩🏼</t>
  </si>
  <si>
    <t>hôn nữ màu da sẫm vừa nữ màu da sáng vừa</t>
  </si>
  <si>
    <t>:kiss_woman_woman_medium-dark_skin_tone_medium_skin_tone:</t>
  </si>
  <si>
    <t>👩🏾‍❤️‍💋‍👩🏽</t>
  </si>
  <si>
    <t>hôn nữ màu da sẫm vừa nữ màu da thường</t>
  </si>
  <si>
    <t>:kiss_woman_woman_medium-light_skin_tone:</t>
  </si>
  <si>
    <t>👩🏼‍❤️‍💋‍👩🏼</t>
  </si>
  <si>
    <t>hôn nữ nữ màu da sáng vừa</t>
  </si>
  <si>
    <t>:kiss_woman_woman_medium-light_skin_tone_dark_skin_tone:</t>
  </si>
  <si>
    <t>👩🏼‍❤️‍💋‍👩🏿</t>
  </si>
  <si>
    <t>hôn nữ màu da sáng vừa nữ màu da sẫm</t>
  </si>
  <si>
    <t>:kiss_woman_woman_medium-light_skin_tone_light_skin_tone:</t>
  </si>
  <si>
    <t>👩🏼‍❤️‍💋‍👩🏻</t>
  </si>
  <si>
    <t>hôn nữ màu da sáng vừa nữ màu da sáng</t>
  </si>
  <si>
    <t>:kiss_woman_woman_medium-light_skin_tone_medium-dark_skin_tone:</t>
  </si>
  <si>
    <t>👩🏼‍❤️‍💋‍👩🏾</t>
  </si>
  <si>
    <t>hôn nữ màu da sáng vừa nữ màu da sẫm vừa</t>
  </si>
  <si>
    <t>:kiss_woman_woman_medium-light_skin_tone_medium_skin_tone:</t>
  </si>
  <si>
    <t>👩🏼‍❤️‍💋‍👩🏽</t>
  </si>
  <si>
    <t>hôn nữ màu da sáng vừa nữ màu da thường</t>
  </si>
  <si>
    <t>:kiss_woman_woman_medium_skin_tone:</t>
  </si>
  <si>
    <t>👩🏽‍❤️‍💋‍👩🏽</t>
  </si>
  <si>
    <t>hôn nữ nữ màu da thường</t>
  </si>
  <si>
    <t>:kiss_woman_woman_medium_skin_tone_dark_skin_tone:</t>
  </si>
  <si>
    <t>👩🏽‍❤️‍💋‍👩🏿</t>
  </si>
  <si>
    <t>hôn nữ màu da thường nữ màu da sẫm</t>
  </si>
  <si>
    <t>:kiss_woman_woman_medium_skin_tone_light_skin_tone:</t>
  </si>
  <si>
    <t>👩🏽‍❤️‍💋‍👩🏻</t>
  </si>
  <si>
    <t>hôn nữ màu da thường nữ màu da sáng</t>
  </si>
  <si>
    <t>:kiss_woman_woman_medium_skin_tone_medium-dark_skin_tone:</t>
  </si>
  <si>
    <t>👩🏽‍❤️‍💋‍👩🏾</t>
  </si>
  <si>
    <t>hôn nữ màu da thường nữ màu da sẫm vừa</t>
  </si>
  <si>
    <t>:kiss_woman_woman_medium_skin_tone_medium-light_skin_tone:</t>
  </si>
  <si>
    <t>👩🏽‍❤️‍💋‍👩🏼</t>
  </si>
  <si>
    <t>hôn nữ màu da thường nữ màu da sáng vừa</t>
  </si>
  <si>
    <t>:kissing_cat:</t>
  </si>
  <si>
    <t>😽</t>
  </si>
  <si>
    <t>mèo hôn</t>
  </si>
  <si>
    <t>:kissing_face:</t>
  </si>
  <si>
    <t>😗</t>
  </si>
  <si>
    <t>mặt hôn</t>
  </si>
  <si>
    <t>:kissing_face_with_closed_eyes:</t>
  </si>
  <si>
    <t>😚</t>
  </si>
  <si>
    <t>mặt hôn với mắt nhắm</t>
  </si>
  <si>
    <t>:kissing_face_with_smiling_eyes:</t>
  </si>
  <si>
    <t>😙</t>
  </si>
  <si>
    <t>mặt hôn với mắt mỉm cười</t>
  </si>
  <si>
    <t>:kitchen_knife:</t>
  </si>
  <si>
    <t>🔪</t>
  </si>
  <si>
    <t>:kite:</t>
  </si>
  <si>
    <t>🪁</t>
  </si>
  <si>
    <t>:kiwi_fruit:</t>
  </si>
  <si>
    <t>🥝</t>
  </si>
  <si>
    <t>:knocked-out_face:</t>
  </si>
  <si>
    <t>😵</t>
  </si>
  <si>
    <t>mặt bị hạ gục</t>
  </si>
  <si>
    <t>:knot:</t>
  </si>
  <si>
    <t>🪢</t>
  </si>
  <si>
    <t>nút thắt</t>
  </si>
  <si>
    <t>:koala:</t>
  </si>
  <si>
    <t>🐨</t>
  </si>
  <si>
    <t>koala</t>
  </si>
  <si>
    <t>:lab_coat:</t>
  </si>
  <si>
    <t>🥼</t>
  </si>
  <si>
    <t>:label:</t>
  </si>
  <si>
    <t>🏷</t>
  </si>
  <si>
    <t>:lacrosse:</t>
  </si>
  <si>
    <t>🥍</t>
  </si>
  <si>
    <t>bóng vợt</t>
  </si>
  <si>
    <t>:ladder:</t>
  </si>
  <si>
    <t>🪜</t>
  </si>
  <si>
    <t>:lady_beetle:</t>
  </si>
  <si>
    <t>🐞</t>
  </si>
  <si>
    <t>:laptop:</t>
  </si>
  <si>
    <t>💻</t>
  </si>
  <si>
    <t>:large_blue_diamond:</t>
  </si>
  <si>
    <t>🔷</t>
  </si>
  <si>
    <t>:large_orange_diamond:</t>
  </si>
  <si>
    <t>🔶</t>
  </si>
  <si>
    <t>:last_quarter_moon:</t>
  </si>
  <si>
    <t>🌗</t>
  </si>
  <si>
    <t>mặt trăng quí cuối</t>
  </si>
  <si>
    <t>:last_quarter_moon_face:</t>
  </si>
  <si>
    <t>🌜</t>
  </si>
  <si>
    <t>khuôn mặt mặt trăng quí cuối</t>
  </si>
  <si>
    <t>:last_track_button:</t>
  </si>
  <si>
    <t>⏮</t>
  </si>
  <si>
    <t>nút bài hát cuối cùng</t>
  </si>
  <si>
    <t>:latin_cross:</t>
  </si>
  <si>
    <t>✝</t>
  </si>
  <si>
    <t>:leaf_fluttering_in_wind:</t>
  </si>
  <si>
    <t>🍃</t>
  </si>
  <si>
    <t>:leafy_green:</t>
  </si>
  <si>
    <t>🥬</t>
  </si>
  <si>
    <t>:ledger:</t>
  </si>
  <si>
    <t>📒</t>
  </si>
  <si>
    <t>:left-facing_fist:</t>
  </si>
  <si>
    <t>🤛</t>
  </si>
  <si>
    <t>nắm tay hướng bên trái</t>
  </si>
  <si>
    <t>:left-facing_fist_dark_skin_tone:</t>
  </si>
  <si>
    <t>🤛🏿</t>
  </si>
  <si>
    <t>nắm tay hướng bên trái màu da sẫm</t>
  </si>
  <si>
    <t>:left-facing_fist_light_skin_tone:</t>
  </si>
  <si>
    <t>🤛🏻</t>
  </si>
  <si>
    <t>nắm tay hướng bên trái màu da sáng</t>
  </si>
  <si>
    <t>:left-facing_fist_medium-dark_skin_tone:</t>
  </si>
  <si>
    <t>🤛🏾</t>
  </si>
  <si>
    <t>nắm tay hướng bên trái màu da sẫm vừa</t>
  </si>
  <si>
    <t>:left-facing_fist_medium-light_skin_tone:</t>
  </si>
  <si>
    <t>🤛🏼</t>
  </si>
  <si>
    <t>nắm tay hướng bên trái màu da sáng vừa</t>
  </si>
  <si>
    <t>:left-facing_fist_medium_skin_tone:</t>
  </si>
  <si>
    <t>🤛🏽</t>
  </si>
  <si>
    <t>nắm tay hướng bên trái màu da thường</t>
  </si>
  <si>
    <t>:left-right_arrow:</t>
  </si>
  <si>
    <t>↔</t>
  </si>
  <si>
    <t>:left_arrow:</t>
  </si>
  <si>
    <t>⬅</t>
  </si>
  <si>
    <t>:left_arrow_curving_right:</t>
  </si>
  <si>
    <t>↪</t>
  </si>
  <si>
    <t>:left_luggage:</t>
  </si>
  <si>
    <t>🛅</t>
  </si>
  <si>
    <t>:left_speech_bubble:</t>
  </si>
  <si>
    <t>🗨</t>
  </si>
  <si>
    <t>:leg:</t>
  </si>
  <si>
    <t>🦵</t>
  </si>
  <si>
    <t>:leg_dark_skin_tone:</t>
  </si>
  <si>
    <t>🦵🏿</t>
  </si>
  <si>
    <t>Chân màu da sẫm</t>
  </si>
  <si>
    <t>:leg_light_skin_tone:</t>
  </si>
  <si>
    <t>🦵🏻</t>
  </si>
  <si>
    <t>Chân màu da sáng</t>
  </si>
  <si>
    <t>:leg_medium-dark_skin_tone:</t>
  </si>
  <si>
    <t>🦵🏾</t>
  </si>
  <si>
    <t>Chân màu da sẫm vừa</t>
  </si>
  <si>
    <t>:leg_medium-light_skin_tone:</t>
  </si>
  <si>
    <t>🦵🏼</t>
  </si>
  <si>
    <t>Chân màu da sáng vừa</t>
  </si>
  <si>
    <t>:leg_medium_skin_tone:</t>
  </si>
  <si>
    <t>🦵🏽</t>
  </si>
  <si>
    <t>Chân màu da thường</t>
  </si>
  <si>
    <t>:lemon:</t>
  </si>
  <si>
    <t>🍋</t>
  </si>
  <si>
    <t>:leopard:</t>
  </si>
  <si>
    <t>🐆</t>
  </si>
  <si>
    <t>:level_slider:</t>
  </si>
  <si>
    <t>🎚</t>
  </si>
  <si>
    <t>thanh trượt cấp</t>
  </si>
  <si>
    <t>:light_bulb:</t>
  </si>
  <si>
    <t>💡</t>
  </si>
  <si>
    <t>:light_rail:</t>
  </si>
  <si>
    <t>🚈</t>
  </si>
  <si>
    <t>:light_skin_tone:</t>
  </si>
  <si>
    <t>🏻</t>
  </si>
  <si>
    <t>:link:</t>
  </si>
  <si>
    <t>🔗</t>
  </si>
  <si>
    <t>:linked_paperclips:</t>
  </si>
  <si>
    <t>🖇</t>
  </si>
  <si>
    <t>liên kết kẹp giấy</t>
  </si>
  <si>
    <t>:lion:</t>
  </si>
  <si>
    <t>🦁</t>
  </si>
  <si>
    <t>:lipstick:</t>
  </si>
  <si>
    <t>💄</t>
  </si>
  <si>
    <t>:litter_in_bin_sign:</t>
  </si>
  <si>
    <t>🚮</t>
  </si>
  <si>
    <t>biển vứt rác vào sọt</t>
  </si>
  <si>
    <t>:lizard:</t>
  </si>
  <si>
    <t>🦎</t>
  </si>
  <si>
    <t>:llama:</t>
  </si>
  <si>
    <t>🦙</t>
  </si>
  <si>
    <t>lạc đà không bướu</t>
  </si>
  <si>
    <t>:lobster:</t>
  </si>
  <si>
    <t>🦞</t>
  </si>
  <si>
    <t>:locked:</t>
  </si>
  <si>
    <t>🔒</t>
  </si>
  <si>
    <t>:locked_with_key:</t>
  </si>
  <si>
    <t>🔐</t>
  </si>
  <si>
    <t>:locked_with_pen:</t>
  </si>
  <si>
    <t>🔏</t>
  </si>
  <si>
    <t>bị khoá với bút</t>
  </si>
  <si>
    <t>:locomotive:</t>
  </si>
  <si>
    <t>🚂</t>
  </si>
  <si>
    <t>:lollipop:</t>
  </si>
  <si>
    <t>🍭</t>
  </si>
  <si>
    <t>kẹo mút</t>
  </si>
  <si>
    <t>:long_drum:</t>
  </si>
  <si>
    <t>🪘</t>
  </si>
  <si>
    <t>trống dài</t>
  </si>
  <si>
    <t>:lotion_bottle:</t>
  </si>
  <si>
    <t>🧴</t>
  </si>
  <si>
    <t>lọ nước thơm</t>
  </si>
  <si>
    <t>:loudly_crying_face:</t>
  </si>
  <si>
    <t>😭</t>
  </si>
  <si>
    <t>:loudspeaker:</t>
  </si>
  <si>
    <t>📢</t>
  </si>
  <si>
    <t>loa</t>
  </si>
  <si>
    <t>:love-you_gesture:</t>
  </si>
  <si>
    <t>🤟</t>
  </si>
  <si>
    <t>cử chỉ yêu bạn</t>
  </si>
  <si>
    <t>:love-you_gesture_dark_skin_tone:</t>
  </si>
  <si>
    <t>🤟🏿</t>
  </si>
  <si>
    <t>cử chỉ yêu bạn màu da sẫm</t>
  </si>
  <si>
    <t>:love-you_gesture_light_skin_tone:</t>
  </si>
  <si>
    <t>🤟🏻</t>
  </si>
  <si>
    <t>cử chỉ yêu bạn màu da sáng</t>
  </si>
  <si>
    <t>:love-you_gesture_medium-dark_skin_tone:</t>
  </si>
  <si>
    <t>🤟🏾</t>
  </si>
  <si>
    <t>cử chỉ yêu bạn màu da sẫm vừa</t>
  </si>
  <si>
    <t>:love-you_gesture_medium-light_skin_tone:</t>
  </si>
  <si>
    <t>🤟🏼</t>
  </si>
  <si>
    <t>cử chỉ yêu bạn màu da sáng vừa</t>
  </si>
  <si>
    <t>:love-you_gesture_medium_skin_tone:</t>
  </si>
  <si>
    <t>🤟🏽</t>
  </si>
  <si>
    <t>cử chỉ yêu bạn màu da thường</t>
  </si>
  <si>
    <t>:love_hotel:</t>
  </si>
  <si>
    <t>🏩</t>
  </si>
  <si>
    <t>:love_letter:</t>
  </si>
  <si>
    <t>💌</t>
  </si>
  <si>
    <t>:luggage:</t>
  </si>
  <si>
    <t>🧳</t>
  </si>
  <si>
    <t>:lungs:</t>
  </si>
  <si>
    <t>🫁</t>
  </si>
  <si>
    <t>phổi</t>
  </si>
  <si>
    <t>:lying_face:</t>
  </si>
  <si>
    <t>🤥</t>
  </si>
  <si>
    <t>:mage:</t>
  </si>
  <si>
    <t>🧙</t>
  </si>
  <si>
    <t>pháp sư</t>
  </si>
  <si>
    <t>:mage_dark_skin_tone:</t>
  </si>
  <si>
    <t>🧙🏿</t>
  </si>
  <si>
    <t>pháp sư màu da sẫm</t>
  </si>
  <si>
    <t>:mage_light_skin_tone:</t>
  </si>
  <si>
    <t>🧙🏻</t>
  </si>
  <si>
    <t>pháp sư màu da sáng</t>
  </si>
  <si>
    <t>:mage_medium-dark_skin_tone:</t>
  </si>
  <si>
    <t>🧙🏾</t>
  </si>
  <si>
    <t>pháp sư màu da sẫm vừa</t>
  </si>
  <si>
    <t>:mage_medium-light_skin_tone:</t>
  </si>
  <si>
    <t>🧙🏼</t>
  </si>
  <si>
    <t>pháp sư màu da sáng vừa</t>
  </si>
  <si>
    <t>:mage_medium_skin_tone:</t>
  </si>
  <si>
    <t>🧙🏽</t>
  </si>
  <si>
    <t>pháp sư màu da thường</t>
  </si>
  <si>
    <t>:magic_wand:</t>
  </si>
  <si>
    <t>🪄</t>
  </si>
  <si>
    <t>:magnet:</t>
  </si>
  <si>
    <t>🧲</t>
  </si>
  <si>
    <t>:magnifying_glass_tilted_left:</t>
  </si>
  <si>
    <t>🔍</t>
  </si>
  <si>
    <t>:magnifying_glass_tilted_right:</t>
  </si>
  <si>
    <t>🔎</t>
  </si>
  <si>
    <t>:mahjong_red_dragon:</t>
  </si>
  <si>
    <t>🀄</t>
  </si>
  <si>
    <t>mạt chược rồng đỏ</t>
  </si>
  <si>
    <t>:male_sign:</t>
  </si>
  <si>
    <t>♂</t>
  </si>
  <si>
    <t>dấu nam</t>
  </si>
  <si>
    <t>:mammoth:</t>
  </si>
  <si>
    <t>🦣</t>
  </si>
  <si>
    <t>voi ma mút</t>
  </si>
  <si>
    <t>:man:</t>
  </si>
  <si>
    <t>👨</t>
  </si>
  <si>
    <t>:man_artist:</t>
  </si>
  <si>
    <t>👨‍🎨</t>
  </si>
  <si>
    <t>nghệ sĩ nam</t>
  </si>
  <si>
    <t>:man_artist_dark_skin_tone:</t>
  </si>
  <si>
    <t>👨🏿‍🎨</t>
  </si>
  <si>
    <t>nghệ sĩ nam màu da sẫm</t>
  </si>
  <si>
    <t>:man_artist_light_skin_tone:</t>
  </si>
  <si>
    <t>👨🏻‍🎨</t>
  </si>
  <si>
    <t>nghệ sĩ nam màu da sáng</t>
  </si>
  <si>
    <t>:man_artist_medium-dark_skin_tone:</t>
  </si>
  <si>
    <t>👨🏾‍🎨</t>
  </si>
  <si>
    <t>nghệ sĩ nam màu da sẫm vừa</t>
  </si>
  <si>
    <t>:man_artist_medium-light_skin_tone:</t>
  </si>
  <si>
    <t>👨🏼‍🎨</t>
  </si>
  <si>
    <t>nghệ sĩ nam màu da sáng vừa</t>
  </si>
  <si>
    <t>:man_artist_medium_skin_tone:</t>
  </si>
  <si>
    <t>👨🏽‍🎨</t>
  </si>
  <si>
    <t>nghệ sĩ nam màu da thường</t>
  </si>
  <si>
    <t>:man_astronaut:</t>
  </si>
  <si>
    <t>👨‍🚀</t>
  </si>
  <si>
    <t>phi hành gia nam</t>
  </si>
  <si>
    <t>:man_astronaut_dark_skin_tone:</t>
  </si>
  <si>
    <t>👨🏿‍🚀</t>
  </si>
  <si>
    <t>phi hành gia nam màu da sẫm</t>
  </si>
  <si>
    <t>:man_astronaut_light_skin_tone:</t>
  </si>
  <si>
    <t>👨🏻‍🚀</t>
  </si>
  <si>
    <t>phi hành gia nam màu da sáng</t>
  </si>
  <si>
    <t>:man_astronaut_medium-dark_skin_tone:</t>
  </si>
  <si>
    <t>👨🏾‍🚀</t>
  </si>
  <si>
    <t>phi hành gia nam màu da sẫm vừa</t>
  </si>
  <si>
    <t>:man_astronaut_medium-light_skin_tone:</t>
  </si>
  <si>
    <t>👨🏼‍🚀</t>
  </si>
  <si>
    <t>phi hành gia nam màu da sáng vừa</t>
  </si>
  <si>
    <t>:man_astronaut_medium_skin_tone:</t>
  </si>
  <si>
    <t>👨🏽‍🚀</t>
  </si>
  <si>
    <t>phi hành gia nam màu da thường</t>
  </si>
  <si>
    <t>:man_bald:</t>
  </si>
  <si>
    <t>👨‍🦲</t>
  </si>
  <si>
    <t>:man_beard:</t>
  </si>
  <si>
    <t>🧔‍♂️</t>
  </si>
  <si>
    <t>người đàn ông có râu</t>
  </si>
  <si>
    <t>:man_biking:</t>
  </si>
  <si>
    <t>🚴‍♂️</t>
  </si>
  <si>
    <t>:man_biking_dark_skin_tone:</t>
  </si>
  <si>
    <t>🚴🏿‍♂️</t>
  </si>
  <si>
    <t>Người đàn ông đi xe đạp màu da sẫm</t>
  </si>
  <si>
    <t>:man_biking_light_skin_tone:</t>
  </si>
  <si>
    <t>🚴🏻‍♂️</t>
  </si>
  <si>
    <t>Người đàn ông đi xe đạp màu da sáng</t>
  </si>
  <si>
    <t>:man_biking_medium-dark_skin_tone:</t>
  </si>
  <si>
    <t>🚴🏾‍♂️</t>
  </si>
  <si>
    <t>Người đàn ông đi xe đạp màu da sẫm vừa</t>
  </si>
  <si>
    <t>:man_biking_medium-light_skin_tone:</t>
  </si>
  <si>
    <t>🚴🏼‍♂️</t>
  </si>
  <si>
    <t>Người đàn ông đi xe đạp màu da sáng vừa</t>
  </si>
  <si>
    <t>:man_biking_medium_skin_tone:</t>
  </si>
  <si>
    <t>🚴🏽‍♂️</t>
  </si>
  <si>
    <t>Người đàn ông đi xe đạp màu da thường</t>
  </si>
  <si>
    <t>:man_blond_hair:</t>
  </si>
  <si>
    <t>👱‍♂️</t>
  </si>
  <si>
    <t>:man_bouncing_ball:</t>
  </si>
  <si>
    <t>⛹️‍♂️</t>
  </si>
  <si>
    <t>người đàn ông và bóng nảy</t>
  </si>
  <si>
    <t>:man_bouncing_ball_dark_skin_tone:</t>
  </si>
  <si>
    <t>⛹🏿‍♂️</t>
  </si>
  <si>
    <t>người đàn ông và bóng nảy màu da sẫm</t>
  </si>
  <si>
    <t>:man_bouncing_ball_light_skin_tone:</t>
  </si>
  <si>
    <t>⛹🏻‍♂️</t>
  </si>
  <si>
    <t>người đàn ông và bóng nảy màu da sáng</t>
  </si>
  <si>
    <t>:man_bouncing_ball_medium-dark_skin_tone:</t>
  </si>
  <si>
    <t>⛹🏾‍♂️</t>
  </si>
  <si>
    <t>người đàn ông và bóng nảy màu da sẫm vừa</t>
  </si>
  <si>
    <t>:man_bouncing_ball_medium-light_skin_tone:</t>
  </si>
  <si>
    <t>⛹🏼‍♂️</t>
  </si>
  <si>
    <t>người đàn ông và bóng nảy màu da sáng vừa</t>
  </si>
  <si>
    <t>:man_bouncing_ball_medium_skin_tone:</t>
  </si>
  <si>
    <t>⛹🏽‍♂️</t>
  </si>
  <si>
    <t>người đàn ông và bóng nảy màu da thường</t>
  </si>
  <si>
    <t>:man_bowing:</t>
  </si>
  <si>
    <t>🙇‍♂️</t>
  </si>
  <si>
    <t>người đàn ông cúi đầu</t>
  </si>
  <si>
    <t>:man_bowing_dark_skin_tone:</t>
  </si>
  <si>
    <t>🙇🏿‍♂️</t>
  </si>
  <si>
    <t>người đàn ông màu da sẫm cúi đầu</t>
  </si>
  <si>
    <t>:man_bowing_light_skin_tone:</t>
  </si>
  <si>
    <t>🙇🏻‍♂️</t>
  </si>
  <si>
    <t>người đàn ông màu da sáng cúi đầu</t>
  </si>
  <si>
    <t>:man_bowing_medium-dark_skin_tone:</t>
  </si>
  <si>
    <t>🙇🏾‍♂️</t>
  </si>
  <si>
    <t>người đàn ông màu da sẫm vừa cúi đầu</t>
  </si>
  <si>
    <t>:man_bowing_medium-light_skin_tone:</t>
  </si>
  <si>
    <t>🙇🏼‍♂️</t>
  </si>
  <si>
    <t>người đàn ông màu da sáng vừa cúi đầu</t>
  </si>
  <si>
    <t>:man_bowing_medium_skin_tone:</t>
  </si>
  <si>
    <t>🙇🏽‍♂️</t>
  </si>
  <si>
    <t>người đàn ông màu da thường cúi đầu</t>
  </si>
  <si>
    <t>:man_cartwheeling:</t>
  </si>
  <si>
    <t>🤸‍♂️</t>
  </si>
  <si>
    <t>người đàn ông nhào lộn</t>
  </si>
  <si>
    <t>:man_cartwheeling_dark_skin_tone:</t>
  </si>
  <si>
    <t>🤸🏿‍♂️</t>
  </si>
  <si>
    <t>người đàn ông màu da sẫm nhào lộn</t>
  </si>
  <si>
    <t>:man_cartwheeling_light_skin_tone:</t>
  </si>
  <si>
    <t>🤸🏻‍♂️</t>
  </si>
  <si>
    <t>người đàn ông màu da sáng nhào lộn</t>
  </si>
  <si>
    <t>:man_cartwheeling_medium-dark_skin_tone:</t>
  </si>
  <si>
    <t>🤸🏾‍♂️</t>
  </si>
  <si>
    <t>người đàn ông màu da sẫm vừa nhào lộn</t>
  </si>
  <si>
    <t>:man_cartwheeling_medium-light_skin_tone:</t>
  </si>
  <si>
    <t>🤸🏼‍♂️</t>
  </si>
  <si>
    <t>người đàn ông màu da sáng vừa nhào lộn</t>
  </si>
  <si>
    <t>:man_cartwheeling_medium_skin_tone:</t>
  </si>
  <si>
    <t>🤸🏽‍♂️</t>
  </si>
  <si>
    <t>người đàn ông màu da thường nhào lộn</t>
  </si>
  <si>
    <t>:man_climbing:</t>
  </si>
  <si>
    <t>🧗‍♂️</t>
  </si>
  <si>
    <t>người đàn ông leo núi</t>
  </si>
  <si>
    <t>:man_climbing_dark_skin_tone:</t>
  </si>
  <si>
    <t>🧗🏿‍♂️</t>
  </si>
  <si>
    <t>người đàn ông màu da sẫm leo núi</t>
  </si>
  <si>
    <t>:man_climbing_light_skin_tone:</t>
  </si>
  <si>
    <t>🧗🏻‍♂️</t>
  </si>
  <si>
    <t>người đàn ông màu da sáng leo núi</t>
  </si>
  <si>
    <t>:man_climbing_medium-dark_skin_tone:</t>
  </si>
  <si>
    <t>🧗🏾‍♂️</t>
  </si>
  <si>
    <t>người đàn ông màu da sẫm vừa leo núi</t>
  </si>
  <si>
    <t>:man_climbing_medium-light_skin_tone:</t>
  </si>
  <si>
    <t>🧗🏼‍♂️</t>
  </si>
  <si>
    <t>người đàn ông màu da sáng vừa leo núi</t>
  </si>
  <si>
    <t>:man_climbing_medium_skin_tone:</t>
  </si>
  <si>
    <t>🧗🏽‍♂️</t>
  </si>
  <si>
    <t>người đàn ông màu da thường leo núi</t>
  </si>
  <si>
    <t>:man_construction_worker:</t>
  </si>
  <si>
    <t>👷‍♂️</t>
  </si>
  <si>
    <t>công nhân xây dựng nam</t>
  </si>
  <si>
    <t>:man_construction_worker_dark_skin_tone:</t>
  </si>
  <si>
    <t>👷🏿‍♂️</t>
  </si>
  <si>
    <t>công nhân xây dựng nam màu da sẫm</t>
  </si>
  <si>
    <t>:man_construction_worker_light_skin_tone:</t>
  </si>
  <si>
    <t>👷🏻‍♂️</t>
  </si>
  <si>
    <t>công nhân xây dựng nam màu da sáng</t>
  </si>
  <si>
    <t>:man_construction_worker_medium-dark_skin_tone:</t>
  </si>
  <si>
    <t>👷🏾‍♂️</t>
  </si>
  <si>
    <t>công nhân xây dựng nam màu da sẫm vừa</t>
  </si>
  <si>
    <t>:man_construction_worker_medium-light_skin_tone:</t>
  </si>
  <si>
    <t>👷🏼‍♂️</t>
  </si>
  <si>
    <t>công nhân xây dựng nam màu da sáng vừa</t>
  </si>
  <si>
    <t>:man_construction_worker_medium_skin_tone:</t>
  </si>
  <si>
    <t>👷🏽‍♂️</t>
  </si>
  <si>
    <t>công nhân xây dựng nam màu da thường</t>
  </si>
  <si>
    <t>:man_cook:</t>
  </si>
  <si>
    <t>👨‍🍳</t>
  </si>
  <si>
    <t>đầu bếp nam</t>
  </si>
  <si>
    <t>:man_cook_dark_skin_tone:</t>
  </si>
  <si>
    <t>👨🏿‍🍳</t>
  </si>
  <si>
    <t>đầu bếp nam màu da sẫm</t>
  </si>
  <si>
    <t>:man_cook_light_skin_tone:</t>
  </si>
  <si>
    <t>👨🏻‍🍳</t>
  </si>
  <si>
    <t>đầu bếp nam màu da sáng</t>
  </si>
  <si>
    <t>:man_cook_medium-dark_skin_tone:</t>
  </si>
  <si>
    <t>👨🏾‍🍳</t>
  </si>
  <si>
    <t>đầu bếp nam màu da sẫm vừa</t>
  </si>
  <si>
    <t>:man_cook_medium-light_skin_tone:</t>
  </si>
  <si>
    <t>👨🏼‍🍳</t>
  </si>
  <si>
    <t>đầu bếp nam màu da sáng vừa</t>
  </si>
  <si>
    <t>:man_cook_medium_skin_tone:</t>
  </si>
  <si>
    <t>👨🏽‍🍳</t>
  </si>
  <si>
    <t>đầu bếp nam màu da thường</t>
  </si>
  <si>
    <t>:man_curly_hair:</t>
  </si>
  <si>
    <t>👨‍🦱</t>
  </si>
  <si>
    <t>người đàn ông tóc xoăn</t>
  </si>
  <si>
    <t>:man_dancing:</t>
  </si>
  <si>
    <t>🕺</t>
  </si>
  <si>
    <t>người đàn ông khiêu vũ</t>
  </si>
  <si>
    <t>:man_dancing_dark_skin_tone:</t>
  </si>
  <si>
    <t>🕺🏿</t>
  </si>
  <si>
    <t>người đàn ông màu da sẫm khiêu vũ</t>
  </si>
  <si>
    <t>:man_dancing_light_skin_tone:</t>
  </si>
  <si>
    <t>🕺🏻</t>
  </si>
  <si>
    <t>người đàn ông màu da sáng khiêu vũ</t>
  </si>
  <si>
    <t>:man_dancing_medium-dark_skin_tone:</t>
  </si>
  <si>
    <t>🕺🏾</t>
  </si>
  <si>
    <t>người đàn ông màu da sẫm vừa khiêu vũ</t>
  </si>
  <si>
    <t>:man_dancing_medium-light_skin_tone:</t>
  </si>
  <si>
    <t>🕺🏼</t>
  </si>
  <si>
    <t>người đàn ông màu da sáng vừa khiêu vũ</t>
  </si>
  <si>
    <t>:man_dancing_medium_skin_tone:</t>
  </si>
  <si>
    <t>🕺🏽</t>
  </si>
  <si>
    <t>người đàn ông màu da thường khiêu vũ</t>
  </si>
  <si>
    <t>:man_dark_skin_tone:</t>
  </si>
  <si>
    <t>👨🏿</t>
  </si>
  <si>
    <t>người đàn ông da sẫm</t>
  </si>
  <si>
    <t>:man_dark_skin_tone_bald:</t>
  </si>
  <si>
    <t>👨🏿‍🦲</t>
  </si>
  <si>
    <t>người đàn ông hói da sẫm</t>
  </si>
  <si>
    <t>:man_dark_skin_tone_beard:</t>
  </si>
  <si>
    <t>🧔🏿‍♂️</t>
  </si>
  <si>
    <t>người đàn ông có râu da sẫm</t>
  </si>
  <si>
    <t>:man_dark_skin_tone_blond_hair:</t>
  </si>
  <si>
    <t>👱🏿‍♂️</t>
  </si>
  <si>
    <t>người đàn ông tóc vàng da sẫm</t>
  </si>
  <si>
    <t>:man_dark_skin_tone_curly_hair:</t>
  </si>
  <si>
    <t>👨🏿‍🦱</t>
  </si>
  <si>
    <t>người đàn ông tóc xoăn da sẫm</t>
  </si>
  <si>
    <t>:man_dark_skin_tone_red_hair:</t>
  </si>
  <si>
    <t>👨🏿‍🦰</t>
  </si>
  <si>
    <t>người đàn ông tóc đỏ da sẫm</t>
  </si>
  <si>
    <t>:man_dark_skin_tone_white_hair:</t>
  </si>
  <si>
    <t>👨🏿‍🦳</t>
  </si>
  <si>
    <t>người đàn ông tóc trắng da sẫm</t>
  </si>
  <si>
    <t>:man_detective:</t>
  </si>
  <si>
    <t>🕵️‍♂️</t>
  </si>
  <si>
    <t>thám tử nam</t>
  </si>
  <si>
    <t>:man_detective_dark_skin_tone:</t>
  </si>
  <si>
    <t>🕵🏿‍♂️</t>
  </si>
  <si>
    <t>thám tử nam màu da sẫm</t>
  </si>
  <si>
    <t>:man_detective_light_skin_tone:</t>
  </si>
  <si>
    <t>🕵🏻‍♂️</t>
  </si>
  <si>
    <t>thám tử nam màu da sáng</t>
  </si>
  <si>
    <t>:man_detective_medium-dark_skin_tone:</t>
  </si>
  <si>
    <t>🕵🏾‍♂️</t>
  </si>
  <si>
    <t>thám tử nam màu da sẫm vừa</t>
  </si>
  <si>
    <t>:man_detective_medium-light_skin_tone:</t>
  </si>
  <si>
    <t>🕵🏼‍♂️</t>
  </si>
  <si>
    <t>thám tử nam màu da sáng vừa</t>
  </si>
  <si>
    <t>:man_detective_medium_skin_tone:</t>
  </si>
  <si>
    <t>🕵🏽‍♂️</t>
  </si>
  <si>
    <t>thám tử nam màu da thường</t>
  </si>
  <si>
    <t>:man_elf:</t>
  </si>
  <si>
    <t>🧝‍♂️</t>
  </si>
  <si>
    <t>elf nam</t>
  </si>
  <si>
    <t>:man_elf_dark_skin_tone:</t>
  </si>
  <si>
    <t>🧝🏿‍♂️</t>
  </si>
  <si>
    <t>elf nam màu da sẫm</t>
  </si>
  <si>
    <t>:man_elf_light_skin_tone:</t>
  </si>
  <si>
    <t>🧝🏻‍♂️</t>
  </si>
  <si>
    <t>elf nam màu da sáng</t>
  </si>
  <si>
    <t>:man_elf_medium-dark_skin_tone:</t>
  </si>
  <si>
    <t>🧝🏾‍♂️</t>
  </si>
  <si>
    <t>elf nam màu da sẫm vừa</t>
  </si>
  <si>
    <t>:man_elf_medium-light_skin_tone:</t>
  </si>
  <si>
    <t>🧝🏼‍♂️</t>
  </si>
  <si>
    <t>elf nam màu da sáng vừa</t>
  </si>
  <si>
    <t>:man_elf_medium_skin_tone:</t>
  </si>
  <si>
    <t>🧝🏽‍♂️</t>
  </si>
  <si>
    <t>elf nam màu da thường</t>
  </si>
  <si>
    <t>:man_facepalming:</t>
  </si>
  <si>
    <t>🤦‍♂️</t>
  </si>
  <si>
    <t>người đàn ông lấy tay che mặt</t>
  </si>
  <si>
    <t>:man_facepalming_dark_skin_tone:</t>
  </si>
  <si>
    <t>🤦🏿‍♂️</t>
  </si>
  <si>
    <t>người đàn ông màu da sẫm lấy tay che mặt</t>
  </si>
  <si>
    <t>:man_facepalming_light_skin_tone:</t>
  </si>
  <si>
    <t>🤦🏻‍♂️</t>
  </si>
  <si>
    <t>người đàn ông màu da sáng lấy tay che mặt</t>
  </si>
  <si>
    <t>:man_facepalming_medium-dark_skin_tone:</t>
  </si>
  <si>
    <t>🤦🏾‍♂️</t>
  </si>
  <si>
    <t>người đàn ông màu da sẫm vừa lấy tay che mặt</t>
  </si>
  <si>
    <t>:man_facepalming_medium-light_skin_tone:</t>
  </si>
  <si>
    <t>🤦🏼‍♂️</t>
  </si>
  <si>
    <t>người đàn ông màu da sáng vừa lấy tay che mặt</t>
  </si>
  <si>
    <t>:man_facepalming_medium_skin_tone:</t>
  </si>
  <si>
    <t>🤦🏽‍♂️</t>
  </si>
  <si>
    <t>người đàn ông màu da thường lấy tay che mặt</t>
  </si>
  <si>
    <t>:man_factory_worker:</t>
  </si>
  <si>
    <t>👨‍🏭</t>
  </si>
  <si>
    <t>nhân viên nhà máy nam</t>
  </si>
  <si>
    <t>:man_factory_worker_dark_skin_tone:</t>
  </si>
  <si>
    <t>👨🏿‍🏭</t>
  </si>
  <si>
    <t>nhân viên nhà máy nam màu da sẫm</t>
  </si>
  <si>
    <t>:man_factory_worker_light_skin_tone:</t>
  </si>
  <si>
    <t>👨🏻‍🏭</t>
  </si>
  <si>
    <t>nhân viên nhà máy nam màu da sáng</t>
  </si>
  <si>
    <t>:man_factory_worker_medium-dark_skin_tone:</t>
  </si>
  <si>
    <t>👨🏾‍🏭</t>
  </si>
  <si>
    <t>nhân viên nhà máy nam màu da sẫm vừa</t>
  </si>
  <si>
    <t>:man_factory_worker_medium-light_skin_tone:</t>
  </si>
  <si>
    <t>👨🏼‍🏭</t>
  </si>
  <si>
    <t>nhân viên nhà máy nam màu da sáng vừa</t>
  </si>
  <si>
    <t>:man_factory_worker_medium_skin_tone:</t>
  </si>
  <si>
    <t>👨🏽‍🏭</t>
  </si>
  <si>
    <t>nhân viên nhà máy nam màu da thường</t>
  </si>
  <si>
    <t>:man_fairy:</t>
  </si>
  <si>
    <t>🧚‍♂️</t>
  </si>
  <si>
    <t>tiên nam</t>
  </si>
  <si>
    <t>:man_fairy_dark_skin_tone:</t>
  </si>
  <si>
    <t>🧚🏿‍♂️</t>
  </si>
  <si>
    <t>tiên nam màu da sẫm</t>
  </si>
  <si>
    <t>:man_fairy_light_skin_tone:</t>
  </si>
  <si>
    <t>🧚🏻‍♂️</t>
  </si>
  <si>
    <t>tiên nam màu da sáng</t>
  </si>
  <si>
    <t>:man_fairy_medium-dark_skin_tone:</t>
  </si>
  <si>
    <t>🧚🏾‍♂️</t>
  </si>
  <si>
    <t>tiên nam màu da sẫm vừa</t>
  </si>
  <si>
    <t>:man_fairy_medium-light_skin_tone:</t>
  </si>
  <si>
    <t>🧚🏼‍♂️</t>
  </si>
  <si>
    <t>tiên nam màu da sáng vừa</t>
  </si>
  <si>
    <t>:man_fairy_medium_skin_tone:</t>
  </si>
  <si>
    <t>🧚🏽‍♂️</t>
  </si>
  <si>
    <t>tiên nam màu da thường</t>
  </si>
  <si>
    <t>:man_farmer:</t>
  </si>
  <si>
    <t>👨‍🌾</t>
  </si>
  <si>
    <t>nông dân nam</t>
  </si>
  <si>
    <t>:man_farmer_dark_skin_tone:</t>
  </si>
  <si>
    <t>👨🏿‍🌾</t>
  </si>
  <si>
    <t>nông dân nam màu da sẫm</t>
  </si>
  <si>
    <t>:man_farmer_light_skin_tone:</t>
  </si>
  <si>
    <t>👨🏻‍🌾</t>
  </si>
  <si>
    <t>nông dân nam màu da sáng</t>
  </si>
  <si>
    <t>:man_farmer_medium-dark_skin_tone:</t>
  </si>
  <si>
    <t>👨🏾‍🌾</t>
  </si>
  <si>
    <t>nông dân nam màu da sẫm vừa</t>
  </si>
  <si>
    <t>:man_farmer_medium-light_skin_tone:</t>
  </si>
  <si>
    <t>👨🏼‍🌾</t>
  </si>
  <si>
    <t>nông dân nam màu da sáng vừa</t>
  </si>
  <si>
    <t>:man_farmer_medium_skin_tone:</t>
  </si>
  <si>
    <t>👨🏽‍🌾</t>
  </si>
  <si>
    <t>nông dân nam màu da thường</t>
  </si>
  <si>
    <t>:man_feeding_baby:</t>
  </si>
  <si>
    <t>👨‍🍼</t>
  </si>
  <si>
    <t>người đàn ông cho em bé ăn</t>
  </si>
  <si>
    <t>:man_feeding_baby_dark_skin_tone:</t>
  </si>
  <si>
    <t>👨🏿‍🍼</t>
  </si>
  <si>
    <t>người đàn ông màu da sẫm cho em bé ăn</t>
  </si>
  <si>
    <t>:man_feeding_baby_light_skin_tone:</t>
  </si>
  <si>
    <t>👨🏻‍🍼</t>
  </si>
  <si>
    <t>người đàn ông màu da sáng cho em bé ăn</t>
  </si>
  <si>
    <t>:man_feeding_baby_medium-dark_skin_tone:</t>
  </si>
  <si>
    <t>👨🏾‍🍼</t>
  </si>
  <si>
    <t>người đàn ông màu da sẫm vừa cho em bé ăn</t>
  </si>
  <si>
    <t>:man_feeding_baby_medium-light_skin_tone:</t>
  </si>
  <si>
    <t>👨🏼‍🍼</t>
  </si>
  <si>
    <t>người đàn ông màu da sáng vừa cho em bé ăn</t>
  </si>
  <si>
    <t>:man_feeding_baby_medium_skin_tone:</t>
  </si>
  <si>
    <t>👨🏽‍🍼</t>
  </si>
  <si>
    <t>người đàn ông màu da thường cho em bé ăn</t>
  </si>
  <si>
    <t>:man_firefighter:</t>
  </si>
  <si>
    <t>👨‍🚒</t>
  </si>
  <si>
    <t>lính cứu hoả nam</t>
  </si>
  <si>
    <t>:man_firefighter_dark_skin_tone:</t>
  </si>
  <si>
    <t>👨🏿‍🚒</t>
  </si>
  <si>
    <t>lính cứu hoả nam màu da sẫm</t>
  </si>
  <si>
    <t>:man_firefighter_light_skin_tone:</t>
  </si>
  <si>
    <t>👨🏻‍🚒</t>
  </si>
  <si>
    <t>lính cứu hoả nam màu da sáng</t>
  </si>
  <si>
    <t>:man_firefighter_medium-dark_skin_tone:</t>
  </si>
  <si>
    <t>👨🏾‍🚒</t>
  </si>
  <si>
    <t>lính cứu hoả nam màu da sẫm vừa</t>
  </si>
  <si>
    <t>:man_firefighter_medium-light_skin_tone:</t>
  </si>
  <si>
    <t>👨🏼‍🚒</t>
  </si>
  <si>
    <t>lính cứu hoả nam màu da sáng vừa</t>
  </si>
  <si>
    <t>:man_firefighter_medium_skin_tone:</t>
  </si>
  <si>
    <t>👨🏽‍🚒</t>
  </si>
  <si>
    <t>lính cứu hoả nam màu da thường</t>
  </si>
  <si>
    <t>:man_frowning:</t>
  </si>
  <si>
    <t>🙍‍♂️</t>
  </si>
  <si>
    <t>người đàn ông cau mày</t>
  </si>
  <si>
    <t>:man_frowning_dark_skin_tone:</t>
  </si>
  <si>
    <t>🙍🏿‍♂️</t>
  </si>
  <si>
    <t>người đàn ông cau mày màu da sẫm</t>
  </si>
  <si>
    <t>:man_frowning_light_skin_tone:</t>
  </si>
  <si>
    <t>🙍🏻‍♂️</t>
  </si>
  <si>
    <t>người đàn ông cau mày màu da sáng</t>
  </si>
  <si>
    <t>:man_frowning_medium-dark_skin_tone:</t>
  </si>
  <si>
    <t>🙍🏾‍♂️</t>
  </si>
  <si>
    <t>người đàn ông cau mày màu da sẫm vừa</t>
  </si>
  <si>
    <t>:man_frowning_medium-light_skin_tone:</t>
  </si>
  <si>
    <t>🙍🏼‍♂️</t>
  </si>
  <si>
    <t>người đàn ông cau mày màu da sáng vừa</t>
  </si>
  <si>
    <t>:man_frowning_medium_skin_tone:</t>
  </si>
  <si>
    <t>🙍🏽‍♂️</t>
  </si>
  <si>
    <t>người đàn ông cau mày màu da thường</t>
  </si>
  <si>
    <t>:man_genie:</t>
  </si>
  <si>
    <t>🧞‍♂️</t>
  </si>
  <si>
    <t>thần đèn nam</t>
  </si>
  <si>
    <t>:man_gesturing_NO:</t>
  </si>
  <si>
    <t>🙅‍♂️</t>
  </si>
  <si>
    <t>người đàn ông làm cử chỉ không</t>
  </si>
  <si>
    <t>:man_gesturing_NO_dark_skin_tone:</t>
  </si>
  <si>
    <t>🙅🏿‍♂️</t>
  </si>
  <si>
    <t>người đàn ông màu da sẫm làm cử chỉ không</t>
  </si>
  <si>
    <t>:man_gesturing_NO_light_skin_tone:</t>
  </si>
  <si>
    <t>🙅🏻‍♂️</t>
  </si>
  <si>
    <t>người đàn ông màu da sáng làm cử chỉ không</t>
  </si>
  <si>
    <t>:man_gesturing_NO_medium-dark_skin_tone:</t>
  </si>
  <si>
    <t>🙅🏾‍♂️</t>
  </si>
  <si>
    <t>người đàn ông màu da sẫm vừa làm cử chỉ không</t>
  </si>
  <si>
    <t>:man_gesturing_NO_medium-light_skin_tone:</t>
  </si>
  <si>
    <t>🙅🏼‍♂️</t>
  </si>
  <si>
    <t>người đàn ông màu da sáng vừa làm cử chỉ không</t>
  </si>
  <si>
    <t>:man_gesturing_NO_medium_skin_tone:</t>
  </si>
  <si>
    <t>🙅🏽‍♂️</t>
  </si>
  <si>
    <t>người đàn ông màu da thường làm cử chỉ không</t>
  </si>
  <si>
    <t>:man_gesturing_OK:</t>
  </si>
  <si>
    <t>🙆‍♂️</t>
  </si>
  <si>
    <t>người đàn ông làm cử chỉ ok</t>
  </si>
  <si>
    <t>:man_gesturing_OK_dark_skin_tone:</t>
  </si>
  <si>
    <t>🙆🏿‍♂️</t>
  </si>
  <si>
    <t>người đàn ông màu da sẫm làm cử chỉ ok</t>
  </si>
  <si>
    <t>:man_gesturing_OK_light_skin_tone:</t>
  </si>
  <si>
    <t>🙆🏻‍♂️</t>
  </si>
  <si>
    <t>người đàn ông màu da sáng làm cử chỉ ok</t>
  </si>
  <si>
    <t>:man_gesturing_OK_medium-dark_skin_tone:</t>
  </si>
  <si>
    <t>🙆🏾‍♂️</t>
  </si>
  <si>
    <t>người đàn ông màu da sẫm vừa làm cử chỉ ok</t>
  </si>
  <si>
    <t>:man_gesturing_OK_medium-light_skin_tone:</t>
  </si>
  <si>
    <t>🙆🏼‍♂️</t>
  </si>
  <si>
    <t>người đàn ông màu da sáng vừa làm cử chỉ ok</t>
  </si>
  <si>
    <t>:man_gesturing_OK_medium_skin_tone:</t>
  </si>
  <si>
    <t>🙆🏽‍♂️</t>
  </si>
  <si>
    <t>người đàn ông màu da thường làm cử chỉ ok</t>
  </si>
  <si>
    <t>:man_getting_haircut:</t>
  </si>
  <si>
    <t>💇‍♂️</t>
  </si>
  <si>
    <t>người đàn ông đang được cắt tóc</t>
  </si>
  <si>
    <t>:man_getting_haircut_dark_skin_tone:</t>
  </si>
  <si>
    <t>💇🏿‍♂️</t>
  </si>
  <si>
    <t>người đàn ông màu da sẫm đang được cắt tóc</t>
  </si>
  <si>
    <t>:man_getting_haircut_light_skin_tone:</t>
  </si>
  <si>
    <t>💇🏻‍♂️</t>
  </si>
  <si>
    <t>người đàn ông màu da sáng đang được cắt tóc</t>
  </si>
  <si>
    <t>:man_getting_haircut_medium-dark_skin_tone:</t>
  </si>
  <si>
    <t>💇🏾‍♂️</t>
  </si>
  <si>
    <t>người đàn ông màu da sẫm vừa đang được cắt tóc</t>
  </si>
  <si>
    <t>:man_getting_haircut_medium-light_skin_tone:</t>
  </si>
  <si>
    <t>💇🏼‍♂️</t>
  </si>
  <si>
    <t>người đàn ông màu da sáng vừa đang được cắt tóc</t>
  </si>
  <si>
    <t>:man_getting_haircut_medium_skin_tone:</t>
  </si>
  <si>
    <t>💇🏽‍♂️</t>
  </si>
  <si>
    <t>người đàn ông màu da thường đang được cắt tóc</t>
  </si>
  <si>
    <t>:man_getting_massage:</t>
  </si>
  <si>
    <t>💆‍♂️</t>
  </si>
  <si>
    <t>người đàn ông nhận được tin nhắn</t>
  </si>
  <si>
    <t>:man_getting_massage_dark_skin_tone:</t>
  </si>
  <si>
    <t>💆🏿‍♂️</t>
  </si>
  <si>
    <t>người đàn ông màu da sẫm nhận được tin nhắn</t>
  </si>
  <si>
    <t>:man_getting_massage_light_skin_tone:</t>
  </si>
  <si>
    <t>💆🏻‍♂️</t>
  </si>
  <si>
    <t>người đàn ông màu da sáng nhận được tin nhắn</t>
  </si>
  <si>
    <t>:man_getting_massage_medium-dark_skin_tone:</t>
  </si>
  <si>
    <t>💆🏾‍♂️</t>
  </si>
  <si>
    <t>người đàn ông màu da sẫm vừa nhận được tin nhắn</t>
  </si>
  <si>
    <t>:man_getting_massage_medium-light_skin_tone:</t>
  </si>
  <si>
    <t>💆🏼‍♂️</t>
  </si>
  <si>
    <t>người đàn ông màu da sáng vừa nhận được tin nhắn</t>
  </si>
  <si>
    <t>:man_getting_massage_medium_skin_tone:</t>
  </si>
  <si>
    <t>💆🏽‍♂️</t>
  </si>
  <si>
    <t>người đàn ông màu da thường nhận được tin nhắn</t>
  </si>
  <si>
    <t>:man_golfing:</t>
  </si>
  <si>
    <t>🏌️‍♂️</t>
  </si>
  <si>
    <t>người đàn ông chơi gôn</t>
  </si>
  <si>
    <t>:man_golfing_dark_skin_tone:</t>
  </si>
  <si>
    <t>🏌🏿‍♂️</t>
  </si>
  <si>
    <t>người đàn ông màu da sẫm chơi gôn</t>
  </si>
  <si>
    <t>:man_golfing_light_skin_tone:</t>
  </si>
  <si>
    <t>🏌🏻‍♂️</t>
  </si>
  <si>
    <t>người đàn ông màu da sáng chơi gôn</t>
  </si>
  <si>
    <t>:man_golfing_medium-dark_skin_tone:</t>
  </si>
  <si>
    <t>🏌🏾‍♂️</t>
  </si>
  <si>
    <t>người đàn ông màu da sẫm vừa chơi gôn</t>
  </si>
  <si>
    <t>:man_golfing_medium-light_skin_tone:</t>
  </si>
  <si>
    <t>🏌🏼‍♂️</t>
  </si>
  <si>
    <t>người đàn ông màu da sáng vừa chơi gôn</t>
  </si>
  <si>
    <t>:man_golfing_medium_skin_tone:</t>
  </si>
  <si>
    <t>🏌🏽‍♂️</t>
  </si>
  <si>
    <t>người đàn ông màu da thường chơi gôn</t>
  </si>
  <si>
    <t>:man_guard:</t>
  </si>
  <si>
    <t>💂‍♂️</t>
  </si>
  <si>
    <t>bảo vệ nam</t>
  </si>
  <si>
    <t>:man_guard_dark_skin_tone:</t>
  </si>
  <si>
    <t>💂🏿‍♂️</t>
  </si>
  <si>
    <t>bảo vệ nam màu da sẫm</t>
  </si>
  <si>
    <t>:man_guard_light_skin_tone:</t>
  </si>
  <si>
    <t>💂🏻‍♂️</t>
  </si>
  <si>
    <t>bảo vệ nam màu da sáng</t>
  </si>
  <si>
    <t>:man_guard_medium-dark_skin_tone:</t>
  </si>
  <si>
    <t>💂🏾‍♂️</t>
  </si>
  <si>
    <t>bảo vệ nam màu da sẫm vừa</t>
  </si>
  <si>
    <t>:man_guard_medium-light_skin_tone:</t>
  </si>
  <si>
    <t>💂🏼‍♂️</t>
  </si>
  <si>
    <t>bảo vệ nam màu da sáng vừa</t>
  </si>
  <si>
    <t>:man_guard_medium_skin_tone:</t>
  </si>
  <si>
    <t>💂🏽‍♂️</t>
  </si>
  <si>
    <t>bảo vệ nam màu da thường</t>
  </si>
  <si>
    <t>:man_health_worker:</t>
  </si>
  <si>
    <t>👨‍⚕️</t>
  </si>
  <si>
    <t>nhân viên y tế nam</t>
  </si>
  <si>
    <t>:man_health_worker_dark_skin_tone:</t>
  </si>
  <si>
    <t>👨🏿‍⚕️</t>
  </si>
  <si>
    <t>nhân viên y tế nam màu da sẫm</t>
  </si>
  <si>
    <t>:man_health_worker_light_skin_tone:</t>
  </si>
  <si>
    <t>👨🏻‍⚕️</t>
  </si>
  <si>
    <t>nhân viên y tế nam màu da sáng</t>
  </si>
  <si>
    <t>:man_health_worker_medium-dark_skin_tone:</t>
  </si>
  <si>
    <t>👨🏾‍⚕️</t>
  </si>
  <si>
    <t>nhân viên y tế nam màu da sẫm vừa</t>
  </si>
  <si>
    <t>:man_health_worker_medium-light_skin_tone:</t>
  </si>
  <si>
    <t>👨🏼‍⚕️</t>
  </si>
  <si>
    <t>nhân viên y tế nam màu da sáng vừa</t>
  </si>
  <si>
    <t>:man_health_worker_medium_skin_tone:</t>
  </si>
  <si>
    <t>👨🏽‍⚕️</t>
  </si>
  <si>
    <t>nhân viên y tế nam màu da thường</t>
  </si>
  <si>
    <t>:man_in_lotus_position:</t>
  </si>
  <si>
    <t>🧘‍♂️</t>
  </si>
  <si>
    <t>người đàn ông đang ngồi thiền</t>
  </si>
  <si>
    <t>:man_in_lotus_position_dark_skin_tone:</t>
  </si>
  <si>
    <t>🧘🏿‍♂️</t>
  </si>
  <si>
    <t>người đàn ông màu da sẫm đang ngồi thiền</t>
  </si>
  <si>
    <t>:man_in_lotus_position_light_skin_tone:</t>
  </si>
  <si>
    <t>🧘🏻‍♂️</t>
  </si>
  <si>
    <t>người đàn ông màu da sáng đang ngồi thiền</t>
  </si>
  <si>
    <t>:man_in_lotus_position_medium-dark_skin_tone:</t>
  </si>
  <si>
    <t>🧘🏾‍♂️</t>
  </si>
  <si>
    <t>người đàn ông màu da sẫm vừa đang ngồi thiền</t>
  </si>
  <si>
    <t>:man_in_lotus_position_medium-light_skin_tone:</t>
  </si>
  <si>
    <t>🧘🏼‍♂️</t>
  </si>
  <si>
    <t>người đàn ông màu da sáng vừa đang ngồi thiền</t>
  </si>
  <si>
    <t>:man_in_lotus_position_medium_skin_tone:</t>
  </si>
  <si>
    <t>🧘🏽‍♂️</t>
  </si>
  <si>
    <t>người đàn ông màu da thường đang ngồi thiền</t>
  </si>
  <si>
    <t>:man_in_manual_wheelchair:</t>
  </si>
  <si>
    <t>👨‍🦽</t>
  </si>
  <si>
    <t>người đàn ông lăn xe lăn bằng tay</t>
  </si>
  <si>
    <t>:man_in_manual_wheelchair_dark_skin_tone:</t>
  </si>
  <si>
    <t>👨🏿‍🦽</t>
  </si>
  <si>
    <t>người đàn ông màu da sẫm lăn xe lăn bằng tay</t>
  </si>
  <si>
    <t>:man_in_manual_wheelchair_light_skin_tone:</t>
  </si>
  <si>
    <t>👨🏻‍🦽</t>
  </si>
  <si>
    <t>người đàn ông màu da sáng lăn xe lăn bằng tay</t>
  </si>
  <si>
    <t>:man_in_manual_wheelchair_medium-dark_skin_tone:</t>
  </si>
  <si>
    <t>👨🏾‍🦽</t>
  </si>
  <si>
    <t>người đàn ông màu da sẫm vừa lăn xe lăn bằng tay</t>
  </si>
  <si>
    <t>:man_in_manual_wheelchair_medium-light_skin_tone:</t>
  </si>
  <si>
    <t>👨🏼‍🦽</t>
  </si>
  <si>
    <t>người đàn ông màu da sáng vừa lăn xe lăn bằng tay</t>
  </si>
  <si>
    <t>:man_in_manual_wheelchair_medium_skin_tone:</t>
  </si>
  <si>
    <t>👨🏽‍🦽</t>
  </si>
  <si>
    <t>người đàn ông màu da thường lăn xe lăn bằng tay</t>
  </si>
  <si>
    <t>:man_in_motorized_wheelchair:</t>
  </si>
  <si>
    <t>👨‍🦼</t>
  </si>
  <si>
    <t>người đàn ông trên xe lăn có động cơ</t>
  </si>
  <si>
    <t>:man_in_motorized_wheelchair_dark_skin_tone:</t>
  </si>
  <si>
    <t>👨🏿‍🦼</t>
  </si>
  <si>
    <t>người đàn ông trên xe lăn có động cơ màu da sẫm</t>
  </si>
  <si>
    <t>:man_in_motorized_wheelchair_light_skin_tone:</t>
  </si>
  <si>
    <t>👨🏻‍🦼</t>
  </si>
  <si>
    <t>người đàn ông trên xe lăn có động cơ màu da sáng</t>
  </si>
  <si>
    <t>:man_in_motorized_wheelchair_medium-dark_skin_tone:</t>
  </si>
  <si>
    <t>👨🏾‍🦼</t>
  </si>
  <si>
    <t>người đàn ông trên xe lăn có động cơ màu da sẫm vừa</t>
  </si>
  <si>
    <t>:man_in_motorized_wheelchair_medium-light_skin_tone:</t>
  </si>
  <si>
    <t>👨🏼‍🦼</t>
  </si>
  <si>
    <t>người đàn ông trên xe lăn có động cơ màu da sáng vừa</t>
  </si>
  <si>
    <t>:man_in_motorized_wheelchair_medium_skin_tone:</t>
  </si>
  <si>
    <t>👨🏽‍🦼</t>
  </si>
  <si>
    <t>người đàn ông trên xe lăn có động cơ màu da thường</t>
  </si>
  <si>
    <t>:man_in_steamy_room:</t>
  </si>
  <si>
    <t>🧖‍♂️</t>
  </si>
  <si>
    <t>người đàn ông trong phòng xông hơi</t>
  </si>
  <si>
    <t>:man_in_steamy_room_dark_skin_tone:</t>
  </si>
  <si>
    <t>🧖🏿‍♂️</t>
  </si>
  <si>
    <t>người đàn ông màu da sẫm trong phòng xông hơi</t>
  </si>
  <si>
    <t>:man_in_steamy_room_light_skin_tone:</t>
  </si>
  <si>
    <t>🧖🏻‍♂️</t>
  </si>
  <si>
    <t>người đàn ông màu da sáng trong phòng xông hơi</t>
  </si>
  <si>
    <t>:man_in_steamy_room_medium-dark_skin_tone:</t>
  </si>
  <si>
    <t>🧖🏾‍♂️</t>
  </si>
  <si>
    <t>người đàn ông màu da sẫm vừa trong phòng xông hơi</t>
  </si>
  <si>
    <t>:man_in_steamy_room_medium-light_skin_tone:</t>
  </si>
  <si>
    <t>🧖🏼‍♂️</t>
  </si>
  <si>
    <t>người đàn ông màu da sáng vừa trong phòng xông hơi</t>
  </si>
  <si>
    <t>:man_in_steamy_room_medium_skin_tone:</t>
  </si>
  <si>
    <t>🧖🏽‍♂️</t>
  </si>
  <si>
    <t>người đàn ông màu da thường trong phòng xông hơi</t>
  </si>
  <si>
    <t>:man_in_tuxedo:</t>
  </si>
  <si>
    <t>🤵‍♂️</t>
  </si>
  <si>
    <t>người đàn ông mang áo đuôi tôm</t>
  </si>
  <si>
    <t>:man_in_tuxedo_dark_skin_tone:</t>
  </si>
  <si>
    <t>🤵🏿‍♂️</t>
  </si>
  <si>
    <t>người đàn ông màu da sẫm mang áo đuôi tôm</t>
  </si>
  <si>
    <t>:man_in_tuxedo_light_skin_tone:</t>
  </si>
  <si>
    <t>🤵🏻‍♂️</t>
  </si>
  <si>
    <t>người đàn ông màu da sáng mang áo đuôi tôm</t>
  </si>
  <si>
    <t>:man_in_tuxedo_medium-dark_skin_tone:</t>
  </si>
  <si>
    <t>🤵🏾‍♂️</t>
  </si>
  <si>
    <t>người đàn ông màu da sẫm vừa mang áo đuôi tôm</t>
  </si>
  <si>
    <t>:man_in_tuxedo_medium-light_skin_tone:</t>
  </si>
  <si>
    <t>🤵🏼‍♂️</t>
  </si>
  <si>
    <t>người đàn ông màu da sáng vừa mang áo đuôi tôm</t>
  </si>
  <si>
    <t>:man_in_tuxedo_medium_skin_tone:</t>
  </si>
  <si>
    <t>🤵🏽‍♂️</t>
  </si>
  <si>
    <t>người đàn ông màu da thường mang áo đuôi tôm</t>
  </si>
  <si>
    <t>:man_judge:</t>
  </si>
  <si>
    <t>👨‍⚖️</t>
  </si>
  <si>
    <t>thẩm phán nam</t>
  </si>
  <si>
    <t>:man_judge_dark_skin_tone:</t>
  </si>
  <si>
    <t>👨🏿‍⚖️</t>
  </si>
  <si>
    <t>thẩm phán nam màu da sẫm</t>
  </si>
  <si>
    <t>:man_judge_light_skin_tone:</t>
  </si>
  <si>
    <t>👨🏻‍⚖️</t>
  </si>
  <si>
    <t>thẩm phán nam màu da sáng</t>
  </si>
  <si>
    <t>:man_judge_medium-dark_skin_tone:</t>
  </si>
  <si>
    <t>👨🏾‍⚖️</t>
  </si>
  <si>
    <t>thẩm phán nam màu da sẫm vừa</t>
  </si>
  <si>
    <t>:man_judge_medium-light_skin_tone:</t>
  </si>
  <si>
    <t>👨🏼‍⚖️</t>
  </si>
  <si>
    <t>thẩm phán nam màu da sáng vừa</t>
  </si>
  <si>
    <t>:man_judge_medium_skin_tone:</t>
  </si>
  <si>
    <t>👨🏽‍⚖️</t>
  </si>
  <si>
    <t>thẩm phán nam màu da thường</t>
  </si>
  <si>
    <t>:man_juggling:</t>
  </si>
  <si>
    <t>🤹‍♂️</t>
  </si>
  <si>
    <t>người đàn ông tung hứng</t>
  </si>
  <si>
    <t>:man_juggling_dark_skin_tone:</t>
  </si>
  <si>
    <t>🤹🏿‍♂️</t>
  </si>
  <si>
    <t>người đàn ông màu da sẫm tung hứng</t>
  </si>
  <si>
    <t>:man_juggling_light_skin_tone:</t>
  </si>
  <si>
    <t>🤹🏻‍♂️</t>
  </si>
  <si>
    <t>người đàn ông màu da sáng tung hứng</t>
  </si>
  <si>
    <t>:man_juggling_medium-dark_skin_tone:</t>
  </si>
  <si>
    <t>🤹🏾‍♂️</t>
  </si>
  <si>
    <t>người đàn ông màu da sẫm vừa tung hứng</t>
  </si>
  <si>
    <t>:man_juggling_medium-light_skin_tone:</t>
  </si>
  <si>
    <t>🤹🏼‍♂️</t>
  </si>
  <si>
    <t>người đàn ông màu da sáng vừa tung hứng</t>
  </si>
  <si>
    <t>:man_juggling_medium_skin_tone:</t>
  </si>
  <si>
    <t>🤹🏽‍♂️</t>
  </si>
  <si>
    <t>người đàn ông màu da thường tung hứng</t>
  </si>
  <si>
    <t>:man_kneeling:</t>
  </si>
  <si>
    <t>🧎‍♂️</t>
  </si>
  <si>
    <t>người đàn ông đang quỳ</t>
  </si>
  <si>
    <t>:man_kneeling_dark_skin_tone:</t>
  </si>
  <si>
    <t>🧎🏿‍♂️</t>
  </si>
  <si>
    <t>người đàn ông màu da sẫm đang quỳ</t>
  </si>
  <si>
    <t>:man_kneeling_light_skin_tone:</t>
  </si>
  <si>
    <t>🧎🏻‍♂️</t>
  </si>
  <si>
    <t>người đàn ông màu da sáng đang quỳ</t>
  </si>
  <si>
    <t>:man_kneeling_medium-dark_skin_tone:</t>
  </si>
  <si>
    <t>🧎🏾‍♂️</t>
  </si>
  <si>
    <t>người đàn ông màu da sẫm vừa đang quỳ</t>
  </si>
  <si>
    <t>:man_kneeling_medium-light_skin_tone:</t>
  </si>
  <si>
    <t>🧎🏼‍♂️</t>
  </si>
  <si>
    <t>người đàn ông màu da sáng vừa đang quỳ</t>
  </si>
  <si>
    <t>:man_kneeling_medium_skin_tone:</t>
  </si>
  <si>
    <t>🧎🏽‍♂️</t>
  </si>
  <si>
    <t>người đàn ông màu da thường đang quỳ</t>
  </si>
  <si>
    <t>:man_lifting_weights:</t>
  </si>
  <si>
    <t>🏋️‍♂️</t>
  </si>
  <si>
    <t>người đàn ông nâng tạ</t>
  </si>
  <si>
    <t>:man_lifting_weights_dark_skin_tone:</t>
  </si>
  <si>
    <t>🏋🏿‍♂️</t>
  </si>
  <si>
    <t>người đàn ông màu da sẫm nâng tạ</t>
  </si>
  <si>
    <t>:man_lifting_weights_light_skin_tone:</t>
  </si>
  <si>
    <t>🏋🏻‍♂️</t>
  </si>
  <si>
    <t>người đàn ông màu da sáng nâng tạ</t>
  </si>
  <si>
    <t>:man_lifting_weights_medium-dark_skin_tone:</t>
  </si>
  <si>
    <t>🏋🏾‍♂️</t>
  </si>
  <si>
    <t>người đàn ông màu da sẫm vừa nâng tạ</t>
  </si>
  <si>
    <t>:man_lifting_weights_medium-light_skin_tone:</t>
  </si>
  <si>
    <t>🏋🏼‍♂️</t>
  </si>
  <si>
    <t>người đàn ông màu da sáng vừa nâng tạ</t>
  </si>
  <si>
    <t>:man_lifting_weights_medium_skin_tone:</t>
  </si>
  <si>
    <t>🏋🏽‍♂️</t>
  </si>
  <si>
    <t>người đàn ông màu da thường nâng tạ</t>
  </si>
  <si>
    <t>:man_light_skin_tone:</t>
  </si>
  <si>
    <t>👨🏻</t>
  </si>
  <si>
    <t>người đàn ông da sáng</t>
  </si>
  <si>
    <t>:man_light_skin_tone_bald:</t>
  </si>
  <si>
    <t>👨🏻‍🦲</t>
  </si>
  <si>
    <t>người đàn ông hói da sáng</t>
  </si>
  <si>
    <t>:man_light_skin_tone_beard:</t>
  </si>
  <si>
    <t>🧔🏻‍♂️</t>
  </si>
  <si>
    <t>người đàn ông có râu da sáng</t>
  </si>
  <si>
    <t>:man_light_skin_tone_blond_hair:</t>
  </si>
  <si>
    <t>👱🏻‍♂️</t>
  </si>
  <si>
    <t>người đàn ông tóc vàng da sáng</t>
  </si>
  <si>
    <t>:man_light_skin_tone_curly_hair:</t>
  </si>
  <si>
    <t>👨🏻‍🦱</t>
  </si>
  <si>
    <t>người đàn ông tóc xoăn da sáng</t>
  </si>
  <si>
    <t>:man_light_skin_tone_red_hair:</t>
  </si>
  <si>
    <t>👨🏻‍🦰</t>
  </si>
  <si>
    <t>người đàn ông tóc đỏ da sáng</t>
  </si>
  <si>
    <t>:man_light_skin_tone_white_hair:</t>
  </si>
  <si>
    <t>👨🏻‍🦳</t>
  </si>
  <si>
    <t>người đàn ông tóc trắng da sáng</t>
  </si>
  <si>
    <t>:man_mage:</t>
  </si>
  <si>
    <t>🧙‍♂️</t>
  </si>
  <si>
    <t>pháp sư nam</t>
  </si>
  <si>
    <t>:man_mage_dark_skin_tone:</t>
  </si>
  <si>
    <t>🧙🏿‍♂️</t>
  </si>
  <si>
    <t>pháp sư nam màu da sẫm</t>
  </si>
  <si>
    <t>:man_mage_light_skin_tone:</t>
  </si>
  <si>
    <t>🧙🏻‍♂️</t>
  </si>
  <si>
    <t>pháp sư nam màu da sáng</t>
  </si>
  <si>
    <t>:man_mage_medium-dark_skin_tone:</t>
  </si>
  <si>
    <t>🧙🏾‍♂️</t>
  </si>
  <si>
    <t>pháp sư nam màu da sẫm vừa</t>
  </si>
  <si>
    <t>:man_mage_medium-light_skin_tone:</t>
  </si>
  <si>
    <t>🧙🏼‍♂️</t>
  </si>
  <si>
    <t>pháp sư nam màu da sáng vừa</t>
  </si>
  <si>
    <t>:man_mage_medium_skin_tone:</t>
  </si>
  <si>
    <t>🧙🏽‍♂️</t>
  </si>
  <si>
    <t>pháp sư nam màu da thường</t>
  </si>
  <si>
    <t>:man_mechanic:</t>
  </si>
  <si>
    <t>👨‍🔧</t>
  </si>
  <si>
    <t>thợ máy nam</t>
  </si>
  <si>
    <t>:man_mechanic_dark_skin_tone:</t>
  </si>
  <si>
    <t>👨🏿‍🔧</t>
  </si>
  <si>
    <t>thợ máy nam màu da sẫm</t>
  </si>
  <si>
    <t>:man_mechanic_light_skin_tone:</t>
  </si>
  <si>
    <t>👨🏻‍🔧</t>
  </si>
  <si>
    <t>thợ máy nam màu da sáng</t>
  </si>
  <si>
    <t>:man_mechanic_medium-dark_skin_tone:</t>
  </si>
  <si>
    <t>👨🏾‍🔧</t>
  </si>
  <si>
    <t>thợ máy nam màu da sẫm vừa</t>
  </si>
  <si>
    <t>:man_mechanic_medium-light_skin_tone:</t>
  </si>
  <si>
    <t>👨🏼‍🔧</t>
  </si>
  <si>
    <t>thợ máy nam màu da sáng vừa</t>
  </si>
  <si>
    <t>:man_mechanic_medium_skin_tone:</t>
  </si>
  <si>
    <t>👨🏽‍🔧</t>
  </si>
  <si>
    <t>thợ máy nam màu da thường</t>
  </si>
  <si>
    <t>:man_medium-dark_skin_tone:</t>
  </si>
  <si>
    <t>👨🏾</t>
  </si>
  <si>
    <t>người đàn ông da sẫm vừa</t>
  </si>
  <si>
    <t>:man_medium-dark_skin_tone_bald:</t>
  </si>
  <si>
    <t>👨🏾‍🦲</t>
  </si>
  <si>
    <t>người đàn ông hói da sẫm vừa</t>
  </si>
  <si>
    <t>:man_medium-dark_skin_tone_beard:</t>
  </si>
  <si>
    <t>🧔🏾‍♂️</t>
  </si>
  <si>
    <t>người đàn ông có râu da sẫm vừa</t>
  </si>
  <si>
    <t>:man_medium-dark_skin_tone_blond_hair:</t>
  </si>
  <si>
    <t>👱🏾‍♂️</t>
  </si>
  <si>
    <t>người đàn ông tóc vàng da sẫm vừa</t>
  </si>
  <si>
    <t>:man_medium-dark_skin_tone_curly_hair:</t>
  </si>
  <si>
    <t>👨🏾‍🦱</t>
  </si>
  <si>
    <t>người đàn ông tóc xoăn da sẫm vừa</t>
  </si>
  <si>
    <t>:man_medium-dark_skin_tone_red_hair:</t>
  </si>
  <si>
    <t>👨🏾‍🦰</t>
  </si>
  <si>
    <t>người đàn ông tóc đỏ da sẫm vừa</t>
  </si>
  <si>
    <t>:man_medium-dark_skin_tone_white_hair:</t>
  </si>
  <si>
    <t>👨🏾‍🦳</t>
  </si>
  <si>
    <t>người đàn ông tóc trắng da sẫm vừa</t>
  </si>
  <si>
    <t>:man_medium-light_skin_tone:</t>
  </si>
  <si>
    <t>👨🏼</t>
  </si>
  <si>
    <t>người đàn ông da sáng vừa</t>
  </si>
  <si>
    <t>:man_medium-light_skin_tone_bald:</t>
  </si>
  <si>
    <t>👨🏼‍🦲</t>
  </si>
  <si>
    <t>người đàn ông hói da sáng vừa</t>
  </si>
  <si>
    <t>:man_medium-light_skin_tone_beard:</t>
  </si>
  <si>
    <t>🧔🏼‍♂️</t>
  </si>
  <si>
    <t>người đàn ông có râu da sáng vừa</t>
  </si>
  <si>
    <t>:man_medium-light_skin_tone_blond_hair:</t>
  </si>
  <si>
    <t>👱🏼‍♂️</t>
  </si>
  <si>
    <t>người đàn ông tóc vàng da sáng vừa</t>
  </si>
  <si>
    <t>:man_medium-light_skin_tone_curly_hair:</t>
  </si>
  <si>
    <t>👨🏼‍🦱</t>
  </si>
  <si>
    <t>người đàn ông tóc xoăn da sáng vừa</t>
  </si>
  <si>
    <t>:man_medium-light_skin_tone_red_hair:</t>
  </si>
  <si>
    <t>👨🏼‍🦰</t>
  </si>
  <si>
    <t>người đàn ông tóc đỏ da sáng vừa</t>
  </si>
  <si>
    <t>:man_medium-light_skin_tone_white_hair:</t>
  </si>
  <si>
    <t>👨🏼‍🦳</t>
  </si>
  <si>
    <t>người đàn ông tóc trắng da sáng vừa</t>
  </si>
  <si>
    <t>:man_medium_skin_tone:</t>
  </si>
  <si>
    <t>👨🏽</t>
  </si>
  <si>
    <t>người đàn ông da thường</t>
  </si>
  <si>
    <t>:man_medium_skin_tone_bald:</t>
  </si>
  <si>
    <t>👨🏽‍🦲</t>
  </si>
  <si>
    <t>người đàn ông hói da thường</t>
  </si>
  <si>
    <t>:man_medium_skin_tone_beard:</t>
  </si>
  <si>
    <t>🧔🏽‍♂️</t>
  </si>
  <si>
    <t>người đàn ông có râu da thường</t>
  </si>
  <si>
    <t>:man_medium_skin_tone_blond_hair:</t>
  </si>
  <si>
    <t>👱🏽‍♂️</t>
  </si>
  <si>
    <t>người đàn ông tóc vàng da thường</t>
  </si>
  <si>
    <t>:man_medium_skin_tone_curly_hair:</t>
  </si>
  <si>
    <t>👨🏽‍🦱</t>
  </si>
  <si>
    <t>người đàn ông tóc xoăn da thường</t>
  </si>
  <si>
    <t>:man_medium_skin_tone_red_hair:</t>
  </si>
  <si>
    <t>👨🏽‍🦰</t>
  </si>
  <si>
    <t>người đàn ông tóc đỏ da thường</t>
  </si>
  <si>
    <t>:man_medium_skin_tone_white_hair:</t>
  </si>
  <si>
    <t>👨🏽‍🦳</t>
  </si>
  <si>
    <t>người đàn ông tóc trắng da thường</t>
  </si>
  <si>
    <t>:man_mountain_biking:</t>
  </si>
  <si>
    <t>🚵‍♂️</t>
  </si>
  <si>
    <t>người đàn ông đi xe đạp leo núi</t>
  </si>
  <si>
    <t>:man_mountain_biking_dark_skin_tone:</t>
  </si>
  <si>
    <t>🚵🏿‍♂️</t>
  </si>
  <si>
    <t>người đàn ông màu da sẫm đi xe đạp leo núi</t>
  </si>
  <si>
    <t>:man_mountain_biking_light_skin_tone:</t>
  </si>
  <si>
    <t>🚵🏻‍♂️</t>
  </si>
  <si>
    <t>người đàn ông màu da sáng đi xe đạp leo núi</t>
  </si>
  <si>
    <t>:man_mountain_biking_medium-dark_skin_tone:</t>
  </si>
  <si>
    <t>🚵🏾‍♂️</t>
  </si>
  <si>
    <t>người đàn ông màu da sẫm vừa đi xe đạp leo núi</t>
  </si>
  <si>
    <t>:man_mountain_biking_medium-light_skin_tone:</t>
  </si>
  <si>
    <t>🚵🏼‍♂️</t>
  </si>
  <si>
    <t>người đàn ông màu da sáng vừa đi xe đạp leo núi</t>
  </si>
  <si>
    <t>:man_mountain_biking_medium_skin_tone:</t>
  </si>
  <si>
    <t>🚵🏽‍♂️</t>
  </si>
  <si>
    <t>người đàn ông màu da thường đi xe đạp leo núi</t>
  </si>
  <si>
    <t>:man_office_worker:</t>
  </si>
  <si>
    <t>👨‍💼</t>
  </si>
  <si>
    <t>nhân viên văn phòng nam</t>
  </si>
  <si>
    <t>:man_office_worker_dark_skin_tone:</t>
  </si>
  <si>
    <t>👨🏿‍💼</t>
  </si>
  <si>
    <t>nhân viên văn phòng nam màu da sẫm</t>
  </si>
  <si>
    <t>:man_office_worker_light_skin_tone:</t>
  </si>
  <si>
    <t>👨🏻‍💼</t>
  </si>
  <si>
    <t>nhân viên văn phòng nam màu da sáng</t>
  </si>
  <si>
    <t>:man_office_worker_medium-dark_skin_tone:</t>
  </si>
  <si>
    <t>👨🏾‍💼</t>
  </si>
  <si>
    <t>nhân viên văn phòng nam màu da sẫm vừa</t>
  </si>
  <si>
    <t>:man_office_worker_medium-light_skin_tone:</t>
  </si>
  <si>
    <t>👨🏼‍💼</t>
  </si>
  <si>
    <t>nhân viên văn phòng nam màu da sáng vừa</t>
  </si>
  <si>
    <t>:man_office_worker_medium_skin_tone:</t>
  </si>
  <si>
    <t>👨🏽‍💼</t>
  </si>
  <si>
    <t>nhân viên văn phòng nam màu da thường</t>
  </si>
  <si>
    <t>:man_pilot:</t>
  </si>
  <si>
    <t>👨‍✈️</t>
  </si>
  <si>
    <t>phi công nam</t>
  </si>
  <si>
    <t>:man_pilot_dark_skin_tone:</t>
  </si>
  <si>
    <t>👨🏿‍✈️</t>
  </si>
  <si>
    <t>phi công nam màu da sẫm</t>
  </si>
  <si>
    <t>:man_pilot_light_skin_tone:</t>
  </si>
  <si>
    <t>👨🏻‍✈️</t>
  </si>
  <si>
    <t>phi công nam màu da sáng</t>
  </si>
  <si>
    <t>:man_pilot_medium-dark_skin_tone:</t>
  </si>
  <si>
    <t>👨🏾‍✈️</t>
  </si>
  <si>
    <t>phi công nam màu da sẫm vừa</t>
  </si>
  <si>
    <t>:man_pilot_medium-light_skin_tone:</t>
  </si>
  <si>
    <t>👨🏼‍✈️</t>
  </si>
  <si>
    <t>phi công nam màu da sáng vừa</t>
  </si>
  <si>
    <t>:man_pilot_medium_skin_tone:</t>
  </si>
  <si>
    <t>👨🏽‍✈️</t>
  </si>
  <si>
    <t>phi công nam màu da thường</t>
  </si>
  <si>
    <t>:man_playing_handball:</t>
  </si>
  <si>
    <t>🤾‍♂️</t>
  </si>
  <si>
    <t>người đàn ông chơi bóng ném</t>
  </si>
  <si>
    <t>:man_playing_handball_dark_skin_tone:</t>
  </si>
  <si>
    <t>🤾🏿‍♂️</t>
  </si>
  <si>
    <t>người đàn ông màu da sẫm chơi bóng ném</t>
  </si>
  <si>
    <t>:man_playing_handball_light_skin_tone:</t>
  </si>
  <si>
    <t>🤾🏻‍♂️</t>
  </si>
  <si>
    <t>người đàn ông màu da sáng chơi bóng ném</t>
  </si>
  <si>
    <t>:man_playing_handball_medium-dark_skin_tone:</t>
  </si>
  <si>
    <t>🤾🏾‍♂️</t>
  </si>
  <si>
    <t>người đàn ông màu da sẫm vừa chơi bóng ném</t>
  </si>
  <si>
    <t>:man_playing_handball_medium-light_skin_tone:</t>
  </si>
  <si>
    <t>🤾🏼‍♂️</t>
  </si>
  <si>
    <t>người đàn ông màu da sáng vừa chơi bóng ném</t>
  </si>
  <si>
    <t>:man_playing_handball_medium_skin_tone:</t>
  </si>
  <si>
    <t>🤾🏽‍♂️</t>
  </si>
  <si>
    <t>người đàn ông màu da thường chơi bóng ném</t>
  </si>
  <si>
    <t>:man_playing_water_polo:</t>
  </si>
  <si>
    <t>🤽‍♂️</t>
  </si>
  <si>
    <t>người đàn ông chơi bóng nước</t>
  </si>
  <si>
    <t>:man_playing_water_polo_dark_skin_tone:</t>
  </si>
  <si>
    <t>🤽🏿‍♂️</t>
  </si>
  <si>
    <t>người đàn ông màu da sẫm chơi bóng nước</t>
  </si>
  <si>
    <t>:man_playing_water_polo_light_skin_tone:</t>
  </si>
  <si>
    <t>🤽🏻‍♂️</t>
  </si>
  <si>
    <t>người đàn ông màu da sáng chơi bóng nước</t>
  </si>
  <si>
    <t>:man_playing_water_polo_medium-dark_skin_tone:</t>
  </si>
  <si>
    <t>🤽🏾‍♂️</t>
  </si>
  <si>
    <t>người đàn ông màu da sẫm vừa chơi bóng nước</t>
  </si>
  <si>
    <t>:man_playing_water_polo_medium-light_skin_tone:</t>
  </si>
  <si>
    <t>🤽🏼‍♂️</t>
  </si>
  <si>
    <t>người đàn ông màu da sáng vừa chơi bóng nước</t>
  </si>
  <si>
    <t>:man_playing_water_polo_medium_skin_tone:</t>
  </si>
  <si>
    <t>🤽🏽‍♂️</t>
  </si>
  <si>
    <t>người đàn ông màu da thường chơi bóng nước</t>
  </si>
  <si>
    <t>:man_police_officer:</t>
  </si>
  <si>
    <t>👮‍♂️</t>
  </si>
  <si>
    <t>nhân viên cảnh sát nam</t>
  </si>
  <si>
    <t>:man_police_officer_dark_skin_tone:</t>
  </si>
  <si>
    <t>👮🏿‍♂️</t>
  </si>
  <si>
    <t>nhân viên cảnh sát nam màu da sẫm</t>
  </si>
  <si>
    <t>:man_police_officer_light_skin_tone:</t>
  </si>
  <si>
    <t>👮🏻‍♂️</t>
  </si>
  <si>
    <t>nhân viên cảnh sát nam màu da sáng</t>
  </si>
  <si>
    <t>:man_police_officer_medium-dark_skin_tone:</t>
  </si>
  <si>
    <t>👮🏾‍♂️</t>
  </si>
  <si>
    <t>nhân viên cảnh sát nam màu da sẫm vừa</t>
  </si>
  <si>
    <t>:man_police_officer_medium-light_skin_tone:</t>
  </si>
  <si>
    <t>👮🏼‍♂️</t>
  </si>
  <si>
    <t>nhân viên cảnh sát nam màu da sáng vừa</t>
  </si>
  <si>
    <t>:man_police_officer_medium_skin_tone:</t>
  </si>
  <si>
    <t>👮🏽‍♂️</t>
  </si>
  <si>
    <t>nhân viên cảnh sát nam màu da thường</t>
  </si>
  <si>
    <t>:man_pouting:</t>
  </si>
  <si>
    <t>🙎‍♂️</t>
  </si>
  <si>
    <t>người đàn ông bĩu môi</t>
  </si>
  <si>
    <t>:man_pouting_dark_skin_tone:</t>
  </si>
  <si>
    <t>🙎🏿‍♂️</t>
  </si>
  <si>
    <t>người đàn ông màu da sẫm bĩu môi</t>
  </si>
  <si>
    <t>:man_pouting_light_skin_tone:</t>
  </si>
  <si>
    <t>🙎🏻‍♂️</t>
  </si>
  <si>
    <t>người đàn ông màu da sáng bĩu môi</t>
  </si>
  <si>
    <t>:man_pouting_medium-dark_skin_tone:</t>
  </si>
  <si>
    <t>🙎🏾‍♂️</t>
  </si>
  <si>
    <t>người đàn ông màu da sẫm vừa bĩu môi</t>
  </si>
  <si>
    <t>:man_pouting_medium-light_skin_tone:</t>
  </si>
  <si>
    <t>🙎🏼‍♂️</t>
  </si>
  <si>
    <t>người đàn ông màu da sáng vừa bĩu môi</t>
  </si>
  <si>
    <t>:man_pouting_medium_skin_tone:</t>
  </si>
  <si>
    <t>🙎🏽‍♂️</t>
  </si>
  <si>
    <t>người đàn ông màu da thường bĩu môi</t>
  </si>
  <si>
    <t>:man_raising_hand:</t>
  </si>
  <si>
    <t>🙋‍♂️</t>
  </si>
  <si>
    <t>người đàn ông giơ tay</t>
  </si>
  <si>
    <t>:man_raising_hand_dark_skin_tone:</t>
  </si>
  <si>
    <t>🙋🏿‍♂️</t>
  </si>
  <si>
    <t>người đàn ông màu da sẫm giơ tay</t>
  </si>
  <si>
    <t>:man_raising_hand_light_skin_tone:</t>
  </si>
  <si>
    <t>🙋🏻‍♂️</t>
  </si>
  <si>
    <t>người đàn ông màu da sáng giơ tay</t>
  </si>
  <si>
    <t>:man_raising_hand_medium-dark_skin_tone:</t>
  </si>
  <si>
    <t>🙋🏾‍♂️</t>
  </si>
  <si>
    <t>người đàn ông màu da sẫm vừa giơ tay</t>
  </si>
  <si>
    <t>:man_raising_hand_medium-light_skin_tone:</t>
  </si>
  <si>
    <t>🙋🏼‍♂️</t>
  </si>
  <si>
    <t>người đàn ông màu da sáng vừa giơ tay</t>
  </si>
  <si>
    <t>:man_raising_hand_medium_skin_tone:</t>
  </si>
  <si>
    <t>🙋🏽‍♂️</t>
  </si>
  <si>
    <t>người đàn ông màu da thường giơ tay</t>
  </si>
  <si>
    <t>:man_red_hair:</t>
  </si>
  <si>
    <t>👨‍🦰</t>
  </si>
  <si>
    <t>:man_rowing_boat:</t>
  </si>
  <si>
    <t>🚣‍♂️</t>
  </si>
  <si>
    <t>người đàn ông chèo thuyền</t>
  </si>
  <si>
    <t>:man_rowing_boat_dark_skin_tone:</t>
  </si>
  <si>
    <t>🚣🏿‍♂️</t>
  </si>
  <si>
    <t>người đàn ông màu da sẫm chèo thuyền</t>
  </si>
  <si>
    <t>:man_rowing_boat_light_skin_tone:</t>
  </si>
  <si>
    <t>🚣🏻‍♂️</t>
  </si>
  <si>
    <t>người đàn ông màu da sáng chèo thuyền</t>
  </si>
  <si>
    <t>:man_rowing_boat_medium-dark_skin_tone:</t>
  </si>
  <si>
    <t>🚣🏾‍♂️</t>
  </si>
  <si>
    <t>người đàn ông màu da sẫm vừa chèo thuyền</t>
  </si>
  <si>
    <t>:man_rowing_boat_medium-light_skin_tone:</t>
  </si>
  <si>
    <t>🚣🏼‍♂️</t>
  </si>
  <si>
    <t>người đàn ông màu da sáng vừa chèo thuyền</t>
  </si>
  <si>
    <t>:man_rowing_boat_medium_skin_tone:</t>
  </si>
  <si>
    <t>🚣🏽‍♂️</t>
  </si>
  <si>
    <t>người đàn ông màu da thường chèo thuyền</t>
  </si>
  <si>
    <t>:man_running:</t>
  </si>
  <si>
    <t>🏃‍♂️</t>
  </si>
  <si>
    <t>người đàn ông chạy</t>
  </si>
  <si>
    <t>:man_running_dark_skin_tone:</t>
  </si>
  <si>
    <t>🏃🏿‍♂️</t>
  </si>
  <si>
    <t>người đàn ông màu da sẫm chạy</t>
  </si>
  <si>
    <t>:man_running_light_skin_tone:</t>
  </si>
  <si>
    <t>🏃🏻‍♂️</t>
  </si>
  <si>
    <t>người đàn ông màu da sáng chạy</t>
  </si>
  <si>
    <t>:man_running_medium-dark_skin_tone:</t>
  </si>
  <si>
    <t>🏃🏾‍♂️</t>
  </si>
  <si>
    <t>người đàn ông màu da sẫm vừa chạy</t>
  </si>
  <si>
    <t>:man_running_medium-light_skin_tone:</t>
  </si>
  <si>
    <t>🏃🏼‍♂️</t>
  </si>
  <si>
    <t>người đàn ông màu da sáng vừa chạy</t>
  </si>
  <si>
    <t>:man_running_medium_skin_tone:</t>
  </si>
  <si>
    <t>🏃🏽‍♂️</t>
  </si>
  <si>
    <t>người đàn ông màu da thường chạy</t>
  </si>
  <si>
    <t>:man_scientist:</t>
  </si>
  <si>
    <t>👨‍🔬</t>
  </si>
  <si>
    <t>nhà khoa học nam</t>
  </si>
  <si>
    <t>:man_scientist_dark_skin_tone:</t>
  </si>
  <si>
    <t>👨🏿‍🔬</t>
  </si>
  <si>
    <t>nhà khoa học nam màu da sẫm</t>
  </si>
  <si>
    <t>:man_scientist_light_skin_tone:</t>
  </si>
  <si>
    <t>👨🏻‍🔬</t>
  </si>
  <si>
    <t>nhà khoa học nam màu da sáng</t>
  </si>
  <si>
    <t>:man_scientist_medium-dark_skin_tone:</t>
  </si>
  <si>
    <t>👨🏾‍🔬</t>
  </si>
  <si>
    <t>nhà khoa học nam màu da sẫm vừa</t>
  </si>
  <si>
    <t>:man_scientist_medium-light_skin_tone:</t>
  </si>
  <si>
    <t>👨🏼‍🔬</t>
  </si>
  <si>
    <t>nhà khoa học nam màu da sáng vừa</t>
  </si>
  <si>
    <t>:man_scientist_medium_skin_tone:</t>
  </si>
  <si>
    <t>👨🏽‍🔬</t>
  </si>
  <si>
    <t>nhà khoa học nam màu da thường</t>
  </si>
  <si>
    <t>:man_shrugging:</t>
  </si>
  <si>
    <t>🤷‍♂️</t>
  </si>
  <si>
    <t>người đàn ông nhún vai</t>
  </si>
  <si>
    <t>:man_shrugging_dark_skin_tone:</t>
  </si>
  <si>
    <t>🤷🏿‍♂️</t>
  </si>
  <si>
    <t>người đàn ông màu da sẫm nhún vai</t>
  </si>
  <si>
    <t>:man_shrugging_light_skin_tone:</t>
  </si>
  <si>
    <t>🤷🏻‍♂️</t>
  </si>
  <si>
    <t>người đàn ông màu da sáng nhún vai</t>
  </si>
  <si>
    <t>:man_shrugging_medium-dark_skin_tone:</t>
  </si>
  <si>
    <t>🤷🏾‍♂️</t>
  </si>
  <si>
    <t>người đàn ông màu da sẫm vừa nhún vai</t>
  </si>
  <si>
    <t>:man_shrugging_medium-light_skin_tone:</t>
  </si>
  <si>
    <t>🤷🏼‍♂️</t>
  </si>
  <si>
    <t>người đàn ông màu da sáng vừa nhún vai</t>
  </si>
  <si>
    <t>:man_shrugging_medium_skin_tone:</t>
  </si>
  <si>
    <t>🤷🏽‍♂️</t>
  </si>
  <si>
    <t>người đàn ông màu da thường nhún vai</t>
  </si>
  <si>
    <t>:man_singer:</t>
  </si>
  <si>
    <t>👨‍🎤</t>
  </si>
  <si>
    <t>ca sĩ nam</t>
  </si>
  <si>
    <t>:man_singer_dark_skin_tone:</t>
  </si>
  <si>
    <t>👨🏿‍🎤</t>
  </si>
  <si>
    <t>ca sĩ nam màu da sẫm</t>
  </si>
  <si>
    <t>:man_singer_light_skin_tone:</t>
  </si>
  <si>
    <t>👨🏻‍🎤</t>
  </si>
  <si>
    <t>ca sĩ nam màu da sáng</t>
  </si>
  <si>
    <t>:man_singer_medium-dark_skin_tone:</t>
  </si>
  <si>
    <t>👨🏾‍🎤</t>
  </si>
  <si>
    <t>ca sĩ nam màu da sẫm vừa</t>
  </si>
  <si>
    <t>:man_singer_medium-light_skin_tone:</t>
  </si>
  <si>
    <t>👨🏼‍🎤</t>
  </si>
  <si>
    <t>ca sĩ nam màu da sáng vừa</t>
  </si>
  <si>
    <t>:man_singer_medium_skin_tone:</t>
  </si>
  <si>
    <t>👨🏽‍🎤</t>
  </si>
  <si>
    <t>ca sĩ nam màu da thường</t>
  </si>
  <si>
    <t>:man_standing:</t>
  </si>
  <si>
    <t>🧍‍♂️</t>
  </si>
  <si>
    <t>người đàn ông đứng</t>
  </si>
  <si>
    <t>:man_standing_dark_skin_tone:</t>
  </si>
  <si>
    <t>🧍🏿‍♂️</t>
  </si>
  <si>
    <t>người đàn ông màu da sẫm đứng</t>
  </si>
  <si>
    <t>:man_standing_light_skin_tone:</t>
  </si>
  <si>
    <t>🧍🏻‍♂️</t>
  </si>
  <si>
    <t>người đàn ông màu da sáng đứng</t>
  </si>
  <si>
    <t>:man_standing_medium-dark_skin_tone:</t>
  </si>
  <si>
    <t>🧍🏾‍♂️</t>
  </si>
  <si>
    <t>người đàn ông màu da sẫm vừa đứng</t>
  </si>
  <si>
    <t>:man_standing_medium-light_skin_tone:</t>
  </si>
  <si>
    <t>🧍🏼‍♂️</t>
  </si>
  <si>
    <t>người đàn ông màu da sáng vừa đứng</t>
  </si>
  <si>
    <t>:man_standing_medium_skin_tone:</t>
  </si>
  <si>
    <t>🧍🏽‍♂️</t>
  </si>
  <si>
    <t>người đàn ông màu da thường đứng</t>
  </si>
  <si>
    <t>:man_student:</t>
  </si>
  <si>
    <t>👨‍🎓</t>
  </si>
  <si>
    <t>sinh viên nam</t>
  </si>
  <si>
    <t>:man_student_dark_skin_tone:</t>
  </si>
  <si>
    <t>👨🏿‍🎓</t>
  </si>
  <si>
    <t>sinh viên nam màu da sẫm</t>
  </si>
  <si>
    <t>:man_student_light_skin_tone:</t>
  </si>
  <si>
    <t>👨🏻‍🎓</t>
  </si>
  <si>
    <t>sinh viên nam màu da sáng</t>
  </si>
  <si>
    <t>:man_student_medium-dark_skin_tone:</t>
  </si>
  <si>
    <t>👨🏾‍🎓</t>
  </si>
  <si>
    <t>sinh viên nam màu da sẫm vừa</t>
  </si>
  <si>
    <t>:man_student_medium-light_skin_tone:</t>
  </si>
  <si>
    <t>👨🏼‍🎓</t>
  </si>
  <si>
    <t>sinh viên nam màu da sáng vừa</t>
  </si>
  <si>
    <t>:man_student_medium_skin_tone:</t>
  </si>
  <si>
    <t>👨🏽‍🎓</t>
  </si>
  <si>
    <t>sinh viên nam màu da thường</t>
  </si>
  <si>
    <t>:man_superhero:</t>
  </si>
  <si>
    <t>🦸‍♂️</t>
  </si>
  <si>
    <t>siêu anh hùng nam</t>
  </si>
  <si>
    <t>:man_superhero_dark_skin_tone:</t>
  </si>
  <si>
    <t>🦸🏿‍♂️</t>
  </si>
  <si>
    <t>siêu anh hùng nam màu da sẫm</t>
  </si>
  <si>
    <t>:man_superhero_light_skin_tone:</t>
  </si>
  <si>
    <t>🦸🏻‍♂️</t>
  </si>
  <si>
    <t>siêu anh hùng nam màu da sáng</t>
  </si>
  <si>
    <t>:man_superhero_medium-dark_skin_tone:</t>
  </si>
  <si>
    <t>🦸🏾‍♂️</t>
  </si>
  <si>
    <t>siêu anh hùng nam màu da sẫm vừa</t>
  </si>
  <si>
    <t>:man_superhero_medium-light_skin_tone:</t>
  </si>
  <si>
    <t>🦸🏼‍♂️</t>
  </si>
  <si>
    <t>siêu anh hùng nam màu da sáng vừa</t>
  </si>
  <si>
    <t>:man_superhero_medium_skin_tone:</t>
  </si>
  <si>
    <t>🦸🏽‍♂️</t>
  </si>
  <si>
    <t>siêu anh hùng nam màu da thường</t>
  </si>
  <si>
    <t>:man_supervillain:</t>
  </si>
  <si>
    <t>🦹‍♂️</t>
  </si>
  <si>
    <t>siêu ác nhân nam</t>
  </si>
  <si>
    <t>:man_supervillain_dark_skin_tone:</t>
  </si>
  <si>
    <t>🦹🏿‍♂️</t>
  </si>
  <si>
    <t>siêu ác nhân nam màu da sẫm</t>
  </si>
  <si>
    <t>:man_supervillain_light_skin_tone:</t>
  </si>
  <si>
    <t>🦹🏻‍♂️</t>
  </si>
  <si>
    <t>siêu ác nhân nam màu da sáng</t>
  </si>
  <si>
    <t>:man_supervillain_medium-dark_skin_tone:</t>
  </si>
  <si>
    <t>🦹🏾‍♂️</t>
  </si>
  <si>
    <t>siêu ác nhân nam màu da sẫm vừa</t>
  </si>
  <si>
    <t>:man_supervillain_medium-light_skin_tone:</t>
  </si>
  <si>
    <t>🦹🏼‍♂️</t>
  </si>
  <si>
    <t>siêu ác nhân nam màu da sáng vừa</t>
  </si>
  <si>
    <t>:man_supervillain_medium_skin_tone:</t>
  </si>
  <si>
    <t>🦹🏽‍♂️</t>
  </si>
  <si>
    <t>siêu ác nhân nam màu da thường</t>
  </si>
  <si>
    <t>:man_surfing:</t>
  </si>
  <si>
    <t>🏄‍♂️</t>
  </si>
  <si>
    <t>người đàn ông lướt sóng</t>
  </si>
  <si>
    <t>:man_surfing_dark_skin_tone:</t>
  </si>
  <si>
    <t>🏄🏿‍♂️</t>
  </si>
  <si>
    <t>người đàn ông màu da sẫm lướt sóng</t>
  </si>
  <si>
    <t>:man_surfing_light_skin_tone:</t>
  </si>
  <si>
    <t>🏄🏻‍♂️</t>
  </si>
  <si>
    <t>người đàn ông màu da sáng lướt sóng</t>
  </si>
  <si>
    <t>:man_surfing_medium-dark_skin_tone:</t>
  </si>
  <si>
    <t>🏄🏾‍♂️</t>
  </si>
  <si>
    <t>người đàn ông màu da sẫm vừa lướt sóng</t>
  </si>
  <si>
    <t>:man_surfing_medium-light_skin_tone:</t>
  </si>
  <si>
    <t>🏄🏼‍♂️</t>
  </si>
  <si>
    <t>người đàn ông màu da sáng vừa lướt sóng</t>
  </si>
  <si>
    <t>:man_surfing_medium_skin_tone:</t>
  </si>
  <si>
    <t>🏄🏽‍♂️</t>
  </si>
  <si>
    <t>người đàn ông màu da thường lướt sóng</t>
  </si>
  <si>
    <t>:man_swimming:</t>
  </si>
  <si>
    <t>🏊‍♂️</t>
  </si>
  <si>
    <t>người đàn ông bơi</t>
  </si>
  <si>
    <t>:man_swimming_dark_skin_tone:</t>
  </si>
  <si>
    <t>🏊🏿‍♂️</t>
  </si>
  <si>
    <t>người đàn ông màu da sẫm bơi</t>
  </si>
  <si>
    <t>:man_swimming_light_skin_tone:</t>
  </si>
  <si>
    <t>🏊🏻‍♂️</t>
  </si>
  <si>
    <t>người đàn ông màu da sáng bơi</t>
  </si>
  <si>
    <t>:man_swimming_medium-dark_skin_tone:</t>
  </si>
  <si>
    <t>🏊🏾‍♂️</t>
  </si>
  <si>
    <t>người đàn ông màu da sẫm vừa bơi</t>
  </si>
  <si>
    <t>:man_swimming_medium-light_skin_tone:</t>
  </si>
  <si>
    <t>🏊🏼‍♂️</t>
  </si>
  <si>
    <t>người đàn ông màu da sáng vừa bơi</t>
  </si>
  <si>
    <t>:man_swimming_medium_skin_tone:</t>
  </si>
  <si>
    <t>🏊🏽‍♂️</t>
  </si>
  <si>
    <t>người đàn ông màu da thường bơi</t>
  </si>
  <si>
    <t>:man_teacher:</t>
  </si>
  <si>
    <t>👨‍🏫</t>
  </si>
  <si>
    <t>giáo viên nam</t>
  </si>
  <si>
    <t>:man_teacher_dark_skin_tone:</t>
  </si>
  <si>
    <t>👨🏿‍🏫</t>
  </si>
  <si>
    <t>giáo viên nam màu da sẫm</t>
  </si>
  <si>
    <t>:man_teacher_light_skin_tone:</t>
  </si>
  <si>
    <t>👨🏻‍🏫</t>
  </si>
  <si>
    <t>giáo viên nam màu da sáng</t>
  </si>
  <si>
    <t>:man_teacher_medium-dark_skin_tone:</t>
  </si>
  <si>
    <t>👨🏾‍🏫</t>
  </si>
  <si>
    <t>giáo viên nam màu da sẫm vừa</t>
  </si>
  <si>
    <t>:man_teacher_medium-light_skin_tone:</t>
  </si>
  <si>
    <t>👨🏼‍🏫</t>
  </si>
  <si>
    <t>giáo viên nam màu da sáng vừa</t>
  </si>
  <si>
    <t>:man_teacher_medium_skin_tone:</t>
  </si>
  <si>
    <t>👨🏽‍🏫</t>
  </si>
  <si>
    <t>giáo viên nam màu da thường</t>
  </si>
  <si>
    <t>:man_technologist:</t>
  </si>
  <si>
    <t>👨‍💻</t>
  </si>
  <si>
    <t>nhà công nghệ nam</t>
  </si>
  <si>
    <t>:man_technologist_dark_skin_tone:</t>
  </si>
  <si>
    <t>👨🏿‍💻</t>
  </si>
  <si>
    <t>nhà công nghệ nam màu da sẫm</t>
  </si>
  <si>
    <t>:man_technologist_light_skin_tone:</t>
  </si>
  <si>
    <t>👨🏻‍💻</t>
  </si>
  <si>
    <t>nhà công nghệ nam màu da sáng</t>
  </si>
  <si>
    <t>:man_technologist_medium-dark_skin_tone:</t>
  </si>
  <si>
    <t>👨🏾‍💻</t>
  </si>
  <si>
    <t>nhà công nghệ nam màu da sẫm vừa</t>
  </si>
  <si>
    <t>:man_technologist_medium-light_skin_tone:</t>
  </si>
  <si>
    <t>👨🏼‍💻</t>
  </si>
  <si>
    <t>nhà công nghệ nam màu da sáng vừa</t>
  </si>
  <si>
    <t>:man_technologist_medium_skin_tone:</t>
  </si>
  <si>
    <t>👨🏽‍💻</t>
  </si>
  <si>
    <t>nhà công nghệ nam màu da thường</t>
  </si>
  <si>
    <t>:man_tipping_hand:</t>
  </si>
  <si>
    <t>💁‍♂️</t>
  </si>
  <si>
    <t>người đàn ông sấp bàn tay</t>
  </si>
  <si>
    <t>:man_tipping_hand_dark_skin_tone:</t>
  </si>
  <si>
    <t>💁🏿‍♂️</t>
  </si>
  <si>
    <t>người đàn ông màu da sẫm sấp bàn tay</t>
  </si>
  <si>
    <t>:man_tipping_hand_light_skin_tone:</t>
  </si>
  <si>
    <t>💁🏻‍♂️</t>
  </si>
  <si>
    <t>người đàn ông màu da sáng sấp bàn tay</t>
  </si>
  <si>
    <t>:man_tipping_hand_medium-dark_skin_tone:</t>
  </si>
  <si>
    <t>💁🏾‍♂️</t>
  </si>
  <si>
    <t>người đàn ông màu da sẫm vừa sấp bàn tay</t>
  </si>
  <si>
    <t>:man_tipping_hand_medium-light_skin_tone:</t>
  </si>
  <si>
    <t>💁🏼‍♂️</t>
  </si>
  <si>
    <t>người đàn ông màu da sáng vừa sấp bàn tay</t>
  </si>
  <si>
    <t>:man_tipping_hand_medium_skin_tone:</t>
  </si>
  <si>
    <t>💁🏽‍♂️</t>
  </si>
  <si>
    <t>người đàn ông màu da thường sấp bàn tay</t>
  </si>
  <si>
    <t>:man_vampire:</t>
  </si>
  <si>
    <t>🧛‍♂️</t>
  </si>
  <si>
    <t>ma cà rồng nam</t>
  </si>
  <si>
    <t>:man_vampire_dark_skin_tone:</t>
  </si>
  <si>
    <t>🧛🏿‍♂️</t>
  </si>
  <si>
    <t>ma cà rồng nam màu da sẫm</t>
  </si>
  <si>
    <t>:man_vampire_light_skin_tone:</t>
  </si>
  <si>
    <t>🧛🏻‍♂️</t>
  </si>
  <si>
    <t>ma cà rồng nam màu da sáng</t>
  </si>
  <si>
    <t>:man_vampire_medium-dark_skin_tone:</t>
  </si>
  <si>
    <t>🧛🏾‍♂️</t>
  </si>
  <si>
    <t>ma cà rồng nam màu da sẫm vừa</t>
  </si>
  <si>
    <t>:man_vampire_medium-light_skin_tone:</t>
  </si>
  <si>
    <t>🧛🏼‍♂️</t>
  </si>
  <si>
    <t>ma cà rồng nam màu da sáng vừa</t>
  </si>
  <si>
    <t>:man_vampire_medium_skin_tone:</t>
  </si>
  <si>
    <t>🧛🏽‍♂️</t>
  </si>
  <si>
    <t>ma cà rồng nam màu da thường</t>
  </si>
  <si>
    <t>:man_walking:</t>
  </si>
  <si>
    <t>🚶‍♂️</t>
  </si>
  <si>
    <t>người đàn ông đi bộ</t>
  </si>
  <si>
    <t>:man_walking_dark_skin_tone:</t>
  </si>
  <si>
    <t>🚶🏿‍♂️</t>
  </si>
  <si>
    <t>người đàn ông màu da sẫm đi bộ</t>
  </si>
  <si>
    <t>:man_walking_light_skin_tone:</t>
  </si>
  <si>
    <t>🚶🏻‍♂️</t>
  </si>
  <si>
    <t>người đàn ông màu da sáng đi bộ</t>
  </si>
  <si>
    <t>:man_walking_medium-dark_skin_tone:</t>
  </si>
  <si>
    <t>🚶🏾‍♂️</t>
  </si>
  <si>
    <t>người đàn ông màu da sẫm vừa đi bộ</t>
  </si>
  <si>
    <t>:man_walking_medium-light_skin_tone:</t>
  </si>
  <si>
    <t>🚶🏼‍♂️</t>
  </si>
  <si>
    <t>người đàn ông màu da sáng vừa đi bộ</t>
  </si>
  <si>
    <t>:man_walking_medium_skin_tone:</t>
  </si>
  <si>
    <t>🚶🏽‍♂️</t>
  </si>
  <si>
    <t>người đàn ông màu da thường đi bộ</t>
  </si>
  <si>
    <t>:man_wearing_turban:</t>
  </si>
  <si>
    <t>👳‍♂️</t>
  </si>
  <si>
    <t>người đàn ông đội khăn xếp</t>
  </si>
  <si>
    <t>:man_wearing_turban_dark_skin_tone:</t>
  </si>
  <si>
    <t>👳🏿‍♂️</t>
  </si>
  <si>
    <t>người đàn ông màu da sẫm đội khăn xếp</t>
  </si>
  <si>
    <t>:man_wearing_turban_light_skin_tone:</t>
  </si>
  <si>
    <t>👳🏻‍♂️</t>
  </si>
  <si>
    <t>người đàn ông màu da sáng đội khăn xếp</t>
  </si>
  <si>
    <t>:man_wearing_turban_medium-dark_skin_tone:</t>
  </si>
  <si>
    <t>👳🏾‍♂️</t>
  </si>
  <si>
    <t>người đàn ông màu da sẫm vừa đội khăn xếp</t>
  </si>
  <si>
    <t>:man_wearing_turban_medium-light_skin_tone:</t>
  </si>
  <si>
    <t>👳🏼‍♂️</t>
  </si>
  <si>
    <t>người đàn ông màu da sáng vừa đội khăn xếp</t>
  </si>
  <si>
    <t>:man_wearing_turban_medium_skin_tone:</t>
  </si>
  <si>
    <t>👳🏽‍♂️</t>
  </si>
  <si>
    <t>người đàn ông màu da thường đội khăn xếp</t>
  </si>
  <si>
    <t>:man_white_hair:</t>
  </si>
  <si>
    <t>👨‍🦳</t>
  </si>
  <si>
    <t>:man_with_veil:</t>
  </si>
  <si>
    <t>👰‍♂️</t>
  </si>
  <si>
    <t>người đàn ông với tấm màn che</t>
  </si>
  <si>
    <t>:man_with_veil_dark_skin_tone:</t>
  </si>
  <si>
    <t>👰🏿‍♂️</t>
  </si>
  <si>
    <t>người đàn ông màu da sẫm với tấm màn che</t>
  </si>
  <si>
    <t>:man_with_veil_light_skin_tone:</t>
  </si>
  <si>
    <t>👰🏻‍♂️</t>
  </si>
  <si>
    <t>người đàn ông màu da sáng với tấm màn che</t>
  </si>
  <si>
    <t>:man_with_veil_medium-dark_skin_tone:</t>
  </si>
  <si>
    <t>👰🏾‍♂️</t>
  </si>
  <si>
    <t>người đàn ông màu da sẫm vừa với tấm màn che</t>
  </si>
  <si>
    <t>:man_with_veil_medium-light_skin_tone:</t>
  </si>
  <si>
    <t>👰🏼‍♂️</t>
  </si>
  <si>
    <t>người đàn ông màu da sáng vừa với tấm màn che</t>
  </si>
  <si>
    <t>:man_with_veil_medium_skin_tone:</t>
  </si>
  <si>
    <t>👰🏽‍♂️</t>
  </si>
  <si>
    <t>người đàn ông màu da thường với tấm màn che</t>
  </si>
  <si>
    <t>:man_with_white_cane:</t>
  </si>
  <si>
    <t>👨‍🦯</t>
  </si>
  <si>
    <t>người đàn ông với cây ba toong trắng</t>
  </si>
  <si>
    <t>:man_with_white_cane_dark_skin_tone:</t>
  </si>
  <si>
    <t>👨🏿‍🦯</t>
  </si>
  <si>
    <t>người đàn ông màu da sẫm với cây ba toong trắng</t>
  </si>
  <si>
    <t>:man_with_white_cane_light_skin_tone:</t>
  </si>
  <si>
    <t>👨🏻‍🦯</t>
  </si>
  <si>
    <t>người đàn ông màu da sáng với cây ba toong trắng</t>
  </si>
  <si>
    <t>:man_with_white_cane_medium-dark_skin_tone:</t>
  </si>
  <si>
    <t>👨🏾‍🦯</t>
  </si>
  <si>
    <t>người đàn ông màu da sẫm vừa với cây ba toong trắng</t>
  </si>
  <si>
    <t>:man_with_white_cane_medium-light_skin_tone:</t>
  </si>
  <si>
    <t>👨🏼‍🦯</t>
  </si>
  <si>
    <t>người đàn ông màu da sáng vừa với cây ba toong trắng</t>
  </si>
  <si>
    <t>:man_with_white_cane_medium_skin_tone:</t>
  </si>
  <si>
    <t>👨🏽‍🦯</t>
  </si>
  <si>
    <t>người đàn ông màu da thường với cây ba toong trắng</t>
  </si>
  <si>
    <t>:man_zombie:</t>
  </si>
  <si>
    <t>🧟‍♂️</t>
  </si>
  <si>
    <t>thây ma nam</t>
  </si>
  <si>
    <t>:mango:</t>
  </si>
  <si>
    <t>🥭</t>
  </si>
  <si>
    <t>:mantelpiece_clock:</t>
  </si>
  <si>
    <t>🕰</t>
  </si>
  <si>
    <t>:manual_wheelchair:</t>
  </si>
  <si>
    <t>🦽</t>
  </si>
  <si>
    <t>xe lăn bằng tay</t>
  </si>
  <si>
    <t>:man’s_shoe:</t>
  </si>
  <si>
    <t>👞</t>
  </si>
  <si>
    <t>giày nam</t>
  </si>
  <si>
    <t>:map_of_Japan:</t>
  </si>
  <si>
    <t>🗾</t>
  </si>
  <si>
    <t>bản đồ nhật bản</t>
  </si>
  <si>
    <t>:maple_leaf:</t>
  </si>
  <si>
    <t>🍁</t>
  </si>
  <si>
    <t>:martial_arts_uniform:</t>
  </si>
  <si>
    <t>🥋</t>
  </si>
  <si>
    <t>:mate:</t>
  </si>
  <si>
    <t>🧉</t>
  </si>
  <si>
    <t>mate</t>
  </si>
  <si>
    <t>:meat_on_bone:</t>
  </si>
  <si>
    <t>🍖</t>
  </si>
  <si>
    <t>thịt trên xương</t>
  </si>
  <si>
    <t>:mechanic:</t>
  </si>
  <si>
    <t>🧑‍🔧</t>
  </si>
  <si>
    <t>thợ cơ khí nam</t>
  </si>
  <si>
    <t>:mechanic_dark_skin_tone:</t>
  </si>
  <si>
    <t>🧑🏿‍🔧</t>
  </si>
  <si>
    <t>thợ cơ khí nam màu da sẫm</t>
  </si>
  <si>
    <t>:mechanic_light_skin_tone:</t>
  </si>
  <si>
    <t>🧑🏻‍🔧</t>
  </si>
  <si>
    <t>thợ cơ khí nam màu da sáng</t>
  </si>
  <si>
    <t>:mechanic_medium-dark_skin_tone:</t>
  </si>
  <si>
    <t>🧑🏾‍🔧</t>
  </si>
  <si>
    <t>thợ cơ khí nam màu da sẫm vừa</t>
  </si>
  <si>
    <t>:mechanic_medium-light_skin_tone:</t>
  </si>
  <si>
    <t>🧑🏼‍🔧</t>
  </si>
  <si>
    <t>thợ cơ khí nam màu da sáng vừa</t>
  </si>
  <si>
    <t>:mechanic_medium_skin_tone:</t>
  </si>
  <si>
    <t>🧑🏽‍🔧</t>
  </si>
  <si>
    <t>thợ cơ khí nam màu da thường</t>
  </si>
  <si>
    <t>:mechanical_arm:</t>
  </si>
  <si>
    <t>🦾</t>
  </si>
  <si>
    <t>:mechanical_leg:</t>
  </si>
  <si>
    <t>🦿</t>
  </si>
  <si>
    <t>chân cơ khí</t>
  </si>
  <si>
    <t>:medical_symbol:</t>
  </si>
  <si>
    <t>⚕</t>
  </si>
  <si>
    <t>:medium-dark_skin_tone:</t>
  </si>
  <si>
    <t>🏾</t>
  </si>
  <si>
    <t>tông da sẫm vừa</t>
  </si>
  <si>
    <t>:medium-light_skin_tone:</t>
  </si>
  <si>
    <t>🏼</t>
  </si>
  <si>
    <t>tông da sáng vừa</t>
  </si>
  <si>
    <t>:medium_skin_tone:</t>
  </si>
  <si>
    <t>🏽</t>
  </si>
  <si>
    <t>tông da vừa</t>
  </si>
  <si>
    <t>:megaphone:</t>
  </si>
  <si>
    <t>📣</t>
  </si>
  <si>
    <t xml:space="preserve">loa  </t>
  </si>
  <si>
    <t>:melon:</t>
  </si>
  <si>
    <t>🍈</t>
  </si>
  <si>
    <t>:memo:</t>
  </si>
  <si>
    <t>📝</t>
  </si>
  <si>
    <t>:men_holding_hands:</t>
  </si>
  <si>
    <t>👬</t>
  </si>
  <si>
    <t>con trai nắm tay</t>
  </si>
  <si>
    <t>:men_holding_hands_dark_skin_tone:</t>
  </si>
  <si>
    <t>👬🏿</t>
  </si>
  <si>
    <t>con trai nắm tay màu da sẫm</t>
  </si>
  <si>
    <t>:men_holding_hands_dark_skin_tone_light_skin_tone:</t>
  </si>
  <si>
    <t>👨🏿‍🤝‍👨🏻</t>
  </si>
  <si>
    <t>con trai nắm tay màu da sẫm màu da sáng</t>
  </si>
  <si>
    <t>:men_holding_hands_dark_skin_tone_medium-dark_skin_tone:</t>
  </si>
  <si>
    <t>👨🏿‍🤝‍👨🏾</t>
  </si>
  <si>
    <t>con trai nắm tay màu da sẫm màu da sẫm vừa</t>
  </si>
  <si>
    <t>:men_holding_hands_dark_skin_tone_medium-light_skin_tone:</t>
  </si>
  <si>
    <t>👨🏿‍🤝‍👨🏼</t>
  </si>
  <si>
    <t>con trai nắm tay màu da sẫm màu da sáng vừa</t>
  </si>
  <si>
    <t>:men_holding_hands_dark_skin_tone_medium_skin_tone:</t>
  </si>
  <si>
    <t>👨🏿‍🤝‍👨🏽</t>
  </si>
  <si>
    <t>con trai nắm tay màu da sẫm màu da thường</t>
  </si>
  <si>
    <t>:men_holding_hands_light_skin_tone:</t>
  </si>
  <si>
    <t>👬🏻</t>
  </si>
  <si>
    <t>con trai nắm tay màu da sáng</t>
  </si>
  <si>
    <t>:men_holding_hands_light_skin_tone_dark_skin_tone:</t>
  </si>
  <si>
    <t>👨🏻‍🤝‍👨🏿</t>
  </si>
  <si>
    <t>con trai nắm tay màu da sáng màu da sẫm</t>
  </si>
  <si>
    <t>:men_holding_hands_light_skin_tone_medium-dark_skin_tone:</t>
  </si>
  <si>
    <t>👨🏻‍🤝‍👨🏾</t>
  </si>
  <si>
    <t>con trai nắm tay màu da sáng màu da sẫm vừa</t>
  </si>
  <si>
    <t>:men_holding_hands_light_skin_tone_medium-light_skin_tone:</t>
  </si>
  <si>
    <t>👨🏻‍🤝‍👨🏼</t>
  </si>
  <si>
    <t>con trai nắm tay màu da sáng màu da sáng vừa</t>
  </si>
  <si>
    <t>:men_holding_hands_light_skin_tone_medium_skin_tone:</t>
  </si>
  <si>
    <t>👨🏻‍🤝‍👨🏽</t>
  </si>
  <si>
    <t>con trai nắm tay màu da sáng màu da thường</t>
  </si>
  <si>
    <t>:men_holding_hands_medium-dark_skin_tone:</t>
  </si>
  <si>
    <t>👬🏾</t>
  </si>
  <si>
    <t>con trai nắm tay màu da sẫm vừa</t>
  </si>
  <si>
    <t>:men_holding_hands_medium-dark_skin_tone_dark_skin_tone:</t>
  </si>
  <si>
    <t>👨🏾‍🤝‍👨🏿</t>
  </si>
  <si>
    <t>con trai nắm tay màu da sẫm vừa màu da sẫm</t>
  </si>
  <si>
    <t>:men_holding_hands_medium-dark_skin_tone_light_skin_tone:</t>
  </si>
  <si>
    <t>👨🏾‍🤝‍👨🏻</t>
  </si>
  <si>
    <t>con trai nắm tay màu da sẫm vừa màu da sáng</t>
  </si>
  <si>
    <t>:men_holding_hands_medium-dark_skin_tone_medium-light_skin_tone:</t>
  </si>
  <si>
    <t>👨🏾‍🤝‍👨🏼</t>
  </si>
  <si>
    <t>con trai nắm tay màu da sẫm vừa màu da sáng vừa</t>
  </si>
  <si>
    <t>:men_holding_hands_medium-dark_skin_tone_medium_skin_tone:</t>
  </si>
  <si>
    <t>👨🏾‍🤝‍👨🏽</t>
  </si>
  <si>
    <t>con trai nắm tay màu da sẫm vừa màu da thường</t>
  </si>
  <si>
    <t>:men_holding_hands_medium-light_skin_tone:</t>
  </si>
  <si>
    <t>👬🏼</t>
  </si>
  <si>
    <t>con trai nắm tay màu da sáng vừa</t>
  </si>
  <si>
    <t>:men_holding_hands_medium-light_skin_tone_dark_skin_tone:</t>
  </si>
  <si>
    <t>👨🏼‍🤝‍👨🏿</t>
  </si>
  <si>
    <t>con trai nắm tay màu da sáng vừa màu da sẫm</t>
  </si>
  <si>
    <t>:men_holding_hands_medium-light_skin_tone_light_skin_tone:</t>
  </si>
  <si>
    <t>👨🏼‍🤝‍👨🏻</t>
  </si>
  <si>
    <t>con trai nắm tay màu da sáng vừa màu da sáng</t>
  </si>
  <si>
    <t>:men_holding_hands_medium-light_skin_tone_medium-dark_skin_tone:</t>
  </si>
  <si>
    <t>👨🏼‍🤝‍👨🏾</t>
  </si>
  <si>
    <t>con trai nắm tay màu da sáng vừa màu da sẫm vừa</t>
  </si>
  <si>
    <t>:men_holding_hands_medium-light_skin_tone_medium_skin_tone:</t>
  </si>
  <si>
    <t>👨🏼‍🤝‍👨🏽</t>
  </si>
  <si>
    <t>con trai nắm tay màu da sáng vừa màu da thường</t>
  </si>
  <si>
    <t>:men_holding_hands_medium_skin_tone:</t>
  </si>
  <si>
    <t>👬🏽</t>
  </si>
  <si>
    <t>con trai nắm tay màu da thường</t>
  </si>
  <si>
    <t>:men_holding_hands_medium_skin_tone_dark_skin_tone:</t>
  </si>
  <si>
    <t>👨🏽‍🤝‍👨🏿</t>
  </si>
  <si>
    <t>con trai nắm tay màu da thường màu da sẫm</t>
  </si>
  <si>
    <t>:men_holding_hands_medium_skin_tone_light_skin_tone:</t>
  </si>
  <si>
    <t>👨🏽‍🤝‍👨🏻</t>
  </si>
  <si>
    <t>con trai nắm tay màu da thường màu da sáng</t>
  </si>
  <si>
    <t>:men_holding_hands_medium_skin_tone_medium-dark_skin_tone:</t>
  </si>
  <si>
    <t>👨🏽‍🤝‍👨🏾</t>
  </si>
  <si>
    <t>con trai nắm tay màu da thường màu da sẫm vừa</t>
  </si>
  <si>
    <t>:men_holding_hands_medium_skin_tone_medium-light_skin_tone:</t>
  </si>
  <si>
    <t>👨🏽‍🤝‍👨🏼</t>
  </si>
  <si>
    <t>con trai nắm tay màu da thường màu da sáng vừa</t>
  </si>
  <si>
    <t>:men_with_bunny_ears:</t>
  </si>
  <si>
    <t>👯‍♂️</t>
  </si>
  <si>
    <t>:men_wrestling:</t>
  </si>
  <si>
    <t>🤼‍♂️</t>
  </si>
  <si>
    <t>đàn ông đấu vật</t>
  </si>
  <si>
    <t>:mending_heart:</t>
  </si>
  <si>
    <t>❤️‍🩹</t>
  </si>
  <si>
    <t>hàn gắn trái tim</t>
  </si>
  <si>
    <t>:menorah:</t>
  </si>
  <si>
    <t>🕎</t>
  </si>
  <si>
    <t>chân đèn do thái</t>
  </si>
  <si>
    <t>:men’s_room:</t>
  </si>
  <si>
    <t>🚹</t>
  </si>
  <si>
    <t>:mermaid:</t>
  </si>
  <si>
    <t>🧜‍♀️</t>
  </si>
  <si>
    <t>nàng tiên cá</t>
  </si>
  <si>
    <t>:mermaid_dark_skin_tone:</t>
  </si>
  <si>
    <t>🧜🏿‍♀️</t>
  </si>
  <si>
    <t>nàng tiên cá màu da sẫm</t>
  </si>
  <si>
    <t>:mermaid_light_skin_tone:</t>
  </si>
  <si>
    <t>🧜🏻‍♀️</t>
  </si>
  <si>
    <t>nàng tiên cá màu da sáng</t>
  </si>
  <si>
    <t>:mermaid_medium-dark_skin_tone:</t>
  </si>
  <si>
    <t>🧜🏾‍♀️</t>
  </si>
  <si>
    <t>nàng tiên cá màu da sẫm vừa</t>
  </si>
  <si>
    <t>:mermaid_medium-light_skin_tone:</t>
  </si>
  <si>
    <t>🧜🏼‍♀️</t>
  </si>
  <si>
    <t>nàng tiên cá màu da sáng vừa</t>
  </si>
  <si>
    <t>:mermaid_medium_skin_tone:</t>
  </si>
  <si>
    <t>🧜🏽‍♀️</t>
  </si>
  <si>
    <t>nàng tiên cá màu da thường</t>
  </si>
  <si>
    <t>:merman:</t>
  </si>
  <si>
    <t>🧜‍♂️</t>
  </si>
  <si>
    <t>chàng tiên cá</t>
  </si>
  <si>
    <t>:merman_dark_skin_tone:</t>
  </si>
  <si>
    <t>🧜🏿‍♂️</t>
  </si>
  <si>
    <t>chàng tiên cá màu da sẫm</t>
  </si>
  <si>
    <t>:merman_light_skin_tone:</t>
  </si>
  <si>
    <t>🧜🏻‍♂️</t>
  </si>
  <si>
    <t>chàng tiên cá màu da sáng</t>
  </si>
  <si>
    <t>:merman_medium-dark_skin_tone:</t>
  </si>
  <si>
    <t>🧜🏾‍♂️</t>
  </si>
  <si>
    <t>chàng tiên cá màu da sẫm vừa</t>
  </si>
  <si>
    <t>:merman_medium-light_skin_tone:</t>
  </si>
  <si>
    <t>🧜🏼‍♂️</t>
  </si>
  <si>
    <t>chàng tiên cá màu da sáng vừa</t>
  </si>
  <si>
    <t>:merman_medium_skin_tone:</t>
  </si>
  <si>
    <t>🧜🏽‍♂️</t>
  </si>
  <si>
    <t>chàng tiên cá màu da thường</t>
  </si>
  <si>
    <t>:merperson:</t>
  </si>
  <si>
    <t>🧜</t>
  </si>
  <si>
    <t>tiên cá</t>
  </si>
  <si>
    <t>:merperson_dark_skin_tone:</t>
  </si>
  <si>
    <t>🧜🏿</t>
  </si>
  <si>
    <t>tiên cá màu da sẫm</t>
  </si>
  <si>
    <t>:merperson_light_skin_tone:</t>
  </si>
  <si>
    <t>🧜🏻</t>
  </si>
  <si>
    <t>tiên cá màu da sáng</t>
  </si>
  <si>
    <t>:merperson_medium-dark_skin_tone:</t>
  </si>
  <si>
    <t>🧜🏾</t>
  </si>
  <si>
    <t>tiên cá màu da sẫm vừa</t>
  </si>
  <si>
    <t>:merperson_medium-light_skin_tone:</t>
  </si>
  <si>
    <t>🧜🏼</t>
  </si>
  <si>
    <t>tiên cá màu da sáng vừa</t>
  </si>
  <si>
    <t>:merperson_medium_skin_tone:</t>
  </si>
  <si>
    <t>🧜🏽</t>
  </si>
  <si>
    <t>tiên cá màu da thường</t>
  </si>
  <si>
    <t>:metro:</t>
  </si>
  <si>
    <t>🚇</t>
  </si>
  <si>
    <t>:microbe:</t>
  </si>
  <si>
    <t>🦠</t>
  </si>
  <si>
    <t>vi trùng</t>
  </si>
  <si>
    <t>:microphone:</t>
  </si>
  <si>
    <t>🎤</t>
  </si>
  <si>
    <t>:microscope:</t>
  </si>
  <si>
    <t>🔬</t>
  </si>
  <si>
    <t>:middle_finger:</t>
  </si>
  <si>
    <t>🖕</t>
  </si>
  <si>
    <t>ngón giữa</t>
  </si>
  <si>
    <t>:middle_finger_dark_skin_tone:</t>
  </si>
  <si>
    <t>🖕🏿</t>
  </si>
  <si>
    <t>ngón giữa màu da sẫm</t>
  </si>
  <si>
    <t>:middle_finger_light_skin_tone:</t>
  </si>
  <si>
    <t>🖕🏻</t>
  </si>
  <si>
    <t>ngón giữa màu da sáng</t>
  </si>
  <si>
    <t>:middle_finger_medium-dark_skin_tone:</t>
  </si>
  <si>
    <t>🖕🏾</t>
  </si>
  <si>
    <t>ngón giữa màu da sẫm vừa</t>
  </si>
  <si>
    <t>:middle_finger_medium-light_skin_tone:</t>
  </si>
  <si>
    <t>🖕🏼</t>
  </si>
  <si>
    <t>ngón giữa màu da sáng vừa</t>
  </si>
  <si>
    <t>:middle_finger_medium_skin_tone:</t>
  </si>
  <si>
    <t>🖕🏽</t>
  </si>
  <si>
    <t>ngón giữa màu da thường</t>
  </si>
  <si>
    <t>:military_helmet:</t>
  </si>
  <si>
    <t>🪖</t>
  </si>
  <si>
    <t>:military_medal:</t>
  </si>
  <si>
    <t>🎖</t>
  </si>
  <si>
    <t>huân chương quân sự</t>
  </si>
  <si>
    <t>:milky_way:</t>
  </si>
  <si>
    <t>🌌</t>
  </si>
  <si>
    <t>:minibus:</t>
  </si>
  <si>
    <t>🚐</t>
  </si>
  <si>
    <t>minibus</t>
  </si>
  <si>
    <t>:minus:</t>
  </si>
  <si>
    <t>➖</t>
  </si>
  <si>
    <t>:mirror:</t>
  </si>
  <si>
    <t>🪞</t>
  </si>
  <si>
    <t>:moai:</t>
  </si>
  <si>
    <t>🗿</t>
  </si>
  <si>
    <t>moai</t>
  </si>
  <si>
    <t>:mobile_phone:</t>
  </si>
  <si>
    <t>📱</t>
  </si>
  <si>
    <t>:mobile_phone_off:</t>
  </si>
  <si>
    <t>📴</t>
  </si>
  <si>
    <t>:mobile_phone_with_arrow:</t>
  </si>
  <si>
    <t>📲</t>
  </si>
  <si>
    <t>:money-mouth_face:</t>
  </si>
  <si>
    <t>🤑</t>
  </si>
  <si>
    <t>mặt miệng tiền</t>
  </si>
  <si>
    <t>:money_bag:</t>
  </si>
  <si>
    <t>💰</t>
  </si>
  <si>
    <t>:money_with_wings:</t>
  </si>
  <si>
    <t>💸</t>
  </si>
  <si>
    <t>tiền với cánh</t>
  </si>
  <si>
    <t>:monkey:</t>
  </si>
  <si>
    <t>🐒</t>
  </si>
  <si>
    <t>:monkey_face:</t>
  </si>
  <si>
    <t>🐵</t>
  </si>
  <si>
    <t>:monorail:</t>
  </si>
  <si>
    <t>🚝</t>
  </si>
  <si>
    <t>đường một ray</t>
  </si>
  <si>
    <t>:moon_cake:</t>
  </si>
  <si>
    <t>🥮</t>
  </si>
  <si>
    <t>:moon_viewing_ceremony:</t>
  </si>
  <si>
    <t>🎑</t>
  </si>
  <si>
    <t>lễ ngắm trăng</t>
  </si>
  <si>
    <t>:mosque:</t>
  </si>
  <si>
    <t>🕌</t>
  </si>
  <si>
    <t>:mosquito:</t>
  </si>
  <si>
    <t>🦟</t>
  </si>
  <si>
    <t>muỗi</t>
  </si>
  <si>
    <t>:motor_boat:</t>
  </si>
  <si>
    <t>🛥</t>
  </si>
  <si>
    <t>thuyền máy</t>
  </si>
  <si>
    <t>:motor_scooter:</t>
  </si>
  <si>
    <t>🛵</t>
  </si>
  <si>
    <t>:motorcycle:</t>
  </si>
  <si>
    <t>🏍</t>
  </si>
  <si>
    <t>:motorized_wheelchair:</t>
  </si>
  <si>
    <t>🦼</t>
  </si>
  <si>
    <t>:motorway:</t>
  </si>
  <si>
    <t>🛣</t>
  </si>
  <si>
    <t>:mount_fuji:</t>
  </si>
  <si>
    <t>🗻</t>
  </si>
  <si>
    <t>núi phú sĩ</t>
  </si>
  <si>
    <t>:mountain:</t>
  </si>
  <si>
    <t>⛰</t>
  </si>
  <si>
    <t>:mountain_cableway:</t>
  </si>
  <si>
    <t>🚠</t>
  </si>
  <si>
    <t>cáp treo núi</t>
  </si>
  <si>
    <t>:mountain_railway:</t>
  </si>
  <si>
    <t>🚞</t>
  </si>
  <si>
    <t>:mouse:</t>
  </si>
  <si>
    <t>🐁</t>
  </si>
  <si>
    <t>:mouse_face:</t>
  </si>
  <si>
    <t>🐭</t>
  </si>
  <si>
    <t>:mouse_trap:</t>
  </si>
  <si>
    <t>🪤</t>
  </si>
  <si>
    <t>:mouth:</t>
  </si>
  <si>
    <t>👄</t>
  </si>
  <si>
    <t>:movie_camera:</t>
  </si>
  <si>
    <t>🎥</t>
  </si>
  <si>
    <t>:multiply:</t>
  </si>
  <si>
    <t>✖</t>
  </si>
  <si>
    <t>:mushroom:</t>
  </si>
  <si>
    <t>🍄</t>
  </si>
  <si>
    <t>:musical_keyboard:</t>
  </si>
  <si>
    <t>🎹</t>
  </si>
  <si>
    <t>:musical_note:</t>
  </si>
  <si>
    <t>🎵</t>
  </si>
  <si>
    <t>:musical_notes:</t>
  </si>
  <si>
    <t>🎶</t>
  </si>
  <si>
    <t>:musical_score:</t>
  </si>
  <si>
    <t>🎼</t>
  </si>
  <si>
    <t>điểm nhạc</t>
  </si>
  <si>
    <t>:muted_speaker:</t>
  </si>
  <si>
    <t>🔇</t>
  </si>
  <si>
    <t>:mx_claus:</t>
  </si>
  <si>
    <t>🧑‍🎄</t>
  </si>
  <si>
    <t>ông già noel</t>
  </si>
  <si>
    <t>:mx_claus_dark_skin_tone:</t>
  </si>
  <si>
    <t>🧑🏿‍🎄</t>
  </si>
  <si>
    <t>ông già noel màu da sẫm</t>
  </si>
  <si>
    <t>:mx_claus_light_skin_tone:</t>
  </si>
  <si>
    <t>🧑🏻‍🎄</t>
  </si>
  <si>
    <t>ông già noel màu da sáng</t>
  </si>
  <si>
    <t>:mx_claus_medium-dark_skin_tone:</t>
  </si>
  <si>
    <t>🧑🏾‍🎄</t>
  </si>
  <si>
    <t>ông già noel màu da sẫm vừa</t>
  </si>
  <si>
    <t>:mx_claus_medium-light_skin_tone:</t>
  </si>
  <si>
    <t>🧑🏼‍🎄</t>
  </si>
  <si>
    <t>ông già noel màu da sáng vừa</t>
  </si>
  <si>
    <t>:mx_claus_medium_skin_tone:</t>
  </si>
  <si>
    <t>🧑🏽‍🎄</t>
  </si>
  <si>
    <t>ông già noel màu da thường</t>
  </si>
  <si>
    <t>:nail_polish:</t>
  </si>
  <si>
    <t>💅</t>
  </si>
  <si>
    <t>làm móng</t>
  </si>
  <si>
    <t>:nail_polish_dark_skin_tone:</t>
  </si>
  <si>
    <t>💅🏿</t>
  </si>
  <si>
    <t>làm móng màu da sẫm</t>
  </si>
  <si>
    <t>:nail_polish_light_skin_tone:</t>
  </si>
  <si>
    <t>💅🏻</t>
  </si>
  <si>
    <t>làm móng màu da sáng</t>
  </si>
  <si>
    <t>:nail_polish_medium-dark_skin_tone:</t>
  </si>
  <si>
    <t>💅🏾</t>
  </si>
  <si>
    <t>làm móng màu da sẫm vừa</t>
  </si>
  <si>
    <t>:nail_polish_medium-light_skin_tone:</t>
  </si>
  <si>
    <t>💅🏼</t>
  </si>
  <si>
    <t>làm móng màu da sáng vừa</t>
  </si>
  <si>
    <t>:nail_polish_medium_skin_tone:</t>
  </si>
  <si>
    <t>💅🏽</t>
  </si>
  <si>
    <t>làm móng màu da thường</t>
  </si>
  <si>
    <t>:name_badge:</t>
  </si>
  <si>
    <t>📛</t>
  </si>
  <si>
    <t>huy hiệu tên</t>
  </si>
  <si>
    <t>:national_park:</t>
  </si>
  <si>
    <t>🏞</t>
  </si>
  <si>
    <t>:nauseated_face:</t>
  </si>
  <si>
    <t>🤢</t>
  </si>
  <si>
    <t>:nazar_amulet:</t>
  </si>
  <si>
    <t>🧿</t>
  </si>
  <si>
    <t>bùa hộ mệnh</t>
  </si>
  <si>
    <t>:necktie:</t>
  </si>
  <si>
    <t>👔</t>
  </si>
  <si>
    <t>cà vạt</t>
  </si>
  <si>
    <t>:nerd_face:</t>
  </si>
  <si>
    <t>🤓</t>
  </si>
  <si>
    <t>khuôn mặt mọt sách</t>
  </si>
  <si>
    <t>:nesting_dolls:</t>
  </si>
  <si>
    <t>🪆</t>
  </si>
  <si>
    <t>búp bê matryoshka</t>
  </si>
  <si>
    <t>:neutral_face:</t>
  </si>
  <si>
    <t>😐</t>
  </si>
  <si>
    <t>:new_moon:</t>
  </si>
  <si>
    <t>🌑</t>
  </si>
  <si>
    <t>:new_moon_face:</t>
  </si>
  <si>
    <t>🌚</t>
  </si>
  <si>
    <t>mặt trăng non</t>
  </si>
  <si>
    <t>:newspaper:</t>
  </si>
  <si>
    <t>📰</t>
  </si>
  <si>
    <t>:next_track_button:</t>
  </si>
  <si>
    <t>⏭</t>
  </si>
  <si>
    <t>nút bài tiếp theo</t>
  </si>
  <si>
    <t>:night_with_stars:</t>
  </si>
  <si>
    <t>🌃</t>
  </si>
  <si>
    <t>:nine-thirty:</t>
  </si>
  <si>
    <t>🕤</t>
  </si>
  <si>
    <t>:nine_o’clock:</t>
  </si>
  <si>
    <t>🕘</t>
  </si>
  <si>
    <t>:ninja:</t>
  </si>
  <si>
    <t>🥷</t>
  </si>
  <si>
    <t>ninja</t>
  </si>
  <si>
    <t>:ninja_dark_skin_tone:</t>
  </si>
  <si>
    <t>🥷🏿</t>
  </si>
  <si>
    <t>ninja màu da sẫm</t>
  </si>
  <si>
    <t>:ninja_light_skin_tone:</t>
  </si>
  <si>
    <t>🥷🏻</t>
  </si>
  <si>
    <t>ninja màu da sáng</t>
  </si>
  <si>
    <t>:ninja_medium-dark_skin_tone:</t>
  </si>
  <si>
    <t>🥷🏾</t>
  </si>
  <si>
    <t>ninja màu da sẫm vừa</t>
  </si>
  <si>
    <t>:ninja_medium-light_skin_tone:</t>
  </si>
  <si>
    <t>🥷🏼</t>
  </si>
  <si>
    <t>ninja màu da sáng vừa</t>
  </si>
  <si>
    <t>:ninja_medium_skin_tone:</t>
  </si>
  <si>
    <t>🥷🏽</t>
  </si>
  <si>
    <t>ninja màu da thường</t>
  </si>
  <si>
    <t>:no_bicycles:</t>
  </si>
  <si>
    <t>🚳</t>
  </si>
  <si>
    <t>cấm xe đạp</t>
  </si>
  <si>
    <t>:no_entry:</t>
  </si>
  <si>
    <t>⛔</t>
  </si>
  <si>
    <t>:no_littering:</t>
  </si>
  <si>
    <t>🚯</t>
  </si>
  <si>
    <t>cấm vứt rác</t>
  </si>
  <si>
    <t>:no_mobile_phones:</t>
  </si>
  <si>
    <t>📵</t>
  </si>
  <si>
    <t>cấm điện thoại di động</t>
  </si>
  <si>
    <t>:no_one_under_eighteen:</t>
  </si>
  <si>
    <t>🔞</t>
  </si>
  <si>
    <t>cấm người dưới mười tám tuổi</t>
  </si>
  <si>
    <t>:no_pedestrians:</t>
  </si>
  <si>
    <t>🚷</t>
  </si>
  <si>
    <t>cấm người đi bộ</t>
  </si>
  <si>
    <t>:no_smoking:</t>
  </si>
  <si>
    <t>🚭</t>
  </si>
  <si>
    <t>cấm hút thuốc</t>
  </si>
  <si>
    <t>:non-potable_water:</t>
  </si>
  <si>
    <t>🚱</t>
  </si>
  <si>
    <t>:nose:</t>
  </si>
  <si>
    <t>👃</t>
  </si>
  <si>
    <t>mũi</t>
  </si>
  <si>
    <t>:nose_dark_skin_tone:</t>
  </si>
  <si>
    <t>👃🏿</t>
  </si>
  <si>
    <t>mũi màu da sẫm</t>
  </si>
  <si>
    <t>:nose_light_skin_tone:</t>
  </si>
  <si>
    <t>👃🏻</t>
  </si>
  <si>
    <t>mũi màu da sáng</t>
  </si>
  <si>
    <t>:nose_medium-dark_skin_tone:</t>
  </si>
  <si>
    <t>👃🏾</t>
  </si>
  <si>
    <t>mũi màu da sẫm vừa</t>
  </si>
  <si>
    <t>:nose_medium-light_skin_tone:</t>
  </si>
  <si>
    <t>👃🏼</t>
  </si>
  <si>
    <t>mũi màu da sáng vừa</t>
  </si>
  <si>
    <t>:nose_medium_skin_tone:</t>
  </si>
  <si>
    <t>👃🏽</t>
  </si>
  <si>
    <t>mũi màu da thường</t>
  </si>
  <si>
    <t>:notebook:</t>
  </si>
  <si>
    <t>📓</t>
  </si>
  <si>
    <t>:notebook_with_decorative_cover:</t>
  </si>
  <si>
    <t>📔</t>
  </si>
  <si>
    <t>sổ tay với bìa trang trí</t>
  </si>
  <si>
    <t>:nut_and_bolt:</t>
  </si>
  <si>
    <t>🔩</t>
  </si>
  <si>
    <t>đai ốc và bu lông</t>
  </si>
  <si>
    <t>:octopus:</t>
  </si>
  <si>
    <t>🐙</t>
  </si>
  <si>
    <t>:oden:</t>
  </si>
  <si>
    <t>🍢</t>
  </si>
  <si>
    <t>bánh cá hầm</t>
  </si>
  <si>
    <t>:office_building:</t>
  </si>
  <si>
    <t>🏢</t>
  </si>
  <si>
    <t>:office_worker:</t>
  </si>
  <si>
    <t>🧑‍💼</t>
  </si>
  <si>
    <t>nhân viên văn phòng</t>
  </si>
  <si>
    <t>:office_worker_dark_skin_tone:</t>
  </si>
  <si>
    <t>🧑🏿‍💼</t>
  </si>
  <si>
    <t>nhân viên văn phòng màu da sẫm</t>
  </si>
  <si>
    <t>:office_worker_light_skin_tone:</t>
  </si>
  <si>
    <t>🧑🏻‍💼</t>
  </si>
  <si>
    <t>nhân viên văn phòng màu da sáng</t>
  </si>
  <si>
    <t>:office_worker_medium-dark_skin_tone:</t>
  </si>
  <si>
    <t>🧑🏾‍💼</t>
  </si>
  <si>
    <t>nhân viên văn phòng màu da sẫm vừa</t>
  </si>
  <si>
    <t>:office_worker_medium-light_skin_tone:</t>
  </si>
  <si>
    <t>🧑🏼‍💼</t>
  </si>
  <si>
    <t>nhân viên văn phòng màu da sáng vừa</t>
  </si>
  <si>
    <t>:office_worker_medium_skin_tone:</t>
  </si>
  <si>
    <t>🧑🏽‍💼</t>
  </si>
  <si>
    <t>nhân viên văn phòng màu da thường</t>
  </si>
  <si>
    <t>:ogre:</t>
  </si>
  <si>
    <t>👹</t>
  </si>
  <si>
    <t>yêu tinh</t>
  </si>
  <si>
    <t>:oil_drum:</t>
  </si>
  <si>
    <t>🛢</t>
  </si>
  <si>
    <t>thùng dầu</t>
  </si>
  <si>
    <t>:old_key:</t>
  </si>
  <si>
    <t>🗝</t>
  </si>
  <si>
    <t>:old_man:</t>
  </si>
  <si>
    <t>👴</t>
  </si>
  <si>
    <t>ông già</t>
  </si>
  <si>
    <t>:old_man_dark_skin_tone:</t>
  </si>
  <si>
    <t>👴🏿</t>
  </si>
  <si>
    <t>ông già màu da sẫm</t>
  </si>
  <si>
    <t>:old_man_light_skin_tone:</t>
  </si>
  <si>
    <t>👴🏻</t>
  </si>
  <si>
    <t>ông già màu da sáng</t>
  </si>
  <si>
    <t>:old_man_medium-dark_skin_tone:</t>
  </si>
  <si>
    <t>👴🏾</t>
  </si>
  <si>
    <t>ông già màu da sẫm vừa</t>
  </si>
  <si>
    <t>:old_man_medium-light_skin_tone:</t>
  </si>
  <si>
    <t>👴🏼</t>
  </si>
  <si>
    <t>ông già màu da sáng vừa</t>
  </si>
  <si>
    <t>:old_man_medium_skin_tone:</t>
  </si>
  <si>
    <t>👴🏽</t>
  </si>
  <si>
    <t>ông già màu da thường</t>
  </si>
  <si>
    <t>:old_woman:</t>
  </si>
  <si>
    <t>👵</t>
  </si>
  <si>
    <t>bà già</t>
  </si>
  <si>
    <t>:old_woman_dark_skin_tone:</t>
  </si>
  <si>
    <t>👵🏿</t>
  </si>
  <si>
    <t>bà già màu da sẫm</t>
  </si>
  <si>
    <t>:old_woman_light_skin_tone:</t>
  </si>
  <si>
    <t>👵🏻</t>
  </si>
  <si>
    <t>bà già màu da sáng</t>
  </si>
  <si>
    <t>:old_woman_medium-dark_skin_tone:</t>
  </si>
  <si>
    <t>👵🏾</t>
  </si>
  <si>
    <t>bà già màu da sẫm vừa</t>
  </si>
  <si>
    <t>:old_woman_medium-light_skin_tone:</t>
  </si>
  <si>
    <t>👵🏼</t>
  </si>
  <si>
    <t>bà già màu da sáng vừa</t>
  </si>
  <si>
    <t>:old_woman_medium_skin_tone:</t>
  </si>
  <si>
    <t>👵🏽</t>
  </si>
  <si>
    <t>bà già màu da thường</t>
  </si>
  <si>
    <t>:older_person:</t>
  </si>
  <si>
    <t>🧓</t>
  </si>
  <si>
    <t>người già</t>
  </si>
  <si>
    <t>:older_person_dark_skin_tone:</t>
  </si>
  <si>
    <t>🧓🏿</t>
  </si>
  <si>
    <t>người già màu da sẫm</t>
  </si>
  <si>
    <t>:older_person_light_skin_tone:</t>
  </si>
  <si>
    <t>🧓🏻</t>
  </si>
  <si>
    <t>người già màu da sáng</t>
  </si>
  <si>
    <t>:older_person_medium-dark_skin_tone:</t>
  </si>
  <si>
    <t>🧓🏾</t>
  </si>
  <si>
    <t>người già màu da sẫm vừa</t>
  </si>
  <si>
    <t>:older_person_medium-light_skin_tone:</t>
  </si>
  <si>
    <t>🧓🏼</t>
  </si>
  <si>
    <t>người già màu da sáng vừa</t>
  </si>
  <si>
    <t>:older_person_medium_skin_tone:</t>
  </si>
  <si>
    <t>🧓🏽</t>
  </si>
  <si>
    <t>người già màu da thường</t>
  </si>
  <si>
    <t>:olive:</t>
  </si>
  <si>
    <t>🫒</t>
  </si>
  <si>
    <t>:om:</t>
  </si>
  <si>
    <t>🕉</t>
  </si>
  <si>
    <t>om</t>
  </si>
  <si>
    <t>:oncoming_automobile:</t>
  </si>
  <si>
    <t>🚘</t>
  </si>
  <si>
    <t>ô tô đi tới</t>
  </si>
  <si>
    <t>:oncoming_bus:</t>
  </si>
  <si>
    <t>🚍</t>
  </si>
  <si>
    <t>xe buýt đi tới</t>
  </si>
  <si>
    <t>:oncoming_fist:</t>
  </si>
  <si>
    <t>👊</t>
  </si>
  <si>
    <t>nắm tay tới</t>
  </si>
  <si>
    <t>:oncoming_fist_dark_skin_tone:</t>
  </si>
  <si>
    <t>👊🏿</t>
  </si>
  <si>
    <t>nắm tay tới màu da sẫm</t>
  </si>
  <si>
    <t>:oncoming_fist_light_skin_tone:</t>
  </si>
  <si>
    <t>👊🏻</t>
  </si>
  <si>
    <t>nắm tay tới màu da sáng</t>
  </si>
  <si>
    <t>:oncoming_fist_medium-dark_skin_tone:</t>
  </si>
  <si>
    <t>👊🏾</t>
  </si>
  <si>
    <t>nắm tay tới màu da sẫm vừa</t>
  </si>
  <si>
    <t>:oncoming_fist_medium-light_skin_tone:</t>
  </si>
  <si>
    <t>👊🏼</t>
  </si>
  <si>
    <t>nắm tay tới màu da sáng vừa</t>
  </si>
  <si>
    <t>:oncoming_fist_medium_skin_tone:</t>
  </si>
  <si>
    <t>👊🏽</t>
  </si>
  <si>
    <t>nắm tay tới màu da thường</t>
  </si>
  <si>
    <t>:oncoming_police_car:</t>
  </si>
  <si>
    <t>🚔</t>
  </si>
  <si>
    <t>xe cảnh sát đi tới</t>
  </si>
  <si>
    <t>:oncoming_taxi:</t>
  </si>
  <si>
    <t>🚖</t>
  </si>
  <si>
    <t>taxi đi tới</t>
  </si>
  <si>
    <t>:one-piece_swimsuit:</t>
  </si>
  <si>
    <t>🩱</t>
  </si>
  <si>
    <t>:one-thirty:</t>
  </si>
  <si>
    <t>🕜</t>
  </si>
  <si>
    <t>:one_o’clock:</t>
  </si>
  <si>
    <t>🕐</t>
  </si>
  <si>
    <t>:onion:</t>
  </si>
  <si>
    <t>🧅</t>
  </si>
  <si>
    <t>:open_book:</t>
  </si>
  <si>
    <t>📖</t>
  </si>
  <si>
    <t>mở sách</t>
  </si>
  <si>
    <t>:open_file_folder:</t>
  </si>
  <si>
    <t>📂</t>
  </si>
  <si>
    <t>:open_hands:</t>
  </si>
  <si>
    <t>👐</t>
  </si>
  <si>
    <t>mở bàn tay</t>
  </si>
  <si>
    <t>:open_hands_dark_skin_tone:</t>
  </si>
  <si>
    <t>👐🏿</t>
  </si>
  <si>
    <t>mở bàn tay màu da sẫm</t>
  </si>
  <si>
    <t>:open_hands_light_skin_tone:</t>
  </si>
  <si>
    <t>👐🏻</t>
  </si>
  <si>
    <t>mở bàn tay màu da sáng</t>
  </si>
  <si>
    <t>:open_hands_medium-dark_skin_tone:</t>
  </si>
  <si>
    <t>👐🏾</t>
  </si>
  <si>
    <t>mở bàn tay màu da sẫm vừa</t>
  </si>
  <si>
    <t>:open_hands_medium-light_skin_tone:</t>
  </si>
  <si>
    <t>👐🏼</t>
  </si>
  <si>
    <t>mở bàn tay màu da sáng vừa</t>
  </si>
  <si>
    <t>:open_hands_medium_skin_tone:</t>
  </si>
  <si>
    <t>👐🏽</t>
  </si>
  <si>
    <t>mở bàn tay màu da thường</t>
  </si>
  <si>
    <t>:open_mailbox_with_lowered_flag:</t>
  </si>
  <si>
    <t>📭</t>
  </si>
  <si>
    <t>:open_mailbox_with_raised_flag:</t>
  </si>
  <si>
    <t>📬</t>
  </si>
  <si>
    <t>:optical_disk:</t>
  </si>
  <si>
    <t>💿</t>
  </si>
  <si>
    <t>:orange_book:</t>
  </si>
  <si>
    <t>📙</t>
  </si>
  <si>
    <t>:orange_circle:</t>
  </si>
  <si>
    <t>🟠</t>
  </si>
  <si>
    <t>:orange_heart:</t>
  </si>
  <si>
    <t>🧡</t>
  </si>
  <si>
    <t>:orange_square:</t>
  </si>
  <si>
    <t>🟧</t>
  </si>
  <si>
    <t>hình vuông màu cam</t>
  </si>
  <si>
    <t>:orangutan:</t>
  </si>
  <si>
    <t>🦧</t>
  </si>
  <si>
    <t>:orthodox_cross:</t>
  </si>
  <si>
    <t>☦</t>
  </si>
  <si>
    <t>thập giá chính thống</t>
  </si>
  <si>
    <t>:otter:</t>
  </si>
  <si>
    <t>🦦</t>
  </si>
  <si>
    <t>:outbox_tray:</t>
  </si>
  <si>
    <t>📤</t>
  </si>
  <si>
    <t>:owl:</t>
  </si>
  <si>
    <t>🦉</t>
  </si>
  <si>
    <t>:ox:</t>
  </si>
  <si>
    <t>🐂</t>
  </si>
  <si>
    <t>:oyster:</t>
  </si>
  <si>
    <t>🦪</t>
  </si>
  <si>
    <t>:package:</t>
  </si>
  <si>
    <t>📦</t>
  </si>
  <si>
    <t>:page_facing_up:</t>
  </si>
  <si>
    <t>📄</t>
  </si>
  <si>
    <t>trang giấy hướng lên</t>
  </si>
  <si>
    <t>:page_with_curl:</t>
  </si>
  <si>
    <t>📃</t>
  </si>
  <si>
    <t>trang giấp bị cong</t>
  </si>
  <si>
    <t>:pager:</t>
  </si>
  <si>
    <t>📟</t>
  </si>
  <si>
    <t>:paintbrush:</t>
  </si>
  <si>
    <t>🖌</t>
  </si>
  <si>
    <t>:palm_tree:</t>
  </si>
  <si>
    <t>🌴</t>
  </si>
  <si>
    <t>:palms_up_together:</t>
  </si>
  <si>
    <t>🤲</t>
  </si>
  <si>
    <t>lòng bàn tay cùng mở</t>
  </si>
  <si>
    <t>:palms_up_together_dark_skin_tone:</t>
  </si>
  <si>
    <t>🤲🏿</t>
  </si>
  <si>
    <t>lòng bàn tay cùng mở màu da sẫm</t>
  </si>
  <si>
    <t>:palms_up_together_light_skin_tone:</t>
  </si>
  <si>
    <t>🤲🏻</t>
  </si>
  <si>
    <t>lòng bàn tay cùng mở màu da sáng</t>
  </si>
  <si>
    <t>:palms_up_together_medium-dark_skin_tone:</t>
  </si>
  <si>
    <t>🤲🏾</t>
  </si>
  <si>
    <t>lòng bàn tay cùng mở màu da sẫm vừa</t>
  </si>
  <si>
    <t>:palms_up_together_medium-light_skin_tone:</t>
  </si>
  <si>
    <t>🤲🏼</t>
  </si>
  <si>
    <t>lòng bàn tay cùng mở màu da sáng vừa</t>
  </si>
  <si>
    <t>:palms_up_together_medium_skin_tone:</t>
  </si>
  <si>
    <t>🤲🏽</t>
  </si>
  <si>
    <t>lòng bàn tay cùng mở màu da thường</t>
  </si>
  <si>
    <t>:pancakes:</t>
  </si>
  <si>
    <t>🥞</t>
  </si>
  <si>
    <t>:panda:</t>
  </si>
  <si>
    <t>🐼</t>
  </si>
  <si>
    <t>:paperclip:</t>
  </si>
  <si>
    <t>📎</t>
  </si>
  <si>
    <t>:parachute:</t>
  </si>
  <si>
    <t>🪂</t>
  </si>
  <si>
    <t>:parrot:</t>
  </si>
  <si>
    <t>🦜</t>
  </si>
  <si>
    <t>:part_alternation_mark:</t>
  </si>
  <si>
    <t>〽</t>
  </si>
  <si>
    <t>dấu bắt đầu bài hát</t>
  </si>
  <si>
    <t>:party_popper:</t>
  </si>
  <si>
    <t>🎉</t>
  </si>
  <si>
    <t>súng bắn pháo hoa</t>
  </si>
  <si>
    <t>:partying_face:</t>
  </si>
  <si>
    <t>🥳</t>
  </si>
  <si>
    <t>:passenger_ship:</t>
  </si>
  <si>
    <t>🛳</t>
  </si>
  <si>
    <t>:passport_control:</t>
  </si>
  <si>
    <t>🛂</t>
  </si>
  <si>
    <t>:pause_button:</t>
  </si>
  <si>
    <t>⏸</t>
  </si>
  <si>
    <t>:paw_prints:</t>
  </si>
  <si>
    <t>🐾</t>
  </si>
  <si>
    <t>:peace_symbol:</t>
  </si>
  <si>
    <t>☮</t>
  </si>
  <si>
    <t>:peach:</t>
  </si>
  <si>
    <t>🍑</t>
  </si>
  <si>
    <t>:peacock:</t>
  </si>
  <si>
    <t>🦚</t>
  </si>
  <si>
    <t>:peanuts:</t>
  </si>
  <si>
    <t>🥜</t>
  </si>
  <si>
    <t>:pear:</t>
  </si>
  <si>
    <t>🍐</t>
  </si>
  <si>
    <t>:pen:</t>
  </si>
  <si>
    <t>🖊</t>
  </si>
  <si>
    <t>:pencil:</t>
  </si>
  <si>
    <t>✏</t>
  </si>
  <si>
    <t>:penguin:</t>
  </si>
  <si>
    <t>🐧</t>
  </si>
  <si>
    <t>:pensive_face:</t>
  </si>
  <si>
    <t>😔</t>
  </si>
  <si>
    <t>:people_holding_hands:</t>
  </si>
  <si>
    <t>🧑‍🤝‍🧑</t>
  </si>
  <si>
    <t>người nắm tay</t>
  </si>
  <si>
    <t>:people_holding_hands_dark_skin_tone:</t>
  </si>
  <si>
    <t>🧑🏿‍🤝‍🧑🏿</t>
  </si>
  <si>
    <t>người nắm tay màu da sẫm</t>
  </si>
  <si>
    <t>:people_holding_hands_dark_skin_tone_light_skin_tone:</t>
  </si>
  <si>
    <t>🧑🏿‍🤝‍🧑🏻</t>
  </si>
  <si>
    <t>người nắm tay màu da sẫm màu da sáng</t>
  </si>
  <si>
    <t>:people_holding_hands_dark_skin_tone_medium-dark_skin_tone:</t>
  </si>
  <si>
    <t>🧑🏿‍🤝‍🧑🏾</t>
  </si>
  <si>
    <t>người nắm tay màu da sẫm màu da sẫm vừa</t>
  </si>
  <si>
    <t>:people_holding_hands_dark_skin_tone_medium-light_skin_tone:</t>
  </si>
  <si>
    <t>🧑🏿‍🤝‍🧑🏼</t>
  </si>
  <si>
    <t>người nắm tay màu da sẫm màu da sáng vừa</t>
  </si>
  <si>
    <t>:people_holding_hands_dark_skin_tone_medium_skin_tone:</t>
  </si>
  <si>
    <t>🧑🏿‍🤝‍🧑🏽</t>
  </si>
  <si>
    <t>người nắm tay màu da sẫm màu da thường</t>
  </si>
  <si>
    <t>:people_holding_hands_light_skin_tone:</t>
  </si>
  <si>
    <t>🧑🏻‍🤝‍🧑🏻</t>
  </si>
  <si>
    <t>người nắm tay màu da sáng</t>
  </si>
  <si>
    <t>:people_holding_hands_light_skin_tone_dark_skin_tone:</t>
  </si>
  <si>
    <t>🧑🏻‍🤝‍🧑🏿</t>
  </si>
  <si>
    <t>người nắm tay màu da sáng màu da sẫm</t>
  </si>
  <si>
    <t>:people_holding_hands_light_skin_tone_medium-dark_skin_tone:</t>
  </si>
  <si>
    <t>🧑🏻‍🤝‍🧑🏾</t>
  </si>
  <si>
    <t>người nắm tay màu da sáng màu da sẫm vừa</t>
  </si>
  <si>
    <t>:people_holding_hands_light_skin_tone_medium-light_skin_tone:</t>
  </si>
  <si>
    <t>🧑🏻‍🤝‍🧑🏼</t>
  </si>
  <si>
    <t>người nắm tay màu da sáng màu da sáng vừa</t>
  </si>
  <si>
    <t>:people_holding_hands_light_skin_tone_medium_skin_tone:</t>
  </si>
  <si>
    <t>🧑🏻‍🤝‍🧑🏽</t>
  </si>
  <si>
    <t>người nắm tay màu da sáng màu da thường</t>
  </si>
  <si>
    <t>:people_holding_hands_medium-dark_skin_tone:</t>
  </si>
  <si>
    <t>🧑🏾‍🤝‍🧑🏾</t>
  </si>
  <si>
    <t>người nắm tay màu da sẫm vừa</t>
  </si>
  <si>
    <t>:people_holding_hands_medium-dark_skin_tone_dark_skin_tone:</t>
  </si>
  <si>
    <t>🧑🏾‍🤝‍🧑🏿</t>
  </si>
  <si>
    <t>người nắm tay màu da sẫm vừa màu da sẫm</t>
  </si>
  <si>
    <t>:people_holding_hands_medium-dark_skin_tone_light_skin_tone:</t>
  </si>
  <si>
    <t>🧑🏾‍🤝‍🧑🏻</t>
  </si>
  <si>
    <t>người nắm tay màu da sẫm vừa màu da sáng</t>
  </si>
  <si>
    <t>:people_holding_hands_medium-dark_skin_tone_medium-light_skin_tone:</t>
  </si>
  <si>
    <t>🧑🏾‍🤝‍🧑🏼</t>
  </si>
  <si>
    <t>người nắm tay màu da sẫm vừa màu da sáng vừa</t>
  </si>
  <si>
    <t>:people_holding_hands_medium-dark_skin_tone_medium_skin_tone:</t>
  </si>
  <si>
    <t>🧑🏾‍🤝‍🧑🏽</t>
  </si>
  <si>
    <t>người nắm tay màu da sẫm vừa màu da thường</t>
  </si>
  <si>
    <t>:people_holding_hands_medium-light_skin_tone:</t>
  </si>
  <si>
    <t>🧑🏼‍🤝‍🧑🏼</t>
  </si>
  <si>
    <t>người nắm tay màu da sáng vừa</t>
  </si>
  <si>
    <t>:people_holding_hands_medium-light_skin_tone_dark_skin_tone:</t>
  </si>
  <si>
    <t>🧑🏼‍🤝‍🧑🏿</t>
  </si>
  <si>
    <t>người nắm tay màu da sáng vừa màu da sẫm</t>
  </si>
  <si>
    <t>:people_holding_hands_medium-light_skin_tone_light_skin_tone:</t>
  </si>
  <si>
    <t>🧑🏼‍🤝‍🧑🏻</t>
  </si>
  <si>
    <t>người nắm tay màu da sáng vừa màu da sáng</t>
  </si>
  <si>
    <t>:people_holding_hands_medium-light_skin_tone_medium-dark_skin_tone:</t>
  </si>
  <si>
    <t>🧑🏼‍🤝‍🧑🏾</t>
  </si>
  <si>
    <t>người nắm tay màu da sáng vừa màu da sẫm vừa</t>
  </si>
  <si>
    <t>:people_holding_hands_medium-light_skin_tone_medium_skin_tone:</t>
  </si>
  <si>
    <t>🧑🏼‍🤝‍🧑🏽</t>
  </si>
  <si>
    <t>người nắm tay màu da sáng vừa màu da thường</t>
  </si>
  <si>
    <t>:people_holding_hands_medium_skin_tone:</t>
  </si>
  <si>
    <t>🧑🏽‍🤝‍🧑🏽</t>
  </si>
  <si>
    <t>người nắm tay màu da thường</t>
  </si>
  <si>
    <t>:people_holding_hands_medium_skin_tone_dark_skin_tone:</t>
  </si>
  <si>
    <t>🧑🏽‍🤝‍🧑🏿</t>
  </si>
  <si>
    <t>người nắm tay màu da thường màu da sẫm</t>
  </si>
  <si>
    <t>:people_holding_hands_medium_skin_tone_light_skin_tone:</t>
  </si>
  <si>
    <t>🧑🏽‍🤝‍🧑🏻</t>
  </si>
  <si>
    <t>người nắm tay màu da thường màu da sáng</t>
  </si>
  <si>
    <t>:people_holding_hands_medium_skin_tone_medium-dark_skin_tone:</t>
  </si>
  <si>
    <t>🧑🏽‍🤝‍🧑🏾</t>
  </si>
  <si>
    <t>người nắm tay màu da thường màu da sẫm vừa</t>
  </si>
  <si>
    <t>:people_holding_hands_medium_skin_tone_medium-light_skin_tone:</t>
  </si>
  <si>
    <t>🧑🏽‍🤝‍🧑🏼</t>
  </si>
  <si>
    <t>người nắm tay màu da thường màu da sáng vừa</t>
  </si>
  <si>
    <t>:people_hugging:</t>
  </si>
  <si>
    <t>🫂</t>
  </si>
  <si>
    <t>:people_with_bunny_ears:</t>
  </si>
  <si>
    <t>👯</t>
  </si>
  <si>
    <t>người với tai thỏ</t>
  </si>
  <si>
    <t>:people_wrestling:</t>
  </si>
  <si>
    <t>🤼</t>
  </si>
  <si>
    <t>người vật lộn</t>
  </si>
  <si>
    <t>:performing_arts:</t>
  </si>
  <si>
    <t>🎭</t>
  </si>
  <si>
    <t>:persevering_face:</t>
  </si>
  <si>
    <t>😣</t>
  </si>
  <si>
    <t>mặt kiên trì</t>
  </si>
  <si>
    <t>:person:</t>
  </si>
  <si>
    <t>🧑</t>
  </si>
  <si>
    <t>:person_bald:</t>
  </si>
  <si>
    <t>🧑‍🦲</t>
  </si>
  <si>
    <t>:person_beard:</t>
  </si>
  <si>
    <t>🧔</t>
  </si>
  <si>
    <t>người có râu</t>
  </si>
  <si>
    <t>:person_biking:</t>
  </si>
  <si>
    <t>🚴</t>
  </si>
  <si>
    <t>người đi xe đạp</t>
  </si>
  <si>
    <t>:person_biking_dark_skin_tone:</t>
  </si>
  <si>
    <t>🚴🏿</t>
  </si>
  <si>
    <t>Người đi xe đạp màu da sẫm</t>
  </si>
  <si>
    <t>:person_biking_light_skin_tone:</t>
  </si>
  <si>
    <t>🚴🏻</t>
  </si>
  <si>
    <t>Người đi xe đạp màu da sáng</t>
  </si>
  <si>
    <t>:person_biking_medium-dark_skin_tone:</t>
  </si>
  <si>
    <t>🚴🏾</t>
  </si>
  <si>
    <t>Người đi xe đạp màu da sẫm vừa</t>
  </si>
  <si>
    <t>:person_biking_medium-light_skin_tone:</t>
  </si>
  <si>
    <t>🚴🏼</t>
  </si>
  <si>
    <t>Người đi xe đạp màu da sáng vừa</t>
  </si>
  <si>
    <t>:person_biking_medium_skin_tone:</t>
  </si>
  <si>
    <t>🚴🏽</t>
  </si>
  <si>
    <t>Người đi xe đạp màu da thường</t>
  </si>
  <si>
    <t>:person_blond_hair:</t>
  </si>
  <si>
    <t>👱</t>
  </si>
  <si>
    <t>:person_bouncing_ball:</t>
  </si>
  <si>
    <t>⛹</t>
  </si>
  <si>
    <t>người và bóng nảy</t>
  </si>
  <si>
    <t>:person_bouncing_ball_dark_skin_tone:</t>
  </si>
  <si>
    <t>⛹🏿</t>
  </si>
  <si>
    <t>người và bóng nảy màu da sẫm</t>
  </si>
  <si>
    <t>:person_bouncing_ball_light_skin_tone:</t>
  </si>
  <si>
    <t>⛹🏻</t>
  </si>
  <si>
    <t>người và bóng nảy màu da sáng</t>
  </si>
  <si>
    <t>:person_bouncing_ball_medium-dark_skin_tone:</t>
  </si>
  <si>
    <t>⛹🏾</t>
  </si>
  <si>
    <t>người và bóng nảy màu da sẫm vừa</t>
  </si>
  <si>
    <t>:person_bouncing_ball_medium-light_skin_tone:</t>
  </si>
  <si>
    <t>⛹🏼</t>
  </si>
  <si>
    <t>người và bóng nảy màu da sáng vừa</t>
  </si>
  <si>
    <t>:person_bouncing_ball_medium_skin_tone:</t>
  </si>
  <si>
    <t>⛹🏽</t>
  </si>
  <si>
    <t>người và bóng nảy màu da thường</t>
  </si>
  <si>
    <t>:person_bowing:</t>
  </si>
  <si>
    <t>🙇</t>
  </si>
  <si>
    <t>người cúi đầu</t>
  </si>
  <si>
    <t>:person_bowing_dark_skin_tone:</t>
  </si>
  <si>
    <t>🙇🏿</t>
  </si>
  <si>
    <t>người màu da sẫm cúi đầu</t>
  </si>
  <si>
    <t>:person_bowing_light_skin_tone:</t>
  </si>
  <si>
    <t>🙇🏻</t>
  </si>
  <si>
    <t>người màu da sáng cúi đầu</t>
  </si>
  <si>
    <t>:person_bowing_medium-dark_skin_tone:</t>
  </si>
  <si>
    <t>🙇🏾</t>
  </si>
  <si>
    <t>người màu da sẫm vừa cúi đầu</t>
  </si>
  <si>
    <t>:person_bowing_medium-light_skin_tone:</t>
  </si>
  <si>
    <t>🙇🏼</t>
  </si>
  <si>
    <t>người màu da sáng vừa cúi đầu</t>
  </si>
  <si>
    <t>:person_bowing_medium_skin_tone:</t>
  </si>
  <si>
    <t>🙇🏽</t>
  </si>
  <si>
    <t>người màu da thường cúi đầu</t>
  </si>
  <si>
    <t>:person_cartwheeling:</t>
  </si>
  <si>
    <t>🤸</t>
  </si>
  <si>
    <t>người nhào lộn</t>
  </si>
  <si>
    <t>:person_cartwheeling_dark_skin_tone:</t>
  </si>
  <si>
    <t>🤸🏿</t>
  </si>
  <si>
    <t>người màu da sẫm nhào lộn</t>
  </si>
  <si>
    <t>:person_cartwheeling_light_skin_tone:</t>
  </si>
  <si>
    <t>🤸🏻</t>
  </si>
  <si>
    <t>người màu da sáng nhào lộn</t>
  </si>
  <si>
    <t>:person_cartwheeling_medium-dark_skin_tone:</t>
  </si>
  <si>
    <t>🤸🏾</t>
  </si>
  <si>
    <t>người màu da sẫm vừa nhào lộn</t>
  </si>
  <si>
    <t>:person_cartwheeling_medium-light_skin_tone:</t>
  </si>
  <si>
    <t>🤸🏼</t>
  </si>
  <si>
    <t>người màu da sáng vừa nhào lộn</t>
  </si>
  <si>
    <t>:person_cartwheeling_medium_skin_tone:</t>
  </si>
  <si>
    <t>🤸🏽</t>
  </si>
  <si>
    <t>người màu da thường nhào lộn</t>
  </si>
  <si>
    <t>:person_climbing:</t>
  </si>
  <si>
    <t>🧗</t>
  </si>
  <si>
    <t>người leo núi</t>
  </si>
  <si>
    <t>:person_climbing_dark_skin_tone:</t>
  </si>
  <si>
    <t>🧗🏿</t>
  </si>
  <si>
    <t>người màu da sẫm leo núi</t>
  </si>
  <si>
    <t>:person_climbing_light_skin_tone:</t>
  </si>
  <si>
    <t>🧗🏻</t>
  </si>
  <si>
    <t>người màu da sáng leo núi</t>
  </si>
  <si>
    <t>:person_climbing_medium-dark_skin_tone:</t>
  </si>
  <si>
    <t>🧗🏾</t>
  </si>
  <si>
    <t>người màu da sẫm vừa leo núi</t>
  </si>
  <si>
    <t>:person_climbing_medium-light_skin_tone:</t>
  </si>
  <si>
    <t>🧗🏼</t>
  </si>
  <si>
    <t>người màu da sáng vừa leo núi</t>
  </si>
  <si>
    <t>:person_climbing_medium_skin_tone:</t>
  </si>
  <si>
    <t>🧗🏽</t>
  </si>
  <si>
    <t>người màu da thường leo núi</t>
  </si>
  <si>
    <t>:person_curly_hair:</t>
  </si>
  <si>
    <t>🧑‍🦱</t>
  </si>
  <si>
    <t>:person_dark_skin_tone:</t>
  </si>
  <si>
    <t>🧑🏿</t>
  </si>
  <si>
    <t>người da sẫm</t>
  </si>
  <si>
    <t>:person_dark_skin_tone_bald:</t>
  </si>
  <si>
    <t>🧑🏿‍🦲</t>
  </si>
  <si>
    <t>người hói da sẫm</t>
  </si>
  <si>
    <t>:person_dark_skin_tone_beard:</t>
  </si>
  <si>
    <t>🧔🏿</t>
  </si>
  <si>
    <t>người có râu da sẫm</t>
  </si>
  <si>
    <t>:person_dark_skin_tone_blond_hair:</t>
  </si>
  <si>
    <t>👱🏿</t>
  </si>
  <si>
    <t>người tóc vàng da sẫm</t>
  </si>
  <si>
    <t>:person_dark_skin_tone_curly_hair:</t>
  </si>
  <si>
    <t>🧑🏿‍🦱</t>
  </si>
  <si>
    <t>người tóc xoăn da sẫm</t>
  </si>
  <si>
    <t>:person_dark_skin_tone_red_hair:</t>
  </si>
  <si>
    <t>🧑🏿‍🦰</t>
  </si>
  <si>
    <t>người tóc đỏ da sẫm</t>
  </si>
  <si>
    <t>:person_dark_skin_tone_white_hair:</t>
  </si>
  <si>
    <t>🧑🏿‍🦳</t>
  </si>
  <si>
    <t>người tóc trắng da sẫm</t>
  </si>
  <si>
    <t>:person_facepalming:</t>
  </si>
  <si>
    <t>🤦</t>
  </si>
  <si>
    <t>người lấy tay che mặt</t>
  </si>
  <si>
    <t>:person_facepalming_dark_skin_tone:</t>
  </si>
  <si>
    <t>🤦🏿</t>
  </si>
  <si>
    <t>người màu da sẫm lấy tay che mặt</t>
  </si>
  <si>
    <t>:person_facepalming_light_skin_tone:</t>
  </si>
  <si>
    <t>🤦🏻</t>
  </si>
  <si>
    <t>người màu da sáng lấy tay che mặt</t>
  </si>
  <si>
    <t>:person_facepalming_medium-dark_skin_tone:</t>
  </si>
  <si>
    <t>🤦🏾</t>
  </si>
  <si>
    <t>người màu da sẫm vừa lấy tay che mặt</t>
  </si>
  <si>
    <t>:person_facepalming_medium-light_skin_tone:</t>
  </si>
  <si>
    <t>🤦🏼</t>
  </si>
  <si>
    <t>người màu da sáng vừa lấy tay che mặt</t>
  </si>
  <si>
    <t>:person_facepalming_medium_skin_tone:</t>
  </si>
  <si>
    <t>🤦🏽</t>
  </si>
  <si>
    <t>người màu da thường lấy tay che mặt</t>
  </si>
  <si>
    <t>:person_feeding_baby:</t>
  </si>
  <si>
    <t>🧑‍🍼</t>
  </si>
  <si>
    <t>người cho em bé ăn</t>
  </si>
  <si>
    <t>:person_feeding_baby_dark_skin_tone:</t>
  </si>
  <si>
    <t>🧑🏿‍🍼</t>
  </si>
  <si>
    <t>người màu da sẫm cho em bé ăn</t>
  </si>
  <si>
    <t>:person_feeding_baby_light_skin_tone:</t>
  </si>
  <si>
    <t>🧑🏻‍🍼</t>
  </si>
  <si>
    <t>người màu da sáng cho em bé ăn</t>
  </si>
  <si>
    <t>:person_feeding_baby_medium-dark_skin_tone:</t>
  </si>
  <si>
    <t>🧑🏾‍🍼</t>
  </si>
  <si>
    <t>người màu da sẫm vừa cho em bé ăn</t>
  </si>
  <si>
    <t>:person_feeding_baby_medium-light_skin_tone:</t>
  </si>
  <si>
    <t>🧑🏼‍🍼</t>
  </si>
  <si>
    <t>người màu da sáng vừa cho em bé ăn</t>
  </si>
  <si>
    <t>:person_feeding_baby_medium_skin_tone:</t>
  </si>
  <si>
    <t>🧑🏽‍🍼</t>
  </si>
  <si>
    <t>người màu da thường cho em bé ăn</t>
  </si>
  <si>
    <t>:person_fencing:</t>
  </si>
  <si>
    <t>🤺</t>
  </si>
  <si>
    <t>:person_frowning:</t>
  </si>
  <si>
    <t>🙍</t>
  </si>
  <si>
    <t>:person_frowning_dark_skin_tone:</t>
  </si>
  <si>
    <t>🙍🏿</t>
  </si>
  <si>
    <t>người cau mày màu da sẫm</t>
  </si>
  <si>
    <t>:person_frowning_light_skin_tone:</t>
  </si>
  <si>
    <t>🙍🏻</t>
  </si>
  <si>
    <t>người cau mày màu da sáng</t>
  </si>
  <si>
    <t>:person_frowning_medium-dark_skin_tone:</t>
  </si>
  <si>
    <t>🙍🏾</t>
  </si>
  <si>
    <t>người cau mày màu da sẫm vừa</t>
  </si>
  <si>
    <t>:person_frowning_medium-light_skin_tone:</t>
  </si>
  <si>
    <t>🙍🏼</t>
  </si>
  <si>
    <t>người cau mày màu da sáng vừa</t>
  </si>
  <si>
    <t>:person_frowning_medium_skin_tone:</t>
  </si>
  <si>
    <t>🙍🏽</t>
  </si>
  <si>
    <t>người cau mày màu da thường</t>
  </si>
  <si>
    <t>:person_gesturing_NO:</t>
  </si>
  <si>
    <t>🙅</t>
  </si>
  <si>
    <t>người làm cử chỉ không</t>
  </si>
  <si>
    <t>:person_gesturing_NO_dark_skin_tone:</t>
  </si>
  <si>
    <t>🙅🏿</t>
  </si>
  <si>
    <t>người màu da sẫm làm cử chỉ không</t>
  </si>
  <si>
    <t>:person_gesturing_NO_light_skin_tone:</t>
  </si>
  <si>
    <t>🙅🏻</t>
  </si>
  <si>
    <t>người màu da sáng làm cử chỉ không</t>
  </si>
  <si>
    <t>:person_gesturing_NO_medium-dark_skin_tone:</t>
  </si>
  <si>
    <t>🙅🏾</t>
  </si>
  <si>
    <t>người màu da sẫm vừa làm cử chỉ không</t>
  </si>
  <si>
    <t>:person_gesturing_NO_medium-light_skin_tone:</t>
  </si>
  <si>
    <t>🙅🏼</t>
  </si>
  <si>
    <t>người màu da sáng vừa làm cử chỉ không</t>
  </si>
  <si>
    <t>:person_gesturing_NO_medium_skin_tone:</t>
  </si>
  <si>
    <t>🙅🏽</t>
  </si>
  <si>
    <t>người màu da thường làm cử chỉ không</t>
  </si>
  <si>
    <t>:person_gesturing_OK:</t>
  </si>
  <si>
    <t>🙆</t>
  </si>
  <si>
    <t>người làm cử chỉ ok</t>
  </si>
  <si>
    <t>:person_gesturing_OK_dark_skin_tone:</t>
  </si>
  <si>
    <t>🙆🏿</t>
  </si>
  <si>
    <t>người màu da sẫm làm cử chỉ ok</t>
  </si>
  <si>
    <t>:person_gesturing_OK_light_skin_tone:</t>
  </si>
  <si>
    <t>🙆🏻</t>
  </si>
  <si>
    <t>người màu da sáng làm cử chỉ ok</t>
  </si>
  <si>
    <t>:person_gesturing_OK_medium-dark_skin_tone:</t>
  </si>
  <si>
    <t>🙆🏾</t>
  </si>
  <si>
    <t>người màu da sẫm vừa làm cử chỉ ok</t>
  </si>
  <si>
    <t>:person_gesturing_OK_medium-light_skin_tone:</t>
  </si>
  <si>
    <t>🙆🏼</t>
  </si>
  <si>
    <t>người màu da sáng vừa làm cử chỉ ok</t>
  </si>
  <si>
    <t>:person_gesturing_OK_medium_skin_tone:</t>
  </si>
  <si>
    <t>🙆🏽</t>
  </si>
  <si>
    <t>người màu da thường làm cử chỉ ok</t>
  </si>
  <si>
    <t>:person_getting_haircut:</t>
  </si>
  <si>
    <t>💇</t>
  </si>
  <si>
    <t>người đang được cắt tóc</t>
  </si>
  <si>
    <t>:person_getting_haircut_dark_skin_tone:</t>
  </si>
  <si>
    <t>💇🏿</t>
  </si>
  <si>
    <t>người màu da sẫm đang được cắt tóc</t>
  </si>
  <si>
    <t>:person_getting_haircut_light_skin_tone:</t>
  </si>
  <si>
    <t>💇🏻</t>
  </si>
  <si>
    <t>người màu da sáng đang được cắt tóc</t>
  </si>
  <si>
    <t>:person_getting_haircut_medium-dark_skin_tone:</t>
  </si>
  <si>
    <t>💇🏾</t>
  </si>
  <si>
    <t>người màu da sẫm vừa đang được cắt tóc</t>
  </si>
  <si>
    <t>:person_getting_haircut_medium-light_skin_tone:</t>
  </si>
  <si>
    <t>💇🏼</t>
  </si>
  <si>
    <t>người màu da sáng vừa đang được cắt tóc</t>
  </si>
  <si>
    <t>:person_getting_haircut_medium_skin_tone:</t>
  </si>
  <si>
    <t>💇🏽</t>
  </si>
  <si>
    <t>người màu da thường đang được cắt tóc</t>
  </si>
  <si>
    <t>:person_getting_massage:</t>
  </si>
  <si>
    <t>💆</t>
  </si>
  <si>
    <t>người nhận được tin nhắn</t>
  </si>
  <si>
    <t>:person_getting_massage_dark_skin_tone:</t>
  </si>
  <si>
    <t>💆🏿</t>
  </si>
  <si>
    <t>người màu da sẫm nhận được tin nhắn</t>
  </si>
  <si>
    <t>:person_getting_massage_light_skin_tone:</t>
  </si>
  <si>
    <t>💆🏻</t>
  </si>
  <si>
    <t>người màu da sáng nhận được tin nhắn</t>
  </si>
  <si>
    <t>:person_getting_massage_medium-dark_skin_tone:</t>
  </si>
  <si>
    <t>💆🏾</t>
  </si>
  <si>
    <t>người màu da sẫm vừa nhận được tin nhắn</t>
  </si>
  <si>
    <t>:person_getting_massage_medium-light_skin_tone:</t>
  </si>
  <si>
    <t>💆🏼</t>
  </si>
  <si>
    <t>người màu da sáng vừa nhận được tin nhắn</t>
  </si>
  <si>
    <t>:person_getting_massage_medium_skin_tone:</t>
  </si>
  <si>
    <t>💆🏽</t>
  </si>
  <si>
    <t>người màu da thường nhận được tin nhắn</t>
  </si>
  <si>
    <t>:person_golfing:</t>
  </si>
  <si>
    <t>🏌</t>
  </si>
  <si>
    <t>người chơi gôn</t>
  </si>
  <si>
    <t>:person_golfing_dark_skin_tone:</t>
  </si>
  <si>
    <t>🏌🏿</t>
  </si>
  <si>
    <t>người màu da sẫm chơi gôn</t>
  </si>
  <si>
    <t>:person_golfing_light_skin_tone:</t>
  </si>
  <si>
    <t>🏌🏻</t>
  </si>
  <si>
    <t>người màu da sáng chơi gôn</t>
  </si>
  <si>
    <t>:person_golfing_medium-dark_skin_tone:</t>
  </si>
  <si>
    <t>🏌🏾</t>
  </si>
  <si>
    <t>người màu da sẫm vừa chơi gôn</t>
  </si>
  <si>
    <t>:person_golfing_medium-light_skin_tone:</t>
  </si>
  <si>
    <t>🏌🏼</t>
  </si>
  <si>
    <t>người màu da sáng vừa chơi gôn</t>
  </si>
  <si>
    <t>:person_golfing_medium_skin_tone:</t>
  </si>
  <si>
    <t>🏌🏽</t>
  </si>
  <si>
    <t>người màu da thường chơi gôn</t>
  </si>
  <si>
    <t>:person_in_bed:</t>
  </si>
  <si>
    <t>🛌</t>
  </si>
  <si>
    <t>người trên giường</t>
  </si>
  <si>
    <t>:person_in_bed_dark_skin_tone:</t>
  </si>
  <si>
    <t>🛌🏿</t>
  </si>
  <si>
    <t>người trên giường màu da sẫm</t>
  </si>
  <si>
    <t>:person_in_bed_light_skin_tone:</t>
  </si>
  <si>
    <t>🛌🏻</t>
  </si>
  <si>
    <t>người trên giường màu da sáng</t>
  </si>
  <si>
    <t>:person_in_bed_medium-dark_skin_tone:</t>
  </si>
  <si>
    <t>🛌🏾</t>
  </si>
  <si>
    <t>người trên giường màu da sẫm vừa</t>
  </si>
  <si>
    <t>:person_in_bed_medium-light_skin_tone:</t>
  </si>
  <si>
    <t>🛌🏼</t>
  </si>
  <si>
    <t>người trên giường màu da sáng vừa</t>
  </si>
  <si>
    <t>:person_in_bed_medium_skin_tone:</t>
  </si>
  <si>
    <t>🛌🏽</t>
  </si>
  <si>
    <t>người trên giường màu da thường</t>
  </si>
  <si>
    <t>:person_in_lotus_position:</t>
  </si>
  <si>
    <t>🧘</t>
  </si>
  <si>
    <t>người đang ngồi thiền</t>
  </si>
  <si>
    <t>:person_in_lotus_position_dark_skin_tone:</t>
  </si>
  <si>
    <t>🧘🏿</t>
  </si>
  <si>
    <t>người màu da sẫm đang ngồi thiền</t>
  </si>
  <si>
    <t>:person_in_lotus_position_light_skin_tone:</t>
  </si>
  <si>
    <t>🧘🏻</t>
  </si>
  <si>
    <t>người màu da sáng đang ngồi thiền</t>
  </si>
  <si>
    <t>:person_in_lotus_position_medium-dark_skin_tone:</t>
  </si>
  <si>
    <t>🧘🏾</t>
  </si>
  <si>
    <t>người màu da sẫm vừa đang ngồi thiền</t>
  </si>
  <si>
    <t>:person_in_lotus_position_medium-light_skin_tone:</t>
  </si>
  <si>
    <t>🧘🏼</t>
  </si>
  <si>
    <t>người màu da sáng vừa đang ngồi thiền</t>
  </si>
  <si>
    <t>:person_in_lotus_position_medium_skin_tone:</t>
  </si>
  <si>
    <t>🧘🏽</t>
  </si>
  <si>
    <t>người màu da thường đang ngồi thiền</t>
  </si>
  <si>
    <t>:person_in_manual_wheelchair:</t>
  </si>
  <si>
    <t>🧑‍🦽</t>
  </si>
  <si>
    <t>người lăn xe lăn bằng tay</t>
  </si>
  <si>
    <t>:person_in_manual_wheelchair_dark_skin_tone:</t>
  </si>
  <si>
    <t>🧑🏿‍🦽</t>
  </si>
  <si>
    <t>người màu da sẫm lăn xe lăn bằng tay</t>
  </si>
  <si>
    <t>:person_in_manual_wheelchair_light_skin_tone:</t>
  </si>
  <si>
    <t>🧑🏻‍🦽</t>
  </si>
  <si>
    <t>người màu da sáng lăn xe lăn bằng tay</t>
  </si>
  <si>
    <t>:person_in_manual_wheelchair_medium-dark_skin_tone:</t>
  </si>
  <si>
    <t>🧑🏾‍🦽</t>
  </si>
  <si>
    <t>người màu da sẫm vừa lăn xe lăn bằng tay</t>
  </si>
  <si>
    <t>:person_in_manual_wheelchair_medium-light_skin_tone:</t>
  </si>
  <si>
    <t>🧑🏼‍🦽</t>
  </si>
  <si>
    <t>người màu da sáng vừa lăn xe lăn bằng tay</t>
  </si>
  <si>
    <t>:person_in_manual_wheelchair_medium_skin_tone:</t>
  </si>
  <si>
    <t>🧑🏽‍🦽</t>
  </si>
  <si>
    <t>người màu da thường lăn xe lăn bằng tay</t>
  </si>
  <si>
    <t>:person_in_motorized_wheelchair:</t>
  </si>
  <si>
    <t>🧑‍🦼</t>
  </si>
  <si>
    <t>người trên xe lăn có động cơ</t>
  </si>
  <si>
    <t>:person_in_motorized_wheelchair_dark_skin_tone:</t>
  </si>
  <si>
    <t>🧑🏿‍🦼</t>
  </si>
  <si>
    <t>người trên xe lăn có động cơ màu da sẫm</t>
  </si>
  <si>
    <t>:person_in_motorized_wheelchair_light_skin_tone:</t>
  </si>
  <si>
    <t>🧑🏻‍🦼</t>
  </si>
  <si>
    <t>người trên xe lăn có động cơ màu da sáng</t>
  </si>
  <si>
    <t>:person_in_motorized_wheelchair_medium-dark_skin_tone:</t>
  </si>
  <si>
    <t>🧑🏾‍🦼</t>
  </si>
  <si>
    <t>người trên xe lăn có động cơ màu da sẫm vừa</t>
  </si>
  <si>
    <t>:person_in_motorized_wheelchair_medium-light_skin_tone:</t>
  </si>
  <si>
    <t>🧑🏼‍🦼</t>
  </si>
  <si>
    <t>người trên xe lăn có động cơ màu da sáng vừa</t>
  </si>
  <si>
    <t>:person_in_motorized_wheelchair_medium_skin_tone:</t>
  </si>
  <si>
    <t>🧑🏽‍🦼</t>
  </si>
  <si>
    <t>người trên xe lăn có động cơ màu da thường</t>
  </si>
  <si>
    <t>:person_in_steamy_room:</t>
  </si>
  <si>
    <t>🧖</t>
  </si>
  <si>
    <t>người trong phòng xông hơi</t>
  </si>
  <si>
    <t>:person_in_steamy_room_dark_skin_tone:</t>
  </si>
  <si>
    <t>🧖🏿</t>
  </si>
  <si>
    <t>người màu da sẫm trong phòng xông hơi</t>
  </si>
  <si>
    <t>:person_in_steamy_room_light_skin_tone:</t>
  </si>
  <si>
    <t>🧖🏻</t>
  </si>
  <si>
    <t>người màu da sáng trong phòng xông hơi</t>
  </si>
  <si>
    <t>:person_in_steamy_room_medium-dark_skin_tone:</t>
  </si>
  <si>
    <t>🧖🏾</t>
  </si>
  <si>
    <t>người màu da sẫm vừa trong phòng xông hơi</t>
  </si>
  <si>
    <t>:person_in_steamy_room_medium-light_skin_tone:</t>
  </si>
  <si>
    <t>🧖🏼</t>
  </si>
  <si>
    <t>người màu da sáng vừa trong phòng xông hơi</t>
  </si>
  <si>
    <t>:person_in_steamy_room_medium_skin_tone:</t>
  </si>
  <si>
    <t>🧖🏽</t>
  </si>
  <si>
    <t>người màu da thường trong phòng xông hơi</t>
  </si>
  <si>
    <t>:person_in_suit_levitating:</t>
  </si>
  <si>
    <t>🕴</t>
  </si>
  <si>
    <t>người mang com lê bay lên</t>
  </si>
  <si>
    <t>:person_in_suit_levitating_dark_skin_tone:</t>
  </si>
  <si>
    <t>🕴🏿</t>
  </si>
  <si>
    <t>người mang com lê bay lên màu da sẫm</t>
  </si>
  <si>
    <t>:person_in_suit_levitating_light_skin_tone:</t>
  </si>
  <si>
    <t>🕴🏻</t>
  </si>
  <si>
    <t>người mang com lê bay lên màu da sáng</t>
  </si>
  <si>
    <t>:person_in_suit_levitating_medium-dark_skin_tone:</t>
  </si>
  <si>
    <t>🕴🏾</t>
  </si>
  <si>
    <t>người mang com lê bay lên màu da sẫm vừa</t>
  </si>
  <si>
    <t>:person_in_suit_levitating_medium-light_skin_tone:</t>
  </si>
  <si>
    <t>🕴🏼</t>
  </si>
  <si>
    <t>người mang com lê bay lên màu da sáng vừa</t>
  </si>
  <si>
    <t>:person_in_suit_levitating_medium_skin_tone:</t>
  </si>
  <si>
    <t>🕴🏽</t>
  </si>
  <si>
    <t>người mang com lê bay lên màu da thường</t>
  </si>
  <si>
    <t>:person_in_tuxedo:</t>
  </si>
  <si>
    <t>🤵</t>
  </si>
  <si>
    <t>người mang áo đuôi tôm</t>
  </si>
  <si>
    <t>:person_in_tuxedo_dark_skin_tone:</t>
  </si>
  <si>
    <t>🤵🏿</t>
  </si>
  <si>
    <t>người màu da sẫm mang áo đuôi tôm</t>
  </si>
  <si>
    <t>:person_in_tuxedo_light_skin_tone:</t>
  </si>
  <si>
    <t>🤵🏻</t>
  </si>
  <si>
    <t>người màu da sáng mang áo đuôi tôm</t>
  </si>
  <si>
    <t>:person_in_tuxedo_medium-dark_skin_tone:</t>
  </si>
  <si>
    <t>🤵🏾</t>
  </si>
  <si>
    <t>người màu da sẫm vừa mang áo đuôi tôm</t>
  </si>
  <si>
    <t>:person_in_tuxedo_medium-light_skin_tone:</t>
  </si>
  <si>
    <t>🤵🏼</t>
  </si>
  <si>
    <t>người màu da sáng vừa mang áo đuôi tôm</t>
  </si>
  <si>
    <t>:person_in_tuxedo_medium_skin_tone:</t>
  </si>
  <si>
    <t>🤵🏽</t>
  </si>
  <si>
    <t>người màu da thường mang áo đuôi tôm</t>
  </si>
  <si>
    <t>:person_juggling:</t>
  </si>
  <si>
    <t>🤹</t>
  </si>
  <si>
    <t>người tung hứng</t>
  </si>
  <si>
    <t>:person_juggling_dark_skin_tone:</t>
  </si>
  <si>
    <t>🤹🏿</t>
  </si>
  <si>
    <t>người màu da sẫm tung hứng</t>
  </si>
  <si>
    <t>:person_juggling_light_skin_tone:</t>
  </si>
  <si>
    <t>🤹🏻</t>
  </si>
  <si>
    <t>người màu da sáng tung hứng</t>
  </si>
  <si>
    <t>:person_juggling_medium-dark_skin_tone:</t>
  </si>
  <si>
    <t>🤹🏾</t>
  </si>
  <si>
    <t>người màu da sẫm vừa tung hứng</t>
  </si>
  <si>
    <t>:person_juggling_medium-light_skin_tone:</t>
  </si>
  <si>
    <t>🤹🏼</t>
  </si>
  <si>
    <t>người màu da sáng vừa tung hứng</t>
  </si>
  <si>
    <t>:person_juggling_medium_skin_tone:</t>
  </si>
  <si>
    <t>🤹🏽</t>
  </si>
  <si>
    <t>người màu da thường tung hứng</t>
  </si>
  <si>
    <t>:person_kneeling:</t>
  </si>
  <si>
    <t>🧎</t>
  </si>
  <si>
    <t>người đang quỳ</t>
  </si>
  <si>
    <t>:person_kneeling_dark_skin_tone:</t>
  </si>
  <si>
    <t>🧎🏿</t>
  </si>
  <si>
    <t>người màu da sẫm đang quỳ</t>
  </si>
  <si>
    <t>:person_kneeling_light_skin_tone:</t>
  </si>
  <si>
    <t>🧎🏻</t>
  </si>
  <si>
    <t>người màu da sáng đang quỳ</t>
  </si>
  <si>
    <t>:person_kneeling_medium-dark_skin_tone:</t>
  </si>
  <si>
    <t>🧎🏾</t>
  </si>
  <si>
    <t>người màu da sẫm vừa đang quỳ</t>
  </si>
  <si>
    <t>:person_kneeling_medium-light_skin_tone:</t>
  </si>
  <si>
    <t>🧎🏼</t>
  </si>
  <si>
    <t>người màu da sáng vừa đang quỳ</t>
  </si>
  <si>
    <t>:person_kneeling_medium_skin_tone:</t>
  </si>
  <si>
    <t>🧎🏽</t>
  </si>
  <si>
    <t>người màu da thường đang quỳ</t>
  </si>
  <si>
    <t>:person_lifting_weights:</t>
  </si>
  <si>
    <t>🏋</t>
  </si>
  <si>
    <t>người nâng tạ</t>
  </si>
  <si>
    <t>:person_lifting_weights_dark_skin_tone:</t>
  </si>
  <si>
    <t>🏋🏿</t>
  </si>
  <si>
    <t>người màu da sẫm nâng tạ</t>
  </si>
  <si>
    <t>:person_lifting_weights_light_skin_tone:</t>
  </si>
  <si>
    <t>🏋🏻</t>
  </si>
  <si>
    <t>người màu da sáng nâng tạ</t>
  </si>
  <si>
    <t>:person_lifting_weights_medium-dark_skin_tone:</t>
  </si>
  <si>
    <t>🏋🏾</t>
  </si>
  <si>
    <t>người màu da sẫm vừa nâng tạ</t>
  </si>
  <si>
    <t>:person_lifting_weights_medium-light_skin_tone:</t>
  </si>
  <si>
    <t>🏋🏼</t>
  </si>
  <si>
    <t>người màu da sáng vừa nâng tạ</t>
  </si>
  <si>
    <t>:person_lifting_weights_medium_skin_tone:</t>
  </si>
  <si>
    <t>🏋🏽</t>
  </si>
  <si>
    <t>người màu da thường nâng tạ</t>
  </si>
  <si>
    <t>:person_light_skin_tone:</t>
  </si>
  <si>
    <t>🧑🏻</t>
  </si>
  <si>
    <t>người da sáng</t>
  </si>
  <si>
    <t>:person_light_skin_tone_bald:</t>
  </si>
  <si>
    <t>🧑🏻‍🦲</t>
  </si>
  <si>
    <t>người hói da sáng</t>
  </si>
  <si>
    <t>:person_light_skin_tone_beard:</t>
  </si>
  <si>
    <t>🧔🏻</t>
  </si>
  <si>
    <t>người có râu da sáng</t>
  </si>
  <si>
    <t>:person_light_skin_tone_blond_hair:</t>
  </si>
  <si>
    <t>👱🏻</t>
  </si>
  <si>
    <t>người tóc vàng da sáng</t>
  </si>
  <si>
    <t>:person_light_skin_tone_curly_hair:</t>
  </si>
  <si>
    <t>🧑🏻‍🦱</t>
  </si>
  <si>
    <t>người tóc xoăn da sáng</t>
  </si>
  <si>
    <t>:person_light_skin_tone_red_hair:</t>
  </si>
  <si>
    <t>🧑🏻‍🦰</t>
  </si>
  <si>
    <t>người tóc đỏ da sáng</t>
  </si>
  <si>
    <t>:person_light_skin_tone_white_hair:</t>
  </si>
  <si>
    <t>🧑🏻‍🦳</t>
  </si>
  <si>
    <t>người tóc trắng da sáng</t>
  </si>
  <si>
    <t>:person_medium-dark_skin_tone:</t>
  </si>
  <si>
    <t>🧑🏾</t>
  </si>
  <si>
    <t>người da sẫm vừa</t>
  </si>
  <si>
    <t>:person_medium-dark_skin_tone_bald:</t>
  </si>
  <si>
    <t>🧑🏾‍🦲</t>
  </si>
  <si>
    <t>người hói da sẫm vừa</t>
  </si>
  <si>
    <t>:person_medium-dark_skin_tone_beard:</t>
  </si>
  <si>
    <t>🧔🏾</t>
  </si>
  <si>
    <t>người có râu da sẫm vừa</t>
  </si>
  <si>
    <t>:person_medium-dark_skin_tone_blond_hair:</t>
  </si>
  <si>
    <t>👱🏾</t>
  </si>
  <si>
    <t>người tóc vàng da sẫm vừa</t>
  </si>
  <si>
    <t>:person_medium-dark_skin_tone_curly_hair:</t>
  </si>
  <si>
    <t>🧑🏾‍🦱</t>
  </si>
  <si>
    <t>người tóc xoăn da sẫm vừa</t>
  </si>
  <si>
    <t>:person_medium-dark_skin_tone_red_hair:</t>
  </si>
  <si>
    <t>🧑🏾‍🦰</t>
  </si>
  <si>
    <t>người tóc đỏ da sẫm vừa</t>
  </si>
  <si>
    <t>:person_medium-dark_skin_tone_white_hair:</t>
  </si>
  <si>
    <t>🧑🏾‍🦳</t>
  </si>
  <si>
    <t>người tóc trắng da sẫm vừa</t>
  </si>
  <si>
    <t>:person_medium-light_skin_tone:</t>
  </si>
  <si>
    <t>🧑🏼</t>
  </si>
  <si>
    <t>người da sáng vừa</t>
  </si>
  <si>
    <t>:person_medium-light_skin_tone_bald:</t>
  </si>
  <si>
    <t>🧑🏼‍🦲</t>
  </si>
  <si>
    <t>người hói da sáng vừa</t>
  </si>
  <si>
    <t>:person_medium-light_skin_tone_beard:</t>
  </si>
  <si>
    <t>🧔🏼</t>
  </si>
  <si>
    <t>người có râu da sáng vừa</t>
  </si>
  <si>
    <t>:person_medium-light_skin_tone_blond_hair:</t>
  </si>
  <si>
    <t>👱🏼</t>
  </si>
  <si>
    <t>người tóc vàng da sáng vừa</t>
  </si>
  <si>
    <t>:person_medium-light_skin_tone_curly_hair:</t>
  </si>
  <si>
    <t>🧑🏼‍🦱</t>
  </si>
  <si>
    <t>người tóc xoăn da sáng vừa</t>
  </si>
  <si>
    <t>:person_medium-light_skin_tone_red_hair:</t>
  </si>
  <si>
    <t>🧑🏼‍🦰</t>
  </si>
  <si>
    <t>người tóc đỏ da sáng vừa</t>
  </si>
  <si>
    <t>:person_medium-light_skin_tone_white_hair:</t>
  </si>
  <si>
    <t>🧑🏼‍🦳</t>
  </si>
  <si>
    <t>người tóc trắng da sáng vừa</t>
  </si>
  <si>
    <t>:person_medium_skin_tone:</t>
  </si>
  <si>
    <t>🧑🏽</t>
  </si>
  <si>
    <t>người da thường</t>
  </si>
  <si>
    <t>:person_medium_skin_tone_bald:</t>
  </si>
  <si>
    <t>🧑🏽‍🦲</t>
  </si>
  <si>
    <t>người hói da thường</t>
  </si>
  <si>
    <t>:person_medium_skin_tone_beard:</t>
  </si>
  <si>
    <t>🧔🏽</t>
  </si>
  <si>
    <t>người có râu da thường</t>
  </si>
  <si>
    <t>:person_medium_skin_tone_blond_hair:</t>
  </si>
  <si>
    <t>👱🏽</t>
  </si>
  <si>
    <t>người tóc vàng da thường</t>
  </si>
  <si>
    <t>:person_medium_skin_tone_curly_hair:</t>
  </si>
  <si>
    <t>🧑🏽‍🦱</t>
  </si>
  <si>
    <t>người tóc xoăn da thường</t>
  </si>
  <si>
    <t>:person_medium_skin_tone_red_hair:</t>
  </si>
  <si>
    <t>🧑🏽‍🦰</t>
  </si>
  <si>
    <t>người tóc đỏ da thường</t>
  </si>
  <si>
    <t>:person_medium_skin_tone_white_hair:</t>
  </si>
  <si>
    <t>🧑🏽‍🦳</t>
  </si>
  <si>
    <t>người tóc trắng da thường</t>
  </si>
  <si>
    <t>:person_mountain_biking:</t>
  </si>
  <si>
    <t>🚵</t>
  </si>
  <si>
    <t>người đi xe đạp leo núi</t>
  </si>
  <si>
    <t>:person_mountain_biking_dark_skin_tone:</t>
  </si>
  <si>
    <t>🚵🏿</t>
  </si>
  <si>
    <t>người màu da sẫm đi xe đạp leo núi</t>
  </si>
  <si>
    <t>:person_mountain_biking_light_skin_tone:</t>
  </si>
  <si>
    <t>🚵🏻</t>
  </si>
  <si>
    <t>người màu da sáng đi xe đạp leo núi</t>
  </si>
  <si>
    <t>:person_mountain_biking_medium-dark_skin_tone:</t>
  </si>
  <si>
    <t>🚵🏾</t>
  </si>
  <si>
    <t>người màu da sẫm vừa đi xe đạp leo núi</t>
  </si>
  <si>
    <t>:person_mountain_biking_medium-light_skin_tone:</t>
  </si>
  <si>
    <t>🚵🏼</t>
  </si>
  <si>
    <t>người màu da sáng vừa đi xe đạp leo núi</t>
  </si>
  <si>
    <t>:person_mountain_biking_medium_skin_tone:</t>
  </si>
  <si>
    <t>🚵🏽</t>
  </si>
  <si>
    <t>người màu da thường đi xe đạp leo núi</t>
  </si>
  <si>
    <t>:person_playing_handball:</t>
  </si>
  <si>
    <t>🤾</t>
  </si>
  <si>
    <t>người chơi bóng ném</t>
  </si>
  <si>
    <t>:person_playing_handball_dark_skin_tone:</t>
  </si>
  <si>
    <t>🤾🏿</t>
  </si>
  <si>
    <t>người màu da sẫm chơi bóng ném</t>
  </si>
  <si>
    <t>:person_playing_handball_light_skin_tone:</t>
  </si>
  <si>
    <t>🤾🏻</t>
  </si>
  <si>
    <t>người màu da sáng chơi bóng ném</t>
  </si>
  <si>
    <t>:person_playing_handball_medium-dark_skin_tone:</t>
  </si>
  <si>
    <t>🤾🏾</t>
  </si>
  <si>
    <t>người màu da sẫm vừa chơi bóng ném</t>
  </si>
  <si>
    <t>:person_playing_handball_medium-light_skin_tone:</t>
  </si>
  <si>
    <t>🤾🏼</t>
  </si>
  <si>
    <t>người màu da sáng vừa chơi bóng ném</t>
  </si>
  <si>
    <t>:person_playing_handball_medium_skin_tone:</t>
  </si>
  <si>
    <t>🤾🏽</t>
  </si>
  <si>
    <t>người màu da thường chơi bóng ném</t>
  </si>
  <si>
    <t>:person_playing_water_polo:</t>
  </si>
  <si>
    <t>🤽</t>
  </si>
  <si>
    <t>người chơi bóng nước</t>
  </si>
  <si>
    <t>:person_playing_water_polo_dark_skin_tone:</t>
  </si>
  <si>
    <t>🤽🏿</t>
  </si>
  <si>
    <t>người màu da sẫm chơi bóng nước</t>
  </si>
  <si>
    <t>:person_playing_water_polo_light_skin_tone:</t>
  </si>
  <si>
    <t>🤽🏻</t>
  </si>
  <si>
    <t>người màu da sáng chơi bóng nước</t>
  </si>
  <si>
    <t>:person_playing_water_polo_medium-dark_skin_tone:</t>
  </si>
  <si>
    <t>🤽🏾</t>
  </si>
  <si>
    <t>người màu da sẫm vừa chơi bóng nước</t>
  </si>
  <si>
    <t>:person_playing_water_polo_medium-light_skin_tone:</t>
  </si>
  <si>
    <t>🤽🏼</t>
  </si>
  <si>
    <t>người màu da sáng vừa chơi bóng nước</t>
  </si>
  <si>
    <t>:person_playing_water_polo_medium_skin_tone:</t>
  </si>
  <si>
    <t>🤽🏽</t>
  </si>
  <si>
    <t>người màu da thường chơi bóng nước</t>
  </si>
  <si>
    <t>:person_pouting:</t>
  </si>
  <si>
    <t>🙎</t>
  </si>
  <si>
    <t>người bĩu môi</t>
  </si>
  <si>
    <t>:person_pouting_dark_skin_tone:</t>
  </si>
  <si>
    <t>🙎🏿</t>
  </si>
  <si>
    <t>người màu da sẫm bĩu môi</t>
  </si>
  <si>
    <t>:person_pouting_light_skin_tone:</t>
  </si>
  <si>
    <t>🙎🏻</t>
  </si>
  <si>
    <t>người màu da sáng bĩu môi</t>
  </si>
  <si>
    <t>:person_pouting_medium-dark_skin_tone:</t>
  </si>
  <si>
    <t>🙎🏾</t>
  </si>
  <si>
    <t>người màu da sẫm vừa bĩu môi</t>
  </si>
  <si>
    <t>:person_pouting_medium-light_skin_tone:</t>
  </si>
  <si>
    <t>🙎🏼</t>
  </si>
  <si>
    <t>người màu da sáng vừa bĩu môi</t>
  </si>
  <si>
    <t>:person_pouting_medium_skin_tone:</t>
  </si>
  <si>
    <t>🙎🏽</t>
  </si>
  <si>
    <t>người màu da thường bĩu môi</t>
  </si>
  <si>
    <t>:person_raising_hand:</t>
  </si>
  <si>
    <t>🙋</t>
  </si>
  <si>
    <t>người giơ tay</t>
  </si>
  <si>
    <t>:person_raising_hand_dark_skin_tone:</t>
  </si>
  <si>
    <t>🙋🏿</t>
  </si>
  <si>
    <t>người màu da sẫm giơ tay</t>
  </si>
  <si>
    <t>:person_raising_hand_light_skin_tone:</t>
  </si>
  <si>
    <t>🙋🏻</t>
  </si>
  <si>
    <t>người màu da sáng giơ tay</t>
  </si>
  <si>
    <t>:person_raising_hand_medium-dark_skin_tone:</t>
  </si>
  <si>
    <t>🙋🏾</t>
  </si>
  <si>
    <t>người màu da sẫm vừa giơ tay</t>
  </si>
  <si>
    <t>:person_raising_hand_medium-light_skin_tone:</t>
  </si>
  <si>
    <t>🙋🏼</t>
  </si>
  <si>
    <t>người màu da sáng vừa giơ tay</t>
  </si>
  <si>
    <t>:person_raising_hand_medium_skin_tone:</t>
  </si>
  <si>
    <t>🙋🏽</t>
  </si>
  <si>
    <t>người màu da thường giơ tay</t>
  </si>
  <si>
    <t>:person_red_hair:</t>
  </si>
  <si>
    <t>🧑‍🦰</t>
  </si>
  <si>
    <t>:person_rowing_boat:</t>
  </si>
  <si>
    <t>🚣</t>
  </si>
  <si>
    <t>người chèo thuyền</t>
  </si>
  <si>
    <t>:person_rowing_boat_dark_skin_tone:</t>
  </si>
  <si>
    <t>🚣🏿</t>
  </si>
  <si>
    <t>người màu da sẫm chèo thuyền</t>
  </si>
  <si>
    <t>:person_rowing_boat_light_skin_tone:</t>
  </si>
  <si>
    <t>🚣🏻</t>
  </si>
  <si>
    <t>người màu da sáng chèo thuyền</t>
  </si>
  <si>
    <t>:person_rowing_boat_medium-dark_skin_tone:</t>
  </si>
  <si>
    <t>🚣🏾</t>
  </si>
  <si>
    <t>người màu da sẫm vừa chèo thuyền</t>
  </si>
  <si>
    <t>:person_rowing_boat_medium-light_skin_tone:</t>
  </si>
  <si>
    <t>🚣🏼</t>
  </si>
  <si>
    <t>người màu da sáng vừa chèo thuyền</t>
  </si>
  <si>
    <t>:person_rowing_boat_medium_skin_tone:</t>
  </si>
  <si>
    <t>🚣🏽</t>
  </si>
  <si>
    <t>người màu da thường chèo thuyền</t>
  </si>
  <si>
    <t>:person_running:</t>
  </si>
  <si>
    <t>🏃</t>
  </si>
  <si>
    <t>người chạy</t>
  </si>
  <si>
    <t>:person_running_dark_skin_tone:</t>
  </si>
  <si>
    <t>🏃🏿</t>
  </si>
  <si>
    <t>người màu da sẫm chạy</t>
  </si>
  <si>
    <t>:person_running_light_skin_tone:</t>
  </si>
  <si>
    <t>🏃🏻</t>
  </si>
  <si>
    <t>người màu da sáng chạy</t>
  </si>
  <si>
    <t>:person_running_medium-dark_skin_tone:</t>
  </si>
  <si>
    <t>🏃🏾</t>
  </si>
  <si>
    <t>người màu da sẫm vừa chạy</t>
  </si>
  <si>
    <t>:person_running_medium-light_skin_tone:</t>
  </si>
  <si>
    <t>🏃🏼</t>
  </si>
  <si>
    <t>người màu da sáng vừa chạy</t>
  </si>
  <si>
    <t>:person_running_medium_skin_tone:</t>
  </si>
  <si>
    <t>🏃🏽</t>
  </si>
  <si>
    <t>người màu da thường chạy</t>
  </si>
  <si>
    <t>:person_shrugging:</t>
  </si>
  <si>
    <t>🤷</t>
  </si>
  <si>
    <t>người nhún vai</t>
  </si>
  <si>
    <t>:person_shrugging_dark_skin_tone:</t>
  </si>
  <si>
    <t>🤷🏿</t>
  </si>
  <si>
    <t>người màu da sẫm nhún vai</t>
  </si>
  <si>
    <t>:person_shrugging_light_skin_tone:</t>
  </si>
  <si>
    <t>🤷🏻</t>
  </si>
  <si>
    <t>người màu da sáng nhún vai</t>
  </si>
  <si>
    <t>:person_shrugging_medium-dark_skin_tone:</t>
  </si>
  <si>
    <t>🤷🏾</t>
  </si>
  <si>
    <t>người màu da sẫm vừa nhún vai</t>
  </si>
  <si>
    <t>:person_shrugging_medium-light_skin_tone:</t>
  </si>
  <si>
    <t>🤷🏼</t>
  </si>
  <si>
    <t>người màu da sáng vừa nhún vai</t>
  </si>
  <si>
    <t>:person_shrugging_medium_skin_tone:</t>
  </si>
  <si>
    <t>🤷🏽</t>
  </si>
  <si>
    <t>người màu da thường nhún vai</t>
  </si>
  <si>
    <t>:person_standing:</t>
  </si>
  <si>
    <t>🧍</t>
  </si>
  <si>
    <t>người đứng</t>
  </si>
  <si>
    <t>:person_standing_dark_skin_tone:</t>
  </si>
  <si>
    <t>🧍🏿</t>
  </si>
  <si>
    <t>người màu da sẫm đứng</t>
  </si>
  <si>
    <t>:person_standing_light_skin_tone:</t>
  </si>
  <si>
    <t>🧍🏻</t>
  </si>
  <si>
    <t>người màu da sáng đứng</t>
  </si>
  <si>
    <t>:person_standing_medium-dark_skin_tone:</t>
  </si>
  <si>
    <t>🧍🏾</t>
  </si>
  <si>
    <t>người màu da sẫm vừa đứng</t>
  </si>
  <si>
    <t>:person_standing_medium-light_skin_tone:</t>
  </si>
  <si>
    <t>🧍🏼</t>
  </si>
  <si>
    <t>người màu da sáng vừa đứng</t>
  </si>
  <si>
    <t>:person_standing_medium_skin_tone:</t>
  </si>
  <si>
    <t>🧍🏽</t>
  </si>
  <si>
    <t>người màu da thường đứng</t>
  </si>
  <si>
    <t>:person_surfing:</t>
  </si>
  <si>
    <t>🏄</t>
  </si>
  <si>
    <t>người lướt sóng</t>
  </si>
  <si>
    <t>:person_surfing_dark_skin_tone:</t>
  </si>
  <si>
    <t>🏄🏿</t>
  </si>
  <si>
    <t>người màu da sẫm lướt sóng</t>
  </si>
  <si>
    <t>:person_surfing_light_skin_tone:</t>
  </si>
  <si>
    <t>🏄🏻</t>
  </si>
  <si>
    <t>người màu da sáng lướt sóng</t>
  </si>
  <si>
    <t>:person_surfing_medium-dark_skin_tone:</t>
  </si>
  <si>
    <t>🏄🏾</t>
  </si>
  <si>
    <t>người màu da sẫm vừa lướt sóng</t>
  </si>
  <si>
    <t>:person_surfing_medium-light_skin_tone:</t>
  </si>
  <si>
    <t>🏄🏼</t>
  </si>
  <si>
    <t>người màu da sáng vừa lướt sóng</t>
  </si>
  <si>
    <t>:person_surfing_medium_skin_tone:</t>
  </si>
  <si>
    <t>🏄🏽</t>
  </si>
  <si>
    <t>người màu da thường lướt sóng</t>
  </si>
  <si>
    <t>:person_swimming:</t>
  </si>
  <si>
    <t>🏊</t>
  </si>
  <si>
    <t>người bơi</t>
  </si>
  <si>
    <t>:person_swimming_dark_skin_tone:</t>
  </si>
  <si>
    <t>🏊🏿</t>
  </si>
  <si>
    <t>người màu da sẫm bơi</t>
  </si>
  <si>
    <t>:person_swimming_light_skin_tone:</t>
  </si>
  <si>
    <t>🏊🏻</t>
  </si>
  <si>
    <t>người màu da sáng bơi</t>
  </si>
  <si>
    <t>:person_swimming_medium-dark_skin_tone:</t>
  </si>
  <si>
    <t>🏊🏾</t>
  </si>
  <si>
    <t>người màu da sẫm vừa bơi</t>
  </si>
  <si>
    <t>:person_swimming_medium-light_skin_tone:</t>
  </si>
  <si>
    <t>🏊🏼</t>
  </si>
  <si>
    <t>người màu da sáng vừa bơi</t>
  </si>
  <si>
    <t>:person_swimming_medium_skin_tone:</t>
  </si>
  <si>
    <t>🏊🏽</t>
  </si>
  <si>
    <t>người màu da thường bơi</t>
  </si>
  <si>
    <t>:person_taking_bath:</t>
  </si>
  <si>
    <t>🛀</t>
  </si>
  <si>
    <t>người đi tắm</t>
  </si>
  <si>
    <t>:person_taking_bath_dark_skin_tone:</t>
  </si>
  <si>
    <t>🛀🏿</t>
  </si>
  <si>
    <t>người màu da sẫm đi tắm</t>
  </si>
  <si>
    <t>:person_taking_bath_light_skin_tone:</t>
  </si>
  <si>
    <t>🛀🏻</t>
  </si>
  <si>
    <t>người màu da sáng đi tắm</t>
  </si>
  <si>
    <t>:person_taking_bath_medium-dark_skin_tone:</t>
  </si>
  <si>
    <t>🛀🏾</t>
  </si>
  <si>
    <t>người màu da sẫm vừa đi tắm</t>
  </si>
  <si>
    <t>:person_taking_bath_medium-light_skin_tone:</t>
  </si>
  <si>
    <t>🛀🏼</t>
  </si>
  <si>
    <t>người màu da sáng vừa đi tắm</t>
  </si>
  <si>
    <t>:person_taking_bath_medium_skin_tone:</t>
  </si>
  <si>
    <t>🛀🏽</t>
  </si>
  <si>
    <t>người màu da thường đi tắm</t>
  </si>
  <si>
    <t>:person_tipping_hand:</t>
  </si>
  <si>
    <t>💁</t>
  </si>
  <si>
    <t>người sấp bàn tay</t>
  </si>
  <si>
    <t>:person_tipping_hand_dark_skin_tone:</t>
  </si>
  <si>
    <t>💁🏿</t>
  </si>
  <si>
    <t>người màu da sẫm sấp bàn tay</t>
  </si>
  <si>
    <t>:person_tipping_hand_light_skin_tone:</t>
  </si>
  <si>
    <t>💁🏻</t>
  </si>
  <si>
    <t>người màu da sáng sấp bàn tay</t>
  </si>
  <si>
    <t>:person_tipping_hand_medium-dark_skin_tone:</t>
  </si>
  <si>
    <t>💁🏾</t>
  </si>
  <si>
    <t>người màu da sẫm vừa sấp bàn tay</t>
  </si>
  <si>
    <t>:person_tipping_hand_medium-light_skin_tone:</t>
  </si>
  <si>
    <t>💁🏼</t>
  </si>
  <si>
    <t>người màu da sáng vừa sấp bàn tay</t>
  </si>
  <si>
    <t>:person_tipping_hand_medium_skin_tone:</t>
  </si>
  <si>
    <t>💁🏽</t>
  </si>
  <si>
    <t>người màu da thường sấp bàn tay</t>
  </si>
  <si>
    <t>:person_walking:</t>
  </si>
  <si>
    <t>🚶</t>
  </si>
  <si>
    <t>người đi bộ</t>
  </si>
  <si>
    <t>:person_walking_dark_skin_tone:</t>
  </si>
  <si>
    <t>🚶🏿</t>
  </si>
  <si>
    <t>người màu da sẫm đi bộ</t>
  </si>
  <si>
    <t>:person_walking_light_skin_tone:</t>
  </si>
  <si>
    <t>🚶🏻</t>
  </si>
  <si>
    <t>người màu da sáng đi bộ</t>
  </si>
  <si>
    <t>:person_walking_medium-dark_skin_tone:</t>
  </si>
  <si>
    <t>🚶🏾</t>
  </si>
  <si>
    <t>người màu da sẫm vừa đi bộ</t>
  </si>
  <si>
    <t>:person_walking_medium-light_skin_tone:</t>
  </si>
  <si>
    <t>🚶🏼</t>
  </si>
  <si>
    <t>người màu da sáng vừa đi bộ</t>
  </si>
  <si>
    <t>:person_walking_medium_skin_tone:</t>
  </si>
  <si>
    <t>🚶🏽</t>
  </si>
  <si>
    <t>người màu da thường đi bộ</t>
  </si>
  <si>
    <t>:person_wearing_turban:</t>
  </si>
  <si>
    <t>👳</t>
  </si>
  <si>
    <t>người đội khăn xếp</t>
  </si>
  <si>
    <t>:person_wearing_turban_dark_skin_tone:</t>
  </si>
  <si>
    <t>👳🏿</t>
  </si>
  <si>
    <t>người màu da sẫm đội khăn xếp</t>
  </si>
  <si>
    <t>:person_wearing_turban_light_skin_tone:</t>
  </si>
  <si>
    <t>👳🏻</t>
  </si>
  <si>
    <t>người màu da sáng đội khăn xếp</t>
  </si>
  <si>
    <t>:person_wearing_turban_medium-dark_skin_tone:</t>
  </si>
  <si>
    <t>👳🏾</t>
  </si>
  <si>
    <t>người màu da sẫm vừa đội khăn xếp</t>
  </si>
  <si>
    <t>:person_wearing_turban_medium-light_skin_tone:</t>
  </si>
  <si>
    <t>👳🏼</t>
  </si>
  <si>
    <t>người màu da sáng vừa đội khăn xếp</t>
  </si>
  <si>
    <t>:person_wearing_turban_medium_skin_tone:</t>
  </si>
  <si>
    <t>👳🏽</t>
  </si>
  <si>
    <t>người màu da thường đội khăn xếp</t>
  </si>
  <si>
    <t>:person_white_hair:</t>
  </si>
  <si>
    <t>🧑‍🦳</t>
  </si>
  <si>
    <t>:person_with_skullcap:</t>
  </si>
  <si>
    <t>👲</t>
  </si>
  <si>
    <t>người đội mũ trung quốc</t>
  </si>
  <si>
    <t>:person_with_skullcap_dark_skin_tone:</t>
  </si>
  <si>
    <t>👲🏿</t>
  </si>
  <si>
    <t>người màu da sẫm đội mũ trung quốc</t>
  </si>
  <si>
    <t>:person_with_skullcap_light_skin_tone:</t>
  </si>
  <si>
    <t>👲🏻</t>
  </si>
  <si>
    <t>người màu da sáng đội mũ trung quốc</t>
  </si>
  <si>
    <t>:person_with_skullcap_medium-dark_skin_tone:</t>
  </si>
  <si>
    <t>👲🏾</t>
  </si>
  <si>
    <t>người màu da sẫm vừa đội mũ trung quốc</t>
  </si>
  <si>
    <t>:person_with_skullcap_medium-light_skin_tone:</t>
  </si>
  <si>
    <t>👲🏼</t>
  </si>
  <si>
    <t>người màu da sáng vừa đội mũ trung quốc</t>
  </si>
  <si>
    <t>:person_with_skullcap_medium_skin_tone:</t>
  </si>
  <si>
    <t>👲🏽</t>
  </si>
  <si>
    <t>người màu da thường đội mũ trung quốc</t>
  </si>
  <si>
    <t>:person_with_veil:</t>
  </si>
  <si>
    <t>👰</t>
  </si>
  <si>
    <t>người với tấm màn che</t>
  </si>
  <si>
    <t>:person_with_veil_dark_skin_tone:</t>
  </si>
  <si>
    <t>👰🏿</t>
  </si>
  <si>
    <t>người màu da sẫm với tấm màn che</t>
  </si>
  <si>
    <t>:person_with_veil_light_skin_tone:</t>
  </si>
  <si>
    <t>👰🏻</t>
  </si>
  <si>
    <t>người màu da sáng với tấm màn che</t>
  </si>
  <si>
    <t>:person_with_veil_medium-dark_skin_tone:</t>
  </si>
  <si>
    <t>👰🏾</t>
  </si>
  <si>
    <t>người màu da sẫm vừa với tấm màn che</t>
  </si>
  <si>
    <t>:person_with_veil_medium-light_skin_tone:</t>
  </si>
  <si>
    <t>👰🏼</t>
  </si>
  <si>
    <t>người màu da sáng vừa với tấm màn che</t>
  </si>
  <si>
    <t>:person_with_veil_medium_skin_tone:</t>
  </si>
  <si>
    <t>👰🏽</t>
  </si>
  <si>
    <t>người màu da thường với tấm màn che</t>
  </si>
  <si>
    <t>:person_with_white_cane:</t>
  </si>
  <si>
    <t>🧑‍🦯</t>
  </si>
  <si>
    <t>người với cây ba toong trắng</t>
  </si>
  <si>
    <t>:person_with_white_cane_dark_skin_tone:</t>
  </si>
  <si>
    <t>🧑🏿‍🦯</t>
  </si>
  <si>
    <t>người màu da sẫm với cây ba toong trắng</t>
  </si>
  <si>
    <t>:person_with_white_cane_light_skin_tone:</t>
  </si>
  <si>
    <t>🧑🏻‍🦯</t>
  </si>
  <si>
    <t>người màu da sáng với cây ba toong trắng</t>
  </si>
  <si>
    <t>:person_with_white_cane_medium-dark_skin_tone:</t>
  </si>
  <si>
    <t>🧑🏾‍🦯</t>
  </si>
  <si>
    <t>người màu da sẫm vừa với cây ba toong trắng</t>
  </si>
  <si>
    <t>:person_with_white_cane_medium-light_skin_tone:</t>
  </si>
  <si>
    <t>🧑🏼‍🦯</t>
  </si>
  <si>
    <t>người màu da sáng vừa với cây ba toong trắng</t>
  </si>
  <si>
    <t>:person_with_white_cane_medium_skin_tone:</t>
  </si>
  <si>
    <t>🧑🏽‍🦯</t>
  </si>
  <si>
    <t>người màu da thường với cây ba toong trắng</t>
  </si>
  <si>
    <t>:petri_dish:</t>
  </si>
  <si>
    <t>🧫</t>
  </si>
  <si>
    <t>đĩa petri</t>
  </si>
  <si>
    <t>:pick:</t>
  </si>
  <si>
    <t>⛏</t>
  </si>
  <si>
    <t>cuốc</t>
  </si>
  <si>
    <t>:pickup_truck:</t>
  </si>
  <si>
    <t>🛻</t>
  </si>
  <si>
    <t>:pie:</t>
  </si>
  <si>
    <t>🥧</t>
  </si>
  <si>
    <t>:pig:</t>
  </si>
  <si>
    <t>🐖</t>
  </si>
  <si>
    <t>con lợn</t>
  </si>
  <si>
    <t>:pig_face:</t>
  </si>
  <si>
    <t>🐷</t>
  </si>
  <si>
    <t>:pig_nose:</t>
  </si>
  <si>
    <t>🐽</t>
  </si>
  <si>
    <t>mũi lợn</t>
  </si>
  <si>
    <t>:pile_of_poo:</t>
  </si>
  <si>
    <t>💩</t>
  </si>
  <si>
    <t>đống phân</t>
  </si>
  <si>
    <t>:pill:</t>
  </si>
  <si>
    <t>💊</t>
  </si>
  <si>
    <t>:pilot:</t>
  </si>
  <si>
    <t>🧑‍✈️</t>
  </si>
  <si>
    <t>phi công</t>
  </si>
  <si>
    <t>:pilot_dark_skin_tone:</t>
  </si>
  <si>
    <t>🧑🏿‍✈️</t>
  </si>
  <si>
    <t>phi công màu da sẫm</t>
  </si>
  <si>
    <t>:pilot_light_skin_tone:</t>
  </si>
  <si>
    <t>🧑🏻‍✈️</t>
  </si>
  <si>
    <t>phi công màu da sáng</t>
  </si>
  <si>
    <t>:pilot_medium-dark_skin_tone:</t>
  </si>
  <si>
    <t>🧑🏾‍✈️</t>
  </si>
  <si>
    <t>phi công màu da sẫm vừa</t>
  </si>
  <si>
    <t>:pilot_medium-light_skin_tone:</t>
  </si>
  <si>
    <t>🧑🏼‍✈️</t>
  </si>
  <si>
    <t>phi công màu da sáng vừa</t>
  </si>
  <si>
    <t>:pilot_medium_skin_tone:</t>
  </si>
  <si>
    <t>🧑🏽‍✈️</t>
  </si>
  <si>
    <t>phi công màu da thường</t>
  </si>
  <si>
    <t>:pinched_fingers:</t>
  </si>
  <si>
    <t>🤌</t>
  </si>
  <si>
    <t>ngón tay khum lại</t>
  </si>
  <si>
    <t>:pinched_fingers_dark_skin_tone:</t>
  </si>
  <si>
    <t>🤌🏿</t>
  </si>
  <si>
    <t>ngón tay khum lại màu da sẫm</t>
  </si>
  <si>
    <t>:pinched_fingers_light_skin_tone:</t>
  </si>
  <si>
    <t>🤌🏻</t>
  </si>
  <si>
    <t>ngón tay khum lại màu da sáng</t>
  </si>
  <si>
    <t>:pinched_fingers_medium-dark_skin_tone:</t>
  </si>
  <si>
    <t>🤌🏾</t>
  </si>
  <si>
    <t>ngón tay khum lại màu da sẫm vừa</t>
  </si>
  <si>
    <t>:pinched_fingers_medium-light_skin_tone:</t>
  </si>
  <si>
    <t>🤌🏼</t>
  </si>
  <si>
    <t>ngón tay khum lại màu da sáng vừa</t>
  </si>
  <si>
    <t>:pinched_fingers_medium_skin_tone:</t>
  </si>
  <si>
    <t>🤌🏽</t>
  </si>
  <si>
    <t>ngón tay khum lại màu da thường</t>
  </si>
  <si>
    <t>:pinching_hand:</t>
  </si>
  <si>
    <t>🤏</t>
  </si>
  <si>
    <t>ngón tay đang khum lại</t>
  </si>
  <si>
    <t>:pinching_hand_dark_skin_tone:</t>
  </si>
  <si>
    <t>🤏🏿</t>
  </si>
  <si>
    <t>ngón tay đang khum lại màu da sẫm</t>
  </si>
  <si>
    <t>:pinching_hand_light_skin_tone:</t>
  </si>
  <si>
    <t>🤏🏻</t>
  </si>
  <si>
    <t>ngón tay đang khum lại màu da sáng</t>
  </si>
  <si>
    <t>:pinching_hand_medium-dark_skin_tone:</t>
  </si>
  <si>
    <t>🤏🏾</t>
  </si>
  <si>
    <t>ngón tay đang khum lại màu da sẫm vừa</t>
  </si>
  <si>
    <t>:pinching_hand_medium-light_skin_tone:</t>
  </si>
  <si>
    <t>🤏🏼</t>
  </si>
  <si>
    <t>ngón tay đang khum lại màu da sáng vừa</t>
  </si>
  <si>
    <t>:pinching_hand_medium_skin_tone:</t>
  </si>
  <si>
    <t>🤏🏽</t>
  </si>
  <si>
    <t>ngón tay đang khum lại màu da thường</t>
  </si>
  <si>
    <t>:pine_decoration:</t>
  </si>
  <si>
    <t>🎍</t>
  </si>
  <si>
    <t>thông trang trí</t>
  </si>
  <si>
    <t>:pineapple:</t>
  </si>
  <si>
    <t>🍍</t>
  </si>
  <si>
    <t>:ping_pong:</t>
  </si>
  <si>
    <t>🏓</t>
  </si>
  <si>
    <t>:pirate_flag:</t>
  </si>
  <si>
    <t>🏴‍☠️</t>
  </si>
  <si>
    <t>:pizza:</t>
  </si>
  <si>
    <t>🍕</t>
  </si>
  <si>
    <t>:piñata:</t>
  </si>
  <si>
    <t>🪅</t>
  </si>
  <si>
    <t>pinata</t>
  </si>
  <si>
    <t>:placard:</t>
  </si>
  <si>
    <t>🪧</t>
  </si>
  <si>
    <t>tấm biển</t>
  </si>
  <si>
    <t>:place_of_worship:</t>
  </si>
  <si>
    <t>🛐</t>
  </si>
  <si>
    <t>:play_button:</t>
  </si>
  <si>
    <t>▶</t>
  </si>
  <si>
    <t>:play_or_pause_button:</t>
  </si>
  <si>
    <t>⏯</t>
  </si>
  <si>
    <t>:pleading_face:</t>
  </si>
  <si>
    <t>🥺</t>
  </si>
  <si>
    <t>:plunger:</t>
  </si>
  <si>
    <t>🪠</t>
  </si>
  <si>
    <t>:plus:</t>
  </si>
  <si>
    <t>➕</t>
  </si>
  <si>
    <t>cộng</t>
  </si>
  <si>
    <t>:polar_bear:</t>
  </si>
  <si>
    <t>🐻‍❄️</t>
  </si>
  <si>
    <t>:police_car:</t>
  </si>
  <si>
    <t>🚓</t>
  </si>
  <si>
    <t>:police_car_light:</t>
  </si>
  <si>
    <t>🚨</t>
  </si>
  <si>
    <t>đèn xe cảnh sát</t>
  </si>
  <si>
    <t>:police_officer:</t>
  </si>
  <si>
    <t>👮</t>
  </si>
  <si>
    <t>cảnh sát</t>
  </si>
  <si>
    <t>:police_officer_dark_skin_tone:</t>
  </si>
  <si>
    <t>👮🏿</t>
  </si>
  <si>
    <t>cảnh sát màu da sẫm</t>
  </si>
  <si>
    <t>:police_officer_light_skin_tone:</t>
  </si>
  <si>
    <t>👮🏻</t>
  </si>
  <si>
    <t>cảnh sát màu da sáng</t>
  </si>
  <si>
    <t>:police_officer_medium-dark_skin_tone:</t>
  </si>
  <si>
    <t>👮🏾</t>
  </si>
  <si>
    <t>cảnh sát màu da sẫm vừa</t>
  </si>
  <si>
    <t>:police_officer_medium-light_skin_tone:</t>
  </si>
  <si>
    <t>👮🏼</t>
  </si>
  <si>
    <t>cảnh sát màu da sáng vừa</t>
  </si>
  <si>
    <t>:police_officer_medium_skin_tone:</t>
  </si>
  <si>
    <t>👮🏽</t>
  </si>
  <si>
    <t>cảnh sát màu da thường</t>
  </si>
  <si>
    <t>:poodle:</t>
  </si>
  <si>
    <t>🐩</t>
  </si>
  <si>
    <t>chó xù</t>
  </si>
  <si>
    <t>:pool_8_ball:</t>
  </si>
  <si>
    <t>🎱</t>
  </si>
  <si>
    <t>bi 8 lỗ</t>
  </si>
  <si>
    <t>:popcorn:</t>
  </si>
  <si>
    <t>🍿</t>
  </si>
  <si>
    <t>:post_office:</t>
  </si>
  <si>
    <t>🏤</t>
  </si>
  <si>
    <t>:postal_horn:</t>
  </si>
  <si>
    <t>📯</t>
  </si>
  <si>
    <t>còi bưu điện</t>
  </si>
  <si>
    <t>:postbox:</t>
  </si>
  <si>
    <t>📮</t>
  </si>
  <si>
    <t>hộp thư</t>
  </si>
  <si>
    <t>:pot_of_food:</t>
  </si>
  <si>
    <t>🍲</t>
  </si>
  <si>
    <t>:potable_water:</t>
  </si>
  <si>
    <t>🚰</t>
  </si>
  <si>
    <t>:potato:</t>
  </si>
  <si>
    <t>🥔</t>
  </si>
  <si>
    <t>:potted_plant:</t>
  </si>
  <si>
    <t>🪴</t>
  </si>
  <si>
    <t>:poultry_leg:</t>
  </si>
  <si>
    <t>🍗</t>
  </si>
  <si>
    <t>chân gia cầm</t>
  </si>
  <si>
    <t>:pound_banknote:</t>
  </si>
  <si>
    <t>💷</t>
  </si>
  <si>
    <t>tiền giấy pao</t>
  </si>
  <si>
    <t>:pouting_cat:</t>
  </si>
  <si>
    <t>😾</t>
  </si>
  <si>
    <t>:pouting_face:</t>
  </si>
  <si>
    <t>😡</t>
  </si>
  <si>
    <t>:prayer_beads:</t>
  </si>
  <si>
    <t>📿</t>
  </si>
  <si>
    <t>:pregnant_woman:</t>
  </si>
  <si>
    <t>🤰</t>
  </si>
  <si>
    <t>phụ nữ có thai</t>
  </si>
  <si>
    <t>:pregnant_woman_dark_skin_tone:</t>
  </si>
  <si>
    <t>🤰🏿</t>
  </si>
  <si>
    <t>phụ nữ có thai màu da sẫm</t>
  </si>
  <si>
    <t>:pregnant_woman_light_skin_tone:</t>
  </si>
  <si>
    <t>🤰🏻</t>
  </si>
  <si>
    <t>phụ nữ có thai màu da sáng</t>
  </si>
  <si>
    <t>:pregnant_woman_medium-dark_skin_tone:</t>
  </si>
  <si>
    <t>🤰🏾</t>
  </si>
  <si>
    <t>phụ nữ có thai màu da sẫm vừa</t>
  </si>
  <si>
    <t>:pregnant_woman_medium-light_skin_tone:</t>
  </si>
  <si>
    <t>🤰🏼</t>
  </si>
  <si>
    <t>phụ nữ có thai màu da sáng vừa</t>
  </si>
  <si>
    <t>:pregnant_woman_medium_skin_tone:</t>
  </si>
  <si>
    <t>🤰🏽</t>
  </si>
  <si>
    <t>phụ nữ có thai màu da thường</t>
  </si>
  <si>
    <t>:pretzel:</t>
  </si>
  <si>
    <t>🥨</t>
  </si>
  <si>
    <t>bánh quy cây</t>
  </si>
  <si>
    <t>:prince:</t>
  </si>
  <si>
    <t>🤴</t>
  </si>
  <si>
    <t>hoàng tử</t>
  </si>
  <si>
    <t>:prince_dark_skin_tone:</t>
  </si>
  <si>
    <t>🤴🏿</t>
  </si>
  <si>
    <t>hoàng tử màu da sẫm</t>
  </si>
  <si>
    <t>:prince_light_skin_tone:</t>
  </si>
  <si>
    <t>🤴🏻</t>
  </si>
  <si>
    <t>hoàng tử màu da sáng</t>
  </si>
  <si>
    <t>:prince_medium-dark_skin_tone:</t>
  </si>
  <si>
    <t>🤴🏾</t>
  </si>
  <si>
    <t>hoàng tử màu da sẫm vừa</t>
  </si>
  <si>
    <t>:prince_medium-light_skin_tone:</t>
  </si>
  <si>
    <t>🤴🏼</t>
  </si>
  <si>
    <t>hoàng tử màu da sáng vừa</t>
  </si>
  <si>
    <t>:prince_medium_skin_tone:</t>
  </si>
  <si>
    <t>🤴🏽</t>
  </si>
  <si>
    <t>hoàng tử màu da thường</t>
  </si>
  <si>
    <t>:princess:</t>
  </si>
  <si>
    <t>👸</t>
  </si>
  <si>
    <t>công chúa</t>
  </si>
  <si>
    <t>:princess_dark_skin_tone:</t>
  </si>
  <si>
    <t>👸🏿</t>
  </si>
  <si>
    <t>công chúa màu da sẫm</t>
  </si>
  <si>
    <t>:princess_light_skin_tone:</t>
  </si>
  <si>
    <t>👸🏻</t>
  </si>
  <si>
    <t>công chúa màu da sáng</t>
  </si>
  <si>
    <t>:princess_medium-dark_skin_tone:</t>
  </si>
  <si>
    <t>👸🏾</t>
  </si>
  <si>
    <t>công chúa màu da sẫm vừa</t>
  </si>
  <si>
    <t>:princess_medium-light_skin_tone:</t>
  </si>
  <si>
    <t>👸🏼</t>
  </si>
  <si>
    <t>công chúa màu da sáng vừa</t>
  </si>
  <si>
    <t>:princess_medium_skin_tone:</t>
  </si>
  <si>
    <t>👸🏽</t>
  </si>
  <si>
    <t>công chúa màu da thường</t>
  </si>
  <si>
    <t>:printer:</t>
  </si>
  <si>
    <t>🖨</t>
  </si>
  <si>
    <t>:prohibited:</t>
  </si>
  <si>
    <t>🚫</t>
  </si>
  <si>
    <t>:purple_circle:</t>
  </si>
  <si>
    <t>🟣</t>
  </si>
  <si>
    <t>:purple_heart:</t>
  </si>
  <si>
    <t>💜</t>
  </si>
  <si>
    <t>:purple_square:</t>
  </si>
  <si>
    <t>🟪</t>
  </si>
  <si>
    <t>hình vuông màu tím</t>
  </si>
  <si>
    <t>:purse:</t>
  </si>
  <si>
    <t>👛</t>
  </si>
  <si>
    <t>:pushpin:</t>
  </si>
  <si>
    <t>📌</t>
  </si>
  <si>
    <t>đinh ghim</t>
  </si>
  <si>
    <t>:puzzle_piece:</t>
  </si>
  <si>
    <t>🧩</t>
  </si>
  <si>
    <t>:rabbit:</t>
  </si>
  <si>
    <t>🐇</t>
  </si>
  <si>
    <t>:rabbit_face:</t>
  </si>
  <si>
    <t>🐰</t>
  </si>
  <si>
    <t>:raccoon:</t>
  </si>
  <si>
    <t>🦝</t>
  </si>
  <si>
    <t>gấu mèo</t>
  </si>
  <si>
    <t>:racing_car:</t>
  </si>
  <si>
    <t>🏎</t>
  </si>
  <si>
    <t>:radio:</t>
  </si>
  <si>
    <t>📻</t>
  </si>
  <si>
    <t>:radio_button:</t>
  </si>
  <si>
    <t>🔘</t>
  </si>
  <si>
    <t>:radioactive:</t>
  </si>
  <si>
    <t>☢</t>
  </si>
  <si>
    <t>phóng xạ</t>
  </si>
  <si>
    <t>:railway_car:</t>
  </si>
  <si>
    <t>🚃</t>
  </si>
  <si>
    <t>:railway_track:</t>
  </si>
  <si>
    <t>🛤</t>
  </si>
  <si>
    <t>:rainbow:</t>
  </si>
  <si>
    <t>🌈</t>
  </si>
  <si>
    <t>:rainbow_flag:</t>
  </si>
  <si>
    <t>🏳️‍🌈</t>
  </si>
  <si>
    <t>:raised_back_of_hand:</t>
  </si>
  <si>
    <t>🤚</t>
  </si>
  <si>
    <t>mặt sau bàn tay giơ lên</t>
  </si>
  <si>
    <t>:raised_back_of_hand_dark_skin_tone:</t>
  </si>
  <si>
    <t>🤚🏿</t>
  </si>
  <si>
    <t>mặt sau bàn tay giơ lên màu da sẫm</t>
  </si>
  <si>
    <t>:raised_back_of_hand_light_skin_tone:</t>
  </si>
  <si>
    <t>🤚🏻</t>
  </si>
  <si>
    <t>mặt sau bàn tay giơ lên màu da sáng</t>
  </si>
  <si>
    <t>:raised_back_of_hand_medium-dark_skin_tone:</t>
  </si>
  <si>
    <t>🤚🏾</t>
  </si>
  <si>
    <t>mặt sau bàn tay giơ lên màu da sẫm vừa</t>
  </si>
  <si>
    <t>:raised_back_of_hand_medium-light_skin_tone:</t>
  </si>
  <si>
    <t>🤚🏼</t>
  </si>
  <si>
    <t>mặt sau bàn tay giơ lên màu da sáng vừa</t>
  </si>
  <si>
    <t>:raised_back_of_hand_medium_skin_tone:</t>
  </si>
  <si>
    <t>🤚🏽</t>
  </si>
  <si>
    <t>mặt sau bàn tay giơ lên màu da thường</t>
  </si>
  <si>
    <t>:raised_fist:</t>
  </si>
  <si>
    <t>✊</t>
  </si>
  <si>
    <t>nắm tay giơ lên</t>
  </si>
  <si>
    <t>:raised_fist_dark_skin_tone:</t>
  </si>
  <si>
    <t>✊🏿</t>
  </si>
  <si>
    <t>nắm tay giơ lên màu da sẫm</t>
  </si>
  <si>
    <t>:raised_fist_light_skin_tone:</t>
  </si>
  <si>
    <t>✊🏻</t>
  </si>
  <si>
    <t>nắm tay giơ lên màu da sáng</t>
  </si>
  <si>
    <t>:raised_fist_medium-dark_skin_tone:</t>
  </si>
  <si>
    <t>✊🏾</t>
  </si>
  <si>
    <t>nắm tay giơ lên màu da sẫm vừa</t>
  </si>
  <si>
    <t>:raised_fist_medium-light_skin_tone:</t>
  </si>
  <si>
    <t>✊🏼</t>
  </si>
  <si>
    <t>nắm tay giơ lên màu da sáng vừa</t>
  </si>
  <si>
    <t>:raised_fist_medium_skin_tone:</t>
  </si>
  <si>
    <t>✊🏽</t>
  </si>
  <si>
    <t>nắm tay giơ lên màu da thường</t>
  </si>
  <si>
    <t>:raised_hand:</t>
  </si>
  <si>
    <t>✋</t>
  </si>
  <si>
    <t>mặt trước bàn tay giơ lên</t>
  </si>
  <si>
    <t>:raised_hand_dark_skin_tone:</t>
  </si>
  <si>
    <t>✋🏿</t>
  </si>
  <si>
    <t>mặt trước bàn tay giơ lên màu da sẫm</t>
  </si>
  <si>
    <t>:raised_hand_light_skin_tone:</t>
  </si>
  <si>
    <t>✋🏻</t>
  </si>
  <si>
    <t>mặt trước bàn tay giơ lên màu da sáng</t>
  </si>
  <si>
    <t>:raised_hand_medium-dark_skin_tone:</t>
  </si>
  <si>
    <t>✋🏾</t>
  </si>
  <si>
    <t>mặt trước bàn tay giơ lên màu da sẫm vừa</t>
  </si>
  <si>
    <t>:raised_hand_medium-light_skin_tone:</t>
  </si>
  <si>
    <t>✋🏼</t>
  </si>
  <si>
    <t>mặt trước bàn tay giơ lên màu da sáng vừa</t>
  </si>
  <si>
    <t>:raised_hand_medium_skin_tone:</t>
  </si>
  <si>
    <t>✋🏽</t>
  </si>
  <si>
    <t>mặt trước bàn tay giơ lên màu da thường</t>
  </si>
  <si>
    <t>:raising_hands:</t>
  </si>
  <si>
    <t>🙌</t>
  </si>
  <si>
    <t>hai bàn tay giơ lên</t>
  </si>
  <si>
    <t>:raising_hands_dark_skin_tone:</t>
  </si>
  <si>
    <t>🙌🏿</t>
  </si>
  <si>
    <t>hai bàn tay giơ lên màu da sẫm</t>
  </si>
  <si>
    <t>:raising_hands_light_skin_tone:</t>
  </si>
  <si>
    <t>🙌🏻</t>
  </si>
  <si>
    <t>hai bàn tay giơ lên màu da sáng</t>
  </si>
  <si>
    <t>:raising_hands_medium-dark_skin_tone:</t>
  </si>
  <si>
    <t>🙌🏾</t>
  </si>
  <si>
    <t>hai bàn tay giơ lên màu da sẫm vừa</t>
  </si>
  <si>
    <t>:raising_hands_medium-light_skin_tone:</t>
  </si>
  <si>
    <t>🙌🏼</t>
  </si>
  <si>
    <t>hai bàn tay giơ lên màu da sáng vừa</t>
  </si>
  <si>
    <t>:raising_hands_medium_skin_tone:</t>
  </si>
  <si>
    <t>🙌🏽</t>
  </si>
  <si>
    <t>hai bàn tay giơ lên màu da thường</t>
  </si>
  <si>
    <t>:ram:</t>
  </si>
  <si>
    <t>🐏</t>
  </si>
  <si>
    <t>cừu nhà</t>
  </si>
  <si>
    <t>:rat:</t>
  </si>
  <si>
    <t>🐀</t>
  </si>
  <si>
    <t>:razor:</t>
  </si>
  <si>
    <t>🪒</t>
  </si>
  <si>
    <t>:receipt:</t>
  </si>
  <si>
    <t>🧾</t>
  </si>
  <si>
    <t>:record_button:</t>
  </si>
  <si>
    <t>⏺</t>
  </si>
  <si>
    <t>:recycling_symbol:</t>
  </si>
  <si>
    <t>♻</t>
  </si>
  <si>
    <t>:red_apple:</t>
  </si>
  <si>
    <t>🍎</t>
  </si>
  <si>
    <t>:red_circle:</t>
  </si>
  <si>
    <t>🔴</t>
  </si>
  <si>
    <t>:red_envelope:</t>
  </si>
  <si>
    <t>🧧</t>
  </si>
  <si>
    <t>:red_exclamation_mark:</t>
  </si>
  <si>
    <t>❗</t>
  </si>
  <si>
    <t>:red_hair:</t>
  </si>
  <si>
    <t>🦰</t>
  </si>
  <si>
    <t>:red_heart:</t>
  </si>
  <si>
    <t>❤</t>
  </si>
  <si>
    <t>:red_paper_lantern:</t>
  </si>
  <si>
    <t>🏮</t>
  </si>
  <si>
    <t>:red_question_mark:</t>
  </si>
  <si>
    <t>❓</t>
  </si>
  <si>
    <t>:red_square:</t>
  </si>
  <si>
    <t>🟥</t>
  </si>
  <si>
    <t>:red_triangle_pointed_down:</t>
  </si>
  <si>
    <t>🔻</t>
  </si>
  <si>
    <t>:red_triangle_pointed_up:</t>
  </si>
  <si>
    <t>🔺</t>
  </si>
  <si>
    <t>:registered:</t>
  </si>
  <si>
    <t>®</t>
  </si>
  <si>
    <t>:relieved_face:</t>
  </si>
  <si>
    <t>😌</t>
  </si>
  <si>
    <t>:reminder_ribbon:</t>
  </si>
  <si>
    <t>🎗</t>
  </si>
  <si>
    <t>ruy-băng nhắc nhở</t>
  </si>
  <si>
    <t>:repeat_button:</t>
  </si>
  <si>
    <t>🔁</t>
  </si>
  <si>
    <t>:repeat_single_button:</t>
  </si>
  <si>
    <t>🔂</t>
  </si>
  <si>
    <t>nút lặp lại đơn</t>
  </si>
  <si>
    <t>:rescue_worker’s_helmet:</t>
  </si>
  <si>
    <t>⛑</t>
  </si>
  <si>
    <t>:restroom:</t>
  </si>
  <si>
    <t>🚻</t>
  </si>
  <si>
    <t>:reverse_button:</t>
  </si>
  <si>
    <t>◀</t>
  </si>
  <si>
    <t>nút đảo ngược</t>
  </si>
  <si>
    <t>:revolving_hearts:</t>
  </si>
  <si>
    <t>💞</t>
  </si>
  <si>
    <t>:rhinoceros:</t>
  </si>
  <si>
    <t>🦏</t>
  </si>
  <si>
    <t>:ribbon:</t>
  </si>
  <si>
    <t>🎀</t>
  </si>
  <si>
    <t>:rice_ball:</t>
  </si>
  <si>
    <t>🍙</t>
  </si>
  <si>
    <t>nắm cơm</t>
  </si>
  <si>
    <t>:rice_cracker:</t>
  </si>
  <si>
    <t>🍘</t>
  </si>
  <si>
    <t>:right-facing_fist:</t>
  </si>
  <si>
    <t>🤜</t>
  </si>
  <si>
    <t>nắm tay hướng phải</t>
  </si>
  <si>
    <t>:right-facing_fist_dark_skin_tone:</t>
  </si>
  <si>
    <t>🤜🏿</t>
  </si>
  <si>
    <t>nắm tay hướng phải màu da sẫm</t>
  </si>
  <si>
    <t>:right-facing_fist_light_skin_tone:</t>
  </si>
  <si>
    <t>🤜🏻</t>
  </si>
  <si>
    <t>nắm tay hướng phải màu da sáng</t>
  </si>
  <si>
    <t>:right-facing_fist_medium-dark_skin_tone:</t>
  </si>
  <si>
    <t>🤜🏾</t>
  </si>
  <si>
    <t>nắm tay hướng phải màu da sẫm vừa</t>
  </si>
  <si>
    <t>:right-facing_fist_medium-light_skin_tone:</t>
  </si>
  <si>
    <t>🤜🏼</t>
  </si>
  <si>
    <t>nắm tay hướng phải màu da sáng vừa</t>
  </si>
  <si>
    <t>:right-facing_fist_medium_skin_tone:</t>
  </si>
  <si>
    <t>🤜🏽</t>
  </si>
  <si>
    <t>nắm tay hướng phải màu da thường</t>
  </si>
  <si>
    <t>:right_anger_bubble:</t>
  </si>
  <si>
    <t>🗯</t>
  </si>
  <si>
    <t>bong bóng giận dữ bên phải</t>
  </si>
  <si>
    <t>:right_arrow:</t>
  </si>
  <si>
    <t>➡</t>
  </si>
  <si>
    <t>:right_arrow_curving_down:</t>
  </si>
  <si>
    <t>⤵</t>
  </si>
  <si>
    <t>:right_arrow_curving_left:</t>
  </si>
  <si>
    <t>↩</t>
  </si>
  <si>
    <t>:right_arrow_curving_up:</t>
  </si>
  <si>
    <t>⤴</t>
  </si>
  <si>
    <t>:ring:</t>
  </si>
  <si>
    <t>💍</t>
  </si>
  <si>
    <t>:ringed_planet:</t>
  </si>
  <si>
    <t>🪐</t>
  </si>
  <si>
    <t>hành tinh có vành đai</t>
  </si>
  <si>
    <t>:roasted_sweet_potato:</t>
  </si>
  <si>
    <t>🍠</t>
  </si>
  <si>
    <t>:robot:</t>
  </si>
  <si>
    <t>🤖</t>
  </si>
  <si>
    <t>robot</t>
  </si>
  <si>
    <t>:rock:</t>
  </si>
  <si>
    <t>🪨</t>
  </si>
  <si>
    <t>:rocket:</t>
  </si>
  <si>
    <t>🚀</t>
  </si>
  <si>
    <t>tên lửa</t>
  </si>
  <si>
    <t>:roll_of_paper:</t>
  </si>
  <si>
    <t>🧻</t>
  </si>
  <si>
    <t>:rolled-up_newspaper:</t>
  </si>
  <si>
    <t>🗞</t>
  </si>
  <si>
    <t>:roller_coaster:</t>
  </si>
  <si>
    <t>🎢</t>
  </si>
  <si>
    <t>:roller_skate:</t>
  </si>
  <si>
    <t>🛼</t>
  </si>
  <si>
    <t>lướt ván siêu tốc</t>
  </si>
  <si>
    <t>:rolling_on_the_floor_laughing:</t>
  </si>
  <si>
    <t>🤣</t>
  </si>
  <si>
    <t>:rooster:</t>
  </si>
  <si>
    <t>🐓</t>
  </si>
  <si>
    <t>:rose:</t>
  </si>
  <si>
    <t>🌹</t>
  </si>
  <si>
    <t>:rosette:</t>
  </si>
  <si>
    <t>🏵</t>
  </si>
  <si>
    <t>hoa thị</t>
  </si>
  <si>
    <t>:round_pushpin:</t>
  </si>
  <si>
    <t>📍</t>
  </si>
  <si>
    <t>đinh ghim tròn</t>
  </si>
  <si>
    <t>:rugby_football:</t>
  </si>
  <si>
    <t>🏉</t>
  </si>
  <si>
    <t>bóng bầu dục</t>
  </si>
  <si>
    <t>:running_shirt:</t>
  </si>
  <si>
    <t>🎽</t>
  </si>
  <si>
    <t>áo chạy</t>
  </si>
  <si>
    <t>:running_shoe:</t>
  </si>
  <si>
    <t>👟</t>
  </si>
  <si>
    <t>:sad_but_relieved_face:</t>
  </si>
  <si>
    <t>😥</t>
  </si>
  <si>
    <t>mặt buồn nhưng nhẹ nhõm</t>
  </si>
  <si>
    <t>:safety_pin:</t>
  </si>
  <si>
    <t>🧷</t>
  </si>
  <si>
    <t>kim băng</t>
  </si>
  <si>
    <t>:safety_vest:</t>
  </si>
  <si>
    <t>🦺</t>
  </si>
  <si>
    <t>:sailboat:</t>
  </si>
  <si>
    <t>⛵</t>
  </si>
  <si>
    <t>thuyền buồm</t>
  </si>
  <si>
    <t>:sake:</t>
  </si>
  <si>
    <t>🍶</t>
  </si>
  <si>
    <t>rượu sake</t>
  </si>
  <si>
    <t>:salt:</t>
  </si>
  <si>
    <t>🧂</t>
  </si>
  <si>
    <t>:sandwich:</t>
  </si>
  <si>
    <t>🥪</t>
  </si>
  <si>
    <t>:sari:</t>
  </si>
  <si>
    <t>🥻</t>
  </si>
  <si>
    <t>sari</t>
  </si>
  <si>
    <t>:satellite:</t>
  </si>
  <si>
    <t>🛰</t>
  </si>
  <si>
    <t>:satellite_antenna:</t>
  </si>
  <si>
    <t>📡</t>
  </si>
  <si>
    <t>:sauropod:</t>
  </si>
  <si>
    <t>🦕</t>
  </si>
  <si>
    <t>khủng long chân thằn lằn</t>
  </si>
  <si>
    <t>:saxophone:</t>
  </si>
  <si>
    <t>🎷</t>
  </si>
  <si>
    <t>saxophone</t>
  </si>
  <si>
    <t>:scarf:</t>
  </si>
  <si>
    <t>🧣</t>
  </si>
  <si>
    <t>:school:</t>
  </si>
  <si>
    <t>🏫</t>
  </si>
  <si>
    <t>:scientist:</t>
  </si>
  <si>
    <t>🧑‍🔬</t>
  </si>
  <si>
    <t>nhà khoa học</t>
  </si>
  <si>
    <t>:scientist_dark_skin_tone:</t>
  </si>
  <si>
    <t>🧑🏿‍🔬</t>
  </si>
  <si>
    <t>nhà khoa học màu da sẫm</t>
  </si>
  <si>
    <t>:scientist_light_skin_tone:</t>
  </si>
  <si>
    <t>🧑🏻‍🔬</t>
  </si>
  <si>
    <t>nhà khoa học màu da sáng</t>
  </si>
  <si>
    <t>:scientist_medium-dark_skin_tone:</t>
  </si>
  <si>
    <t>🧑🏾‍🔬</t>
  </si>
  <si>
    <t>nhà khoa học màu da sẫm vừa</t>
  </si>
  <si>
    <t>:scientist_medium-light_skin_tone:</t>
  </si>
  <si>
    <t>🧑🏼‍🔬</t>
  </si>
  <si>
    <t>nhà khoa học màu da sáng vừa</t>
  </si>
  <si>
    <t>:scientist_medium_skin_tone:</t>
  </si>
  <si>
    <t>🧑🏽‍🔬</t>
  </si>
  <si>
    <t>nhà khoa học màu da thường</t>
  </si>
  <si>
    <t>:scissors:</t>
  </si>
  <si>
    <t>✂</t>
  </si>
  <si>
    <t>:scorpion:</t>
  </si>
  <si>
    <t>🦂</t>
  </si>
  <si>
    <t>:screwdriver:</t>
  </si>
  <si>
    <t>🪛</t>
  </si>
  <si>
    <t>:scroll:</t>
  </si>
  <si>
    <t>📜</t>
  </si>
  <si>
    <t>:seal:</t>
  </si>
  <si>
    <t>🦭</t>
  </si>
  <si>
    <t>:seat:</t>
  </si>
  <si>
    <t>💺</t>
  </si>
  <si>
    <t>:see-no-evil_monkey:</t>
  </si>
  <si>
    <t>🙈</t>
  </si>
  <si>
    <t>khỉ bịt mắt</t>
  </si>
  <si>
    <t>:seedling:</t>
  </si>
  <si>
    <t>🌱</t>
  </si>
  <si>
    <t>:selfie:</t>
  </si>
  <si>
    <t>🤳</t>
  </si>
  <si>
    <t>chụp ảnh tự sướng</t>
  </si>
  <si>
    <t>:selfie_dark_skin_tone:</t>
  </si>
  <si>
    <t>🤳🏿</t>
  </si>
  <si>
    <t>chụp ảnh tự sướng màu da sẫm</t>
  </si>
  <si>
    <t>:selfie_light_skin_tone:</t>
  </si>
  <si>
    <t>🤳🏻</t>
  </si>
  <si>
    <t>chụp ảnh tự sướng màu da sáng</t>
  </si>
  <si>
    <t>:selfie_medium-dark_skin_tone:</t>
  </si>
  <si>
    <t>🤳🏾</t>
  </si>
  <si>
    <t>chụp ảnh tự sướng màu da sẫm vừa</t>
  </si>
  <si>
    <t>:selfie_medium-light_skin_tone:</t>
  </si>
  <si>
    <t>🤳🏼</t>
  </si>
  <si>
    <t>chụp ảnh tự sướng màu da sáng vừa</t>
  </si>
  <si>
    <t>:selfie_medium_skin_tone:</t>
  </si>
  <si>
    <t>🤳🏽</t>
  </si>
  <si>
    <t>chụp ảnh tự sướng màu da thường</t>
  </si>
  <si>
    <t>:service_dog:</t>
  </si>
  <si>
    <t>🐕‍🦺</t>
  </si>
  <si>
    <t>:seven-thirty:</t>
  </si>
  <si>
    <t>🕢</t>
  </si>
  <si>
    <t>:seven_o’clock:</t>
  </si>
  <si>
    <t>🕖</t>
  </si>
  <si>
    <t>:sewing_needle:</t>
  </si>
  <si>
    <t>🪡</t>
  </si>
  <si>
    <t>:shallow_pan_of_food:</t>
  </si>
  <si>
    <t>🥘</t>
  </si>
  <si>
    <t>:shamrock:</t>
  </si>
  <si>
    <t>☘</t>
  </si>
  <si>
    <t>:shark:</t>
  </si>
  <si>
    <t>🦈</t>
  </si>
  <si>
    <t>:shaved_ice:</t>
  </si>
  <si>
    <t>🍧</t>
  </si>
  <si>
    <t>:sheaf_of_rice:</t>
  </si>
  <si>
    <t>🌾</t>
  </si>
  <si>
    <t>bó lá gạo</t>
  </si>
  <si>
    <t>:shield:</t>
  </si>
  <si>
    <t>🛡</t>
  </si>
  <si>
    <t>:shinto_shrine:</t>
  </si>
  <si>
    <t>⛩</t>
  </si>
  <si>
    <t>:ship:</t>
  </si>
  <si>
    <t>🚢</t>
  </si>
  <si>
    <t>tàu thuỷ</t>
  </si>
  <si>
    <t>:shooting_star:</t>
  </si>
  <si>
    <t>🌠</t>
  </si>
  <si>
    <t>:shopping_bags:</t>
  </si>
  <si>
    <t>🛍</t>
  </si>
  <si>
    <t>:shopping_cart:</t>
  </si>
  <si>
    <t>🛒</t>
  </si>
  <si>
    <t>:shortcake:</t>
  </si>
  <si>
    <t>🍰</t>
  </si>
  <si>
    <t>bánh bơ giòn</t>
  </si>
  <si>
    <t>:shorts:</t>
  </si>
  <si>
    <t>🩳</t>
  </si>
  <si>
    <t>:shower:</t>
  </si>
  <si>
    <t>🚿</t>
  </si>
  <si>
    <t>:shrimp:</t>
  </si>
  <si>
    <t>🦐</t>
  </si>
  <si>
    <t>:shuffle_tracks_button:</t>
  </si>
  <si>
    <t>🔀</t>
  </si>
  <si>
    <t>:shushing_face:</t>
  </si>
  <si>
    <t>🤫</t>
  </si>
  <si>
    <t>:sign_of_the_horns:</t>
  </si>
  <si>
    <t>🤘</t>
  </si>
  <si>
    <t>dấu hiện sừng</t>
  </si>
  <si>
    <t>:sign_of_the_horns_dark_skin_tone:</t>
  </si>
  <si>
    <t>🤘🏿</t>
  </si>
  <si>
    <t>dấu hiện sừng màu da sẫm</t>
  </si>
  <si>
    <t>:sign_of_the_horns_light_skin_tone:</t>
  </si>
  <si>
    <t>🤘🏻</t>
  </si>
  <si>
    <t>dấu hiện sừng màu da sáng</t>
  </si>
  <si>
    <t>:sign_of_the_horns_medium-dark_skin_tone:</t>
  </si>
  <si>
    <t>🤘🏾</t>
  </si>
  <si>
    <t>dấu hiện sừng màu da sẫm vừa</t>
  </si>
  <si>
    <t>:sign_of_the_horns_medium-light_skin_tone:</t>
  </si>
  <si>
    <t>🤘🏼</t>
  </si>
  <si>
    <t>dấu hiện sừng màu da sáng vừa</t>
  </si>
  <si>
    <t>:sign_of_the_horns_medium_skin_tone:</t>
  </si>
  <si>
    <t>🤘🏽</t>
  </si>
  <si>
    <t>dấu hiện sừng màu da thường</t>
  </si>
  <si>
    <t>:singer:</t>
  </si>
  <si>
    <t>🧑‍🎤</t>
  </si>
  <si>
    <t>ca sĩ</t>
  </si>
  <si>
    <t>:singer_dark_skin_tone:</t>
  </si>
  <si>
    <t>🧑🏿‍🎤</t>
  </si>
  <si>
    <t>ca sĩ màu da sẫm</t>
  </si>
  <si>
    <t>:singer_light_skin_tone:</t>
  </si>
  <si>
    <t>🧑🏻‍🎤</t>
  </si>
  <si>
    <t>ca sĩ màu da sáng</t>
  </si>
  <si>
    <t>:singer_medium-dark_skin_tone:</t>
  </si>
  <si>
    <t>🧑🏾‍🎤</t>
  </si>
  <si>
    <t>ca sĩ màu da sẫm vừa</t>
  </si>
  <si>
    <t>:singer_medium-light_skin_tone:</t>
  </si>
  <si>
    <t>🧑🏼‍🎤</t>
  </si>
  <si>
    <t>ca sĩ màu da sáng vừa</t>
  </si>
  <si>
    <t>:singer_medium_skin_tone:</t>
  </si>
  <si>
    <t>🧑🏽‍🎤</t>
  </si>
  <si>
    <t>ca sĩ màu da thường</t>
  </si>
  <si>
    <t>:six-thirty:</t>
  </si>
  <si>
    <t>🕡</t>
  </si>
  <si>
    <t>:six_o’clock:</t>
  </si>
  <si>
    <t>🕕</t>
  </si>
  <si>
    <t>:skateboard:</t>
  </si>
  <si>
    <t>🛹</t>
  </si>
  <si>
    <t>:skier:</t>
  </si>
  <si>
    <t>⛷</t>
  </si>
  <si>
    <t>:skis:</t>
  </si>
  <si>
    <t>🎿</t>
  </si>
  <si>
    <t>:skull:</t>
  </si>
  <si>
    <t>💀</t>
  </si>
  <si>
    <t>:skull_and_crossbones:</t>
  </si>
  <si>
    <t>☠</t>
  </si>
  <si>
    <t>:skunk:</t>
  </si>
  <si>
    <t>🦨</t>
  </si>
  <si>
    <t>chồn hôi</t>
  </si>
  <si>
    <t>:sled:</t>
  </si>
  <si>
    <t>🛷</t>
  </si>
  <si>
    <t>trượt tuyết</t>
  </si>
  <si>
    <t>:sleeping_face:</t>
  </si>
  <si>
    <t>😴</t>
  </si>
  <si>
    <t>:sleepy_face:</t>
  </si>
  <si>
    <t>😪</t>
  </si>
  <si>
    <t>:slightly_frowning_face:</t>
  </si>
  <si>
    <t>🙁</t>
  </si>
  <si>
    <t>:slightly_smiling_face:</t>
  </si>
  <si>
    <t>🙂</t>
  </si>
  <si>
    <t>:slot_machine:</t>
  </si>
  <si>
    <t>🎰</t>
  </si>
  <si>
    <t>máy đánh bạc</t>
  </si>
  <si>
    <t>:sloth:</t>
  </si>
  <si>
    <t>🦥</t>
  </si>
  <si>
    <t>:small_airplane:</t>
  </si>
  <si>
    <t>🛩</t>
  </si>
  <si>
    <t>:small_blue_diamond:</t>
  </si>
  <si>
    <t>🔹</t>
  </si>
  <si>
    <t>:small_orange_diamond:</t>
  </si>
  <si>
    <t>🔸</t>
  </si>
  <si>
    <t>:smiling_cat_with_heart-eyes:</t>
  </si>
  <si>
    <t>😻</t>
  </si>
  <si>
    <t>:smiling_face:</t>
  </si>
  <si>
    <t>☺</t>
  </si>
  <si>
    <t>:smiling_face_with_halo:</t>
  </si>
  <si>
    <t>😇</t>
  </si>
  <si>
    <t>:smiling_face_with_heart-eyes:</t>
  </si>
  <si>
    <t>😍</t>
  </si>
  <si>
    <t>mặt cười với đôi mắt trái tim</t>
  </si>
  <si>
    <t>:smiling_face_with_hearts:</t>
  </si>
  <si>
    <t>🥰</t>
  </si>
  <si>
    <t>:smiling_face_with_horns:</t>
  </si>
  <si>
    <t>😈</t>
  </si>
  <si>
    <t>:smiling_face_with_smiling_eyes:</t>
  </si>
  <si>
    <t>😊</t>
  </si>
  <si>
    <t>:smiling_face_with_sunglasses:</t>
  </si>
  <si>
    <t>😎</t>
  </si>
  <si>
    <t>:smiling_face_with_tear:</t>
  </si>
  <si>
    <t>🥲</t>
  </si>
  <si>
    <t>:smirking_face:</t>
  </si>
  <si>
    <t>😏</t>
  </si>
  <si>
    <t>:snail:</t>
  </si>
  <si>
    <t>🐌</t>
  </si>
  <si>
    <t>:snake:</t>
  </si>
  <si>
    <t>🐍</t>
  </si>
  <si>
    <t>:sneezing_face:</t>
  </si>
  <si>
    <t>🤧</t>
  </si>
  <si>
    <t>:snow-capped_mountain:</t>
  </si>
  <si>
    <t>🏔</t>
  </si>
  <si>
    <t>:snowboarder:</t>
  </si>
  <si>
    <t>🏂</t>
  </si>
  <si>
    <t>người trượt tuyết</t>
  </si>
  <si>
    <t>:snowboarder_dark_skin_tone:</t>
  </si>
  <si>
    <t>🏂🏿</t>
  </si>
  <si>
    <t>người trượt tuyết màu da sẫm</t>
  </si>
  <si>
    <t>:snowboarder_light_skin_tone:</t>
  </si>
  <si>
    <t>🏂🏻</t>
  </si>
  <si>
    <t>người trượt tuyết màu da sáng</t>
  </si>
  <si>
    <t>:snowboarder_medium-dark_skin_tone:</t>
  </si>
  <si>
    <t>🏂🏾</t>
  </si>
  <si>
    <t>người trượt tuyết màu da sẫm vừa</t>
  </si>
  <si>
    <t>:snowboarder_medium-light_skin_tone:</t>
  </si>
  <si>
    <t>🏂🏼</t>
  </si>
  <si>
    <t>người trượt tuyết màu da sáng vừa</t>
  </si>
  <si>
    <t>:snowboarder_medium_skin_tone:</t>
  </si>
  <si>
    <t>🏂🏽</t>
  </si>
  <si>
    <t>người trượt tuyết màu da thường</t>
  </si>
  <si>
    <t>:snowflake:</t>
  </si>
  <si>
    <t>❄</t>
  </si>
  <si>
    <t>:snowman:</t>
  </si>
  <si>
    <t>☃</t>
  </si>
  <si>
    <t>:snowman_without_snow:</t>
  </si>
  <si>
    <t>⛄</t>
  </si>
  <si>
    <t>:soap:</t>
  </si>
  <si>
    <t>🧼</t>
  </si>
  <si>
    <t>:soccer_ball:</t>
  </si>
  <si>
    <t>⚽</t>
  </si>
  <si>
    <t>:socks:</t>
  </si>
  <si>
    <t>🧦</t>
  </si>
  <si>
    <t>:soft_ice_cream:</t>
  </si>
  <si>
    <t>🍦</t>
  </si>
  <si>
    <t>:softball:</t>
  </si>
  <si>
    <t>🥎</t>
  </si>
  <si>
    <t>:spade_suit:</t>
  </si>
  <si>
    <t>♠</t>
  </si>
  <si>
    <t>lá bài bích</t>
  </si>
  <si>
    <t>:spaghetti:</t>
  </si>
  <si>
    <t>🍝</t>
  </si>
  <si>
    <t>mì ý</t>
  </si>
  <si>
    <t>:sparkle:</t>
  </si>
  <si>
    <t>❇</t>
  </si>
  <si>
    <t>:sparkler:</t>
  </si>
  <si>
    <t>🎇</t>
  </si>
  <si>
    <t>:sparkles:</t>
  </si>
  <si>
    <t>✨</t>
  </si>
  <si>
    <t>các lấp lánh</t>
  </si>
  <si>
    <t>:sparkling_heart:</t>
  </si>
  <si>
    <t>💖</t>
  </si>
  <si>
    <t>:speak-no-evil_monkey:</t>
  </si>
  <si>
    <t>🙊</t>
  </si>
  <si>
    <t>khỉ bịt miệng</t>
  </si>
  <si>
    <t>:speaker_high_volume:</t>
  </si>
  <si>
    <t>🔊</t>
  </si>
  <si>
    <t>loa âm lượng cao</t>
  </si>
  <si>
    <t>:speaker_low_volume:</t>
  </si>
  <si>
    <t>🔈</t>
  </si>
  <si>
    <t>loa âm lượng thấp</t>
  </si>
  <si>
    <t>:speaker_medium_volume:</t>
  </si>
  <si>
    <t>🔉</t>
  </si>
  <si>
    <t>loa âm lượng vừa</t>
  </si>
  <si>
    <t>:speaking_head:</t>
  </si>
  <si>
    <t>🗣</t>
  </si>
  <si>
    <t>đầu đang nói</t>
  </si>
  <si>
    <t>:speech_balloon:</t>
  </si>
  <si>
    <t>💬</t>
  </si>
  <si>
    <t>bóng bay lời nói</t>
  </si>
  <si>
    <t>:speedboat:</t>
  </si>
  <si>
    <t>🚤</t>
  </si>
  <si>
    <t>:spider:</t>
  </si>
  <si>
    <t>🕷</t>
  </si>
  <si>
    <t>:spider_web:</t>
  </si>
  <si>
    <t>🕸</t>
  </si>
  <si>
    <t>:spiral_calendar:</t>
  </si>
  <si>
    <t>🗓</t>
  </si>
  <si>
    <t>lịch xoắn ốc</t>
  </si>
  <si>
    <t>:spiral_notepad:</t>
  </si>
  <si>
    <t>🗒</t>
  </si>
  <si>
    <t>sổ tay xoắn ốc</t>
  </si>
  <si>
    <t>:spiral_shell:</t>
  </si>
  <si>
    <t>🐚</t>
  </si>
  <si>
    <t>:sponge:</t>
  </si>
  <si>
    <t>🧽</t>
  </si>
  <si>
    <t>:spoon:</t>
  </si>
  <si>
    <t>🥄</t>
  </si>
  <si>
    <t>:sport_utility_vehicle:</t>
  </si>
  <si>
    <t>🚙</t>
  </si>
  <si>
    <t>:sports_medal:</t>
  </si>
  <si>
    <t>🏅</t>
  </si>
  <si>
    <t>huy chương thể thao</t>
  </si>
  <si>
    <t>:spouting_whale:</t>
  </si>
  <si>
    <t>🐳</t>
  </si>
  <si>
    <t>cá voi phun nước</t>
  </si>
  <si>
    <t>:squid:</t>
  </si>
  <si>
    <t>🦑</t>
  </si>
  <si>
    <t>:squinting_face_with_tongue:</t>
  </si>
  <si>
    <t>😝</t>
  </si>
  <si>
    <t>:stadium:</t>
  </si>
  <si>
    <t>🏟</t>
  </si>
  <si>
    <t>:star:</t>
  </si>
  <si>
    <t>⭐</t>
  </si>
  <si>
    <t>:star-struck:</t>
  </si>
  <si>
    <t>🤩</t>
  </si>
  <si>
    <t>muốn thành ngôi sao</t>
  </si>
  <si>
    <t>:star_and_crescent:</t>
  </si>
  <si>
    <t>☪</t>
  </si>
  <si>
    <t>:star_of_David:</t>
  </si>
  <si>
    <t>✡</t>
  </si>
  <si>
    <t>:station:</t>
  </si>
  <si>
    <t>🚉</t>
  </si>
  <si>
    <t>:steaming_bowl:</t>
  </si>
  <si>
    <t>🍜</t>
  </si>
  <si>
    <t>:stethoscope:</t>
  </si>
  <si>
    <t>🩺</t>
  </si>
  <si>
    <t>:stop_button:</t>
  </si>
  <si>
    <t>⏹</t>
  </si>
  <si>
    <t>:stop_sign:</t>
  </si>
  <si>
    <t>🛑</t>
  </si>
  <si>
    <t>:stopwatch:</t>
  </si>
  <si>
    <t>⏱</t>
  </si>
  <si>
    <t>:straight_ruler:</t>
  </si>
  <si>
    <t>📏</t>
  </si>
  <si>
    <t>:strawberry:</t>
  </si>
  <si>
    <t>🍓</t>
  </si>
  <si>
    <t>:student:</t>
  </si>
  <si>
    <t>🧑‍🎓</t>
  </si>
  <si>
    <t>sinh viên</t>
  </si>
  <si>
    <t>:student_dark_skin_tone:</t>
  </si>
  <si>
    <t>🧑🏿‍🎓</t>
  </si>
  <si>
    <t>sinh viên màu da sẫm</t>
  </si>
  <si>
    <t>:student_light_skin_tone:</t>
  </si>
  <si>
    <t>🧑🏻‍🎓</t>
  </si>
  <si>
    <t>sinh viên màu da sáng</t>
  </si>
  <si>
    <t>:student_medium-dark_skin_tone:</t>
  </si>
  <si>
    <t>🧑🏾‍🎓</t>
  </si>
  <si>
    <t>sinh viên màu da sẫm vừa</t>
  </si>
  <si>
    <t>:student_medium-light_skin_tone:</t>
  </si>
  <si>
    <t>🧑🏼‍🎓</t>
  </si>
  <si>
    <t>sinh viên màu da sáng vừa</t>
  </si>
  <si>
    <t>:student_medium_skin_tone:</t>
  </si>
  <si>
    <t>🧑🏽‍🎓</t>
  </si>
  <si>
    <t>sinh viên màu da thường</t>
  </si>
  <si>
    <t>:studio_microphone:</t>
  </si>
  <si>
    <t>🎙</t>
  </si>
  <si>
    <t>míc cờ rô phòng thu</t>
  </si>
  <si>
    <t>:stuffed_flatbread:</t>
  </si>
  <si>
    <t>🥙</t>
  </si>
  <si>
    <t>bánh nan</t>
  </si>
  <si>
    <t>:sun:</t>
  </si>
  <si>
    <t>☀</t>
  </si>
  <si>
    <t>:sun_behind_cloud:</t>
  </si>
  <si>
    <t>⛅</t>
  </si>
  <si>
    <t>mặt trời đằng sau đám mây</t>
  </si>
  <si>
    <t>:sun_behind_large_cloud:</t>
  </si>
  <si>
    <t>🌥</t>
  </si>
  <si>
    <t>:sun_behind_rain_cloud:</t>
  </si>
  <si>
    <t>🌦</t>
  </si>
  <si>
    <t>mặt trời đằng sau đám mây mưa</t>
  </si>
  <si>
    <t>:sun_behind_small_cloud:</t>
  </si>
  <si>
    <t>🌤</t>
  </si>
  <si>
    <t>:sun_with_face:</t>
  </si>
  <si>
    <t>🌞</t>
  </si>
  <si>
    <t>mặt trời với mặt</t>
  </si>
  <si>
    <t>:sunflower:</t>
  </si>
  <si>
    <t>🌻</t>
  </si>
  <si>
    <t>hoa hướng dương</t>
  </si>
  <si>
    <t>:sunglasses:</t>
  </si>
  <si>
    <t>🕶</t>
  </si>
  <si>
    <t>:sunrise:</t>
  </si>
  <si>
    <t>🌅</t>
  </si>
  <si>
    <t>:sunrise_over_mountains:</t>
  </si>
  <si>
    <t>🌄</t>
  </si>
  <si>
    <t>:sunset:</t>
  </si>
  <si>
    <t>🌇</t>
  </si>
  <si>
    <t>:superhero:</t>
  </si>
  <si>
    <t>🦸</t>
  </si>
  <si>
    <t>siêu nhân</t>
  </si>
  <si>
    <t>:superhero_dark_skin_tone:</t>
  </si>
  <si>
    <t>🦸🏿</t>
  </si>
  <si>
    <t>siêu nhân màu da sẫm</t>
  </si>
  <si>
    <t>:superhero_light_skin_tone:</t>
  </si>
  <si>
    <t>🦸🏻</t>
  </si>
  <si>
    <t>siêu nhân màu da sáng</t>
  </si>
  <si>
    <t>:superhero_medium-dark_skin_tone:</t>
  </si>
  <si>
    <t>🦸🏾</t>
  </si>
  <si>
    <t>siêu nhân màu da sẫm vừa</t>
  </si>
  <si>
    <t>:superhero_medium-light_skin_tone:</t>
  </si>
  <si>
    <t>🦸🏼</t>
  </si>
  <si>
    <t>siêu nhân màu da sáng vừa</t>
  </si>
  <si>
    <t>:superhero_medium_skin_tone:</t>
  </si>
  <si>
    <t>🦸🏽</t>
  </si>
  <si>
    <t>siêu nhân màu da thường</t>
  </si>
  <si>
    <t>:supervillain:</t>
  </si>
  <si>
    <t>🦹</t>
  </si>
  <si>
    <t>siêu ác nhân</t>
  </si>
  <si>
    <t>:supervillain_dark_skin_tone:</t>
  </si>
  <si>
    <t>🦹🏿</t>
  </si>
  <si>
    <t>siêu ác nhân màu da sẫm</t>
  </si>
  <si>
    <t>:supervillain_light_skin_tone:</t>
  </si>
  <si>
    <t>🦹🏻</t>
  </si>
  <si>
    <t>siêu ác nhân màu da sáng</t>
  </si>
  <si>
    <t>:supervillain_medium-dark_skin_tone:</t>
  </si>
  <si>
    <t>🦹🏾</t>
  </si>
  <si>
    <t>siêu ác nhân màu da sẫm vừa</t>
  </si>
  <si>
    <t>:supervillain_medium-light_skin_tone:</t>
  </si>
  <si>
    <t>🦹🏼</t>
  </si>
  <si>
    <t>siêu ác nhân màu da sáng vừa</t>
  </si>
  <si>
    <t>:supervillain_medium_skin_tone:</t>
  </si>
  <si>
    <t>🦹🏽</t>
  </si>
  <si>
    <t>siêu ác nhân màu da thường</t>
  </si>
  <si>
    <t>:sushi:</t>
  </si>
  <si>
    <t>🍣</t>
  </si>
  <si>
    <t>:suspension_railway:</t>
  </si>
  <si>
    <t>🚟</t>
  </si>
  <si>
    <t>đường sắt đình chỉ</t>
  </si>
  <si>
    <t>:swan:</t>
  </si>
  <si>
    <t>🦢</t>
  </si>
  <si>
    <t>:sweat_droplets:</t>
  </si>
  <si>
    <t>💦</t>
  </si>
  <si>
    <t>:synagogue:</t>
  </si>
  <si>
    <t>🕍</t>
  </si>
  <si>
    <t>giáo đường</t>
  </si>
  <si>
    <t>:syringe:</t>
  </si>
  <si>
    <t>💉</t>
  </si>
  <si>
    <t>ống tiêm</t>
  </si>
  <si>
    <t>:t-shirt:</t>
  </si>
  <si>
    <t>👕</t>
  </si>
  <si>
    <t>:taco:</t>
  </si>
  <si>
    <t>🌮</t>
  </si>
  <si>
    <t>taco</t>
  </si>
  <si>
    <t>:takeout_box:</t>
  </si>
  <si>
    <t>🥡</t>
  </si>
  <si>
    <t>hộp mang đi</t>
  </si>
  <si>
    <t>:tamale:</t>
  </si>
  <si>
    <t>🫔</t>
  </si>
  <si>
    <t>tamale</t>
  </si>
  <si>
    <t>:tanabata_tree:</t>
  </si>
  <si>
    <t>🎋</t>
  </si>
  <si>
    <t>cây tanabata</t>
  </si>
  <si>
    <t>:tangerine:</t>
  </si>
  <si>
    <t>🍊</t>
  </si>
  <si>
    <t>:taxi:</t>
  </si>
  <si>
    <t>🚕</t>
  </si>
  <si>
    <t>:teacher:</t>
  </si>
  <si>
    <t>🧑‍🏫</t>
  </si>
  <si>
    <t>giáo viên</t>
  </si>
  <si>
    <t>:teacher_dark_skin_tone:</t>
  </si>
  <si>
    <t>🧑🏿‍🏫</t>
  </si>
  <si>
    <t>giáo viên màu da sẫm</t>
  </si>
  <si>
    <t>:teacher_light_skin_tone:</t>
  </si>
  <si>
    <t>🧑🏻‍🏫</t>
  </si>
  <si>
    <t>giáo viên màu da sáng</t>
  </si>
  <si>
    <t>:teacher_medium-dark_skin_tone:</t>
  </si>
  <si>
    <t>🧑🏾‍🏫</t>
  </si>
  <si>
    <t>giáo viên màu da sẫm vừa</t>
  </si>
  <si>
    <t>:teacher_medium-light_skin_tone:</t>
  </si>
  <si>
    <t>🧑🏼‍🏫</t>
  </si>
  <si>
    <t>giáo viên màu da sáng vừa</t>
  </si>
  <si>
    <t>:teacher_medium_skin_tone:</t>
  </si>
  <si>
    <t>🧑🏽‍🏫</t>
  </si>
  <si>
    <t>giáo viên màu da thường</t>
  </si>
  <si>
    <t>:teacup_without_handle:</t>
  </si>
  <si>
    <t>🍵</t>
  </si>
  <si>
    <t>ly tra không có tay cầm</t>
  </si>
  <si>
    <t>:teapot:</t>
  </si>
  <si>
    <t>🫖</t>
  </si>
  <si>
    <t>:tear-off_calendar:</t>
  </si>
  <si>
    <t>📆</t>
  </si>
  <si>
    <t>:technologist:</t>
  </si>
  <si>
    <t>🧑‍💻</t>
  </si>
  <si>
    <t>nhà công nghệ</t>
  </si>
  <si>
    <t>:technologist_dark_skin_tone:</t>
  </si>
  <si>
    <t>🧑🏿‍💻</t>
  </si>
  <si>
    <t>nhà công nghệ màu da sẫm</t>
  </si>
  <si>
    <t>:technologist_light_skin_tone:</t>
  </si>
  <si>
    <t>🧑🏻‍💻</t>
  </si>
  <si>
    <t>nhà công nghệ màu da sáng</t>
  </si>
  <si>
    <t>:technologist_medium-dark_skin_tone:</t>
  </si>
  <si>
    <t>🧑🏾‍💻</t>
  </si>
  <si>
    <t>nhà công nghệ màu da sẫm vừa</t>
  </si>
  <si>
    <t>:technologist_medium-light_skin_tone:</t>
  </si>
  <si>
    <t>🧑🏼‍💻</t>
  </si>
  <si>
    <t>nhà công nghệ màu da sáng vừa</t>
  </si>
  <si>
    <t>:technologist_medium_skin_tone:</t>
  </si>
  <si>
    <t>🧑🏽‍💻</t>
  </si>
  <si>
    <t>nhà công nghệ màu da thường</t>
  </si>
  <si>
    <t>:teddy_bear:</t>
  </si>
  <si>
    <t>🧸</t>
  </si>
  <si>
    <t>:telephone:</t>
  </si>
  <si>
    <t>☎</t>
  </si>
  <si>
    <t>:telephone_receiver:</t>
  </si>
  <si>
    <t>📞</t>
  </si>
  <si>
    <t>:telescope:</t>
  </si>
  <si>
    <t>🔭</t>
  </si>
  <si>
    <t>:television:</t>
  </si>
  <si>
    <t>📺</t>
  </si>
  <si>
    <t>:ten-thirty:</t>
  </si>
  <si>
    <t>🕥</t>
  </si>
  <si>
    <t>:ten_o’clock:</t>
  </si>
  <si>
    <t>🕙</t>
  </si>
  <si>
    <t>:tennis:</t>
  </si>
  <si>
    <t>🎾</t>
  </si>
  <si>
    <t>quần vợt</t>
  </si>
  <si>
    <t>:tent:</t>
  </si>
  <si>
    <t>⛺</t>
  </si>
  <si>
    <t>:test_tube:</t>
  </si>
  <si>
    <t>🧪</t>
  </si>
  <si>
    <t>ống nghiệm</t>
  </si>
  <si>
    <t>:thermometer:</t>
  </si>
  <si>
    <t>🌡</t>
  </si>
  <si>
    <t>nhiệt kế</t>
  </si>
  <si>
    <t>:thinking_face:</t>
  </si>
  <si>
    <t>🤔</t>
  </si>
  <si>
    <t>khuôn mặt suy nghĩ</t>
  </si>
  <si>
    <t>:thong_sandal:</t>
  </si>
  <si>
    <t>🩴</t>
  </si>
  <si>
    <t>san đan xỏ ngón</t>
  </si>
  <si>
    <t>:thought_balloon:</t>
  </si>
  <si>
    <t>💭</t>
  </si>
  <si>
    <t>bóng bay suy nghĩ</t>
  </si>
  <si>
    <t>:thread:</t>
  </si>
  <si>
    <t>🧵</t>
  </si>
  <si>
    <t>chỉ</t>
  </si>
  <si>
    <t>:three-thirty:</t>
  </si>
  <si>
    <t>🕞</t>
  </si>
  <si>
    <t>:three_o’clock:</t>
  </si>
  <si>
    <t>🕒</t>
  </si>
  <si>
    <t>:thumbs_down:</t>
  </si>
  <si>
    <t>👎</t>
  </si>
  <si>
    <t>ngón cái chỉ xuống</t>
  </si>
  <si>
    <t>:thumbs_down_dark_skin_tone:</t>
  </si>
  <si>
    <t>👎🏿</t>
  </si>
  <si>
    <t>ngón cái chỉ xuống màu da sẫm</t>
  </si>
  <si>
    <t>:thumbs_down_light_skin_tone:</t>
  </si>
  <si>
    <t>👎🏻</t>
  </si>
  <si>
    <t>ngón cái chỉ xuống màu da sáng</t>
  </si>
  <si>
    <t>:thumbs_down_medium-dark_skin_tone:</t>
  </si>
  <si>
    <t>👎🏾</t>
  </si>
  <si>
    <t>ngón cái chỉ xuống màu da sẫm vừa</t>
  </si>
  <si>
    <t>:thumbs_down_medium-light_skin_tone:</t>
  </si>
  <si>
    <t>👎🏼</t>
  </si>
  <si>
    <t>ngón cái chỉ xuống màu da sáng vừa</t>
  </si>
  <si>
    <t>:thumbs_down_medium_skin_tone:</t>
  </si>
  <si>
    <t>👎🏽</t>
  </si>
  <si>
    <t>ngón cái chỉ xuống màu da thường</t>
  </si>
  <si>
    <t>:thumbs_up:</t>
  </si>
  <si>
    <t>👍</t>
  </si>
  <si>
    <t>ngón cái chỉ lên</t>
  </si>
  <si>
    <t>:thumbs_up_dark_skin_tone:</t>
  </si>
  <si>
    <t>👍🏿</t>
  </si>
  <si>
    <t>ngón cái chỉ lên màu da sẫm</t>
  </si>
  <si>
    <t>:thumbs_up_light_skin_tone:</t>
  </si>
  <si>
    <t>👍🏻</t>
  </si>
  <si>
    <t>ngón cái chỉ lên màu da sáng</t>
  </si>
  <si>
    <t>:thumbs_up_medium-dark_skin_tone:</t>
  </si>
  <si>
    <t>👍🏾</t>
  </si>
  <si>
    <t>ngón cái chỉ lên màu da sẫm vừa</t>
  </si>
  <si>
    <t>:thumbs_up_medium-light_skin_tone:</t>
  </si>
  <si>
    <t>👍🏼</t>
  </si>
  <si>
    <t>ngón cái chỉ lên màu da sáng vừa</t>
  </si>
  <si>
    <t>:thumbs_up_medium_skin_tone:</t>
  </si>
  <si>
    <t>👍🏽</t>
  </si>
  <si>
    <t>ngón cái chỉ lên màu da thường</t>
  </si>
  <si>
    <t>:ticket:</t>
  </si>
  <si>
    <t>🎫</t>
  </si>
  <si>
    <t>:tiger:</t>
  </si>
  <si>
    <t>🐅</t>
  </si>
  <si>
    <t>:tiger_face:</t>
  </si>
  <si>
    <t>🐯</t>
  </si>
  <si>
    <t>mặt hổ</t>
  </si>
  <si>
    <t>:timer_clock:</t>
  </si>
  <si>
    <t>⏲</t>
  </si>
  <si>
    <t>:tired_face:</t>
  </si>
  <si>
    <t>😫</t>
  </si>
  <si>
    <t>:toilet:</t>
  </si>
  <si>
    <t>🚽</t>
  </si>
  <si>
    <t>bồn cầu</t>
  </si>
  <si>
    <t>:tomato:</t>
  </si>
  <si>
    <t>🍅</t>
  </si>
  <si>
    <t>:tongue:</t>
  </si>
  <si>
    <t>👅</t>
  </si>
  <si>
    <t>:toolbox:</t>
  </si>
  <si>
    <t>🧰</t>
  </si>
  <si>
    <t>:tooth:</t>
  </si>
  <si>
    <t>🦷</t>
  </si>
  <si>
    <t>:toothbrush:</t>
  </si>
  <si>
    <t>🪥</t>
  </si>
  <si>
    <t>:top_hat:</t>
  </si>
  <si>
    <t>🎩</t>
  </si>
  <si>
    <t>mũ cao</t>
  </si>
  <si>
    <t>:tornado:</t>
  </si>
  <si>
    <t>🌪</t>
  </si>
  <si>
    <t>:trackball:</t>
  </si>
  <si>
    <t>🖲</t>
  </si>
  <si>
    <t>bi lăn</t>
  </si>
  <si>
    <t>:tractor:</t>
  </si>
  <si>
    <t>🚜</t>
  </si>
  <si>
    <t>:trade_mark:</t>
  </si>
  <si>
    <t>™</t>
  </si>
  <si>
    <t>:train:</t>
  </si>
  <si>
    <t>🚆</t>
  </si>
  <si>
    <t>:tram:</t>
  </si>
  <si>
    <t>🚊</t>
  </si>
  <si>
    <t>tàu điện</t>
  </si>
  <si>
    <t>:tram_car:</t>
  </si>
  <si>
    <t>🚋</t>
  </si>
  <si>
    <t>:transgender_flag:</t>
  </si>
  <si>
    <t>🏳️‍⚧️</t>
  </si>
  <si>
    <t>:transgender_symbol:</t>
  </si>
  <si>
    <t>⚧</t>
  </si>
  <si>
    <t>:triangular_flag:</t>
  </si>
  <si>
    <t>🚩</t>
  </si>
  <si>
    <t>:triangular_ruler:</t>
  </si>
  <si>
    <t>📐</t>
  </si>
  <si>
    <t>:trident_emblem:</t>
  </si>
  <si>
    <t>🔱</t>
  </si>
  <si>
    <t>biểu tượng của trident</t>
  </si>
  <si>
    <t>:trolleybus:</t>
  </si>
  <si>
    <t>🚎</t>
  </si>
  <si>
    <t>xe điện bánh hơi</t>
  </si>
  <si>
    <t>:trophy:</t>
  </si>
  <si>
    <t>🏆</t>
  </si>
  <si>
    <t>:tropical_drink:</t>
  </si>
  <si>
    <t>🍹</t>
  </si>
  <si>
    <t>:tropical_fish:</t>
  </si>
  <si>
    <t>🐠</t>
  </si>
  <si>
    <t>:trumpet:</t>
  </si>
  <si>
    <t>🎺</t>
  </si>
  <si>
    <t>kèn trumpet</t>
  </si>
  <si>
    <t>:tulip:</t>
  </si>
  <si>
    <t>🌷</t>
  </si>
  <si>
    <t>hoa tulip</t>
  </si>
  <si>
    <t>:tumbler_glass:</t>
  </si>
  <si>
    <t>🥃</t>
  </si>
  <si>
    <t>cốc thuỷ tinh</t>
  </si>
  <si>
    <t>:turkey:</t>
  </si>
  <si>
    <t>🦃</t>
  </si>
  <si>
    <t>:turtle:</t>
  </si>
  <si>
    <t>🐢</t>
  </si>
  <si>
    <t>:twelve-thirty:</t>
  </si>
  <si>
    <t>🕧</t>
  </si>
  <si>
    <t>:twelve_o’clock:</t>
  </si>
  <si>
    <t>🕛</t>
  </si>
  <si>
    <t>:two-hump_camel:</t>
  </si>
  <si>
    <t>🐫</t>
  </si>
  <si>
    <t>:two-thirty:</t>
  </si>
  <si>
    <t>🕝</t>
  </si>
  <si>
    <t>:two_hearts:</t>
  </si>
  <si>
    <t>💕</t>
  </si>
  <si>
    <t>:two_o’clock:</t>
  </si>
  <si>
    <t>🕑</t>
  </si>
  <si>
    <t>:umbrella:</t>
  </si>
  <si>
    <t>☂</t>
  </si>
  <si>
    <t>chiếu dù</t>
  </si>
  <si>
    <t>:umbrella_on_ground:</t>
  </si>
  <si>
    <t>⛱</t>
  </si>
  <si>
    <t>:umbrella_with_rain_drops:</t>
  </si>
  <si>
    <t>☔</t>
  </si>
  <si>
    <t>:unamused_face:</t>
  </si>
  <si>
    <t>😒</t>
  </si>
  <si>
    <t>khuôn mặt không hài lòng</t>
  </si>
  <si>
    <t>:unicorn:</t>
  </si>
  <si>
    <t>🦄</t>
  </si>
  <si>
    <t>:unlocked:</t>
  </si>
  <si>
    <t>🔓</t>
  </si>
  <si>
    <t>:up-down_arrow:</t>
  </si>
  <si>
    <t>↕</t>
  </si>
  <si>
    <t>:up-left_arrow:</t>
  </si>
  <si>
    <t>↖</t>
  </si>
  <si>
    <t>:up-right_arrow:</t>
  </si>
  <si>
    <t>↗</t>
  </si>
  <si>
    <t>:up_arrow:</t>
  </si>
  <si>
    <t>⬆</t>
  </si>
  <si>
    <t>:upside-down_face:</t>
  </si>
  <si>
    <t>🙃</t>
  </si>
  <si>
    <t>:upwards_button:</t>
  </si>
  <si>
    <t>🔼</t>
  </si>
  <si>
    <t>:vampire:</t>
  </si>
  <si>
    <t>🧛</t>
  </si>
  <si>
    <t>ma cà rồng</t>
  </si>
  <si>
    <t>:vampire_dark_skin_tone:</t>
  </si>
  <si>
    <t>🧛🏿</t>
  </si>
  <si>
    <t>ma cà rồng màu da sẫm</t>
  </si>
  <si>
    <t>:vampire_light_skin_tone:</t>
  </si>
  <si>
    <t>🧛🏻</t>
  </si>
  <si>
    <t>ma cà rồng màu da sáng</t>
  </si>
  <si>
    <t>:vampire_medium-dark_skin_tone:</t>
  </si>
  <si>
    <t>🧛🏾</t>
  </si>
  <si>
    <t>ma cà rồng màu da sẫm vừa</t>
  </si>
  <si>
    <t>:vampire_medium-light_skin_tone:</t>
  </si>
  <si>
    <t>🧛🏼</t>
  </si>
  <si>
    <t>ma cà rồng màu da sáng vừa</t>
  </si>
  <si>
    <t>:vampire_medium_skin_tone:</t>
  </si>
  <si>
    <t>🧛🏽</t>
  </si>
  <si>
    <t>ma cà rồng màu da thường</t>
  </si>
  <si>
    <t>:vertical_traffic_light:</t>
  </si>
  <si>
    <t>🚦</t>
  </si>
  <si>
    <t>:vibration_mode:</t>
  </si>
  <si>
    <t>📳</t>
  </si>
  <si>
    <t>:victory_hand:</t>
  </si>
  <si>
    <t>✌</t>
  </si>
  <si>
    <t>tay chiến thắng</t>
  </si>
  <si>
    <t>:victory_hand_dark_skin_tone:</t>
  </si>
  <si>
    <t>✌🏿</t>
  </si>
  <si>
    <t>tay chiến thắng màu da sẫm</t>
  </si>
  <si>
    <t>:victory_hand_light_skin_tone:</t>
  </si>
  <si>
    <t>✌🏻</t>
  </si>
  <si>
    <t>tay chiến thắng màu da sáng</t>
  </si>
  <si>
    <t>:victory_hand_medium-dark_skin_tone:</t>
  </si>
  <si>
    <t>✌🏾</t>
  </si>
  <si>
    <t>tay chiến thắng màu da sẫm vừa</t>
  </si>
  <si>
    <t>:victory_hand_medium-light_skin_tone:</t>
  </si>
  <si>
    <t>✌🏼</t>
  </si>
  <si>
    <t>tay chiến thắng màu da sáng vừa</t>
  </si>
  <si>
    <t>:victory_hand_medium_skin_tone:</t>
  </si>
  <si>
    <t>✌🏽</t>
  </si>
  <si>
    <t>tay chiến thắng màu da thường</t>
  </si>
  <si>
    <t>:video_camera:</t>
  </si>
  <si>
    <t>📹</t>
  </si>
  <si>
    <t>:video_game:</t>
  </si>
  <si>
    <t>🎮</t>
  </si>
  <si>
    <t>:videocassette:</t>
  </si>
  <si>
    <t>📼</t>
  </si>
  <si>
    <t>đầu máy video</t>
  </si>
  <si>
    <t>:violin:</t>
  </si>
  <si>
    <t>🎻</t>
  </si>
  <si>
    <t>:volcano:</t>
  </si>
  <si>
    <t>🌋</t>
  </si>
  <si>
    <t>núi lửa phun trào</t>
  </si>
  <si>
    <t>:volleyball:</t>
  </si>
  <si>
    <t>🏐</t>
  </si>
  <si>
    <t>:vulcan_salute:</t>
  </si>
  <si>
    <t>🖖</t>
  </si>
  <si>
    <t>lời chào của vulcan</t>
  </si>
  <si>
    <t>:vulcan_salute_dark_skin_tone:</t>
  </si>
  <si>
    <t>🖖🏿</t>
  </si>
  <si>
    <t>lời chào của vulcan màu da sẫm</t>
  </si>
  <si>
    <t>:vulcan_salute_light_skin_tone:</t>
  </si>
  <si>
    <t>🖖🏻</t>
  </si>
  <si>
    <t>lời chào của vulcan màu da sáng</t>
  </si>
  <si>
    <t>:vulcan_salute_medium-dark_skin_tone:</t>
  </si>
  <si>
    <t>🖖🏾</t>
  </si>
  <si>
    <t>lời chào của vulcan màu da sẫm vừa</t>
  </si>
  <si>
    <t>:vulcan_salute_medium-light_skin_tone:</t>
  </si>
  <si>
    <t>🖖🏼</t>
  </si>
  <si>
    <t>lời chào của vulcan màu da sáng vừa</t>
  </si>
  <si>
    <t>:vulcan_salute_medium_skin_tone:</t>
  </si>
  <si>
    <t>🖖🏽</t>
  </si>
  <si>
    <t>lời chào của vulcan màu da thường</t>
  </si>
  <si>
    <t>:waffle:</t>
  </si>
  <si>
    <t>🧇</t>
  </si>
  <si>
    <t>bánh quế</t>
  </si>
  <si>
    <t>:waning_crescent_moon:</t>
  </si>
  <si>
    <t>🌘</t>
  </si>
  <si>
    <t>trăng lưỡi liềm cuối tháng</t>
  </si>
  <si>
    <t>:waning_gibbous_moon:</t>
  </si>
  <si>
    <t>🌖</t>
  </si>
  <si>
    <t>trăng khuyết cuối tháng</t>
  </si>
  <si>
    <t>:warning:</t>
  </si>
  <si>
    <t>⚠</t>
  </si>
  <si>
    <t>:wastebasket:</t>
  </si>
  <si>
    <t>🗑</t>
  </si>
  <si>
    <t>:watch:</t>
  </si>
  <si>
    <t>⌚</t>
  </si>
  <si>
    <t>:water_buffalo:</t>
  </si>
  <si>
    <t>🐃</t>
  </si>
  <si>
    <t>:water_closet:</t>
  </si>
  <si>
    <t>🚾</t>
  </si>
  <si>
    <t>:water_pistol:</t>
  </si>
  <si>
    <t>🔫</t>
  </si>
  <si>
    <t>:water_wave:</t>
  </si>
  <si>
    <t>🌊</t>
  </si>
  <si>
    <t>:watermelon:</t>
  </si>
  <si>
    <t>🍉</t>
  </si>
  <si>
    <t>:waving_hand:</t>
  </si>
  <si>
    <t>👋</t>
  </si>
  <si>
    <t>vẫy tay</t>
  </si>
  <si>
    <t>:waving_hand_dark_skin_tone:</t>
  </si>
  <si>
    <t>👋🏿</t>
  </si>
  <si>
    <t>vẫy tay màu da sẫm</t>
  </si>
  <si>
    <t>:waving_hand_light_skin_tone:</t>
  </si>
  <si>
    <t>👋🏻</t>
  </si>
  <si>
    <t>vẫy tay màu da sáng</t>
  </si>
  <si>
    <t>:waving_hand_medium-dark_skin_tone:</t>
  </si>
  <si>
    <t>👋🏾</t>
  </si>
  <si>
    <t>vẫy tay màu da sẫm vừa</t>
  </si>
  <si>
    <t>:waving_hand_medium-light_skin_tone:</t>
  </si>
  <si>
    <t>👋🏼</t>
  </si>
  <si>
    <t>vẫy tay màu da sáng vừa</t>
  </si>
  <si>
    <t>:waving_hand_medium_skin_tone:</t>
  </si>
  <si>
    <t>👋🏽</t>
  </si>
  <si>
    <t>vẫy tay màu da thường</t>
  </si>
  <si>
    <t>:wavy_dash:</t>
  </si>
  <si>
    <t>〰</t>
  </si>
  <si>
    <t>:waxing_crescent_moon:</t>
  </si>
  <si>
    <t>🌒</t>
  </si>
  <si>
    <t>trăng lưỡi liềm đầu tháng</t>
  </si>
  <si>
    <t>:waxing_gibbous_moon:</t>
  </si>
  <si>
    <t>🌔</t>
  </si>
  <si>
    <t>trăng khuyết đầu tháng</t>
  </si>
  <si>
    <t>:weary_cat:</t>
  </si>
  <si>
    <t>🙀</t>
  </si>
  <si>
    <t>:weary_face:</t>
  </si>
  <si>
    <t>😩</t>
  </si>
  <si>
    <t>:wedding:</t>
  </si>
  <si>
    <t>💒</t>
  </si>
  <si>
    <t>:whale:</t>
  </si>
  <si>
    <t>🐋</t>
  </si>
  <si>
    <t>:wheel_of_dharma:</t>
  </si>
  <si>
    <t>☸</t>
  </si>
  <si>
    <t>pháp luân</t>
  </si>
  <si>
    <t>:wheelchair_symbol:</t>
  </si>
  <si>
    <t>♿</t>
  </si>
  <si>
    <t>:white_cane:</t>
  </si>
  <si>
    <t>🦯</t>
  </si>
  <si>
    <t>ba toong</t>
  </si>
  <si>
    <t>:white_circle:</t>
  </si>
  <si>
    <t>⚪</t>
  </si>
  <si>
    <t>:white_exclamation_mark:</t>
  </si>
  <si>
    <t>❕</t>
  </si>
  <si>
    <t>:white_flag:</t>
  </si>
  <si>
    <t>🏳</t>
  </si>
  <si>
    <t>:white_flower:</t>
  </si>
  <si>
    <t>💮</t>
  </si>
  <si>
    <t>:white_hair:</t>
  </si>
  <si>
    <t>🦳</t>
  </si>
  <si>
    <t>:white_heart:</t>
  </si>
  <si>
    <t>🤍</t>
  </si>
  <si>
    <t>:white_large_square:</t>
  </si>
  <si>
    <t>⬜</t>
  </si>
  <si>
    <t>hình vuông trắng lớn</t>
  </si>
  <si>
    <t>:white_medium-small_square:</t>
  </si>
  <si>
    <t>◽</t>
  </si>
  <si>
    <t>hình vuông trắng nhỏ vừa</t>
  </si>
  <si>
    <t>:white_medium_square:</t>
  </si>
  <si>
    <t>◻</t>
  </si>
  <si>
    <t>hình vuông trắng vừa</t>
  </si>
  <si>
    <t>:white_question_mark:</t>
  </si>
  <si>
    <t>❔</t>
  </si>
  <si>
    <t>dấu chấm hỏi trắng</t>
  </si>
  <si>
    <t>:white_small_square:</t>
  </si>
  <si>
    <t>▫</t>
  </si>
  <si>
    <t>hình vuông trắng nhỏ</t>
  </si>
  <si>
    <t>:white_square_button:</t>
  </si>
  <si>
    <t>🔳</t>
  </si>
  <si>
    <t>nút vuông trắng</t>
  </si>
  <si>
    <t>:wilted_flower:</t>
  </si>
  <si>
    <t>🥀</t>
  </si>
  <si>
    <t>hoa héo</t>
  </si>
  <si>
    <t>:wind_chime:</t>
  </si>
  <si>
    <t>🎐</t>
  </si>
  <si>
    <t>:wind_face:</t>
  </si>
  <si>
    <t>🌬</t>
  </si>
  <si>
    <t>:window:</t>
  </si>
  <si>
    <t>🪟</t>
  </si>
  <si>
    <t>:wine_glass:</t>
  </si>
  <si>
    <t>🍷</t>
  </si>
  <si>
    <t>:winking_face:</t>
  </si>
  <si>
    <t>😉</t>
  </si>
  <si>
    <t>nháy mắt</t>
  </si>
  <si>
    <t>:winking_face_with_tongue:</t>
  </si>
  <si>
    <t>😜</t>
  </si>
  <si>
    <t>nháy mắt và lưỡi</t>
  </si>
  <si>
    <t>:wolf:</t>
  </si>
  <si>
    <t>🐺</t>
  </si>
  <si>
    <t>:woman:</t>
  </si>
  <si>
    <t>👩</t>
  </si>
  <si>
    <t>phụ nữ</t>
  </si>
  <si>
    <t>:woman_and_man_holding_hands:</t>
  </si>
  <si>
    <t>👫</t>
  </si>
  <si>
    <t>phụ nữ và đàn ông nắm tay</t>
  </si>
  <si>
    <t>:woman_and_man_holding_hands_dark_skin_tone:</t>
  </si>
  <si>
    <t>👫🏿</t>
  </si>
  <si>
    <t>phụ nữ và đàn ông nắm tay màu da sẫm</t>
  </si>
  <si>
    <t>:woman_and_man_holding_hands_dark_skin_tone_light_skin_tone:</t>
  </si>
  <si>
    <t>👩🏿‍🤝‍👨🏻</t>
  </si>
  <si>
    <t>phụ nữ và đàn ông nắm tay màu da sẫm màu da sáng</t>
  </si>
  <si>
    <t>:woman_and_man_holding_hands_dark_skin_tone_medium-dark_skin_tone:</t>
  </si>
  <si>
    <t>👩🏿‍🤝‍👨🏾</t>
  </si>
  <si>
    <t>phụ nữ và đàn ông nắm tay màu da sẫm màu da sẫm vừa</t>
  </si>
  <si>
    <t>:woman_and_man_holding_hands_dark_skin_tone_medium-light_skin_tone:</t>
  </si>
  <si>
    <t>👩🏿‍🤝‍👨🏼</t>
  </si>
  <si>
    <t>phụ nữ và đàn ông nắm tay màu da sẫm màu da sáng vừa</t>
  </si>
  <si>
    <t>:woman_and_man_holding_hands_dark_skin_tone_medium_skin_tone:</t>
  </si>
  <si>
    <t>👩🏿‍🤝‍👨🏽</t>
  </si>
  <si>
    <t>phụ nữ và đàn ông nắm tay màu da sẫm màu da thường</t>
  </si>
  <si>
    <t>:woman_and_man_holding_hands_light_skin_tone:</t>
  </si>
  <si>
    <t>👫🏻</t>
  </si>
  <si>
    <t>phụ nữ và đàn ông nắm tay màu da sáng</t>
  </si>
  <si>
    <t>:woman_and_man_holding_hands_light_skin_tone_dark_skin_tone:</t>
  </si>
  <si>
    <t>👩🏻‍🤝‍👨🏿</t>
  </si>
  <si>
    <t>phụ nữ và đàn ông nắm tay màu da sáng màu da sẫm</t>
  </si>
  <si>
    <t>:woman_and_man_holding_hands_light_skin_tone_medium-dark_skin_tone:</t>
  </si>
  <si>
    <t>👩🏻‍🤝‍👨🏾</t>
  </si>
  <si>
    <t>phụ nữ và đàn ông nắm tay màu da sáng màu da sẫm vừa</t>
  </si>
  <si>
    <t>:woman_and_man_holding_hands_light_skin_tone_medium-light_skin_tone:</t>
  </si>
  <si>
    <t>👩🏻‍🤝‍👨🏼</t>
  </si>
  <si>
    <t>phụ nữ và đàn ông nắm tay màu da sáng màu da sáng vừa</t>
  </si>
  <si>
    <t>:woman_and_man_holding_hands_light_skin_tone_medium_skin_tone:</t>
  </si>
  <si>
    <t>👩🏻‍🤝‍👨🏽</t>
  </si>
  <si>
    <t>phụ nữ và đàn ông nắm tay màu da sáng màu da thường</t>
  </si>
  <si>
    <t>:woman_and_man_holding_hands_medium-dark_skin_tone:</t>
  </si>
  <si>
    <t>👫🏾</t>
  </si>
  <si>
    <t>phụ nữ và đàn ông nắm tay màu da sẫm vừa</t>
  </si>
  <si>
    <t>:woman_and_man_holding_hands_medium-dark_skin_tone_dark_skin_tone:</t>
  </si>
  <si>
    <t>👩🏾‍🤝‍👨🏿</t>
  </si>
  <si>
    <t>phụ nữ và đàn ông nắm tay màu da sẫm vừa màu da sẫm</t>
  </si>
  <si>
    <t>:woman_and_man_holding_hands_medium-dark_skin_tone_light_skin_tone:</t>
  </si>
  <si>
    <t>👩🏾‍🤝‍👨🏻</t>
  </si>
  <si>
    <t>phụ nữ và đàn ông nắm tay màu da sẫm vừa màu da sáng</t>
  </si>
  <si>
    <t>:woman_and_man_holding_hands_medium-dark_skin_tone_medium-light_skin_tone:</t>
  </si>
  <si>
    <t>👩🏾‍🤝‍👨🏼</t>
  </si>
  <si>
    <t>phụ nữ và đàn ông nắm tay màu da sẫm vừa màu da sáng vừa</t>
  </si>
  <si>
    <t>:woman_and_man_holding_hands_medium-dark_skin_tone_medium_skin_tone:</t>
  </si>
  <si>
    <t>👩🏾‍🤝‍👨🏽</t>
  </si>
  <si>
    <t>phụ nữ và đàn ông nắm tay màu da sẫm vừa màu da thường</t>
  </si>
  <si>
    <t>:woman_and_man_holding_hands_medium-light_skin_tone:</t>
  </si>
  <si>
    <t>👫🏼</t>
  </si>
  <si>
    <t>phụ nữ và đàn ông nắm tay màu da sáng vừa</t>
  </si>
  <si>
    <t>:woman_and_man_holding_hands_medium-light_skin_tone_dark_skin_tone:</t>
  </si>
  <si>
    <t>👩🏼‍🤝‍👨🏿</t>
  </si>
  <si>
    <t>phụ nữ và đàn ông nắm tay màu da sáng vừa màu da sẫm</t>
  </si>
  <si>
    <t>:woman_and_man_holding_hands_medium-light_skin_tone_light_skin_tone:</t>
  </si>
  <si>
    <t>👩🏼‍🤝‍👨🏻</t>
  </si>
  <si>
    <t>phụ nữ và đàn ông nắm tay màu da sáng vừa màu da sáng</t>
  </si>
  <si>
    <t>:woman_and_man_holding_hands_medium-light_skin_tone_medium-dark_skin_tone:</t>
  </si>
  <si>
    <t>👩🏼‍🤝‍👨🏾</t>
  </si>
  <si>
    <t>phụ nữ và đàn ông nắm tay màu da sáng vừa màu da sẫm vừa</t>
  </si>
  <si>
    <t>:woman_and_man_holding_hands_medium-light_skin_tone_medium_skin_tone:</t>
  </si>
  <si>
    <t>👩🏼‍🤝‍👨🏽</t>
  </si>
  <si>
    <t>phụ nữ và đàn ông nắm tay màu da sáng vừa màu da thường</t>
  </si>
  <si>
    <t>:woman_and_man_holding_hands_medium_skin_tone:</t>
  </si>
  <si>
    <t>👫🏽</t>
  </si>
  <si>
    <t>phụ nữ và đàn ông nắm tay màu da thường</t>
  </si>
  <si>
    <t>:woman_and_man_holding_hands_medium_skin_tone_dark_skin_tone:</t>
  </si>
  <si>
    <t>👩🏽‍🤝‍👨🏿</t>
  </si>
  <si>
    <t>phụ nữ và đàn ông nắm tay màu da thường màu da sẫm</t>
  </si>
  <si>
    <t>:woman_and_man_holding_hands_medium_skin_tone_light_skin_tone:</t>
  </si>
  <si>
    <t>👩🏽‍🤝‍👨🏻</t>
  </si>
  <si>
    <t>phụ nữ và đàn ông nắm tay màu da thường màu da sáng</t>
  </si>
  <si>
    <t>:woman_and_man_holding_hands_medium_skin_tone_medium-dark_skin_tone:</t>
  </si>
  <si>
    <t>👩🏽‍🤝‍👨🏾</t>
  </si>
  <si>
    <t>phụ nữ và đàn ông nắm tay màu da thường màu da sẫm vừa</t>
  </si>
  <si>
    <t>:woman_and_man_holding_hands_medium_skin_tone_medium-light_skin_tone:</t>
  </si>
  <si>
    <t>👩🏽‍🤝‍👨🏼</t>
  </si>
  <si>
    <t>phụ nữ và đàn ông nắm tay màu da thường màu da sáng vừa</t>
  </si>
  <si>
    <t>:woman_artist:</t>
  </si>
  <si>
    <t>👩‍🎨</t>
  </si>
  <si>
    <t>nghệ sĩ nữ</t>
  </si>
  <si>
    <t>:woman_artist_dark_skin_tone:</t>
  </si>
  <si>
    <t>👩🏿‍🎨</t>
  </si>
  <si>
    <t>nghệ sĩ nữ màu da sẫm</t>
  </si>
  <si>
    <t>:woman_artist_light_skin_tone:</t>
  </si>
  <si>
    <t>👩🏻‍🎨</t>
  </si>
  <si>
    <t>nghệ sĩ nữ màu da sáng</t>
  </si>
  <si>
    <t>:woman_artist_medium-dark_skin_tone:</t>
  </si>
  <si>
    <t>👩🏾‍🎨</t>
  </si>
  <si>
    <t>nghệ sĩ nữ màu da sẫm vừa</t>
  </si>
  <si>
    <t>:woman_artist_medium-light_skin_tone:</t>
  </si>
  <si>
    <t>👩🏼‍🎨</t>
  </si>
  <si>
    <t>nghệ sĩ nữ màu da sáng vừa</t>
  </si>
  <si>
    <t>:woman_artist_medium_skin_tone:</t>
  </si>
  <si>
    <t>👩🏽‍🎨</t>
  </si>
  <si>
    <t>nghệ sĩ nữ màu da thường</t>
  </si>
  <si>
    <t>:woman_astronaut:</t>
  </si>
  <si>
    <t>👩‍🚀</t>
  </si>
  <si>
    <t>phi hành gia nữ</t>
  </si>
  <si>
    <t>:woman_astronaut_dark_skin_tone:</t>
  </si>
  <si>
    <t>👩🏿‍🚀</t>
  </si>
  <si>
    <t>phi hành gia nữ màu da sẫm</t>
  </si>
  <si>
    <t>:woman_astronaut_light_skin_tone:</t>
  </si>
  <si>
    <t>👩🏻‍🚀</t>
  </si>
  <si>
    <t>phi hành gia nữ màu da sáng</t>
  </si>
  <si>
    <t>:woman_astronaut_medium-dark_skin_tone:</t>
  </si>
  <si>
    <t>👩🏾‍🚀</t>
  </si>
  <si>
    <t>phi hành gia nữ màu da sẫm vừa</t>
  </si>
  <si>
    <t>:woman_astronaut_medium-light_skin_tone:</t>
  </si>
  <si>
    <t>👩🏼‍🚀</t>
  </si>
  <si>
    <t>phi hành gia nữ màu da sáng vừa</t>
  </si>
  <si>
    <t>:woman_astronaut_medium_skin_tone:</t>
  </si>
  <si>
    <t>👩🏽‍🚀</t>
  </si>
  <si>
    <t>phi hành gia nữ màu da thường</t>
  </si>
  <si>
    <t>:woman_bald:</t>
  </si>
  <si>
    <t>👩‍🦲</t>
  </si>
  <si>
    <t>:woman_beard:</t>
  </si>
  <si>
    <t>🧔‍♀️</t>
  </si>
  <si>
    <t>người phụ nữ có râu</t>
  </si>
  <si>
    <t>:woman_biking:</t>
  </si>
  <si>
    <t>🚴‍♀️</t>
  </si>
  <si>
    <t>:woman_biking_dark_skin_tone:</t>
  </si>
  <si>
    <t>🚴🏿‍♀️</t>
  </si>
  <si>
    <t>Người phụ nữ đi xe đạp màu da sẫm</t>
  </si>
  <si>
    <t>:woman_biking_light_skin_tone:</t>
  </si>
  <si>
    <t>🚴🏻‍♀️</t>
  </si>
  <si>
    <t>Người phụ nữ đi xe đạp màu da sáng</t>
  </si>
  <si>
    <t>:woman_biking_medium-dark_skin_tone:</t>
  </si>
  <si>
    <t>🚴🏾‍♀️</t>
  </si>
  <si>
    <t>Người phụ nữ đi xe đạp màu da sẫm vừa</t>
  </si>
  <si>
    <t>:woman_biking_medium-light_skin_tone:</t>
  </si>
  <si>
    <t>🚴🏼‍♀️</t>
  </si>
  <si>
    <t>Người phụ nữ đi xe đạp màu da sáng vừa</t>
  </si>
  <si>
    <t>:woman_biking_medium_skin_tone:</t>
  </si>
  <si>
    <t>🚴🏽‍♀️</t>
  </si>
  <si>
    <t>Người phụ nữ đi xe đạp màu da thường</t>
  </si>
  <si>
    <t>:woman_blond_hair:</t>
  </si>
  <si>
    <t>👱‍♀️</t>
  </si>
  <si>
    <t>:woman_bouncing_ball:</t>
  </si>
  <si>
    <t>⛹️‍♀️</t>
  </si>
  <si>
    <t>người phụ nữ và bóng nảy</t>
  </si>
  <si>
    <t>:woman_bouncing_ball_dark_skin_tone:</t>
  </si>
  <si>
    <t>⛹🏿‍♀️</t>
  </si>
  <si>
    <t>người phụ nữ và bóng nảy màu da sẫm</t>
  </si>
  <si>
    <t>:woman_bouncing_ball_light_skin_tone:</t>
  </si>
  <si>
    <t>⛹🏻‍♀️</t>
  </si>
  <si>
    <t>người phụ nữ và bóng nảy màu da sáng</t>
  </si>
  <si>
    <t>:woman_bouncing_ball_medium-dark_skin_tone:</t>
  </si>
  <si>
    <t>⛹🏾‍♀️</t>
  </si>
  <si>
    <t>người phụ nữ và bóng nảy màu da sẫm vừa</t>
  </si>
  <si>
    <t>:woman_bouncing_ball_medium-light_skin_tone:</t>
  </si>
  <si>
    <t>⛹🏼‍♀️</t>
  </si>
  <si>
    <t>người phụ nữ và bóng nảy màu da sáng vừa</t>
  </si>
  <si>
    <t>:woman_bouncing_ball_medium_skin_tone:</t>
  </si>
  <si>
    <t>⛹🏽‍♀️</t>
  </si>
  <si>
    <t>người phụ nữ và bóng nảy màu da thường</t>
  </si>
  <si>
    <t>:woman_bowing:</t>
  </si>
  <si>
    <t>🙇‍♀️</t>
  </si>
  <si>
    <t>người phụ nữ cúi đầu</t>
  </si>
  <si>
    <t>:woman_bowing_dark_skin_tone:</t>
  </si>
  <si>
    <t>🙇🏿‍♀️</t>
  </si>
  <si>
    <t>người phụ nữ màu da sẫm cúi đầu</t>
  </si>
  <si>
    <t>:woman_bowing_light_skin_tone:</t>
  </si>
  <si>
    <t>🙇🏻‍♀️</t>
  </si>
  <si>
    <t>người phụ nữ màu da sáng cúi đầu</t>
  </si>
  <si>
    <t>:woman_bowing_medium-dark_skin_tone:</t>
  </si>
  <si>
    <t>🙇🏾‍♀️</t>
  </si>
  <si>
    <t>người phụ nữ màu da sẫm vừa cúi đầu</t>
  </si>
  <si>
    <t>:woman_bowing_medium-light_skin_tone:</t>
  </si>
  <si>
    <t>🙇🏼‍♀️</t>
  </si>
  <si>
    <t>người phụ nữ màu da sáng vừa cúi đầu</t>
  </si>
  <si>
    <t>:woman_bowing_medium_skin_tone:</t>
  </si>
  <si>
    <t>🙇🏽‍♀️</t>
  </si>
  <si>
    <t>người phụ nữ màu da thường cúi đầu</t>
  </si>
  <si>
    <t>:woman_cartwheeling:</t>
  </si>
  <si>
    <t>🤸‍♀️</t>
  </si>
  <si>
    <t>người phụ nữ nhào lộn</t>
  </si>
  <si>
    <t>:woman_cartwheeling_dark_skin_tone:</t>
  </si>
  <si>
    <t>🤸🏿‍♀️</t>
  </si>
  <si>
    <t>người phụ nữ màu da sẫm nhào lộn</t>
  </si>
  <si>
    <t>:woman_cartwheeling_light_skin_tone:</t>
  </si>
  <si>
    <t>🤸🏻‍♀️</t>
  </si>
  <si>
    <t>người phụ nữ màu da sáng nhào lộn</t>
  </si>
  <si>
    <t>:woman_cartwheeling_medium-dark_skin_tone:</t>
  </si>
  <si>
    <t>🤸🏾‍♀️</t>
  </si>
  <si>
    <t>người phụ nữ màu da sẫm vừa nhào lộn</t>
  </si>
  <si>
    <t>:woman_cartwheeling_medium-light_skin_tone:</t>
  </si>
  <si>
    <t>🤸🏼‍♀️</t>
  </si>
  <si>
    <t>người phụ nữ màu da sáng vừa nhào lộn</t>
  </si>
  <si>
    <t>:woman_cartwheeling_medium_skin_tone:</t>
  </si>
  <si>
    <t>🤸🏽‍♀️</t>
  </si>
  <si>
    <t>người phụ nữ màu da thường nhào lộn</t>
  </si>
  <si>
    <t>:woman_climbing:</t>
  </si>
  <si>
    <t>🧗‍♀️</t>
  </si>
  <si>
    <t>người phụ nữ leo núi</t>
  </si>
  <si>
    <t>:woman_climbing_dark_skin_tone:</t>
  </si>
  <si>
    <t>🧗🏿‍♀️</t>
  </si>
  <si>
    <t>người phụ nữ màu da sẫm leo núi</t>
  </si>
  <si>
    <t>:woman_climbing_light_skin_tone:</t>
  </si>
  <si>
    <t>🧗🏻‍♀️</t>
  </si>
  <si>
    <t>người phụ nữ màu da sáng leo núi</t>
  </si>
  <si>
    <t>:woman_climbing_medium-dark_skin_tone:</t>
  </si>
  <si>
    <t>🧗🏾‍♀️</t>
  </si>
  <si>
    <t>người phụ nữ màu da sẫm vừa leo núi</t>
  </si>
  <si>
    <t>:woman_climbing_medium-light_skin_tone:</t>
  </si>
  <si>
    <t>🧗🏼‍♀️</t>
  </si>
  <si>
    <t>người phụ nữ màu da sáng vừa leo núi</t>
  </si>
  <si>
    <t>:woman_climbing_medium_skin_tone:</t>
  </si>
  <si>
    <t>🧗🏽‍♀️</t>
  </si>
  <si>
    <t>người phụ nữ màu da thường leo núi</t>
  </si>
  <si>
    <t>:woman_construction_worker:</t>
  </si>
  <si>
    <t>👷‍♀️</t>
  </si>
  <si>
    <t>công nhân xây dựng nữ</t>
  </si>
  <si>
    <t>:woman_construction_worker_dark_skin_tone:</t>
  </si>
  <si>
    <t>👷🏿‍♀️</t>
  </si>
  <si>
    <t>công nhân xây dựng nữ màu da sẫm</t>
  </si>
  <si>
    <t>:woman_construction_worker_light_skin_tone:</t>
  </si>
  <si>
    <t>👷🏻‍♀️</t>
  </si>
  <si>
    <t>công nhân xây dựng nữ màu da sáng</t>
  </si>
  <si>
    <t>:woman_construction_worker_medium-dark_skin_tone:</t>
  </si>
  <si>
    <t>👷🏾‍♀️</t>
  </si>
  <si>
    <t>công nhân xây dựng nữ màu da sẫm vừa</t>
  </si>
  <si>
    <t>:woman_construction_worker_medium-light_skin_tone:</t>
  </si>
  <si>
    <t>👷🏼‍♀️</t>
  </si>
  <si>
    <t>công nhân xây dựng nữ màu da sáng vừa</t>
  </si>
  <si>
    <t>:woman_construction_worker_medium_skin_tone:</t>
  </si>
  <si>
    <t>👷🏽‍♀️</t>
  </si>
  <si>
    <t>công nhân xây dựng nữ màu da thường</t>
  </si>
  <si>
    <t>:woman_cook:</t>
  </si>
  <si>
    <t>👩‍🍳</t>
  </si>
  <si>
    <t>đầu bếp nữ</t>
  </si>
  <si>
    <t>:woman_cook_dark_skin_tone:</t>
  </si>
  <si>
    <t>👩🏿‍🍳</t>
  </si>
  <si>
    <t>đầu bếp nữ màu da sẫm</t>
  </si>
  <si>
    <t>:woman_cook_light_skin_tone:</t>
  </si>
  <si>
    <t>👩🏻‍🍳</t>
  </si>
  <si>
    <t>đầu bếp nữ màu da sáng</t>
  </si>
  <si>
    <t>:woman_cook_medium-dark_skin_tone:</t>
  </si>
  <si>
    <t>👩🏾‍🍳</t>
  </si>
  <si>
    <t>đầu bếp nữ màu da sẫm vừa</t>
  </si>
  <si>
    <t>:woman_cook_medium-light_skin_tone:</t>
  </si>
  <si>
    <t>👩🏼‍🍳</t>
  </si>
  <si>
    <t>đầu bếp nữ màu da sáng vừa</t>
  </si>
  <si>
    <t>:woman_cook_medium_skin_tone:</t>
  </si>
  <si>
    <t>👩🏽‍🍳</t>
  </si>
  <si>
    <t>đầu bếp nữ màu da thường</t>
  </si>
  <si>
    <t>:woman_curly_hair:</t>
  </si>
  <si>
    <t>👩‍🦱</t>
  </si>
  <si>
    <t>người phụ nữ tóc xoăn</t>
  </si>
  <si>
    <t>:woman_dancing:</t>
  </si>
  <si>
    <t>💃</t>
  </si>
  <si>
    <t>người phụ nữ khiêu vũ</t>
  </si>
  <si>
    <t>:woman_dancing_dark_skin_tone:</t>
  </si>
  <si>
    <t>💃🏿</t>
  </si>
  <si>
    <t>người phụ nữ màu da sẫm khiêu vũ</t>
  </si>
  <si>
    <t>:woman_dancing_light_skin_tone:</t>
  </si>
  <si>
    <t>💃🏻</t>
  </si>
  <si>
    <t>người phụ nữ màu da sáng khiêu vũ</t>
  </si>
  <si>
    <t>:woman_dancing_medium-dark_skin_tone:</t>
  </si>
  <si>
    <t>💃🏾</t>
  </si>
  <si>
    <t>người phụ nữ màu da sẫm vừa khiêu vũ</t>
  </si>
  <si>
    <t>:woman_dancing_medium-light_skin_tone:</t>
  </si>
  <si>
    <t>💃🏼</t>
  </si>
  <si>
    <t>người phụ nữ màu da sáng vừa khiêu vũ</t>
  </si>
  <si>
    <t>:woman_dancing_medium_skin_tone:</t>
  </si>
  <si>
    <t>💃🏽</t>
  </si>
  <si>
    <t>người phụ nữ màu da thường khiêu vũ</t>
  </si>
  <si>
    <t>:woman_dark_skin_tone:</t>
  </si>
  <si>
    <t>👩🏿</t>
  </si>
  <si>
    <t>người phụ nữ da sẫm</t>
  </si>
  <si>
    <t>:woman_dark_skin_tone_bald:</t>
  </si>
  <si>
    <t>👩🏿‍🦲</t>
  </si>
  <si>
    <t>người phụ nữ hói da sẫm</t>
  </si>
  <si>
    <t>:woman_dark_skin_tone_beard:</t>
  </si>
  <si>
    <t>🧔🏿‍♀️</t>
  </si>
  <si>
    <t>người phụ nữ có râu da sẫm</t>
  </si>
  <si>
    <t>:woman_dark_skin_tone_blond_hair:</t>
  </si>
  <si>
    <t>👱🏿‍♀️</t>
  </si>
  <si>
    <t>người phụ nữ tóc vàng da sẫm</t>
  </si>
  <si>
    <t>:woman_dark_skin_tone_curly_hair:</t>
  </si>
  <si>
    <t>👩🏿‍🦱</t>
  </si>
  <si>
    <t>người phụ nữ tóc xoăn da sẫm</t>
  </si>
  <si>
    <t>:woman_dark_skin_tone_red_hair:</t>
  </si>
  <si>
    <t>👩🏿‍🦰</t>
  </si>
  <si>
    <t>người phụ nữ tóc đỏ da sẫm</t>
  </si>
  <si>
    <t>:woman_dark_skin_tone_white_hair:</t>
  </si>
  <si>
    <t>👩🏿‍🦳</t>
  </si>
  <si>
    <t>người phụ nữ tóc trắng da sẫm</t>
  </si>
  <si>
    <t>:woman_detective:</t>
  </si>
  <si>
    <t>🕵️‍♀️</t>
  </si>
  <si>
    <t>thám tử nữ</t>
  </si>
  <si>
    <t>:woman_detective_dark_skin_tone:</t>
  </si>
  <si>
    <t>🕵🏿‍♀️</t>
  </si>
  <si>
    <t>thám tử nữ màu da sẫm</t>
  </si>
  <si>
    <t>:woman_detective_light_skin_tone:</t>
  </si>
  <si>
    <t>🕵🏻‍♀️</t>
  </si>
  <si>
    <t>thám tử nữ màu da sáng</t>
  </si>
  <si>
    <t>:woman_detective_medium-dark_skin_tone:</t>
  </si>
  <si>
    <t>🕵🏾‍♀️</t>
  </si>
  <si>
    <t>thám tử nữ màu da sẫm vừa</t>
  </si>
  <si>
    <t>:woman_detective_medium-light_skin_tone:</t>
  </si>
  <si>
    <t>🕵🏼‍♀️</t>
  </si>
  <si>
    <t>thám tử nữ màu da sáng vừa</t>
  </si>
  <si>
    <t>:woman_detective_medium_skin_tone:</t>
  </si>
  <si>
    <t>🕵🏽‍♀️</t>
  </si>
  <si>
    <t>thám tử nữ màu da thường</t>
  </si>
  <si>
    <t>:woman_elf:</t>
  </si>
  <si>
    <t>🧝‍♀️</t>
  </si>
  <si>
    <t>elf nữ</t>
  </si>
  <si>
    <t>:woman_elf_dark_skin_tone:</t>
  </si>
  <si>
    <t>🧝🏿‍♀️</t>
  </si>
  <si>
    <t>elf nữ màu da sẫm</t>
  </si>
  <si>
    <t>:woman_elf_light_skin_tone:</t>
  </si>
  <si>
    <t>🧝🏻‍♀️</t>
  </si>
  <si>
    <t>elf nữ màu da sáng</t>
  </si>
  <si>
    <t>:woman_elf_medium-dark_skin_tone:</t>
  </si>
  <si>
    <t>🧝🏾‍♀️</t>
  </si>
  <si>
    <t>elf nữ màu da sẫm vừa</t>
  </si>
  <si>
    <t>:woman_elf_medium-light_skin_tone:</t>
  </si>
  <si>
    <t>🧝🏼‍♀️</t>
  </si>
  <si>
    <t>elf nữ màu da sáng vừa</t>
  </si>
  <si>
    <t>:woman_elf_medium_skin_tone:</t>
  </si>
  <si>
    <t>🧝🏽‍♀️</t>
  </si>
  <si>
    <t>elf nữ màu da thường</t>
  </si>
  <si>
    <t>:woman_facepalming:</t>
  </si>
  <si>
    <t>🤦‍♀️</t>
  </si>
  <si>
    <t>người phụ nữ lấy tay che mặt</t>
  </si>
  <si>
    <t>:woman_facepalming_dark_skin_tone:</t>
  </si>
  <si>
    <t>🤦🏿‍♀️</t>
  </si>
  <si>
    <t>người phụ nữ màu da sẫm lấy tay che mặt</t>
  </si>
  <si>
    <t>:woman_facepalming_light_skin_tone:</t>
  </si>
  <si>
    <t>🤦🏻‍♀️</t>
  </si>
  <si>
    <t>người phụ nữ màu da sáng lấy tay che mặt</t>
  </si>
  <si>
    <t>:woman_facepalming_medium-dark_skin_tone:</t>
  </si>
  <si>
    <t>🤦🏾‍♀️</t>
  </si>
  <si>
    <t>người phụ nữ màu da sẫm vừa lấy tay che mặt</t>
  </si>
  <si>
    <t>:woman_facepalming_medium-light_skin_tone:</t>
  </si>
  <si>
    <t>🤦🏼‍♀️</t>
  </si>
  <si>
    <t>người phụ nữ màu da sáng vừa lấy tay che mặt</t>
  </si>
  <si>
    <t>:woman_facepalming_medium_skin_tone:</t>
  </si>
  <si>
    <t>🤦🏽‍♀️</t>
  </si>
  <si>
    <t>người phụ nữ màu da thường lấy tay che mặt</t>
  </si>
  <si>
    <t>:woman_factory_worker:</t>
  </si>
  <si>
    <t>👩‍🏭</t>
  </si>
  <si>
    <t>nhân viên nhà máy nữ</t>
  </si>
  <si>
    <t>:woman_factory_worker_dark_skin_tone:</t>
  </si>
  <si>
    <t>👩🏿‍🏭</t>
  </si>
  <si>
    <t>nhân viên nhà máy nữ màu da sẫm</t>
  </si>
  <si>
    <t>:woman_factory_worker_light_skin_tone:</t>
  </si>
  <si>
    <t>👩🏻‍🏭</t>
  </si>
  <si>
    <t>nhân viên nhà máy nữ màu da sáng</t>
  </si>
  <si>
    <t>:woman_factory_worker_medium-dark_skin_tone:</t>
  </si>
  <si>
    <t>👩🏾‍🏭</t>
  </si>
  <si>
    <t>nhân viên nhà máy nữ màu da sẫm vừa</t>
  </si>
  <si>
    <t>:woman_factory_worker_medium-light_skin_tone:</t>
  </si>
  <si>
    <t>👩🏼‍🏭</t>
  </si>
  <si>
    <t>nhân viên nhà máy nữ màu da sáng vừa</t>
  </si>
  <si>
    <t>:woman_factory_worker_medium_skin_tone:</t>
  </si>
  <si>
    <t>👩🏽‍🏭</t>
  </si>
  <si>
    <t>nhân viên nhà máy nữ màu da thường</t>
  </si>
  <si>
    <t>:woman_fairy:</t>
  </si>
  <si>
    <t>🧚‍♀️</t>
  </si>
  <si>
    <t>tiên nữ</t>
  </si>
  <si>
    <t>:woman_fairy_dark_skin_tone:</t>
  </si>
  <si>
    <t>🧚🏿‍♀️</t>
  </si>
  <si>
    <t>tiên nữ màu da sẫm</t>
  </si>
  <si>
    <t>:woman_fairy_light_skin_tone:</t>
  </si>
  <si>
    <t>🧚🏻‍♀️</t>
  </si>
  <si>
    <t>tiên nữ màu da sáng</t>
  </si>
  <si>
    <t>:woman_fairy_medium-dark_skin_tone:</t>
  </si>
  <si>
    <t>🧚🏾‍♀️</t>
  </si>
  <si>
    <t>tiên nữ màu da sẫm vừa</t>
  </si>
  <si>
    <t>:woman_fairy_medium-light_skin_tone:</t>
  </si>
  <si>
    <t>🧚🏼‍♀️</t>
  </si>
  <si>
    <t>tiên nữ màu da sáng vừa</t>
  </si>
  <si>
    <t>:woman_fairy_medium_skin_tone:</t>
  </si>
  <si>
    <t>🧚🏽‍♀️</t>
  </si>
  <si>
    <t>tiên nữ màu da thường</t>
  </si>
  <si>
    <t>:woman_farmer:</t>
  </si>
  <si>
    <t>👩‍🌾</t>
  </si>
  <si>
    <t>nông dân nữ</t>
  </si>
  <si>
    <t>:woman_farmer_dark_skin_tone:</t>
  </si>
  <si>
    <t>👩🏿‍🌾</t>
  </si>
  <si>
    <t>nông dân nữ màu da sẫm</t>
  </si>
  <si>
    <t>:woman_farmer_light_skin_tone:</t>
  </si>
  <si>
    <t>👩🏻‍🌾</t>
  </si>
  <si>
    <t>nông dân nữ màu da sáng</t>
  </si>
  <si>
    <t>:woman_farmer_medium-dark_skin_tone:</t>
  </si>
  <si>
    <t>👩🏾‍🌾</t>
  </si>
  <si>
    <t>nông dân nữ màu da sẫm vừa</t>
  </si>
  <si>
    <t>:woman_farmer_medium-light_skin_tone:</t>
  </si>
  <si>
    <t>👩🏼‍🌾</t>
  </si>
  <si>
    <t>nông dân nữ màu da sáng vừa</t>
  </si>
  <si>
    <t>:woman_farmer_medium_skin_tone:</t>
  </si>
  <si>
    <t>👩🏽‍🌾</t>
  </si>
  <si>
    <t>nông dân nữ màu da thường</t>
  </si>
  <si>
    <t>:woman_feeding_baby:</t>
  </si>
  <si>
    <t>👩‍🍼</t>
  </si>
  <si>
    <t>người phụ nữ cho em bé ăn</t>
  </si>
  <si>
    <t>:woman_feeding_baby_dark_skin_tone:</t>
  </si>
  <si>
    <t>👩🏿‍🍼</t>
  </si>
  <si>
    <t>người phụ nữ màu da sẫm cho em bé ăn</t>
  </si>
  <si>
    <t>:woman_feeding_baby_light_skin_tone:</t>
  </si>
  <si>
    <t>👩🏻‍🍼</t>
  </si>
  <si>
    <t>người phụ nữ màu da sáng cho em bé ăn</t>
  </si>
  <si>
    <t>:woman_feeding_baby_medium-dark_skin_tone:</t>
  </si>
  <si>
    <t>👩🏾‍🍼</t>
  </si>
  <si>
    <t>người phụ nữ màu da sẫm vừa cho em bé ăn</t>
  </si>
  <si>
    <t>:woman_feeding_baby_medium-light_skin_tone:</t>
  </si>
  <si>
    <t>👩🏼‍🍼</t>
  </si>
  <si>
    <t>người phụ nữ màu da sáng vừa cho em bé ăn</t>
  </si>
  <si>
    <t>:woman_feeding_baby_medium_skin_tone:</t>
  </si>
  <si>
    <t>👩🏽‍🍼</t>
  </si>
  <si>
    <t>người phụ nữ màu da thường cho em bé ăn</t>
  </si>
  <si>
    <t>:woman_firefighter:</t>
  </si>
  <si>
    <t>👩‍🚒</t>
  </si>
  <si>
    <t>lính cứu hoả nữ</t>
  </si>
  <si>
    <t>:woman_firefighter_dark_skin_tone:</t>
  </si>
  <si>
    <t>👩🏿‍🚒</t>
  </si>
  <si>
    <t>lính cứu hoả nữ màu da sẫm</t>
  </si>
  <si>
    <t>:woman_firefighter_light_skin_tone:</t>
  </si>
  <si>
    <t>👩🏻‍🚒</t>
  </si>
  <si>
    <t>lính cứu hoả nữ màu da sáng</t>
  </si>
  <si>
    <t>:woman_firefighter_medium-dark_skin_tone:</t>
  </si>
  <si>
    <t>👩🏾‍🚒</t>
  </si>
  <si>
    <t>lính cứu hoả nữ màu da sẫm vừa</t>
  </si>
  <si>
    <t>:woman_firefighter_medium-light_skin_tone:</t>
  </si>
  <si>
    <t>👩🏼‍🚒</t>
  </si>
  <si>
    <t>lính cứu hoả nữ màu da sáng vừa</t>
  </si>
  <si>
    <t>:woman_firefighter_medium_skin_tone:</t>
  </si>
  <si>
    <t>👩🏽‍🚒</t>
  </si>
  <si>
    <t>lính cứu hoả nữ màu da thường</t>
  </si>
  <si>
    <t>:woman_frowning:</t>
  </si>
  <si>
    <t>🙍‍♀️</t>
  </si>
  <si>
    <t>:woman_frowning_dark_skin_tone:</t>
  </si>
  <si>
    <t>🙍🏿‍♀️</t>
  </si>
  <si>
    <t>người phụ nữ cau mày màu da sẫm</t>
  </si>
  <si>
    <t>:woman_frowning_light_skin_tone:</t>
  </si>
  <si>
    <t>🙍🏻‍♀️</t>
  </si>
  <si>
    <t>người phụ nữ cau mày màu da sáng</t>
  </si>
  <si>
    <t>:woman_frowning_medium-dark_skin_tone:</t>
  </si>
  <si>
    <t>🙍🏾‍♀️</t>
  </si>
  <si>
    <t>người phụ nữ cau mày màu da sẫm vừa</t>
  </si>
  <si>
    <t>:woman_frowning_medium-light_skin_tone:</t>
  </si>
  <si>
    <t>🙍🏼‍♀️</t>
  </si>
  <si>
    <t>người phụ nữ cau mày màu da sáng vừa</t>
  </si>
  <si>
    <t>:woman_frowning_medium_skin_tone:</t>
  </si>
  <si>
    <t>🙍🏽‍♀️</t>
  </si>
  <si>
    <t>người phụ nữ cau mày màu da thường</t>
  </si>
  <si>
    <t>:woman_genie:</t>
  </si>
  <si>
    <t>🧞‍♀️</t>
  </si>
  <si>
    <t>thần đèn nữ</t>
  </si>
  <si>
    <t>:woman_gesturing_NO:</t>
  </si>
  <si>
    <t>🙅‍♀️</t>
  </si>
  <si>
    <t>người phụ nữ làm cử chỉ không</t>
  </si>
  <si>
    <t>:woman_gesturing_NO_dark_skin_tone:</t>
  </si>
  <si>
    <t>🙅🏿‍♀️</t>
  </si>
  <si>
    <t>người phụ nữ màu da sẫm làm cử chỉ không</t>
  </si>
  <si>
    <t>:woman_gesturing_NO_light_skin_tone:</t>
  </si>
  <si>
    <t>🙅🏻‍♀️</t>
  </si>
  <si>
    <t>người phụ nữ màu da sáng làm cử chỉ không</t>
  </si>
  <si>
    <t>:woman_gesturing_NO_medium-dark_skin_tone:</t>
  </si>
  <si>
    <t>🙅🏾‍♀️</t>
  </si>
  <si>
    <t>người phụ nữ màu da sẫm vừa làm cử chỉ không</t>
  </si>
  <si>
    <t>:woman_gesturing_NO_medium-light_skin_tone:</t>
  </si>
  <si>
    <t>🙅🏼‍♀️</t>
  </si>
  <si>
    <t>người phụ nữ màu da sáng vừa làm cử chỉ không</t>
  </si>
  <si>
    <t>:woman_gesturing_NO_medium_skin_tone:</t>
  </si>
  <si>
    <t>🙅🏽‍♀️</t>
  </si>
  <si>
    <t>người phụ nữ màu da thường làm cử chỉ không</t>
  </si>
  <si>
    <t>:woman_gesturing_OK:</t>
  </si>
  <si>
    <t>🙆‍♀️</t>
  </si>
  <si>
    <t>người phụ nữ làm cử chỉ ok</t>
  </si>
  <si>
    <t>:woman_gesturing_OK_dark_skin_tone:</t>
  </si>
  <si>
    <t>🙆🏿‍♀️</t>
  </si>
  <si>
    <t>người phụ nữ màu da sẫm làm cử chỉ ok</t>
  </si>
  <si>
    <t>:woman_gesturing_OK_light_skin_tone:</t>
  </si>
  <si>
    <t>🙆🏻‍♀️</t>
  </si>
  <si>
    <t>người phụ nữ màu da sáng làm cử chỉ ok</t>
  </si>
  <si>
    <t>:woman_gesturing_OK_medium-dark_skin_tone:</t>
  </si>
  <si>
    <t>🙆🏾‍♀️</t>
  </si>
  <si>
    <t>người phụ nữ màu da sẫm vừa làm cử chỉ ok</t>
  </si>
  <si>
    <t>:woman_gesturing_OK_medium-light_skin_tone:</t>
  </si>
  <si>
    <t>🙆🏼‍♀️</t>
  </si>
  <si>
    <t>người phụ nữ màu da sáng vừa làm cử chỉ ok</t>
  </si>
  <si>
    <t>:woman_gesturing_OK_medium_skin_tone:</t>
  </si>
  <si>
    <t>🙆🏽‍♀️</t>
  </si>
  <si>
    <t>người phụ nữ màu da thường làm cử chỉ ok</t>
  </si>
  <si>
    <t>:woman_getting_haircut:</t>
  </si>
  <si>
    <t>💇‍♀️</t>
  </si>
  <si>
    <t>người phụ nữ đang được cắt tóc</t>
  </si>
  <si>
    <t>:woman_getting_haircut_dark_skin_tone:</t>
  </si>
  <si>
    <t>💇🏿‍♀️</t>
  </si>
  <si>
    <t>người phụ nữ màu da sẫm đang được cắt tóc</t>
  </si>
  <si>
    <t>:woman_getting_haircut_light_skin_tone:</t>
  </si>
  <si>
    <t>💇🏻‍♀️</t>
  </si>
  <si>
    <t>người phụ nữ màu da sáng đang được cắt tóc</t>
  </si>
  <si>
    <t>:woman_getting_haircut_medium-dark_skin_tone:</t>
  </si>
  <si>
    <t>💇🏾‍♀️</t>
  </si>
  <si>
    <t>người phụ nữ màu da sẫm vừa đang được cắt tóc</t>
  </si>
  <si>
    <t>:woman_getting_haircut_medium-light_skin_tone:</t>
  </si>
  <si>
    <t>💇🏼‍♀️</t>
  </si>
  <si>
    <t>người phụ nữ màu da sáng vừa đang được cắt tóc</t>
  </si>
  <si>
    <t>:woman_getting_haircut_medium_skin_tone:</t>
  </si>
  <si>
    <t>💇🏽‍♀️</t>
  </si>
  <si>
    <t>người phụ nữ màu da thường đang được cắt tóc</t>
  </si>
  <si>
    <t>:woman_getting_massage:</t>
  </si>
  <si>
    <t>💆‍♀️</t>
  </si>
  <si>
    <t>người phụ nữ nhận được tin nhắn</t>
  </si>
  <si>
    <t>:woman_getting_massage_dark_skin_tone:</t>
  </si>
  <si>
    <t>💆🏿‍♀️</t>
  </si>
  <si>
    <t>người phụ nữ màu da sẫm nhận được tin nhắn</t>
  </si>
  <si>
    <t>:woman_getting_massage_light_skin_tone:</t>
  </si>
  <si>
    <t>💆🏻‍♀️</t>
  </si>
  <si>
    <t>người phụ nữ màu da sáng nhận được tin nhắn</t>
  </si>
  <si>
    <t>:woman_getting_massage_medium-dark_skin_tone:</t>
  </si>
  <si>
    <t>💆🏾‍♀️</t>
  </si>
  <si>
    <t>người phụ nữ màu da sẫm vừa nhận được tin nhắn</t>
  </si>
  <si>
    <t>:woman_getting_massage_medium-light_skin_tone:</t>
  </si>
  <si>
    <t>💆🏼‍♀️</t>
  </si>
  <si>
    <t>người phụ nữ màu da sáng vừa nhận được tin nhắn</t>
  </si>
  <si>
    <t>:woman_getting_massage_medium_skin_tone:</t>
  </si>
  <si>
    <t>💆🏽‍♀️</t>
  </si>
  <si>
    <t>người phụ nữ màu da thường nhận được tin nhắn</t>
  </si>
  <si>
    <t>:woman_golfing:</t>
  </si>
  <si>
    <t>🏌️‍♀️</t>
  </si>
  <si>
    <t>người phụ nữ chơi gôn</t>
  </si>
  <si>
    <t>:woman_golfing_dark_skin_tone:</t>
  </si>
  <si>
    <t>🏌🏿‍♀️</t>
  </si>
  <si>
    <t>người phụ nữ màu da sẫm chơi gôn</t>
  </si>
  <si>
    <t>:woman_golfing_light_skin_tone:</t>
  </si>
  <si>
    <t>🏌🏻‍♀️</t>
  </si>
  <si>
    <t>người phụ nữ màu da sáng chơi gôn</t>
  </si>
  <si>
    <t>:woman_golfing_medium-dark_skin_tone:</t>
  </si>
  <si>
    <t>🏌🏾‍♀️</t>
  </si>
  <si>
    <t>người phụ nữ màu da sẫm vừa chơi gôn</t>
  </si>
  <si>
    <t>:woman_golfing_medium-light_skin_tone:</t>
  </si>
  <si>
    <t>🏌🏼‍♀️</t>
  </si>
  <si>
    <t>người phụ nữ màu da sáng vừa chơi gôn</t>
  </si>
  <si>
    <t>:woman_golfing_medium_skin_tone:</t>
  </si>
  <si>
    <t>🏌🏽‍♀️</t>
  </si>
  <si>
    <t>người phụ nữ màu da thường chơi gôn</t>
  </si>
  <si>
    <t>:woman_guard:</t>
  </si>
  <si>
    <t>💂‍♀️</t>
  </si>
  <si>
    <t>bảo vệ nữ</t>
  </si>
  <si>
    <t>:woman_guard_dark_skin_tone:</t>
  </si>
  <si>
    <t>💂🏿‍♀️</t>
  </si>
  <si>
    <t>bảo vệ nữ màu da sẫm</t>
  </si>
  <si>
    <t>:woman_guard_light_skin_tone:</t>
  </si>
  <si>
    <t>💂🏻‍♀️</t>
  </si>
  <si>
    <t>bảo vệ nữ màu da sáng</t>
  </si>
  <si>
    <t>:woman_guard_medium-dark_skin_tone:</t>
  </si>
  <si>
    <t>💂🏾‍♀️</t>
  </si>
  <si>
    <t>bảo vệ nữ màu da sẫm vừa</t>
  </si>
  <si>
    <t>:woman_guard_medium-light_skin_tone:</t>
  </si>
  <si>
    <t>💂🏼‍♀️</t>
  </si>
  <si>
    <t>bảo vệ nữ màu da sáng vừa</t>
  </si>
  <si>
    <t>:woman_guard_medium_skin_tone:</t>
  </si>
  <si>
    <t>💂🏽‍♀️</t>
  </si>
  <si>
    <t>bảo vệ nữ màu da thường</t>
  </si>
  <si>
    <t>:woman_health_worker:</t>
  </si>
  <si>
    <t>👩‍⚕️</t>
  </si>
  <si>
    <t>nhân viên y tế nữ</t>
  </si>
  <si>
    <t>:woman_health_worker_dark_skin_tone:</t>
  </si>
  <si>
    <t>👩🏿‍⚕️</t>
  </si>
  <si>
    <t>nhân viên y tế nữ màu da sẫm</t>
  </si>
  <si>
    <t>:woman_health_worker_light_skin_tone:</t>
  </si>
  <si>
    <t>👩🏻‍⚕️</t>
  </si>
  <si>
    <t>nhân viên y tế nữ màu da sáng</t>
  </si>
  <si>
    <t>:woman_health_worker_medium-dark_skin_tone:</t>
  </si>
  <si>
    <t>👩🏾‍⚕️</t>
  </si>
  <si>
    <t>nhân viên y tế nữ màu da sẫm vừa</t>
  </si>
  <si>
    <t>:woman_health_worker_medium-light_skin_tone:</t>
  </si>
  <si>
    <t>👩🏼‍⚕️</t>
  </si>
  <si>
    <t>nhân viên y tế nữ màu da sáng vừa</t>
  </si>
  <si>
    <t>:woman_health_worker_medium_skin_tone:</t>
  </si>
  <si>
    <t>👩🏽‍⚕️</t>
  </si>
  <si>
    <t>nhân viên y tế nữ màu da thường</t>
  </si>
  <si>
    <t>:woman_in_lotus_position:</t>
  </si>
  <si>
    <t>🧘‍♀️</t>
  </si>
  <si>
    <t>người phụ nữ đang ngồi thiền</t>
  </si>
  <si>
    <t>:woman_in_lotus_position_dark_skin_tone:</t>
  </si>
  <si>
    <t>🧘🏿‍♀️</t>
  </si>
  <si>
    <t>người phụ nữ màu da sẫm đang ngồi thiền</t>
  </si>
  <si>
    <t>:woman_in_lotus_position_light_skin_tone:</t>
  </si>
  <si>
    <t>🧘🏻‍♀️</t>
  </si>
  <si>
    <t>người phụ nữ màu da sáng đang ngồi thiền</t>
  </si>
  <si>
    <t>:woman_in_lotus_position_medium-dark_skin_tone:</t>
  </si>
  <si>
    <t>🧘🏾‍♀️</t>
  </si>
  <si>
    <t>người phụ nữ màu da sẫm vừa đang ngồi thiền</t>
  </si>
  <si>
    <t>:woman_in_lotus_position_medium-light_skin_tone:</t>
  </si>
  <si>
    <t>🧘🏼‍♀️</t>
  </si>
  <si>
    <t>người phụ nữ màu da sáng vừa đang ngồi thiền</t>
  </si>
  <si>
    <t>:woman_in_lotus_position_medium_skin_tone:</t>
  </si>
  <si>
    <t>🧘🏽‍♀️</t>
  </si>
  <si>
    <t>người phụ nữ màu da thường đang ngồi thiền</t>
  </si>
  <si>
    <t>:woman_in_manual_wheelchair:</t>
  </si>
  <si>
    <t>👩‍🦽</t>
  </si>
  <si>
    <t>người phụ nữ lăn xe lăn bằng tay</t>
  </si>
  <si>
    <t>:woman_in_manual_wheelchair_dark_skin_tone:</t>
  </si>
  <si>
    <t>👩🏿‍🦽</t>
  </si>
  <si>
    <t>người phụ nữ màu da sẫm lăn xe lăn bằng tay</t>
  </si>
  <si>
    <t>:woman_in_manual_wheelchair_light_skin_tone:</t>
  </si>
  <si>
    <t>👩🏻‍🦽</t>
  </si>
  <si>
    <t>người phụ nữ màu da sáng lăn xe lăn bằng tay</t>
  </si>
  <si>
    <t>:woman_in_manual_wheelchair_medium-dark_skin_tone:</t>
  </si>
  <si>
    <t>👩🏾‍🦽</t>
  </si>
  <si>
    <t>người phụ nữ màu da sẫm vừa lăn xe lăn bằng tay</t>
  </si>
  <si>
    <t>:woman_in_manual_wheelchair_medium-light_skin_tone:</t>
  </si>
  <si>
    <t>👩🏼‍🦽</t>
  </si>
  <si>
    <t>người phụ nữ màu da sáng vừa lăn xe lăn bằng tay</t>
  </si>
  <si>
    <t>:woman_in_manual_wheelchair_medium_skin_tone:</t>
  </si>
  <si>
    <t>👩🏽‍🦽</t>
  </si>
  <si>
    <t>người phụ nữ màu da thường lăn xe lăn bằng tay</t>
  </si>
  <si>
    <t>:woman_in_motorized_wheelchair:</t>
  </si>
  <si>
    <t>👩‍🦼</t>
  </si>
  <si>
    <t>người phụ nữ trên xe lăn có động cơ</t>
  </si>
  <si>
    <t>:woman_in_motorized_wheelchair_dark_skin_tone:</t>
  </si>
  <si>
    <t>👩🏿‍🦼</t>
  </si>
  <si>
    <t>người phụ nữ trên xe lăn có động cơ màu da sẫm</t>
  </si>
  <si>
    <t>:woman_in_motorized_wheelchair_light_skin_tone:</t>
  </si>
  <si>
    <t>👩🏻‍🦼</t>
  </si>
  <si>
    <t>người phụ nữ trên xe lăn có động cơ màu da sáng</t>
  </si>
  <si>
    <t>:woman_in_motorized_wheelchair_medium-dark_skin_tone:</t>
  </si>
  <si>
    <t>👩🏾‍🦼</t>
  </si>
  <si>
    <t>người phụ nữ trên xe lăn có động cơ màu da sẫm vừa</t>
  </si>
  <si>
    <t>:woman_in_motorized_wheelchair_medium-light_skin_tone:</t>
  </si>
  <si>
    <t>👩🏼‍🦼</t>
  </si>
  <si>
    <t>người phụ nữ trên xe lăn có động cơ màu da sáng vừa</t>
  </si>
  <si>
    <t>:woman_in_motorized_wheelchair_medium_skin_tone:</t>
  </si>
  <si>
    <t>👩🏽‍🦼</t>
  </si>
  <si>
    <t>người phụ nữ trên xe lăn có động cơ màu da thường</t>
  </si>
  <si>
    <t>:woman_in_steamy_room:</t>
  </si>
  <si>
    <t>🧖‍♀️</t>
  </si>
  <si>
    <t>người phụ nữ trong phòng xông hơi</t>
  </si>
  <si>
    <t>:woman_in_steamy_room_dark_skin_tone:</t>
  </si>
  <si>
    <t>🧖🏿‍♀️</t>
  </si>
  <si>
    <t>người phụ nữ màu da sẫm trong phòng xông hơi</t>
  </si>
  <si>
    <t>:woman_in_steamy_room_light_skin_tone:</t>
  </si>
  <si>
    <t>🧖🏻‍♀️</t>
  </si>
  <si>
    <t>người phụ nữ màu da sáng trong phòng xông hơi</t>
  </si>
  <si>
    <t>:woman_in_steamy_room_medium-dark_skin_tone:</t>
  </si>
  <si>
    <t>🧖🏾‍♀️</t>
  </si>
  <si>
    <t>người phụ nữ màu da sẫm vừa trong phòng xông hơi</t>
  </si>
  <si>
    <t>:woman_in_steamy_room_medium-light_skin_tone:</t>
  </si>
  <si>
    <t>🧖🏼‍♀️</t>
  </si>
  <si>
    <t>người phụ nữ màu da sáng vừa trong phòng xông hơi</t>
  </si>
  <si>
    <t>:woman_in_steamy_room_medium_skin_tone:</t>
  </si>
  <si>
    <t>🧖🏽‍♀️</t>
  </si>
  <si>
    <t>người phụ nữ màu da thường trong phòng xông hơi</t>
  </si>
  <si>
    <t>:woman_in_tuxedo:</t>
  </si>
  <si>
    <t>🤵‍♀️</t>
  </si>
  <si>
    <t>người phụ nữ mang áo đuôi tôm</t>
  </si>
  <si>
    <t>:woman_in_tuxedo_dark_skin_tone:</t>
  </si>
  <si>
    <t>🤵🏿‍♀️</t>
  </si>
  <si>
    <t>người phụ nữ màu da sẫm mang áo đuôi tôm</t>
  </si>
  <si>
    <t>:woman_in_tuxedo_light_skin_tone:</t>
  </si>
  <si>
    <t>🤵🏻‍♀️</t>
  </si>
  <si>
    <t>người phụ nữ màu da sáng mang áo đuôi tôm</t>
  </si>
  <si>
    <t>:woman_in_tuxedo_medium-dark_skin_tone:</t>
  </si>
  <si>
    <t>🤵🏾‍♀️</t>
  </si>
  <si>
    <t>người phụ nữ màu da sẫm vừa mang áo đuôi tôm</t>
  </si>
  <si>
    <t>:woman_in_tuxedo_medium-light_skin_tone:</t>
  </si>
  <si>
    <t>🤵🏼‍♀️</t>
  </si>
  <si>
    <t>người phụ nữ màu da sáng vừa mang áo đuôi tôm</t>
  </si>
  <si>
    <t>:woman_in_tuxedo_medium_skin_tone:</t>
  </si>
  <si>
    <t>🤵🏽‍♀️</t>
  </si>
  <si>
    <t>người phụ nữ màu da thường mang áo đuôi tôm</t>
  </si>
  <si>
    <t>:woman_judge:</t>
  </si>
  <si>
    <t>👩‍⚖️</t>
  </si>
  <si>
    <t>thẩm phán nữ</t>
  </si>
  <si>
    <t>:woman_judge_dark_skin_tone:</t>
  </si>
  <si>
    <t>👩🏿‍⚖️</t>
  </si>
  <si>
    <t>thẩm phán nữ màu da sẫm</t>
  </si>
  <si>
    <t>:woman_judge_light_skin_tone:</t>
  </si>
  <si>
    <t>👩🏻‍⚖️</t>
  </si>
  <si>
    <t>thẩm phán nữ màu da sáng</t>
  </si>
  <si>
    <t>:woman_judge_medium-dark_skin_tone:</t>
  </si>
  <si>
    <t>👩🏾‍⚖️</t>
  </si>
  <si>
    <t>thẩm phán nữ màu da sẫm vừa</t>
  </si>
  <si>
    <t>:woman_judge_medium-light_skin_tone:</t>
  </si>
  <si>
    <t>👩🏼‍⚖️</t>
  </si>
  <si>
    <t>thẩm phán nữ màu da sáng vừa</t>
  </si>
  <si>
    <t>:woman_judge_medium_skin_tone:</t>
  </si>
  <si>
    <t>👩🏽‍⚖️</t>
  </si>
  <si>
    <t>thẩm phán nữ màu da thường</t>
  </si>
  <si>
    <t>:woman_juggling:</t>
  </si>
  <si>
    <t>🤹‍♀️</t>
  </si>
  <si>
    <t>người phụ nữ tung hứng</t>
  </si>
  <si>
    <t>:woman_juggling_dark_skin_tone:</t>
  </si>
  <si>
    <t>🤹🏿‍♀️</t>
  </si>
  <si>
    <t>người phụ nữ màu da sẫm tung hứng</t>
  </si>
  <si>
    <t>:woman_juggling_light_skin_tone:</t>
  </si>
  <si>
    <t>🤹🏻‍♀️</t>
  </si>
  <si>
    <t>người phụ nữ màu da sáng tung hứng</t>
  </si>
  <si>
    <t>:woman_juggling_medium-dark_skin_tone:</t>
  </si>
  <si>
    <t>🤹🏾‍♀️</t>
  </si>
  <si>
    <t>người phụ nữ màu da sẫm vừa tung hứng</t>
  </si>
  <si>
    <t>:woman_juggling_medium-light_skin_tone:</t>
  </si>
  <si>
    <t>🤹🏼‍♀️</t>
  </si>
  <si>
    <t>người phụ nữ màu da sáng vừa tung hứng</t>
  </si>
  <si>
    <t>:woman_juggling_medium_skin_tone:</t>
  </si>
  <si>
    <t>🤹🏽‍♀️</t>
  </si>
  <si>
    <t>người phụ nữ màu da thường tung hứng</t>
  </si>
  <si>
    <t>:woman_kneeling:</t>
  </si>
  <si>
    <t>🧎‍♀️</t>
  </si>
  <si>
    <t>người phụ nữ đang quỳ</t>
  </si>
  <si>
    <t>:woman_kneeling_dark_skin_tone:</t>
  </si>
  <si>
    <t>🧎🏿‍♀️</t>
  </si>
  <si>
    <t>người phụ nữ màu da sẫm đang quỳ</t>
  </si>
  <si>
    <t>:woman_kneeling_light_skin_tone:</t>
  </si>
  <si>
    <t>🧎🏻‍♀️</t>
  </si>
  <si>
    <t>người phụ nữ màu da sáng đang quỳ</t>
  </si>
  <si>
    <t>:woman_kneeling_medium-dark_skin_tone:</t>
  </si>
  <si>
    <t>🧎🏾‍♀️</t>
  </si>
  <si>
    <t>người phụ nữ màu da sẫm vừa đang quỳ</t>
  </si>
  <si>
    <t>:woman_kneeling_medium-light_skin_tone:</t>
  </si>
  <si>
    <t>🧎🏼‍♀️</t>
  </si>
  <si>
    <t>người phụ nữ màu da sáng vừa đang quỳ</t>
  </si>
  <si>
    <t>:woman_kneeling_medium_skin_tone:</t>
  </si>
  <si>
    <t>🧎🏽‍♀️</t>
  </si>
  <si>
    <t>người phụ nữ màu da thường đang quỳ</t>
  </si>
  <si>
    <t>:woman_lifting_weights:</t>
  </si>
  <si>
    <t>🏋️‍♀️</t>
  </si>
  <si>
    <t>người phụ nữ nâng tạ</t>
  </si>
  <si>
    <t>:woman_lifting_weights_dark_skin_tone:</t>
  </si>
  <si>
    <t>🏋🏿‍♀️</t>
  </si>
  <si>
    <t>người phụ nữ màu da sẫm nâng tạ</t>
  </si>
  <si>
    <t>:woman_lifting_weights_light_skin_tone:</t>
  </si>
  <si>
    <t>🏋🏻‍♀️</t>
  </si>
  <si>
    <t>người phụ nữ màu da sáng nâng tạ</t>
  </si>
  <si>
    <t>:woman_lifting_weights_medium-dark_skin_tone:</t>
  </si>
  <si>
    <t>🏋🏾‍♀️</t>
  </si>
  <si>
    <t>người phụ nữ màu da sẫm vừa nâng tạ</t>
  </si>
  <si>
    <t>:woman_lifting_weights_medium-light_skin_tone:</t>
  </si>
  <si>
    <t>🏋🏼‍♀️</t>
  </si>
  <si>
    <t>người phụ nữ màu da sáng vừa nâng tạ</t>
  </si>
  <si>
    <t>:woman_lifting_weights_medium_skin_tone:</t>
  </si>
  <si>
    <t>🏋🏽‍♀️</t>
  </si>
  <si>
    <t>người phụ nữ màu da thường nâng tạ</t>
  </si>
  <si>
    <t>:woman_light_skin_tone:</t>
  </si>
  <si>
    <t>👩🏻</t>
  </si>
  <si>
    <t>người phụ nữ da sáng</t>
  </si>
  <si>
    <t>:woman_light_skin_tone_bald:</t>
  </si>
  <si>
    <t>👩🏻‍🦲</t>
  </si>
  <si>
    <t>người phụ nữ hói da sáng</t>
  </si>
  <si>
    <t>:woman_light_skin_tone_beard:</t>
  </si>
  <si>
    <t>🧔🏻‍♀️</t>
  </si>
  <si>
    <t>người phụ nữ có râu da sáng</t>
  </si>
  <si>
    <t>:woman_light_skin_tone_blond_hair:</t>
  </si>
  <si>
    <t>👱🏻‍♀️</t>
  </si>
  <si>
    <t>người phụ nữ tóc vàng da sáng</t>
  </si>
  <si>
    <t>:woman_light_skin_tone_curly_hair:</t>
  </si>
  <si>
    <t>👩🏻‍🦱</t>
  </si>
  <si>
    <t>người phụ nữ tóc xoăn da sáng</t>
  </si>
  <si>
    <t>:woman_light_skin_tone_red_hair:</t>
  </si>
  <si>
    <t>👩🏻‍🦰</t>
  </si>
  <si>
    <t>người phụ nữ tóc đỏ da sáng</t>
  </si>
  <si>
    <t>:woman_light_skin_tone_white_hair:</t>
  </si>
  <si>
    <t>👩🏻‍🦳</t>
  </si>
  <si>
    <t>người phụ nữ tóc trắng da sáng</t>
  </si>
  <si>
    <t>:woman_mage:</t>
  </si>
  <si>
    <t>🧙‍♀️</t>
  </si>
  <si>
    <t>pháp sư nữ</t>
  </si>
  <si>
    <t>:woman_mage_dark_skin_tone:</t>
  </si>
  <si>
    <t>🧙🏿‍♀️</t>
  </si>
  <si>
    <t>pháp sư nữ màu da sẫm</t>
  </si>
  <si>
    <t>:woman_mage_light_skin_tone:</t>
  </si>
  <si>
    <t>🧙🏻‍♀️</t>
  </si>
  <si>
    <t>pháp sư nữ màu da sáng</t>
  </si>
  <si>
    <t>:woman_mage_medium-dark_skin_tone:</t>
  </si>
  <si>
    <t>🧙🏾‍♀️</t>
  </si>
  <si>
    <t>pháp sư nữ màu da sẫm vừa</t>
  </si>
  <si>
    <t>:woman_mage_medium-light_skin_tone:</t>
  </si>
  <si>
    <t>🧙🏼‍♀️</t>
  </si>
  <si>
    <t>pháp sư nữ màu da sáng vừa</t>
  </si>
  <si>
    <t>:woman_mage_medium_skin_tone:</t>
  </si>
  <si>
    <t>🧙🏽‍♀️</t>
  </si>
  <si>
    <t>pháp sư nữ màu da thường</t>
  </si>
  <si>
    <t>:woman_mechanic:</t>
  </si>
  <si>
    <t>👩‍🔧</t>
  </si>
  <si>
    <t>thợ máy nữ</t>
  </si>
  <si>
    <t>:woman_mechanic_dark_skin_tone:</t>
  </si>
  <si>
    <t>👩🏿‍🔧</t>
  </si>
  <si>
    <t>thợ máy nữ màu da sẫm</t>
  </si>
  <si>
    <t>:woman_mechanic_light_skin_tone:</t>
  </si>
  <si>
    <t>👩🏻‍🔧</t>
  </si>
  <si>
    <t>thợ máy nữ màu da sáng</t>
  </si>
  <si>
    <t>:woman_mechanic_medium-dark_skin_tone:</t>
  </si>
  <si>
    <t>👩🏾‍🔧</t>
  </si>
  <si>
    <t>thợ máy nữ màu da sẫm vừa</t>
  </si>
  <si>
    <t>:woman_mechanic_medium-light_skin_tone:</t>
  </si>
  <si>
    <t>👩🏼‍🔧</t>
  </si>
  <si>
    <t>thợ máy nữ màu da sáng vừa</t>
  </si>
  <si>
    <t>:woman_mechanic_medium_skin_tone:</t>
  </si>
  <si>
    <t>👩🏽‍🔧</t>
  </si>
  <si>
    <t>thợ máy nữ màu da thường</t>
  </si>
  <si>
    <t>:woman_medium-dark_skin_tone:</t>
  </si>
  <si>
    <t>👩🏾</t>
  </si>
  <si>
    <t>người phụ nữ da sẫm vừa</t>
  </si>
  <si>
    <t>:woman_medium-dark_skin_tone_bald:</t>
  </si>
  <si>
    <t>👩🏾‍🦲</t>
  </si>
  <si>
    <t>người phụ nữ hói da sẫm vừa</t>
  </si>
  <si>
    <t>:woman_medium-dark_skin_tone_beard:</t>
  </si>
  <si>
    <t>🧔🏾‍♀️</t>
  </si>
  <si>
    <t>người phụ nữ có râu da sẫm vừa</t>
  </si>
  <si>
    <t>:woman_medium-dark_skin_tone_blond_hair:</t>
  </si>
  <si>
    <t>👱🏾‍♀️</t>
  </si>
  <si>
    <t>người phụ nữ tóc vàng da sẫm vừa</t>
  </si>
  <si>
    <t>:woman_medium-dark_skin_tone_curly_hair:</t>
  </si>
  <si>
    <t>👩🏾‍🦱</t>
  </si>
  <si>
    <t>người phụ nữ tóc xoăn da sẫm vừa</t>
  </si>
  <si>
    <t>:woman_medium-dark_skin_tone_red_hair:</t>
  </si>
  <si>
    <t>👩🏾‍🦰</t>
  </si>
  <si>
    <t>người phụ nữ tóc đỏ da sẫm vừa</t>
  </si>
  <si>
    <t>:woman_medium-dark_skin_tone_white_hair:</t>
  </si>
  <si>
    <t>👩🏾‍🦳</t>
  </si>
  <si>
    <t>người phụ nữ tóc trắng da sẫm vừa</t>
  </si>
  <si>
    <t>:woman_medium-light_skin_tone:</t>
  </si>
  <si>
    <t>👩🏼</t>
  </si>
  <si>
    <t>người phụ nữ da sáng vừa</t>
  </si>
  <si>
    <t>:woman_medium-light_skin_tone_bald:</t>
  </si>
  <si>
    <t>👩🏼‍🦲</t>
  </si>
  <si>
    <t>người phụ nữ hói da sáng vừa</t>
  </si>
  <si>
    <t>:woman_medium-light_skin_tone_beard:</t>
  </si>
  <si>
    <t>🧔🏼‍♀️</t>
  </si>
  <si>
    <t>người phụ nữ có râu da sáng vừa</t>
  </si>
  <si>
    <t>:woman_medium-light_skin_tone_blond_hair:</t>
  </si>
  <si>
    <t>👱🏼‍♀️</t>
  </si>
  <si>
    <t>người phụ nữ tóc vàng da sáng vừa</t>
  </si>
  <si>
    <t>:woman_medium-light_skin_tone_curly_hair:</t>
  </si>
  <si>
    <t>👩🏼‍🦱</t>
  </si>
  <si>
    <t>người phụ nữ tóc xoăn da sáng vừa</t>
  </si>
  <si>
    <t>:woman_medium-light_skin_tone_red_hair:</t>
  </si>
  <si>
    <t>👩🏼‍🦰</t>
  </si>
  <si>
    <t>người phụ nữ tóc đỏ da sáng vừa</t>
  </si>
  <si>
    <t>:woman_medium-light_skin_tone_white_hair:</t>
  </si>
  <si>
    <t>👩🏼‍🦳</t>
  </si>
  <si>
    <t>người phụ nữ tóc trắng da sáng vừa</t>
  </si>
  <si>
    <t>:woman_medium_skin_tone:</t>
  </si>
  <si>
    <t>👩🏽</t>
  </si>
  <si>
    <t>người phụ nữ da thường</t>
  </si>
  <si>
    <t>:woman_medium_skin_tone_bald:</t>
  </si>
  <si>
    <t>👩🏽‍🦲</t>
  </si>
  <si>
    <t>người phụ nữ hói da thường</t>
  </si>
  <si>
    <t>:woman_medium_skin_tone_beard:</t>
  </si>
  <si>
    <t>🧔🏽‍♀️</t>
  </si>
  <si>
    <t>người phụ nữ có râu da thường</t>
  </si>
  <si>
    <t>:woman_medium_skin_tone_blond_hair:</t>
  </si>
  <si>
    <t>👱🏽‍♀️</t>
  </si>
  <si>
    <t>người phụ nữ tóc vàng da thường</t>
  </si>
  <si>
    <t>:woman_medium_skin_tone_curly_hair:</t>
  </si>
  <si>
    <t>👩🏽‍🦱</t>
  </si>
  <si>
    <t>người phụ nữ tóc xoăn da thường</t>
  </si>
  <si>
    <t>:woman_medium_skin_tone_red_hair:</t>
  </si>
  <si>
    <t>👩🏽‍🦰</t>
  </si>
  <si>
    <t>người phụ nữ tóc đỏ da thường</t>
  </si>
  <si>
    <t>:woman_medium_skin_tone_white_hair:</t>
  </si>
  <si>
    <t>👩🏽‍🦳</t>
  </si>
  <si>
    <t>người phụ nữ tóc trắng da thường</t>
  </si>
  <si>
    <t>:woman_mountain_biking:</t>
  </si>
  <si>
    <t>🚵‍♀️</t>
  </si>
  <si>
    <t>người phụ nữ đi xe đạp leo núi</t>
  </si>
  <si>
    <t>:woman_mountain_biking_dark_skin_tone:</t>
  </si>
  <si>
    <t>🚵🏿‍♀️</t>
  </si>
  <si>
    <t>người phụ nữ màu da sẫm đi xe đạp leo núi</t>
  </si>
  <si>
    <t>:woman_mountain_biking_light_skin_tone:</t>
  </si>
  <si>
    <t>🚵🏻‍♀️</t>
  </si>
  <si>
    <t>người phụ nữ màu da sáng đi xe đạp leo núi</t>
  </si>
  <si>
    <t>:woman_mountain_biking_medium-dark_skin_tone:</t>
  </si>
  <si>
    <t>🚵🏾‍♀️</t>
  </si>
  <si>
    <t>người phụ nữ màu da sẫm vừa đi xe đạp leo núi</t>
  </si>
  <si>
    <t>:woman_mountain_biking_medium-light_skin_tone:</t>
  </si>
  <si>
    <t>🚵🏼‍♀️</t>
  </si>
  <si>
    <t>người phụ nữ màu da sáng vừa đi xe đạp leo núi</t>
  </si>
  <si>
    <t>:woman_mountain_biking_medium_skin_tone:</t>
  </si>
  <si>
    <t>🚵🏽‍♀️</t>
  </si>
  <si>
    <t>người phụ nữ màu da thường đi xe đạp leo núi</t>
  </si>
  <si>
    <t>:woman_office_worker:</t>
  </si>
  <si>
    <t>👩‍💼</t>
  </si>
  <si>
    <t>nhân viên văn phòng nữ</t>
  </si>
  <si>
    <t>:woman_office_worker_dark_skin_tone:</t>
  </si>
  <si>
    <t>👩🏿‍💼</t>
  </si>
  <si>
    <t>nhân viên văn phòng nữ màu da sẫm</t>
  </si>
  <si>
    <t>:woman_office_worker_light_skin_tone:</t>
  </si>
  <si>
    <t>👩🏻‍💼</t>
  </si>
  <si>
    <t>nhân viên văn phòng nữ màu da sáng</t>
  </si>
  <si>
    <t>:woman_office_worker_medium-dark_skin_tone:</t>
  </si>
  <si>
    <t>👩🏾‍💼</t>
  </si>
  <si>
    <t>nhân viên văn phòng nữ màu da sẫm vừa</t>
  </si>
  <si>
    <t>:woman_office_worker_medium-light_skin_tone:</t>
  </si>
  <si>
    <t>👩🏼‍💼</t>
  </si>
  <si>
    <t>nhân viên văn phòng nữ màu da sáng vừa</t>
  </si>
  <si>
    <t>:woman_office_worker_medium_skin_tone:</t>
  </si>
  <si>
    <t>👩🏽‍💼</t>
  </si>
  <si>
    <t>nhân viên văn phòng nữ màu da thường</t>
  </si>
  <si>
    <t>:woman_pilot:</t>
  </si>
  <si>
    <t>👩‍✈️</t>
  </si>
  <si>
    <t>phi công nữ</t>
  </si>
  <si>
    <t>:woman_pilot_dark_skin_tone:</t>
  </si>
  <si>
    <t>👩🏿‍✈️</t>
  </si>
  <si>
    <t>phi công nữ màu da sẫm</t>
  </si>
  <si>
    <t>:woman_pilot_light_skin_tone:</t>
  </si>
  <si>
    <t>👩🏻‍✈️</t>
  </si>
  <si>
    <t>phi công nữ màu da sáng</t>
  </si>
  <si>
    <t>:woman_pilot_medium-dark_skin_tone:</t>
  </si>
  <si>
    <t>👩🏾‍✈️</t>
  </si>
  <si>
    <t>phi công nữ màu da sẫm vừa</t>
  </si>
  <si>
    <t>:woman_pilot_medium-light_skin_tone:</t>
  </si>
  <si>
    <t>👩🏼‍✈️</t>
  </si>
  <si>
    <t>phi công nữ màu da sáng vừa</t>
  </si>
  <si>
    <t>:woman_pilot_medium_skin_tone:</t>
  </si>
  <si>
    <t>👩🏽‍✈️</t>
  </si>
  <si>
    <t>phi công nữ màu da thường</t>
  </si>
  <si>
    <t>:woman_playing_handball:</t>
  </si>
  <si>
    <t>🤾‍♀️</t>
  </si>
  <si>
    <t>người phụ nữ chơi bóng ném</t>
  </si>
  <si>
    <t>:woman_playing_handball_dark_skin_tone:</t>
  </si>
  <si>
    <t>🤾🏿‍♀️</t>
  </si>
  <si>
    <t>người phụ nữ màu da sẫm chơi bóng ném</t>
  </si>
  <si>
    <t>:woman_playing_handball_light_skin_tone:</t>
  </si>
  <si>
    <t>🤾🏻‍♀️</t>
  </si>
  <si>
    <t>người phụ nữ màu da sáng chơi bóng ném</t>
  </si>
  <si>
    <t>:woman_playing_handball_medium-dark_skin_tone:</t>
  </si>
  <si>
    <t>🤾🏾‍♀️</t>
  </si>
  <si>
    <t>người phụ nữ màu da sẫm vừa chơi bóng ném</t>
  </si>
  <si>
    <t>:woman_playing_handball_medium-light_skin_tone:</t>
  </si>
  <si>
    <t>🤾🏼‍♀️</t>
  </si>
  <si>
    <t>người phụ nữ màu da sáng vừa chơi bóng ném</t>
  </si>
  <si>
    <t>:woman_playing_handball_medium_skin_tone:</t>
  </si>
  <si>
    <t>🤾🏽‍♀️</t>
  </si>
  <si>
    <t>người phụ nữ màu da thường chơi bóng ném</t>
  </si>
  <si>
    <t>:woman_playing_water_polo:</t>
  </si>
  <si>
    <t>🤽‍♀️</t>
  </si>
  <si>
    <t>người phụ nữ chơi bóng nước</t>
  </si>
  <si>
    <t>:woman_playing_water_polo_dark_skin_tone:</t>
  </si>
  <si>
    <t>🤽🏿‍♀️</t>
  </si>
  <si>
    <t>người phụ nữ màu da sẫm chơi bóng nước</t>
  </si>
  <si>
    <t>:woman_playing_water_polo_light_skin_tone:</t>
  </si>
  <si>
    <t>🤽🏻‍♀️</t>
  </si>
  <si>
    <t>người phụ nữ màu da sáng chơi bóng nước</t>
  </si>
  <si>
    <t>:woman_playing_water_polo_medium-dark_skin_tone:</t>
  </si>
  <si>
    <t>🤽🏾‍♀️</t>
  </si>
  <si>
    <t>người phụ nữ màu da sẫm vừa chơi bóng nước</t>
  </si>
  <si>
    <t>:woman_playing_water_polo_medium-light_skin_tone:</t>
  </si>
  <si>
    <t>🤽🏼‍♀️</t>
  </si>
  <si>
    <t>người phụ nữ màu da sáng vừa chơi bóng nước</t>
  </si>
  <si>
    <t>:woman_playing_water_polo_medium_skin_tone:</t>
  </si>
  <si>
    <t>🤽🏽‍♀️</t>
  </si>
  <si>
    <t>người phụ nữ màu da thường chơi bóng nước</t>
  </si>
  <si>
    <t>:woman_police_officer:</t>
  </si>
  <si>
    <t>👮‍♀️</t>
  </si>
  <si>
    <t>nhân viên cảnh sát nữ</t>
  </si>
  <si>
    <t>:woman_police_officer_dark_skin_tone:</t>
  </si>
  <si>
    <t>👮🏿‍♀️</t>
  </si>
  <si>
    <t>nhân viên cảnh sát nữ màu da sẫm</t>
  </si>
  <si>
    <t>:woman_police_officer_light_skin_tone:</t>
  </si>
  <si>
    <t>👮🏻‍♀️</t>
  </si>
  <si>
    <t>nhân viên cảnh sát nữ màu da sáng</t>
  </si>
  <si>
    <t>:woman_police_officer_medium-dark_skin_tone:</t>
  </si>
  <si>
    <t>👮🏾‍♀️</t>
  </si>
  <si>
    <t>nhân viên cảnh sát nữ màu da sẫm vừa</t>
  </si>
  <si>
    <t>:woman_police_officer_medium-light_skin_tone:</t>
  </si>
  <si>
    <t>👮🏼‍♀️</t>
  </si>
  <si>
    <t>nhân viên cảnh sát nữ màu da sáng vừa</t>
  </si>
  <si>
    <t>:woman_police_officer_medium_skin_tone:</t>
  </si>
  <si>
    <t>👮🏽‍♀️</t>
  </si>
  <si>
    <t>nhân viên cảnh sát nữ màu da thường</t>
  </si>
  <si>
    <t>:woman_pouting:</t>
  </si>
  <si>
    <t>🙎‍♀️</t>
  </si>
  <si>
    <t>người phụ nữ bĩu môi</t>
  </si>
  <si>
    <t>:woman_pouting_dark_skin_tone:</t>
  </si>
  <si>
    <t>🙎🏿‍♀️</t>
  </si>
  <si>
    <t>người phụ nữ màu da sẫm bĩu môi</t>
  </si>
  <si>
    <t>:woman_pouting_light_skin_tone:</t>
  </si>
  <si>
    <t>🙎🏻‍♀️</t>
  </si>
  <si>
    <t>người phụ nữ màu da sáng bĩu môi</t>
  </si>
  <si>
    <t>:woman_pouting_medium-dark_skin_tone:</t>
  </si>
  <si>
    <t>🙎🏾‍♀️</t>
  </si>
  <si>
    <t>người phụ nữ màu da sẫm vừa bĩu môi</t>
  </si>
  <si>
    <t>:woman_pouting_medium-light_skin_tone:</t>
  </si>
  <si>
    <t>🙎🏼‍♀️</t>
  </si>
  <si>
    <t>người phụ nữ màu da sáng vừa bĩu môi</t>
  </si>
  <si>
    <t>:woman_pouting_medium_skin_tone:</t>
  </si>
  <si>
    <t>🙎🏽‍♀️</t>
  </si>
  <si>
    <t>người phụ nữ màu da thường bĩu môi</t>
  </si>
  <si>
    <t>:woman_raising_hand:</t>
  </si>
  <si>
    <t>🙋‍♀️</t>
  </si>
  <si>
    <t>người phụ nữ giơ tay</t>
  </si>
  <si>
    <t>:woman_raising_hand_dark_skin_tone:</t>
  </si>
  <si>
    <t>🙋🏿‍♀️</t>
  </si>
  <si>
    <t>người phụ nữ màu da sẫm giơ tay</t>
  </si>
  <si>
    <t>:woman_raising_hand_light_skin_tone:</t>
  </si>
  <si>
    <t>🙋🏻‍♀️</t>
  </si>
  <si>
    <t>người phụ nữ màu da sáng giơ tay</t>
  </si>
  <si>
    <t>:woman_raising_hand_medium-dark_skin_tone:</t>
  </si>
  <si>
    <t>🙋🏾‍♀️</t>
  </si>
  <si>
    <t>người phụ nữ màu da sẫm vừa giơ tay</t>
  </si>
  <si>
    <t>:woman_raising_hand_medium-light_skin_tone:</t>
  </si>
  <si>
    <t>🙋🏼‍♀️</t>
  </si>
  <si>
    <t>người phụ nữ màu da sáng vừa giơ tay</t>
  </si>
  <si>
    <t>:woman_raising_hand_medium_skin_tone:</t>
  </si>
  <si>
    <t>🙋🏽‍♀️</t>
  </si>
  <si>
    <t>người phụ nữ màu da thường giơ tay</t>
  </si>
  <si>
    <t>:woman_red_hair:</t>
  </si>
  <si>
    <t>👩‍🦰</t>
  </si>
  <si>
    <t>:woman_rowing_boat:</t>
  </si>
  <si>
    <t>🚣‍♀️</t>
  </si>
  <si>
    <t>người phụ nữ chèo thuyền</t>
  </si>
  <si>
    <t>:woman_rowing_boat_dark_skin_tone:</t>
  </si>
  <si>
    <t>🚣🏿‍♀️</t>
  </si>
  <si>
    <t>người phụ nữ màu da sẫm chèo thuyền</t>
  </si>
  <si>
    <t>:woman_rowing_boat_light_skin_tone:</t>
  </si>
  <si>
    <t>🚣🏻‍♀️</t>
  </si>
  <si>
    <t>người phụ nữ màu da sáng chèo thuyền</t>
  </si>
  <si>
    <t>:woman_rowing_boat_medium-dark_skin_tone:</t>
  </si>
  <si>
    <t>🚣🏾‍♀️</t>
  </si>
  <si>
    <t>người phụ nữ màu da sẫm vừa chèo thuyền</t>
  </si>
  <si>
    <t>:woman_rowing_boat_medium-light_skin_tone:</t>
  </si>
  <si>
    <t>🚣🏼‍♀️</t>
  </si>
  <si>
    <t>người phụ nữ màu da sáng vừa chèo thuyền</t>
  </si>
  <si>
    <t>:woman_rowing_boat_medium_skin_tone:</t>
  </si>
  <si>
    <t>🚣🏽‍♀️</t>
  </si>
  <si>
    <t>người phụ nữ màu da thường chèo thuyền</t>
  </si>
  <si>
    <t>:woman_running:</t>
  </si>
  <si>
    <t>🏃‍♀️</t>
  </si>
  <si>
    <t>người phụ nữ chạy</t>
  </si>
  <si>
    <t>:woman_running_dark_skin_tone:</t>
  </si>
  <si>
    <t>🏃🏿‍♀️</t>
  </si>
  <si>
    <t>người phụ nữ màu da sẫm chạy</t>
  </si>
  <si>
    <t>:woman_running_light_skin_tone:</t>
  </si>
  <si>
    <t>🏃🏻‍♀️</t>
  </si>
  <si>
    <t>người phụ nữ màu da sáng chạy</t>
  </si>
  <si>
    <t>:woman_running_medium-dark_skin_tone:</t>
  </si>
  <si>
    <t>🏃🏾‍♀️</t>
  </si>
  <si>
    <t>người phụ nữ màu da sẫm vừa chạy</t>
  </si>
  <si>
    <t>:woman_running_medium-light_skin_tone:</t>
  </si>
  <si>
    <t>🏃🏼‍♀️</t>
  </si>
  <si>
    <t>người phụ nữ màu da sáng vừa chạy</t>
  </si>
  <si>
    <t>:woman_running_medium_skin_tone:</t>
  </si>
  <si>
    <t>🏃🏽‍♀️</t>
  </si>
  <si>
    <t>người phụ nữ màu da thường chạy</t>
  </si>
  <si>
    <t>:woman_scientist:</t>
  </si>
  <si>
    <t>👩‍🔬</t>
  </si>
  <si>
    <t>nhà khoa học nữ</t>
  </si>
  <si>
    <t>:woman_scientist_dark_skin_tone:</t>
  </si>
  <si>
    <t>👩🏿‍🔬</t>
  </si>
  <si>
    <t>nhà khoa học nữ màu da sẫm</t>
  </si>
  <si>
    <t>:woman_scientist_light_skin_tone:</t>
  </si>
  <si>
    <t>👩🏻‍🔬</t>
  </si>
  <si>
    <t>nhà khoa học nữ màu da sáng</t>
  </si>
  <si>
    <t>:woman_scientist_medium-dark_skin_tone:</t>
  </si>
  <si>
    <t>👩🏾‍🔬</t>
  </si>
  <si>
    <t>nhà khoa học nữ màu da sẫm vừa</t>
  </si>
  <si>
    <t>:woman_scientist_medium-light_skin_tone:</t>
  </si>
  <si>
    <t>👩🏼‍🔬</t>
  </si>
  <si>
    <t>nhà khoa học nữ màu da sáng vừa</t>
  </si>
  <si>
    <t>:woman_scientist_medium_skin_tone:</t>
  </si>
  <si>
    <t>👩🏽‍🔬</t>
  </si>
  <si>
    <t>nhà khoa học nữ màu da thường</t>
  </si>
  <si>
    <t>:woman_shrugging:</t>
  </si>
  <si>
    <t>🤷‍♀️</t>
  </si>
  <si>
    <t>người phụ nữ nhún vai</t>
  </si>
  <si>
    <t>:woman_shrugging_dark_skin_tone:</t>
  </si>
  <si>
    <t>🤷🏿‍♀️</t>
  </si>
  <si>
    <t>người phụ nữ màu da sẫm nhún vai</t>
  </si>
  <si>
    <t>:woman_shrugging_light_skin_tone:</t>
  </si>
  <si>
    <t>🤷🏻‍♀️</t>
  </si>
  <si>
    <t>người phụ nữ màu da sáng nhún vai</t>
  </si>
  <si>
    <t>:woman_shrugging_medium-dark_skin_tone:</t>
  </si>
  <si>
    <t>🤷🏾‍♀️</t>
  </si>
  <si>
    <t>người phụ nữ màu da sẫm vừa nhún vai</t>
  </si>
  <si>
    <t>:woman_shrugging_medium-light_skin_tone:</t>
  </si>
  <si>
    <t>🤷🏼‍♀️</t>
  </si>
  <si>
    <t>người phụ nữ màu da sáng vừa nhún vai</t>
  </si>
  <si>
    <t>:woman_shrugging_medium_skin_tone:</t>
  </si>
  <si>
    <t>🤷🏽‍♀️</t>
  </si>
  <si>
    <t>người phụ nữ màu da thường nhún vai</t>
  </si>
  <si>
    <t>:woman_singer:</t>
  </si>
  <si>
    <t>👩‍🎤</t>
  </si>
  <si>
    <t>ca sĩ nữ</t>
  </si>
  <si>
    <t>:woman_singer_dark_skin_tone:</t>
  </si>
  <si>
    <t>👩🏿‍🎤</t>
  </si>
  <si>
    <t>ca sĩ nữ màu da sẫm</t>
  </si>
  <si>
    <t>:woman_singer_light_skin_tone:</t>
  </si>
  <si>
    <t>👩🏻‍🎤</t>
  </si>
  <si>
    <t>ca sĩ nữ màu da sáng</t>
  </si>
  <si>
    <t>:woman_singer_medium-dark_skin_tone:</t>
  </si>
  <si>
    <t>👩🏾‍🎤</t>
  </si>
  <si>
    <t>ca sĩ nữ màu da sẫm vừa</t>
  </si>
  <si>
    <t>:woman_singer_medium-light_skin_tone:</t>
  </si>
  <si>
    <t>👩🏼‍🎤</t>
  </si>
  <si>
    <t>ca sĩ nữ màu da sáng vừa</t>
  </si>
  <si>
    <t>:woman_singer_medium_skin_tone:</t>
  </si>
  <si>
    <t>👩🏽‍🎤</t>
  </si>
  <si>
    <t>ca sĩ nữ màu da thường</t>
  </si>
  <si>
    <t>:woman_standing:</t>
  </si>
  <si>
    <t>🧍‍♀️</t>
  </si>
  <si>
    <t>người phụ nữ đứng</t>
  </si>
  <si>
    <t>:woman_standing_dark_skin_tone:</t>
  </si>
  <si>
    <t>🧍🏿‍♀️</t>
  </si>
  <si>
    <t>người phụ nữ màu da sẫm đứng</t>
  </si>
  <si>
    <t>:woman_standing_light_skin_tone:</t>
  </si>
  <si>
    <t>🧍🏻‍♀️</t>
  </si>
  <si>
    <t>người phụ nữ màu da sáng đứng</t>
  </si>
  <si>
    <t>:woman_standing_medium-dark_skin_tone:</t>
  </si>
  <si>
    <t>🧍🏾‍♀️</t>
  </si>
  <si>
    <t>người phụ nữ màu da sẫm vừa đứng</t>
  </si>
  <si>
    <t>:woman_standing_medium-light_skin_tone:</t>
  </si>
  <si>
    <t>🧍🏼‍♀️</t>
  </si>
  <si>
    <t>người phụ nữ màu da sáng vừa đứng</t>
  </si>
  <si>
    <t>:woman_standing_medium_skin_tone:</t>
  </si>
  <si>
    <t>🧍🏽‍♀️</t>
  </si>
  <si>
    <t>người phụ nữ màu da thường đứng</t>
  </si>
  <si>
    <t>:woman_student:</t>
  </si>
  <si>
    <t>👩‍🎓</t>
  </si>
  <si>
    <t>sinh viên nữ</t>
  </si>
  <si>
    <t>:woman_student_dark_skin_tone:</t>
  </si>
  <si>
    <t>👩🏿‍🎓</t>
  </si>
  <si>
    <t>sinh viên nữ màu da sẫm</t>
  </si>
  <si>
    <t>:woman_student_light_skin_tone:</t>
  </si>
  <si>
    <t>👩🏻‍🎓</t>
  </si>
  <si>
    <t>sinh viên nữ màu da sáng</t>
  </si>
  <si>
    <t>:woman_student_medium-dark_skin_tone:</t>
  </si>
  <si>
    <t>👩🏾‍🎓</t>
  </si>
  <si>
    <t>sinh viên nữ màu da sẫm vừa</t>
  </si>
  <si>
    <t>:woman_student_medium-light_skin_tone:</t>
  </si>
  <si>
    <t>👩🏼‍🎓</t>
  </si>
  <si>
    <t>sinh viên nữ màu da sáng vừa</t>
  </si>
  <si>
    <t>:woman_student_medium_skin_tone:</t>
  </si>
  <si>
    <t>👩🏽‍🎓</t>
  </si>
  <si>
    <t>sinh viên nữ màu da thường</t>
  </si>
  <si>
    <t>:woman_superhero:</t>
  </si>
  <si>
    <t>🦸‍♀️</t>
  </si>
  <si>
    <t>siêu anh hùng nữ</t>
  </si>
  <si>
    <t>:woman_superhero_dark_skin_tone:</t>
  </si>
  <si>
    <t>🦸🏿‍♀️</t>
  </si>
  <si>
    <t>siêu anh hùng nữ màu da sẫm</t>
  </si>
  <si>
    <t>:woman_superhero_light_skin_tone:</t>
  </si>
  <si>
    <t>🦸🏻‍♀️</t>
  </si>
  <si>
    <t>siêu anh hùng nữ màu da sáng</t>
  </si>
  <si>
    <t>:woman_superhero_medium-dark_skin_tone:</t>
  </si>
  <si>
    <t>🦸🏾‍♀️</t>
  </si>
  <si>
    <t>siêu anh hùng nữ màu da sẫm vừa</t>
  </si>
  <si>
    <t>:woman_superhero_medium-light_skin_tone:</t>
  </si>
  <si>
    <t>🦸🏼‍♀️</t>
  </si>
  <si>
    <t>siêu anh hùng nữ màu da sáng vừa</t>
  </si>
  <si>
    <t>:woman_superhero_medium_skin_tone:</t>
  </si>
  <si>
    <t>🦸🏽‍♀️</t>
  </si>
  <si>
    <t>siêu anh hùng nữ màu da thường</t>
  </si>
  <si>
    <t>:woman_supervillain:</t>
  </si>
  <si>
    <t>🦹‍♀️</t>
  </si>
  <si>
    <t>siêu ác nhân nữ</t>
  </si>
  <si>
    <t>:woman_supervillain_dark_skin_tone:</t>
  </si>
  <si>
    <t>🦹🏿‍♀️</t>
  </si>
  <si>
    <t>siêu ác nhân nữ màu da sẫm</t>
  </si>
  <si>
    <t>:woman_supervillain_light_skin_tone:</t>
  </si>
  <si>
    <t>🦹🏻‍♀️</t>
  </si>
  <si>
    <t>siêu ác nhân nữ màu da sáng</t>
  </si>
  <si>
    <t>:woman_supervillain_medium-dark_skin_tone:</t>
  </si>
  <si>
    <t>🦹🏾‍♀️</t>
  </si>
  <si>
    <t>siêu ác nhân nữ màu da sẫm vừa</t>
  </si>
  <si>
    <t>:woman_supervillain_medium-light_skin_tone:</t>
  </si>
  <si>
    <t>🦹🏼‍♀️</t>
  </si>
  <si>
    <t>siêu ác nhân nữ màu da sáng vừa</t>
  </si>
  <si>
    <t>:woman_supervillain_medium_skin_tone:</t>
  </si>
  <si>
    <t>🦹🏽‍♀️</t>
  </si>
  <si>
    <t>siêu ác nhân nữ màu da thường</t>
  </si>
  <si>
    <t>:woman_surfing:</t>
  </si>
  <si>
    <t>🏄‍♀️</t>
  </si>
  <si>
    <t>người phụ nữ lướt sóng</t>
  </si>
  <si>
    <t>:woman_surfing_dark_skin_tone:</t>
  </si>
  <si>
    <t>🏄🏿‍♀️</t>
  </si>
  <si>
    <t>người phụ nữ màu da sẫm lướt sóng</t>
  </si>
  <si>
    <t>:woman_surfing_light_skin_tone:</t>
  </si>
  <si>
    <t>🏄🏻‍♀️</t>
  </si>
  <si>
    <t>người phụ nữ màu da sáng lướt sóng</t>
  </si>
  <si>
    <t>:woman_surfing_medium-dark_skin_tone:</t>
  </si>
  <si>
    <t>🏄🏾‍♀️</t>
  </si>
  <si>
    <t>người phụ nữ màu da sẫm vừa lướt sóng</t>
  </si>
  <si>
    <t>:woman_surfing_medium-light_skin_tone:</t>
  </si>
  <si>
    <t>🏄🏼‍♀️</t>
  </si>
  <si>
    <t>người phụ nữ màu da sáng vừa lướt sóng</t>
  </si>
  <si>
    <t>:woman_surfing_medium_skin_tone:</t>
  </si>
  <si>
    <t>🏄🏽‍♀️</t>
  </si>
  <si>
    <t>người phụ nữ màu da thường lướt sóng</t>
  </si>
  <si>
    <t>:woman_swimming:</t>
  </si>
  <si>
    <t>🏊‍♀️</t>
  </si>
  <si>
    <t>người phụ nữ bơi</t>
  </si>
  <si>
    <t>:woman_swimming_dark_skin_tone:</t>
  </si>
  <si>
    <t>🏊🏿‍♀️</t>
  </si>
  <si>
    <t>người phụ nữ màu da sẫm bơi</t>
  </si>
  <si>
    <t>:woman_swimming_light_skin_tone:</t>
  </si>
  <si>
    <t>🏊🏻‍♀️</t>
  </si>
  <si>
    <t>người phụ nữ màu da sáng bơi</t>
  </si>
  <si>
    <t>:woman_swimming_medium-dark_skin_tone:</t>
  </si>
  <si>
    <t>🏊🏾‍♀️</t>
  </si>
  <si>
    <t>người phụ nữ màu da sẫm vừa bơi</t>
  </si>
  <si>
    <t>:woman_swimming_medium-light_skin_tone:</t>
  </si>
  <si>
    <t>🏊🏼‍♀️</t>
  </si>
  <si>
    <t>người phụ nữ màu da sáng vừa bơi</t>
  </si>
  <si>
    <t>:woman_swimming_medium_skin_tone:</t>
  </si>
  <si>
    <t>🏊🏽‍♀️</t>
  </si>
  <si>
    <t>người phụ nữ màu da thường bơi</t>
  </si>
  <si>
    <t>:woman_teacher:</t>
  </si>
  <si>
    <t>👩‍🏫</t>
  </si>
  <si>
    <t>giáo viên nữ</t>
  </si>
  <si>
    <t>:woman_teacher_dark_skin_tone:</t>
  </si>
  <si>
    <t>👩🏿‍🏫</t>
  </si>
  <si>
    <t>giáo viên nữ màu da sẫm</t>
  </si>
  <si>
    <t>:woman_teacher_light_skin_tone:</t>
  </si>
  <si>
    <t>👩🏻‍🏫</t>
  </si>
  <si>
    <t>giáo viên nữ màu da sáng</t>
  </si>
  <si>
    <t>:woman_teacher_medium-dark_skin_tone:</t>
  </si>
  <si>
    <t>👩🏾‍🏫</t>
  </si>
  <si>
    <t>giáo viên nữ màu da sẫm vừa</t>
  </si>
  <si>
    <t>:woman_teacher_medium-light_skin_tone:</t>
  </si>
  <si>
    <t>👩🏼‍🏫</t>
  </si>
  <si>
    <t>giáo viên nữ màu da sáng vừa</t>
  </si>
  <si>
    <t>:woman_teacher_medium_skin_tone:</t>
  </si>
  <si>
    <t>👩🏽‍🏫</t>
  </si>
  <si>
    <t>giáo viên nữ màu da thường</t>
  </si>
  <si>
    <t>:woman_technologist:</t>
  </si>
  <si>
    <t>👩‍💻</t>
  </si>
  <si>
    <t>nhà công nghệ nữ</t>
  </si>
  <si>
    <t>:woman_technologist_dark_skin_tone:</t>
  </si>
  <si>
    <t>👩🏿‍💻</t>
  </si>
  <si>
    <t>nhà công nghệ nữ màu da sẫm</t>
  </si>
  <si>
    <t>:woman_technologist_light_skin_tone:</t>
  </si>
  <si>
    <t>👩🏻‍💻</t>
  </si>
  <si>
    <t>nhà công nghệ nữ màu da sáng</t>
  </si>
  <si>
    <t>:woman_technologist_medium-dark_skin_tone:</t>
  </si>
  <si>
    <t>👩🏾‍💻</t>
  </si>
  <si>
    <t>nhà công nghệ nữ màu da sẫm vừa</t>
  </si>
  <si>
    <t>:woman_technologist_medium-light_skin_tone:</t>
  </si>
  <si>
    <t>👩🏼‍💻</t>
  </si>
  <si>
    <t>nhà công nghệ nữ màu da sáng vừa</t>
  </si>
  <si>
    <t>:woman_technologist_medium_skin_tone:</t>
  </si>
  <si>
    <t>👩🏽‍💻</t>
  </si>
  <si>
    <t>nhà công nghệ nữ màu da thường</t>
  </si>
  <si>
    <t>:woman_tipping_hand:</t>
  </si>
  <si>
    <t>💁‍♀️</t>
  </si>
  <si>
    <t>người phụ nữ sấp bàn tay</t>
  </si>
  <si>
    <t>:woman_tipping_hand_dark_skin_tone:</t>
  </si>
  <si>
    <t>💁🏿‍♀️</t>
  </si>
  <si>
    <t>người phụ nữ màu da sẫm sấp bàn tay</t>
  </si>
  <si>
    <t>:woman_tipping_hand_light_skin_tone:</t>
  </si>
  <si>
    <t>💁🏻‍♀️</t>
  </si>
  <si>
    <t>người phụ nữ màu da sáng sấp bàn tay</t>
  </si>
  <si>
    <t>:woman_tipping_hand_medium-dark_skin_tone:</t>
  </si>
  <si>
    <t>💁🏾‍♀️</t>
  </si>
  <si>
    <t>người phụ nữ màu da sẫm vừa sấp bàn tay</t>
  </si>
  <si>
    <t>:woman_tipping_hand_medium-light_skin_tone:</t>
  </si>
  <si>
    <t>💁🏼‍♀️</t>
  </si>
  <si>
    <t>người phụ nữ màu da sáng vừa sấp bàn tay</t>
  </si>
  <si>
    <t>:woman_tipping_hand_medium_skin_tone:</t>
  </si>
  <si>
    <t>💁🏽‍♀️</t>
  </si>
  <si>
    <t>người phụ nữ màu da thường sấp bàn tay</t>
  </si>
  <si>
    <t>:woman_vampire:</t>
  </si>
  <si>
    <t>🧛‍♀️</t>
  </si>
  <si>
    <t>ma cà rồng nữ</t>
  </si>
  <si>
    <t>:woman_vampire_dark_skin_tone:</t>
  </si>
  <si>
    <t>🧛🏿‍♀️</t>
  </si>
  <si>
    <t>ma cà rồng nữ màu da sẫm</t>
  </si>
  <si>
    <t>:woman_vampire_light_skin_tone:</t>
  </si>
  <si>
    <t>🧛🏻‍♀️</t>
  </si>
  <si>
    <t>ma cà rồng nữ màu da sáng</t>
  </si>
  <si>
    <t>:woman_vampire_medium-dark_skin_tone:</t>
  </si>
  <si>
    <t>🧛🏾‍♀️</t>
  </si>
  <si>
    <t>ma cà rồng nữ màu da sẫm vừa</t>
  </si>
  <si>
    <t>:woman_vampire_medium-light_skin_tone:</t>
  </si>
  <si>
    <t>🧛🏼‍♀️</t>
  </si>
  <si>
    <t>ma cà rồng nữ màu da sáng vừa</t>
  </si>
  <si>
    <t>:woman_vampire_medium_skin_tone:</t>
  </si>
  <si>
    <t>🧛🏽‍♀️</t>
  </si>
  <si>
    <t>ma cà rồng nữ màu da thường</t>
  </si>
  <si>
    <t>:woman_walking:</t>
  </si>
  <si>
    <t>🚶‍♀️</t>
  </si>
  <si>
    <t>người phụ nữ đi bộ</t>
  </si>
  <si>
    <t>:woman_walking_dark_skin_tone:</t>
  </si>
  <si>
    <t>🚶🏿‍♀️</t>
  </si>
  <si>
    <t>người phụ nữ màu da sẫm đi bộ</t>
  </si>
  <si>
    <t>:woman_walking_light_skin_tone:</t>
  </si>
  <si>
    <t>🚶🏻‍♀️</t>
  </si>
  <si>
    <t>người phụ nữ màu da sáng đi bộ</t>
  </si>
  <si>
    <t>:woman_walking_medium-dark_skin_tone:</t>
  </si>
  <si>
    <t>🚶🏾‍♀️</t>
  </si>
  <si>
    <t>người phụ nữ màu da sẫm vừa đi bộ</t>
  </si>
  <si>
    <t>:woman_walking_medium-light_skin_tone:</t>
  </si>
  <si>
    <t>🚶🏼‍♀️</t>
  </si>
  <si>
    <t>người phụ nữ màu da sáng vừa đi bộ</t>
  </si>
  <si>
    <t>:woman_walking_medium_skin_tone:</t>
  </si>
  <si>
    <t>🚶🏽‍♀️</t>
  </si>
  <si>
    <t>người phụ nữ màu da thường đi bộ</t>
  </si>
  <si>
    <t>:woman_wearing_turban:</t>
  </si>
  <si>
    <t>👳‍♀️</t>
  </si>
  <si>
    <t>người phụ nữ đội khăn xếp</t>
  </si>
  <si>
    <t>:woman_wearing_turban_dark_skin_tone:</t>
  </si>
  <si>
    <t>👳🏿‍♀️</t>
  </si>
  <si>
    <t>người phụ nữ màu da sẫm đội khăn xếp</t>
  </si>
  <si>
    <t>:woman_wearing_turban_light_skin_tone:</t>
  </si>
  <si>
    <t>👳🏻‍♀️</t>
  </si>
  <si>
    <t>người phụ nữ màu da sáng đội khăn xếp</t>
  </si>
  <si>
    <t>:woman_wearing_turban_medium-dark_skin_tone:</t>
  </si>
  <si>
    <t>👳🏾‍♀️</t>
  </si>
  <si>
    <t>người phụ nữ màu da sẫm vừa đội khăn xếp</t>
  </si>
  <si>
    <t>:woman_wearing_turban_medium-light_skin_tone:</t>
  </si>
  <si>
    <t>👳🏼‍♀️</t>
  </si>
  <si>
    <t>người phụ nữ màu da sáng vừa đội khăn xếp</t>
  </si>
  <si>
    <t>:woman_wearing_turban_medium_skin_tone:</t>
  </si>
  <si>
    <t>👳🏽‍♀️</t>
  </si>
  <si>
    <t>người phụ nữ màu da thường đội khăn xếp</t>
  </si>
  <si>
    <t>:woman_white_hair:</t>
  </si>
  <si>
    <t>👩‍🦳</t>
  </si>
  <si>
    <t>phụ nữ tóc trắng</t>
  </si>
  <si>
    <t>:woman_with_headscarf:</t>
  </si>
  <si>
    <t>🧕</t>
  </si>
  <si>
    <t>người phụ nữ với khăn trùm đầu</t>
  </si>
  <si>
    <t>:woman_with_headscarf_dark_skin_tone:</t>
  </si>
  <si>
    <t>🧕🏿</t>
  </si>
  <si>
    <t>người phụ nữ màu da sẫm với khăn trùm đầu</t>
  </si>
  <si>
    <t>:woman_with_headscarf_light_skin_tone:</t>
  </si>
  <si>
    <t>🧕🏻</t>
  </si>
  <si>
    <t>người phụ nữ màu da sáng với khăn trùm đầu</t>
  </si>
  <si>
    <t>:woman_with_headscarf_medium-dark_skin_tone:</t>
  </si>
  <si>
    <t>🧕🏾</t>
  </si>
  <si>
    <t>người phụ nữ màu da sẫm vừa với khăn trùm đầu</t>
  </si>
  <si>
    <t>:woman_with_headscarf_medium-light_skin_tone:</t>
  </si>
  <si>
    <t>🧕🏼</t>
  </si>
  <si>
    <t>người phụ nữ màu da sáng vừa với khăn trùm đầu</t>
  </si>
  <si>
    <t>:woman_with_headscarf_medium_skin_tone:</t>
  </si>
  <si>
    <t>🧕🏽</t>
  </si>
  <si>
    <t>người phụ nữ màu da thường với khăn trùm đầu</t>
  </si>
  <si>
    <t>:woman_with_veil:</t>
  </si>
  <si>
    <t>👰‍♀️</t>
  </si>
  <si>
    <t>người phụ nữ với tấm màn che</t>
  </si>
  <si>
    <t>:woman_with_veil_dark_skin_tone:</t>
  </si>
  <si>
    <t>👰🏿‍♀️</t>
  </si>
  <si>
    <t>người phụ nữ màu da sẫm với tấm màn che</t>
  </si>
  <si>
    <t>:woman_with_veil_light_skin_tone:</t>
  </si>
  <si>
    <t>👰🏻‍♀️</t>
  </si>
  <si>
    <t>người phụ nữ màu da sáng với tấm màn che</t>
  </si>
  <si>
    <t>:woman_with_veil_medium-dark_skin_tone:</t>
  </si>
  <si>
    <t>👰🏾‍♀️</t>
  </si>
  <si>
    <t>người phụ nữ màu da sẫm vừa với tấm màn che</t>
  </si>
  <si>
    <t>:woman_with_veil_medium-light_skin_tone:</t>
  </si>
  <si>
    <t>👰🏼‍♀️</t>
  </si>
  <si>
    <t>người phụ nữ màu da sáng vừa với tấm màn che</t>
  </si>
  <si>
    <t>:woman_with_veil_medium_skin_tone:</t>
  </si>
  <si>
    <t>👰🏽‍♀️</t>
  </si>
  <si>
    <t>người phụ nữ màu da thường với tấm màn che</t>
  </si>
  <si>
    <t>:woman_with_white_cane:</t>
  </si>
  <si>
    <t>👩‍🦯</t>
  </si>
  <si>
    <t>người phụ nữ với cây ba toong trắng</t>
  </si>
  <si>
    <t>:woman_with_white_cane_dark_skin_tone:</t>
  </si>
  <si>
    <t>👩🏿‍🦯</t>
  </si>
  <si>
    <t>người phụ nữ màu da sẫm với cây ba toong trắng</t>
  </si>
  <si>
    <t>:woman_with_white_cane_light_skin_tone:</t>
  </si>
  <si>
    <t>👩🏻‍🦯</t>
  </si>
  <si>
    <t>người phụ nữ màu da sáng với cây ba toong trắng</t>
  </si>
  <si>
    <t>:woman_with_white_cane_medium-dark_skin_tone:</t>
  </si>
  <si>
    <t>👩🏾‍🦯</t>
  </si>
  <si>
    <t>người phụ nữ màu da sẫm vừa với cây ba toong trắng</t>
  </si>
  <si>
    <t>:woman_with_white_cane_medium-light_skin_tone:</t>
  </si>
  <si>
    <t>👩🏼‍🦯</t>
  </si>
  <si>
    <t>người phụ nữ màu da sáng vừa với cây ba toong trắng</t>
  </si>
  <si>
    <t>:woman_with_white_cane_medium_skin_tone:</t>
  </si>
  <si>
    <t>👩🏽‍🦯</t>
  </si>
  <si>
    <t>người phụ nữ màu da thường với cây ba toong trắng</t>
  </si>
  <si>
    <t>:woman_zombie:</t>
  </si>
  <si>
    <t>🧟‍♀️</t>
  </si>
  <si>
    <t>thây ma nữ</t>
  </si>
  <si>
    <t>:woman’s_boot:</t>
  </si>
  <si>
    <t>👢</t>
  </si>
  <si>
    <t>giày phụ nữ</t>
  </si>
  <si>
    <t>:woman’s_clothes:</t>
  </si>
  <si>
    <t>👚</t>
  </si>
  <si>
    <t>:woman’s_hat:</t>
  </si>
  <si>
    <t>👒</t>
  </si>
  <si>
    <t>:woman’s_sandal:</t>
  </si>
  <si>
    <t>👡</t>
  </si>
  <si>
    <t>:women_holding_hands:</t>
  </si>
  <si>
    <t>👭</t>
  </si>
  <si>
    <t>phụ nữ nắm tay</t>
  </si>
  <si>
    <t>:women_holding_hands_dark_skin_tone:</t>
  </si>
  <si>
    <t>👭🏿</t>
  </si>
  <si>
    <t>phụ nữ nắm tay màu da sẫm</t>
  </si>
  <si>
    <t>:women_holding_hands_dark_skin_tone_light_skin_tone:</t>
  </si>
  <si>
    <t>👩🏿‍🤝‍👩🏻</t>
  </si>
  <si>
    <t>phụ nữ nắm tay màu da sẫm màu da sáng</t>
  </si>
  <si>
    <t>:women_holding_hands_dark_skin_tone_medium-dark_skin_tone:</t>
  </si>
  <si>
    <t>👩🏿‍🤝‍👩🏾</t>
  </si>
  <si>
    <t>phụ nữ nắm tay màu da sẫm màu da sẫm vừa</t>
  </si>
  <si>
    <t>:women_holding_hands_dark_skin_tone_medium-light_skin_tone:</t>
  </si>
  <si>
    <t>👩🏿‍🤝‍👩🏼</t>
  </si>
  <si>
    <t>phụ nữ nắm tay màu da sẫm màu da sáng vừa</t>
  </si>
  <si>
    <t>:women_holding_hands_dark_skin_tone_medium_skin_tone:</t>
  </si>
  <si>
    <t>👩🏿‍🤝‍👩🏽</t>
  </si>
  <si>
    <t>phụ nữ nắm tay màu da sẫm màu da thường</t>
  </si>
  <si>
    <t>:women_holding_hands_light_skin_tone:</t>
  </si>
  <si>
    <t>👭🏻</t>
  </si>
  <si>
    <t>phụ nữ nắm tay màu da sáng</t>
  </si>
  <si>
    <t>:women_holding_hands_light_skin_tone_dark_skin_tone:</t>
  </si>
  <si>
    <t>👩🏻‍🤝‍👩🏿</t>
  </si>
  <si>
    <t>phụ nữ nắm tay màu da sáng màu da sẫm</t>
  </si>
  <si>
    <t>:women_holding_hands_light_skin_tone_medium-dark_skin_tone:</t>
  </si>
  <si>
    <t>👩🏻‍🤝‍👩🏾</t>
  </si>
  <si>
    <t>phụ nữ nắm tay màu da sáng màu da sẫm vừa</t>
  </si>
  <si>
    <t>:women_holding_hands_light_skin_tone_medium-light_skin_tone:</t>
  </si>
  <si>
    <t>👩🏻‍🤝‍👩🏼</t>
  </si>
  <si>
    <t>phụ nữ nắm tay màu da sáng màu da sáng vừa</t>
  </si>
  <si>
    <t>:women_holding_hands_light_skin_tone_medium_skin_tone:</t>
  </si>
  <si>
    <t>👩🏻‍🤝‍👩🏽</t>
  </si>
  <si>
    <t>phụ nữ nắm tay màu da sáng màu da thường</t>
  </si>
  <si>
    <t>:women_holding_hands_medium-dark_skin_tone:</t>
  </si>
  <si>
    <t>👭🏾</t>
  </si>
  <si>
    <t>phụ nữ nắm tay màu da sẫm vừa</t>
  </si>
  <si>
    <t>:women_holding_hands_medium-dark_skin_tone_dark_skin_tone:</t>
  </si>
  <si>
    <t>👩🏾‍🤝‍👩🏿</t>
  </si>
  <si>
    <t>phụ nữ nắm tay màu da sẫm vừa màu da sẫm</t>
  </si>
  <si>
    <t>:women_holding_hands_medium-dark_skin_tone_light_skin_tone:</t>
  </si>
  <si>
    <t>👩🏾‍🤝‍👩🏻</t>
  </si>
  <si>
    <t>phụ nữ nắm tay màu da sẫm vừa màu da sáng</t>
  </si>
  <si>
    <t>:women_holding_hands_medium-dark_skin_tone_medium-light_skin_tone:</t>
  </si>
  <si>
    <t>👩🏾‍🤝‍👩🏼</t>
  </si>
  <si>
    <t>phụ nữ nắm tay màu da sẫm vừa màu da sáng vừa</t>
  </si>
  <si>
    <t>:women_holding_hands_medium-dark_skin_tone_medium_skin_tone:</t>
  </si>
  <si>
    <t>👩🏾‍🤝‍👩🏽</t>
  </si>
  <si>
    <t>phụ nữ nắm tay màu da sẫm vừa màu da thường</t>
  </si>
  <si>
    <t>:women_holding_hands_medium-light_skin_tone:</t>
  </si>
  <si>
    <t>👭🏼</t>
  </si>
  <si>
    <t>phụ nữ nắm tay màu da sáng vừa</t>
  </si>
  <si>
    <t>:women_holding_hands_medium-light_skin_tone_dark_skin_tone:</t>
  </si>
  <si>
    <t>👩🏼‍🤝‍👩🏿</t>
  </si>
  <si>
    <t>phụ nữ nắm tay màu da sáng vừa màu da sẫm</t>
  </si>
  <si>
    <t>:women_holding_hands_medium-light_skin_tone_light_skin_tone:</t>
  </si>
  <si>
    <t>👩🏼‍🤝‍👩🏻</t>
  </si>
  <si>
    <t>phụ nữ nắm tay màu da sáng vừa màu da sáng</t>
  </si>
  <si>
    <t>:women_holding_hands_medium-light_skin_tone_medium-dark_skin_tone:</t>
  </si>
  <si>
    <t>👩🏼‍🤝‍👩🏾</t>
  </si>
  <si>
    <t>phụ nữ nắm tay màu da sáng vừa màu da sẫm vừa</t>
  </si>
  <si>
    <t>:women_holding_hands_medium-light_skin_tone_medium_skin_tone:</t>
  </si>
  <si>
    <t>👩🏼‍🤝‍👩🏽</t>
  </si>
  <si>
    <t>phụ nữ nắm tay màu da sáng vừa màu da thường</t>
  </si>
  <si>
    <t>:women_holding_hands_medium_skin_tone:</t>
  </si>
  <si>
    <t>👭🏽</t>
  </si>
  <si>
    <t>phụ nữ nắm tay màu da thường</t>
  </si>
  <si>
    <t>:women_holding_hands_medium_skin_tone_dark_skin_tone:</t>
  </si>
  <si>
    <t>👩🏽‍🤝‍👩🏿</t>
  </si>
  <si>
    <t>phụ nữ nắm tay màu da thường màu da sẫm</t>
  </si>
  <si>
    <t>:women_holding_hands_medium_skin_tone_light_skin_tone:</t>
  </si>
  <si>
    <t>👩🏽‍🤝‍👩🏻</t>
  </si>
  <si>
    <t>phụ nữ nắm tay màu da thường màu da sáng</t>
  </si>
  <si>
    <t>:women_holding_hands_medium_skin_tone_medium-dark_skin_tone:</t>
  </si>
  <si>
    <t>👩🏽‍🤝‍👩🏾</t>
  </si>
  <si>
    <t>phụ nữ nắm tay màu da thường màu da sẫm vừa</t>
  </si>
  <si>
    <t>:women_holding_hands_medium_skin_tone_medium-light_skin_tone:</t>
  </si>
  <si>
    <t>👩🏽‍🤝‍👩🏼</t>
  </si>
  <si>
    <t>phụ nữ nắm tay màu da thường màu da sáng vừa</t>
  </si>
  <si>
    <t>:women_with_bunny_ears:</t>
  </si>
  <si>
    <t>👯‍♀️</t>
  </si>
  <si>
    <t>:women_wrestling:</t>
  </si>
  <si>
    <t>🤼‍♀️</t>
  </si>
  <si>
    <t>phụ nữ đấu vật</t>
  </si>
  <si>
    <t>:women’s_room:</t>
  </si>
  <si>
    <t>🚺</t>
  </si>
  <si>
    <t>:wood:</t>
  </si>
  <si>
    <t>🪵</t>
  </si>
  <si>
    <t>:woozy_face:</t>
  </si>
  <si>
    <t>🥴</t>
  </si>
  <si>
    <t>mặt khờ khạo</t>
  </si>
  <si>
    <t>:world_map:</t>
  </si>
  <si>
    <t>🗺</t>
  </si>
  <si>
    <t>:worm:</t>
  </si>
  <si>
    <t>🪱</t>
  </si>
  <si>
    <t>:worried_face:</t>
  </si>
  <si>
    <t>😟</t>
  </si>
  <si>
    <t>:wrapped_gift:</t>
  </si>
  <si>
    <t>🎁</t>
  </si>
  <si>
    <t>:wrench:</t>
  </si>
  <si>
    <t>🔧</t>
  </si>
  <si>
    <t>:writing_hand:</t>
  </si>
  <si>
    <t>✍</t>
  </si>
  <si>
    <t>tay viết</t>
  </si>
  <si>
    <t>:writing_hand_dark_skin_tone:</t>
  </si>
  <si>
    <t>✍🏿</t>
  </si>
  <si>
    <t>tay viết màu da sẫm</t>
  </si>
  <si>
    <t>:writing_hand_light_skin_tone:</t>
  </si>
  <si>
    <t>✍🏻</t>
  </si>
  <si>
    <t>tay viết màu da sáng</t>
  </si>
  <si>
    <t>:writing_hand_medium-dark_skin_tone:</t>
  </si>
  <si>
    <t>✍🏾</t>
  </si>
  <si>
    <t>tay viết màu da sẫm vừa</t>
  </si>
  <si>
    <t>:writing_hand_medium-light_skin_tone:</t>
  </si>
  <si>
    <t>✍🏼</t>
  </si>
  <si>
    <t>tay viết màu da sáng vừa</t>
  </si>
  <si>
    <t>:writing_hand_medium_skin_tone:</t>
  </si>
  <si>
    <t>✍🏽</t>
  </si>
  <si>
    <t>tay viết màu da thường</t>
  </si>
  <si>
    <t>:yarn:</t>
  </si>
  <si>
    <t>🧶</t>
  </si>
  <si>
    <t>sợi</t>
  </si>
  <si>
    <t>:yawning_face:</t>
  </si>
  <si>
    <t>🥱</t>
  </si>
  <si>
    <t>:yellow_circle:</t>
  </si>
  <si>
    <t>🟡</t>
  </si>
  <si>
    <t>:yellow_heart:</t>
  </si>
  <si>
    <t>💛</t>
  </si>
  <si>
    <t>:yellow_square:</t>
  </si>
  <si>
    <t>🟨</t>
  </si>
  <si>
    <t>hình vuông màu vàng</t>
  </si>
  <si>
    <t>:yen_banknote:</t>
  </si>
  <si>
    <t>💴</t>
  </si>
  <si>
    <t>:yin_yang:</t>
  </si>
  <si>
    <t>☯</t>
  </si>
  <si>
    <t>:yo-yo:</t>
  </si>
  <si>
    <t>🪀</t>
  </si>
  <si>
    <t>yoyo</t>
  </si>
  <si>
    <t>:zany_face:</t>
  </si>
  <si>
    <t>🤪</t>
  </si>
  <si>
    <t>mặt khờ dại</t>
  </si>
  <si>
    <t>:zebra:</t>
  </si>
  <si>
    <t>🦓</t>
  </si>
  <si>
    <t>ngựa vằn</t>
  </si>
  <si>
    <t>:zipper-mouth_face:</t>
  </si>
  <si>
    <t>🤐</t>
  </si>
  <si>
    <t>mặt miệng dây kéo</t>
  </si>
  <si>
    <t>:zombie:</t>
  </si>
  <si>
    <t>🧟</t>
  </si>
  <si>
    <t>:zzz:</t>
  </si>
  <si>
    <t>💤</t>
  </si>
  <si>
    <t>zzz</t>
  </si>
  <si>
    <t>:Åland_Islands:</t>
  </si>
  <si>
    <t>🇦🇽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</si>
</sst>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Calibri"/>
    </font>
    <font>
      <sz val="11.0"/>
      <color rgb="FF000000"/>
      <name val="Roboto"/>
    </font>
    <font>
      <sz val="11.0"/>
      <color rgb="FF454545"/>
      <name val="Courie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2" fontId="2" numFmtId="0" xfId="0" applyAlignment="1" applyFill="1" applyFont="1">
      <alignment horizontal="left" shrinkToFit="0" wrapText="1"/>
    </xf>
    <xf borderId="0" fillId="2" fontId="3" numFmtId="0" xfId="0" applyAlignment="1" applyFont="1">
      <alignment horizontal="left"/>
    </xf>
    <xf borderId="0" fillId="2" fontId="2" numFmtId="0" xfId="0" applyAlignment="1" applyFont="1">
      <alignment horizontal="left"/>
    </xf>
    <xf borderId="0" fillId="2" fontId="2" numFmtId="0" xfId="0" applyAlignment="1" applyFont="1">
      <alignment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3.75"/>
    <col customWidth="1" min="2" max="2" width="18.63"/>
    <col customWidth="1" min="3" max="4" width="27.0"/>
    <col customWidth="1" min="5" max="5" width="13.88"/>
    <col customWidth="1" min="6" max="27" width="14.38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ht="15.75" customHeight="1">
      <c r="A2" s="1" t="s">
        <v>5</v>
      </c>
      <c r="B2" s="1" t="s">
        <v>6</v>
      </c>
      <c r="C2" s="2" t="str">
        <f>IFERROR(__xludf.DUMMYFUNCTION("GOOGLETRANSLATE(E2, ""en"",""vi"")"),"Huy chương hạng nhất")</f>
        <v>Huy chương hạng nhất</v>
      </c>
      <c r="D2" s="2" t="str">
        <f t="shared" ref="D2:D5" si="1">LOWER(C2)</f>
        <v>huy chương hạng nhất</v>
      </c>
      <c r="E2" s="3" t="str">
        <f t="shared" ref="E2:E3522" si="2">SUBSTITUTE(SUBSTITUTE(A2,"_"," "),":","")</f>
        <v>1st place medal</v>
      </c>
    </row>
    <row r="3" ht="15.75" customHeight="1">
      <c r="A3" s="1" t="s">
        <v>7</v>
      </c>
      <c r="B3" s="1" t="s">
        <v>8</v>
      </c>
      <c r="C3" s="2" t="s">
        <v>9</v>
      </c>
      <c r="D3" s="2" t="str">
        <f t="shared" si="1"/>
        <v>huy chương vị trí số 2</v>
      </c>
      <c r="E3" s="3" t="str">
        <f t="shared" si="2"/>
        <v>2nd place medal</v>
      </c>
    </row>
    <row r="4" ht="15.75" customHeight="1">
      <c r="A4" s="1" t="s">
        <v>10</v>
      </c>
      <c r="B4" s="1" t="s">
        <v>11</v>
      </c>
      <c r="C4" s="2" t="s">
        <v>9</v>
      </c>
      <c r="D4" s="2" t="str">
        <f t="shared" si="1"/>
        <v>huy chương vị trí số 2</v>
      </c>
      <c r="E4" s="3" t="str">
        <f t="shared" si="2"/>
        <v>3rd place medal</v>
      </c>
    </row>
    <row r="5" ht="15.75" customHeight="1">
      <c r="A5" s="1" t="s">
        <v>12</v>
      </c>
      <c r="B5" s="1" t="s">
        <v>13</v>
      </c>
      <c r="C5" s="2" t="str">
        <f>IFERROR(__xludf.DUMMYFUNCTION("GOOGLETRANSLATE(E5, ""en"",""vi"")"),"Nút AB (nhóm máu)")</f>
        <v>Nút AB (nhóm máu)</v>
      </c>
      <c r="D5" s="2" t="str">
        <f t="shared" si="1"/>
        <v>nút ab (nhóm máu)</v>
      </c>
      <c r="E5" s="3" t="str">
        <f t="shared" si="2"/>
        <v>AB button (blood type)</v>
      </c>
    </row>
    <row r="6" ht="15.75" customHeight="1">
      <c r="A6" s="1" t="s">
        <v>14</v>
      </c>
      <c r="B6" s="1" t="s">
        <v>15</v>
      </c>
      <c r="C6" s="2" t="str">
        <f>IFERROR(__xludf.DUMMYFUNCTION("GOOGLETRANSLATE(E6, ""en"",""vi"")"),"Dấu hiệu ATM")</f>
        <v>Dấu hiệu ATM</v>
      </c>
      <c r="D6" s="2" t="s">
        <v>16</v>
      </c>
      <c r="E6" s="3" t="str">
        <f t="shared" si="2"/>
        <v>ATM sign</v>
      </c>
    </row>
    <row r="7" ht="15.75" customHeight="1">
      <c r="A7" s="1" t="s">
        <v>17</v>
      </c>
      <c r="B7" s="1" t="s">
        <v>18</v>
      </c>
      <c r="C7" s="2" t="s">
        <v>19</v>
      </c>
      <c r="D7" s="2" t="str">
        <f>LOWER(C7)</f>
        <v>nút a (nhóm máu)</v>
      </c>
      <c r="E7" s="3" t="str">
        <f t="shared" si="2"/>
        <v>A button (blood type)</v>
      </c>
    </row>
    <row r="8" ht="15.75" customHeight="1">
      <c r="A8" s="1" t="s">
        <v>20</v>
      </c>
      <c r="B8" s="1" t="s">
        <v>21</v>
      </c>
      <c r="C8" s="2" t="str">
        <f>IFERROR(__xludf.DUMMYFUNCTION("GOOGLETRANSLATE(E8, ""en"",""vi"")"),"Afghanistan")</f>
        <v>Afghanistan</v>
      </c>
      <c r="D8" s="2" t="s">
        <v>22</v>
      </c>
      <c r="E8" s="3" t="str">
        <f t="shared" si="2"/>
        <v>Afghanistan</v>
      </c>
    </row>
    <row r="9" ht="15.75" customHeight="1">
      <c r="A9" s="1" t="s">
        <v>23</v>
      </c>
      <c r="B9" s="1" t="s">
        <v>24</v>
      </c>
      <c r="C9" s="2" t="str">
        <f>IFERROR(__xludf.DUMMYFUNCTION("GOOGLETRANSLATE(E9, ""en"",""vi"")"),"Albania")</f>
        <v>Albania</v>
      </c>
      <c r="D9" s="2" t="s">
        <v>25</v>
      </c>
      <c r="E9" s="3" t="str">
        <f t="shared" si="2"/>
        <v>Albania</v>
      </c>
    </row>
    <row r="10" ht="15.75" customHeight="1">
      <c r="A10" s="1" t="s">
        <v>26</v>
      </c>
      <c r="B10" s="1" t="s">
        <v>27</v>
      </c>
      <c r="C10" s="2" t="str">
        <f>IFERROR(__xludf.DUMMYFUNCTION("GOOGLETRANSLATE(E10, ""en"",""vi"")"),"Algérie")</f>
        <v>Algérie</v>
      </c>
      <c r="D10" s="2" t="s">
        <v>28</v>
      </c>
      <c r="E10" s="3" t="str">
        <f t="shared" si="2"/>
        <v>Algeria</v>
      </c>
    </row>
    <row r="11" ht="15.75" customHeight="1">
      <c r="A11" s="1" t="s">
        <v>29</v>
      </c>
      <c r="B11" s="1" t="s">
        <v>30</v>
      </c>
      <c r="C11" s="2" t="str">
        <f>IFERROR(__xludf.DUMMYFUNCTION("GOOGLETRANSLATE(E11, ""en"",""vi"")"),"Samoa thuộc Mỹ")</f>
        <v>Samoa thuộc Mỹ</v>
      </c>
      <c r="D11" s="2" t="str">
        <f t="shared" ref="D11:D12" si="3">LOWER(C11)</f>
        <v>samoa thuộc mỹ</v>
      </c>
      <c r="E11" s="3" t="str">
        <f t="shared" si="2"/>
        <v>American Samoa</v>
      </c>
    </row>
    <row r="12" ht="15.75" customHeight="1">
      <c r="A12" s="1" t="s">
        <v>31</v>
      </c>
      <c r="B12" s="1" t="s">
        <v>32</v>
      </c>
      <c r="C12" s="2" t="str">
        <f>IFERROR(__xludf.DUMMYFUNCTION("GOOGLETRANSLATE(E12, ""en"",""vi"")"),"Andorra")</f>
        <v>Andorra</v>
      </c>
      <c r="D12" s="2" t="str">
        <f t="shared" si="3"/>
        <v>andorra</v>
      </c>
      <c r="E12" s="3" t="str">
        <f t="shared" si="2"/>
        <v>Andorra</v>
      </c>
    </row>
    <row r="13" ht="15.75" customHeight="1">
      <c r="A13" s="1" t="s">
        <v>33</v>
      </c>
      <c r="B13" s="1" t="s">
        <v>34</v>
      </c>
      <c r="C13" s="2" t="str">
        <f>IFERROR(__xludf.DUMMYFUNCTION("GOOGLETRANSLATE(E13, ""en"",""vi"")"),"Angola")</f>
        <v>Angola</v>
      </c>
      <c r="D13" s="2" t="s">
        <v>35</v>
      </c>
      <c r="E13" s="3" t="str">
        <f t="shared" si="2"/>
        <v>Angola</v>
      </c>
    </row>
    <row r="14" ht="15.75" customHeight="1">
      <c r="A14" s="1" t="s">
        <v>36</v>
      </c>
      <c r="B14" s="1" t="s">
        <v>37</v>
      </c>
      <c r="C14" s="2" t="str">
        <f>IFERROR(__xludf.DUMMYFUNCTION("GOOGLETRANSLATE(E14, ""en"",""vi"")"),"Anguilla")</f>
        <v>Anguilla</v>
      </c>
      <c r="D14" s="2" t="s">
        <v>38</v>
      </c>
      <c r="E14" s="3" t="str">
        <f t="shared" si="2"/>
        <v>Anguilla</v>
      </c>
    </row>
    <row r="15" ht="15.75" customHeight="1">
      <c r="A15" s="1" t="s">
        <v>39</v>
      </c>
      <c r="B15" s="1" t="s">
        <v>40</v>
      </c>
      <c r="C15" s="2" t="str">
        <f>IFERROR(__xludf.DUMMYFUNCTION("GOOGLETRANSLATE(E15, ""en"",""vi"")"),"Nam Cực")</f>
        <v>Nam Cực</v>
      </c>
      <c r="D15" s="2" t="str">
        <f t="shared" ref="D15:D17" si="4">LOWER(C15)</f>
        <v>nam cực</v>
      </c>
      <c r="E15" s="3" t="str">
        <f t="shared" si="2"/>
        <v>Antarctica</v>
      </c>
    </row>
    <row r="16" ht="15.75" customHeight="1">
      <c r="A16" s="1" t="s">
        <v>41</v>
      </c>
      <c r="B16" s="1" t="s">
        <v>42</v>
      </c>
      <c r="C16" s="2" t="s">
        <v>43</v>
      </c>
      <c r="D16" s="2" t="str">
        <f t="shared" si="4"/>
        <v>antigua và barbuda</v>
      </c>
      <c r="E16" s="3" t="str">
        <f t="shared" si="2"/>
        <v>Antigua &amp; Barbuda</v>
      </c>
    </row>
    <row r="17" ht="15.75" customHeight="1">
      <c r="A17" s="1" t="s">
        <v>44</v>
      </c>
      <c r="B17" s="1" t="s">
        <v>45</v>
      </c>
      <c r="C17" s="2" t="str">
        <f>IFERROR(__xludf.DUMMYFUNCTION("GOOGLETRANSLATE(E17, ""en"",""vi"")"),"Bảo Bình")</f>
        <v>Bảo Bình</v>
      </c>
      <c r="D17" s="2" t="str">
        <f t="shared" si="4"/>
        <v>bảo bình</v>
      </c>
      <c r="E17" s="3" t="str">
        <f t="shared" si="2"/>
        <v>Aquarius</v>
      </c>
    </row>
    <row r="18" ht="15.75" customHeight="1">
      <c r="A18" s="1" t="s">
        <v>46</v>
      </c>
      <c r="B18" s="1" t="s">
        <v>47</v>
      </c>
      <c r="C18" s="2" t="str">
        <f>IFERROR(__xludf.DUMMYFUNCTION("GOOGLETRANSLATE(E18, ""en"",""vi"")"),"Argentina")</f>
        <v>Argentina</v>
      </c>
      <c r="D18" s="2" t="s">
        <v>48</v>
      </c>
      <c r="E18" s="3" t="str">
        <f t="shared" si="2"/>
        <v>Argentina</v>
      </c>
    </row>
    <row r="19" ht="15.75" customHeight="1">
      <c r="A19" s="1" t="s">
        <v>49</v>
      </c>
      <c r="B19" s="1" t="s">
        <v>50</v>
      </c>
      <c r="C19" s="2" t="str">
        <f>IFERROR(__xludf.DUMMYFUNCTION("GOOGLETRANSLATE(E19, ""en"",""vi"")"),"Bạch Dương")</f>
        <v>Bạch Dương</v>
      </c>
      <c r="D19" s="2" t="str">
        <f>LOWER(C19)</f>
        <v>bạch dương</v>
      </c>
      <c r="E19" s="3" t="str">
        <f t="shared" si="2"/>
        <v>Aries</v>
      </c>
    </row>
    <row r="20" ht="15.75" customHeight="1">
      <c r="A20" s="1" t="s">
        <v>51</v>
      </c>
      <c r="B20" s="1" t="s">
        <v>52</v>
      </c>
      <c r="C20" s="2" t="str">
        <f>IFERROR(__xludf.DUMMYFUNCTION("GOOGLETRANSLATE(E20, ""en"",""vi"")"),"Armenia")</f>
        <v>Armenia</v>
      </c>
      <c r="D20" s="2" t="s">
        <v>53</v>
      </c>
      <c r="E20" s="3" t="str">
        <f t="shared" si="2"/>
        <v>Armenia</v>
      </c>
    </row>
    <row r="21" ht="15.75" customHeight="1">
      <c r="A21" s="1" t="s">
        <v>54</v>
      </c>
      <c r="B21" s="1" t="s">
        <v>55</v>
      </c>
      <c r="C21" s="2" t="str">
        <f>IFERROR(__xludf.DUMMYFUNCTION("GOOGLETRANSLATE(E21, ""en"",""vi"")"),"Aruba")</f>
        <v>Aruba</v>
      </c>
      <c r="D21" s="2" t="s">
        <v>56</v>
      </c>
      <c r="E21" s="3" t="str">
        <f t="shared" si="2"/>
        <v>Aruba</v>
      </c>
    </row>
    <row r="22" ht="15.75" customHeight="1">
      <c r="A22" s="1" t="s">
        <v>57</v>
      </c>
      <c r="B22" s="1" t="s">
        <v>58</v>
      </c>
      <c r="C22" s="2" t="str">
        <f>IFERROR(__xludf.DUMMYFUNCTION("GOOGLETRANSLATE(E22, ""en"",""vi"")"),"Đảo Ascension")</f>
        <v>Đảo Ascension</v>
      </c>
      <c r="D22" s="2" t="str">
        <f t="shared" ref="D22:D23" si="5">LOWER(C22)</f>
        <v>đảo ascension</v>
      </c>
      <c r="E22" s="3" t="str">
        <f t="shared" si="2"/>
        <v>Ascension Island</v>
      </c>
    </row>
    <row r="23" ht="15.75" customHeight="1">
      <c r="A23" s="1" t="s">
        <v>59</v>
      </c>
      <c r="B23" s="1" t="s">
        <v>60</v>
      </c>
      <c r="C23" s="2" t="s">
        <v>61</v>
      </c>
      <c r="D23" s="2" t="str">
        <f t="shared" si="5"/>
        <v>úc</v>
      </c>
      <c r="E23" s="3" t="str">
        <f t="shared" si="2"/>
        <v>Australia</v>
      </c>
    </row>
    <row r="24" ht="15.75" customHeight="1">
      <c r="A24" s="1" t="s">
        <v>62</v>
      </c>
      <c r="B24" s="1" t="s">
        <v>63</v>
      </c>
      <c r="C24" s="2" t="str">
        <f>IFERROR(__xludf.DUMMYFUNCTION("GOOGLETRANSLATE(E24, ""en"",""vi"")"),"Áo")</f>
        <v>Áo</v>
      </c>
      <c r="D24" s="2" t="s">
        <v>64</v>
      </c>
      <c r="E24" s="3" t="str">
        <f t="shared" si="2"/>
        <v>Austria</v>
      </c>
    </row>
    <row r="25" ht="15.75" customHeight="1">
      <c r="A25" s="1" t="s">
        <v>65</v>
      </c>
      <c r="B25" s="1" t="s">
        <v>66</v>
      </c>
      <c r="C25" s="2" t="str">
        <f>IFERROR(__xludf.DUMMYFUNCTION("GOOGLETRANSLATE(E25, ""en"",""vi"")"),"Azerbaijan")</f>
        <v>Azerbaijan</v>
      </c>
      <c r="D25" s="2" t="s">
        <v>67</v>
      </c>
      <c r="E25" s="3" t="str">
        <f t="shared" si="2"/>
        <v>Azerbaijan</v>
      </c>
    </row>
    <row r="26" ht="15.75" customHeight="1">
      <c r="A26" s="1" t="s">
        <v>68</v>
      </c>
      <c r="B26" s="1" t="s">
        <v>69</v>
      </c>
      <c r="C26" s="2" t="str">
        <f>IFERROR(__xludf.DUMMYFUNCTION("GOOGLETRANSLATE(E26, ""en"",""vi"")"),"Mũi tên TRỞ LẠI")</f>
        <v>Mũi tên TRỞ LẠI</v>
      </c>
      <c r="D26" s="2" t="str">
        <f t="shared" ref="D26:D27" si="6">LOWER(C26)</f>
        <v>mũi tên trở lại</v>
      </c>
      <c r="E26" s="3" t="str">
        <f t="shared" si="2"/>
        <v>BACK arrow</v>
      </c>
    </row>
    <row r="27" ht="15.75" customHeight="1">
      <c r="A27" s="1" t="s">
        <v>70</v>
      </c>
      <c r="B27" s="1" t="s">
        <v>71</v>
      </c>
      <c r="C27" s="2" t="str">
        <f>IFERROR(__xludf.DUMMYFUNCTION("GOOGLETRANSLATE(E27, ""en"",""vi"")"),"Nút B (nhóm máu)")</f>
        <v>Nút B (nhóm máu)</v>
      </c>
      <c r="D27" s="2" t="str">
        <f t="shared" si="6"/>
        <v>nút b (nhóm máu)</v>
      </c>
      <c r="E27" s="3" t="str">
        <f t="shared" si="2"/>
        <v>B button (blood type)</v>
      </c>
    </row>
    <row r="28" ht="15.75" customHeight="1">
      <c r="A28" s="1" t="s">
        <v>72</v>
      </c>
      <c r="B28" s="1" t="s">
        <v>73</v>
      </c>
      <c r="C28" s="2" t="str">
        <f>IFERROR(__xludf.DUMMYFUNCTION("GOOGLETRANSLATE(E28, ""en"",""vi"")"),"Bahama")</f>
        <v>Bahama</v>
      </c>
      <c r="D28" s="2" t="s">
        <v>74</v>
      </c>
      <c r="E28" s="3" t="str">
        <f t="shared" si="2"/>
        <v>Bahamas</v>
      </c>
    </row>
    <row r="29" ht="15.75" customHeight="1">
      <c r="A29" s="1" t="s">
        <v>75</v>
      </c>
      <c r="B29" s="1" t="s">
        <v>76</v>
      </c>
      <c r="C29" s="2" t="str">
        <f>IFERROR(__xludf.DUMMYFUNCTION("GOOGLETRANSLATE(E29, ""en"",""vi"")"),"Ba-ren")</f>
        <v>Ba-ren</v>
      </c>
      <c r="D29" s="2" t="s">
        <v>77</v>
      </c>
      <c r="E29" s="3" t="str">
        <f t="shared" si="2"/>
        <v>Bahrain</v>
      </c>
    </row>
    <row r="30" ht="15.75" customHeight="1">
      <c r="A30" s="1" t="s">
        <v>78</v>
      </c>
      <c r="B30" s="1" t="s">
        <v>79</v>
      </c>
      <c r="C30" s="2" t="str">
        <f>IFERROR(__xludf.DUMMYFUNCTION("GOOGLETRANSLATE(E30, ""en"",""vi"")"),"Băng-la-đét")</f>
        <v>Băng-la-đét</v>
      </c>
      <c r="D30" s="2" t="s">
        <v>80</v>
      </c>
      <c r="E30" s="3" t="str">
        <f t="shared" si="2"/>
        <v>Bangladesh</v>
      </c>
    </row>
    <row r="31" ht="15.75" customHeight="1">
      <c r="A31" s="1" t="s">
        <v>81</v>
      </c>
      <c r="B31" s="1" t="s">
        <v>82</v>
      </c>
      <c r="C31" s="2" t="str">
        <f>IFERROR(__xludf.DUMMYFUNCTION("GOOGLETRANSLATE(E31, ""en"",""vi"")"),"Barbados")</f>
        <v>Barbados</v>
      </c>
      <c r="D31" s="2" t="str">
        <f>LOWER(C31)</f>
        <v>barbados</v>
      </c>
      <c r="E31" s="3" t="str">
        <f t="shared" si="2"/>
        <v>Barbados</v>
      </c>
    </row>
    <row r="32" ht="15.75" customHeight="1">
      <c r="A32" s="1" t="s">
        <v>83</v>
      </c>
      <c r="B32" s="1" t="s">
        <v>84</v>
      </c>
      <c r="C32" s="2" t="str">
        <f>IFERROR(__xludf.DUMMYFUNCTION("GOOGLETRANSLATE(E32, ""en"",""vi"")"),"Bêlarut")</f>
        <v>Bêlarut</v>
      </c>
      <c r="D32" s="2" t="s">
        <v>85</v>
      </c>
      <c r="E32" s="3" t="str">
        <f t="shared" si="2"/>
        <v>Belarus</v>
      </c>
    </row>
    <row r="33" ht="15.75" customHeight="1">
      <c r="A33" s="1" t="s">
        <v>86</v>
      </c>
      <c r="B33" s="1" t="s">
        <v>87</v>
      </c>
      <c r="C33" s="2" t="s">
        <v>88</v>
      </c>
      <c r="D33" s="2" t="str">
        <f>LOWER(C33)</f>
        <v>bỉ</v>
      </c>
      <c r="E33" s="3" t="str">
        <f t="shared" si="2"/>
        <v>Belgium</v>
      </c>
    </row>
    <row r="34" ht="15.75" customHeight="1">
      <c r="A34" s="1" t="s">
        <v>89</v>
      </c>
      <c r="B34" s="1" t="s">
        <v>90</v>
      </c>
      <c r="C34" s="2" t="str">
        <f>IFERROR(__xludf.DUMMYFUNCTION("GOOGLETRANSLATE(E34, ""en"",""vi"")"),"Belize")</f>
        <v>Belize</v>
      </c>
      <c r="D34" s="2" t="s">
        <v>91</v>
      </c>
      <c r="E34" s="3" t="str">
        <f t="shared" si="2"/>
        <v>Belize</v>
      </c>
    </row>
    <row r="35" ht="15.75" customHeight="1">
      <c r="A35" s="1" t="s">
        <v>92</v>
      </c>
      <c r="B35" s="1" t="s">
        <v>93</v>
      </c>
      <c r="C35" s="2" t="str">
        <f>IFERROR(__xludf.DUMMYFUNCTION("GOOGLETRANSLATE(E35, ""en"",""vi"")"),"Bénin")</f>
        <v>Bénin</v>
      </c>
      <c r="D35" s="2" t="s">
        <v>94</v>
      </c>
      <c r="E35" s="3" t="str">
        <f t="shared" si="2"/>
        <v>Benin</v>
      </c>
    </row>
    <row r="36" ht="15.75" customHeight="1">
      <c r="A36" s="1" t="s">
        <v>95</v>
      </c>
      <c r="B36" s="1" t="s">
        <v>96</v>
      </c>
      <c r="C36" s="2" t="str">
        <f>IFERROR(__xludf.DUMMYFUNCTION("GOOGLETRANSLATE(E36, ""en"",""vi"")"),"Bermuda")</f>
        <v>Bermuda</v>
      </c>
      <c r="D36" s="2" t="s">
        <v>97</v>
      </c>
      <c r="E36" s="3" t="str">
        <f t="shared" si="2"/>
        <v>Bermuda</v>
      </c>
    </row>
    <row r="37" ht="15.75" customHeight="1">
      <c r="A37" s="1" t="s">
        <v>98</v>
      </c>
      <c r="B37" s="1" t="s">
        <v>99</v>
      </c>
      <c r="C37" s="2" t="str">
        <f>IFERROR(__xludf.DUMMYFUNCTION("GOOGLETRANSLATE(E37, ""en"",""vi"")"),"Bhutan")</f>
        <v>Bhutan</v>
      </c>
      <c r="D37" s="2" t="s">
        <v>100</v>
      </c>
      <c r="E37" s="3" t="str">
        <f t="shared" si="2"/>
        <v>Bhutan</v>
      </c>
    </row>
    <row r="38" ht="15.75" customHeight="1">
      <c r="A38" s="1" t="s">
        <v>101</v>
      </c>
      <c r="B38" s="1" t="s">
        <v>102</v>
      </c>
      <c r="C38" s="2" t="str">
        <f>IFERROR(__xludf.DUMMYFUNCTION("GOOGLETRANSLATE(E38, ""en"",""vi"")"),"Bôlivia")</f>
        <v>Bôlivia</v>
      </c>
      <c r="D38" s="2" t="s">
        <v>103</v>
      </c>
      <c r="E38" s="3" t="str">
        <f t="shared" si="2"/>
        <v>Bolivia</v>
      </c>
    </row>
    <row r="39" ht="15.75" customHeight="1">
      <c r="A39" s="1" t="s">
        <v>104</v>
      </c>
      <c r="B39" s="1" t="s">
        <v>105</v>
      </c>
      <c r="C39" s="2" t="str">
        <f>IFERROR(__xludf.DUMMYFUNCTION("GOOGLETRANSLATE(E39, ""en"",""vi"")"),"Bosnia và Herzegovina")</f>
        <v>Bosnia và Herzegovina</v>
      </c>
      <c r="D39" s="2" t="s">
        <v>106</v>
      </c>
      <c r="E39" s="3" t="str">
        <f t="shared" si="2"/>
        <v>Bosnia &amp; Herzegovina</v>
      </c>
    </row>
    <row r="40" ht="15.75" customHeight="1">
      <c r="A40" s="1" t="s">
        <v>107</v>
      </c>
      <c r="B40" s="1" t="s">
        <v>108</v>
      </c>
      <c r="C40" s="2" t="str">
        <f>IFERROR(__xludf.DUMMYFUNCTION("GOOGLETRANSLATE(E40, ""en"",""vi"")"),"Botswana")</f>
        <v>Botswana</v>
      </c>
      <c r="D40" s="2" t="s">
        <v>109</v>
      </c>
      <c r="E40" s="3" t="str">
        <f t="shared" si="2"/>
        <v>Botswana</v>
      </c>
    </row>
    <row r="41" ht="15.75" customHeight="1">
      <c r="A41" s="1" t="s">
        <v>110</v>
      </c>
      <c r="B41" s="1" t="s">
        <v>111</v>
      </c>
      <c r="C41" s="2" t="str">
        <f>IFERROR(__xludf.DUMMYFUNCTION("GOOGLETRANSLATE(E41, ""en"",""vi"")"),"Đảo Bouvet")</f>
        <v>Đảo Bouvet</v>
      </c>
      <c r="D41" s="2" t="str">
        <f>LOWER(C41)</f>
        <v>đảo bouvet</v>
      </c>
      <c r="E41" s="3" t="str">
        <f t="shared" si="2"/>
        <v>Bouvet Island</v>
      </c>
    </row>
    <row r="42" ht="15.75" customHeight="1">
      <c r="A42" s="1" t="s">
        <v>112</v>
      </c>
      <c r="B42" s="1" t="s">
        <v>113</v>
      </c>
      <c r="C42" s="2" t="str">
        <f>IFERROR(__xludf.DUMMYFUNCTION("GOOGLETRANSLATE(E42, ""en"",""vi"")"),"Brazil")</f>
        <v>Brazil</v>
      </c>
      <c r="D42" s="2" t="s">
        <v>114</v>
      </c>
      <c r="E42" s="3" t="str">
        <f t="shared" si="2"/>
        <v>Brazil</v>
      </c>
    </row>
    <row r="43" ht="15.75" customHeight="1">
      <c r="A43" s="1" t="s">
        <v>115</v>
      </c>
      <c r="B43" s="1" t="s">
        <v>116</v>
      </c>
      <c r="C43" s="2" t="str">
        <f>IFERROR(__xludf.DUMMYFUNCTION("GOOGLETRANSLATE(E43, ""en"",""vi"")"),"Lãnh thổ Ấn Độ Dương thuộc Anh")</f>
        <v>Lãnh thổ Ấn Độ Dương thuộc Anh</v>
      </c>
      <c r="D43" s="2" t="str">
        <f t="shared" ref="D43:D44" si="7">LOWER(C43)</f>
        <v>lãnh thổ ấn độ dương thuộc anh</v>
      </c>
      <c r="E43" s="3" t="str">
        <f t="shared" si="2"/>
        <v>British Indian Ocean Territory</v>
      </c>
    </row>
    <row r="44" ht="15.75" customHeight="1">
      <c r="A44" s="1" t="s">
        <v>117</v>
      </c>
      <c r="B44" s="1" t="s">
        <v>118</v>
      </c>
      <c r="C44" s="2" t="str">
        <f>IFERROR(__xludf.DUMMYFUNCTION("GOOGLETRANSLATE(E44, ""en"",""vi"")"),"Quần đảo Virgin thuộc Anh")</f>
        <v>Quần đảo Virgin thuộc Anh</v>
      </c>
      <c r="D44" s="2" t="str">
        <f t="shared" si="7"/>
        <v>quần đảo virgin thuộc anh</v>
      </c>
      <c r="E44" s="3" t="str">
        <f t="shared" si="2"/>
        <v>British Virgin Islands</v>
      </c>
    </row>
    <row r="45" ht="15.75" customHeight="1">
      <c r="A45" s="1" t="s">
        <v>119</v>
      </c>
      <c r="B45" s="1" t="s">
        <v>120</v>
      </c>
      <c r="C45" s="2" t="str">
        <f>IFERROR(__xludf.DUMMYFUNCTION("GOOGLETRANSLATE(E45, ""en"",""vi"")"),"Bru-nây")</f>
        <v>Bru-nây</v>
      </c>
      <c r="D45" s="2" t="s">
        <v>121</v>
      </c>
      <c r="E45" s="3" t="str">
        <f t="shared" si="2"/>
        <v>Brunei</v>
      </c>
    </row>
    <row r="46" ht="15.75" customHeight="1">
      <c r="A46" s="1" t="s">
        <v>122</v>
      </c>
      <c r="B46" s="1" t="s">
        <v>123</v>
      </c>
      <c r="C46" s="2" t="str">
        <f>IFERROR(__xludf.DUMMYFUNCTION("GOOGLETRANSLATE(E46, ""en"",""vi"")"),"Bungari")</f>
        <v>Bungari</v>
      </c>
      <c r="D46" s="2" t="s">
        <v>124</v>
      </c>
      <c r="E46" s="3" t="str">
        <f t="shared" si="2"/>
        <v>Bulgaria</v>
      </c>
    </row>
    <row r="47" ht="15.75" customHeight="1">
      <c r="A47" s="1" t="s">
        <v>125</v>
      </c>
      <c r="B47" s="1" t="s">
        <v>126</v>
      </c>
      <c r="C47" s="2" t="str">
        <f>IFERROR(__xludf.DUMMYFUNCTION("GOOGLETRANSLATE(E47, ""en"",""vi"")"),"Burkina Faso")</f>
        <v>Burkina Faso</v>
      </c>
      <c r="D47" s="2" t="s">
        <v>127</v>
      </c>
      <c r="E47" s="3" t="str">
        <f t="shared" si="2"/>
        <v>Burkina Faso</v>
      </c>
    </row>
    <row r="48" ht="15.75" customHeight="1">
      <c r="A48" s="1" t="s">
        <v>128</v>
      </c>
      <c r="B48" s="1" t="s">
        <v>129</v>
      </c>
      <c r="C48" s="2" t="str">
        <f>IFERROR(__xludf.DUMMYFUNCTION("GOOGLETRANSLATE(E48, ""en"",""vi"")"),"Burundi")</f>
        <v>Burundi</v>
      </c>
      <c r="D48" s="2" t="s">
        <v>130</v>
      </c>
      <c r="E48" s="3" t="str">
        <f t="shared" si="2"/>
        <v>Burundi</v>
      </c>
    </row>
    <row r="49" ht="15.75" customHeight="1">
      <c r="A49" s="1" t="s">
        <v>131</v>
      </c>
      <c r="B49" s="1" t="s">
        <v>132</v>
      </c>
      <c r="C49" s="2" t="str">
        <f>IFERROR(__xludf.DUMMYFUNCTION("GOOGLETRANSLATE(E49, ""en"",""vi"")"),"Nút CL")</f>
        <v>Nút CL</v>
      </c>
      <c r="D49" s="2" t="s">
        <v>133</v>
      </c>
      <c r="E49" s="3" t="str">
        <f t="shared" si="2"/>
        <v>CL button</v>
      </c>
    </row>
    <row r="50" ht="15.75" customHeight="1">
      <c r="A50" s="1" t="s">
        <v>134</v>
      </c>
      <c r="B50" s="1" t="s">
        <v>135</v>
      </c>
      <c r="C50" s="2" t="s">
        <v>136</v>
      </c>
      <c r="D50" s="2" t="str">
        <f t="shared" ref="D50:D51" si="8">LOWER(C50)</f>
        <v>nút lạnh</v>
      </c>
      <c r="E50" s="3" t="str">
        <f t="shared" si="2"/>
        <v>COOL button</v>
      </c>
    </row>
    <row r="51" ht="15.75" customHeight="1">
      <c r="A51" s="1" t="s">
        <v>137</v>
      </c>
      <c r="B51" s="1" t="s">
        <v>138</v>
      </c>
      <c r="C51" s="2" t="str">
        <f>IFERROR(__xludf.DUMMYFUNCTION("GOOGLETRANSLATE(E51, ""en"",""vi"")"),"Campuchia")</f>
        <v>Campuchia</v>
      </c>
      <c r="D51" s="2" t="str">
        <f t="shared" si="8"/>
        <v>campuchia</v>
      </c>
      <c r="E51" s="3" t="str">
        <f t="shared" si="2"/>
        <v>Cambodia</v>
      </c>
    </row>
    <row r="52" ht="15.75" customHeight="1">
      <c r="A52" s="1" t="s">
        <v>139</v>
      </c>
      <c r="B52" s="1" t="s">
        <v>140</v>
      </c>
      <c r="C52" s="2" t="str">
        <f>IFERROR(__xludf.DUMMYFUNCTION("GOOGLETRANSLATE(E52, ""en"",""vi"")"),"Camơrun")</f>
        <v>Camơrun</v>
      </c>
      <c r="D52" s="2" t="s">
        <v>141</v>
      </c>
      <c r="E52" s="3" t="str">
        <f t="shared" si="2"/>
        <v>Cameroon</v>
      </c>
    </row>
    <row r="53" ht="15.75" customHeight="1">
      <c r="A53" s="1" t="s">
        <v>142</v>
      </c>
      <c r="B53" s="1" t="s">
        <v>143</v>
      </c>
      <c r="C53" s="2" t="str">
        <f>IFERROR(__xludf.DUMMYFUNCTION("GOOGLETRANSLATE(E53, ""en"",""vi"")"),"Canada")</f>
        <v>Canada</v>
      </c>
      <c r="D53" s="2" t="str">
        <f t="shared" ref="D53:D55" si="9">LOWER(C53)</f>
        <v>canada</v>
      </c>
      <c r="E53" s="3" t="str">
        <f t="shared" si="2"/>
        <v>Canada</v>
      </c>
    </row>
    <row r="54" ht="15.75" customHeight="1">
      <c r="A54" s="1" t="s">
        <v>144</v>
      </c>
      <c r="B54" s="1" t="s">
        <v>145</v>
      </c>
      <c r="C54" s="2" t="str">
        <f>IFERROR(__xludf.DUMMYFUNCTION("GOOGLETRANSLATE(E54, ""en"",""vi"")"),"Quần đảo Canary")</f>
        <v>Quần đảo Canary</v>
      </c>
      <c r="D54" s="2" t="str">
        <f t="shared" si="9"/>
        <v>quần đảo canary</v>
      </c>
      <c r="E54" s="3" t="str">
        <f t="shared" si="2"/>
        <v>Canary Islands</v>
      </c>
    </row>
    <row r="55" ht="15.75" customHeight="1">
      <c r="A55" s="1" t="s">
        <v>146</v>
      </c>
      <c r="B55" s="1" t="s">
        <v>147</v>
      </c>
      <c r="C55" s="2" t="str">
        <f>IFERROR(__xludf.DUMMYFUNCTION("GOOGLETRANSLATE(E55, ""en"",""vi"")"),"Bệnh ung thư")</f>
        <v>Bệnh ung thư</v>
      </c>
      <c r="D55" s="2" t="str">
        <f t="shared" si="9"/>
        <v>bệnh ung thư</v>
      </c>
      <c r="E55" s="3" t="str">
        <f t="shared" si="2"/>
        <v>Cancer</v>
      </c>
    </row>
    <row r="56" ht="15.75" customHeight="1">
      <c r="A56" s="1" t="s">
        <v>148</v>
      </c>
      <c r="B56" s="1" t="s">
        <v>149</v>
      </c>
      <c r="C56" s="2" t="str">
        <f>IFERROR(__xludf.DUMMYFUNCTION("GOOGLETRANSLATE(E56, ""en"",""vi"")"),"Mũi Verde")</f>
        <v>Mũi Verde</v>
      </c>
      <c r="D56" s="2" t="s">
        <v>150</v>
      </c>
      <c r="E56" s="3" t="str">
        <f t="shared" si="2"/>
        <v>Cape Verde</v>
      </c>
    </row>
    <row r="57" ht="15.75" customHeight="1">
      <c r="A57" s="1" t="s">
        <v>151</v>
      </c>
      <c r="B57" s="1" t="s">
        <v>152</v>
      </c>
      <c r="C57" s="2" t="str">
        <f>IFERROR(__xludf.DUMMYFUNCTION("GOOGLETRANSLATE(E57, ""en"",""vi"")"),"Ma Kết")</f>
        <v>Ma Kết</v>
      </c>
      <c r="D57" s="2" t="str">
        <f>LOWER(C57)</f>
        <v>ma kết</v>
      </c>
      <c r="E57" s="3" t="str">
        <f t="shared" si="2"/>
        <v>Capricorn</v>
      </c>
    </row>
    <row r="58" ht="15.75" customHeight="1">
      <c r="A58" s="1" t="s">
        <v>153</v>
      </c>
      <c r="B58" s="1" t="s">
        <v>154</v>
      </c>
      <c r="C58" s="2" t="str">
        <f>IFERROR(__xludf.DUMMYFUNCTION("GOOGLETRANSLATE(E58, ""en"",""vi"")"),"Caribe Hà Lan")</f>
        <v>Caribe Hà Lan</v>
      </c>
      <c r="D58" s="2" t="s">
        <v>155</v>
      </c>
      <c r="E58" s="3" t="str">
        <f t="shared" si="2"/>
        <v>Caribbean Netherlands</v>
      </c>
    </row>
    <row r="59" ht="15.75" customHeight="1">
      <c r="A59" s="1" t="s">
        <v>156</v>
      </c>
      <c r="B59" s="1" t="s">
        <v>157</v>
      </c>
      <c r="C59" s="2" t="str">
        <f>IFERROR(__xludf.DUMMYFUNCTION("GOOGLETRANSLATE(E59, ""en"",""vi"")"),"Quần đảo Cayman")</f>
        <v>Quần đảo Cayman</v>
      </c>
      <c r="D59" s="2" t="str">
        <f t="shared" ref="D59:D60" si="10">LOWER(C59)</f>
        <v>quần đảo cayman</v>
      </c>
      <c r="E59" s="3" t="str">
        <f t="shared" si="2"/>
        <v>Cayman Islands</v>
      </c>
    </row>
    <row r="60" ht="15.75" customHeight="1">
      <c r="A60" s="1" t="s">
        <v>158</v>
      </c>
      <c r="B60" s="1" t="s">
        <v>159</v>
      </c>
      <c r="C60" s="2" t="str">
        <f>IFERROR(__xludf.DUMMYFUNCTION("GOOGLETRANSLATE(E60, ""en"",""vi"")"),"Cộng hòa Trung Phi")</f>
        <v>Cộng hòa Trung Phi</v>
      </c>
      <c r="D60" s="2" t="str">
        <f t="shared" si="10"/>
        <v>cộng hòa trung phi</v>
      </c>
      <c r="E60" s="3" t="str">
        <f t="shared" si="2"/>
        <v>Central African Republic</v>
      </c>
    </row>
    <row r="61" ht="15.75" customHeight="1">
      <c r="A61" s="1" t="s">
        <v>160</v>
      </c>
      <c r="B61" s="1" t="s">
        <v>161</v>
      </c>
      <c r="C61" s="2" t="str">
        <f>IFERROR(__xludf.DUMMYFUNCTION("GOOGLETRANSLATE(E61, ""en"",""vi"")"),"Ceuta và Melilla")</f>
        <v>Ceuta và Melilla</v>
      </c>
      <c r="D61" s="2" t="s">
        <v>162</v>
      </c>
      <c r="E61" s="3" t="str">
        <f t="shared" si="2"/>
        <v>Ceuta &amp; Melilla</v>
      </c>
    </row>
    <row r="62" ht="15.75" customHeight="1">
      <c r="A62" s="1" t="s">
        <v>163</v>
      </c>
      <c r="B62" s="1" t="s">
        <v>164</v>
      </c>
      <c r="C62" s="2" t="s">
        <v>165</v>
      </c>
      <c r="D62" s="2" t="str">
        <f>LOWER(C62)</f>
        <v>chad</v>
      </c>
      <c r="E62" s="3" t="str">
        <f t="shared" si="2"/>
        <v>Chad</v>
      </c>
    </row>
    <row r="63" ht="15.75" customHeight="1">
      <c r="A63" s="1" t="s">
        <v>166</v>
      </c>
      <c r="B63" s="1" t="s">
        <v>167</v>
      </c>
      <c r="C63" s="2" t="str">
        <f>IFERROR(__xludf.DUMMYFUNCTION("GOOGLETRANSLATE(E63, ""en"",""vi"")"),"Chilê")</f>
        <v>Chilê</v>
      </c>
      <c r="D63" s="2" t="s">
        <v>168</v>
      </c>
      <c r="E63" s="3" t="str">
        <f t="shared" si="2"/>
        <v>Chile</v>
      </c>
    </row>
    <row r="64" ht="15.75" customHeight="1">
      <c r="A64" s="1" t="s">
        <v>169</v>
      </c>
      <c r="B64" s="1" t="s">
        <v>170</v>
      </c>
      <c r="C64" s="2" t="str">
        <f>IFERROR(__xludf.DUMMYFUNCTION("GOOGLETRANSLATE(E64, ""en"",""vi"")"),"Trung Quốc")</f>
        <v>Trung Quốc</v>
      </c>
      <c r="D64" s="2" t="str">
        <f>LOWER(C64)</f>
        <v>trung quốc</v>
      </c>
      <c r="E64" s="3" t="str">
        <f t="shared" si="2"/>
        <v>China</v>
      </c>
    </row>
    <row r="65" ht="15.75" customHeight="1">
      <c r="A65" s="1" t="s">
        <v>171</v>
      </c>
      <c r="B65" s="1" t="s">
        <v>172</v>
      </c>
      <c r="C65" s="2" t="str">
        <f>IFERROR(__xludf.DUMMYFUNCTION("GOOGLETRANSLATE(E65, ""en"",""vi"")"),"Đảo Giáng Sinh")</f>
        <v>Đảo Giáng Sinh</v>
      </c>
      <c r="D65" s="2" t="s">
        <v>173</v>
      </c>
      <c r="E65" s="3" t="str">
        <f t="shared" si="2"/>
        <v>Christmas Island</v>
      </c>
    </row>
    <row r="66" ht="15.75" customHeight="1">
      <c r="A66" s="1" t="s">
        <v>174</v>
      </c>
      <c r="B66" s="1" t="s">
        <v>175</v>
      </c>
      <c r="C66" s="2" t="str">
        <f>IFERROR(__xludf.DUMMYFUNCTION("GOOGLETRANSLATE(E66, ""en"",""vi"")"),"Cây thông Noel")</f>
        <v>Cây thông Noel</v>
      </c>
      <c r="D66" s="2" t="str">
        <f t="shared" ref="D66:D68" si="11">LOWER(C66)</f>
        <v>cây thông noel</v>
      </c>
      <c r="E66" s="3" t="str">
        <f t="shared" si="2"/>
        <v>Christmas tree</v>
      </c>
    </row>
    <row r="67" ht="15.75" customHeight="1">
      <c r="A67" s="1" t="s">
        <v>176</v>
      </c>
      <c r="B67" s="1" t="s">
        <v>177</v>
      </c>
      <c r="C67" s="2" t="str">
        <f>IFERROR(__xludf.DUMMYFUNCTION("GOOGLETRANSLATE(E67, ""en"",""vi"")"),"Đảo Clipperton")</f>
        <v>Đảo Clipperton</v>
      </c>
      <c r="D67" s="2" t="str">
        <f t="shared" si="11"/>
        <v>đảo clipperton</v>
      </c>
      <c r="E67" s="3" t="str">
        <f t="shared" si="2"/>
        <v>Clipperton Island</v>
      </c>
    </row>
    <row r="68" ht="15.75" customHeight="1">
      <c r="A68" s="1" t="s">
        <v>178</v>
      </c>
      <c r="B68" s="1" t="s">
        <v>179</v>
      </c>
      <c r="C68" s="2" t="str">
        <f>IFERROR(__xludf.DUMMYFUNCTION("GOOGLETRANSLATE(E68, ""en"",""vi"")"),"Quần đảo Cocos (Keeling)")</f>
        <v>Quần đảo Cocos (Keeling)</v>
      </c>
      <c r="D68" s="2" t="str">
        <f t="shared" si="11"/>
        <v>quần đảo cocos (keeling)</v>
      </c>
      <c r="E68" s="3" t="str">
        <f t="shared" si="2"/>
        <v>Cocos (Keeling) Islands</v>
      </c>
    </row>
    <row r="69" ht="15.75" customHeight="1">
      <c r="A69" s="1" t="s">
        <v>180</v>
      </c>
      <c r="B69" s="1" t="s">
        <v>181</v>
      </c>
      <c r="C69" s="2" t="str">
        <f>IFERROR(__xludf.DUMMYFUNCTION("GOOGLETRANSLATE(E69, ""en"",""vi"")"),"Côlômbia")</f>
        <v>Côlômbia</v>
      </c>
      <c r="D69" s="2" t="s">
        <v>182</v>
      </c>
      <c r="E69" s="3" t="str">
        <f t="shared" si="2"/>
        <v>Colombia</v>
      </c>
    </row>
    <row r="70" ht="15.75" customHeight="1">
      <c r="A70" s="1" t="s">
        <v>183</v>
      </c>
      <c r="B70" s="1" t="s">
        <v>184</v>
      </c>
      <c r="C70" s="2" t="str">
        <f>IFERROR(__xludf.DUMMYFUNCTION("GOOGLETRANSLATE(E70, ""en"",""vi"")"),"Comoros")</f>
        <v>Comoros</v>
      </c>
      <c r="D70" s="2" t="s">
        <v>185</v>
      </c>
      <c r="E70" s="3" t="str">
        <f t="shared" si="2"/>
        <v>Comoros</v>
      </c>
    </row>
    <row r="71" ht="15.75" customHeight="1">
      <c r="A71" s="1" t="s">
        <v>186</v>
      </c>
      <c r="B71" s="1" t="s">
        <v>187</v>
      </c>
      <c r="C71" s="2" t="str">
        <f>IFERROR(__xludf.DUMMYFUNCTION("GOOGLETRANSLATE(E71, ""en"",""vi"")"),"Congo - Brazzaville")</f>
        <v>Congo - Brazzaville</v>
      </c>
      <c r="D71" s="2" t="s">
        <v>188</v>
      </c>
      <c r="E71" s="3" t="str">
        <f t="shared" si="2"/>
        <v>Congo - Brazzaville</v>
      </c>
    </row>
    <row r="72" ht="15.75" customHeight="1">
      <c r="A72" s="1" t="s">
        <v>189</v>
      </c>
      <c r="B72" s="1" t="s">
        <v>190</v>
      </c>
      <c r="C72" s="2" t="str">
        <f>IFERROR(__xludf.DUMMYFUNCTION("GOOGLETRANSLATE(E72, ""en"",""vi"")"),"Congo - Kinshasa")</f>
        <v>Congo - Kinshasa</v>
      </c>
      <c r="D72" s="2" t="s">
        <v>191</v>
      </c>
      <c r="E72" s="3" t="str">
        <f t="shared" si="2"/>
        <v>Congo - Kinshasa</v>
      </c>
    </row>
    <row r="73" ht="15.75" customHeight="1">
      <c r="A73" s="1" t="s">
        <v>192</v>
      </c>
      <c r="B73" s="1" t="s">
        <v>193</v>
      </c>
      <c r="C73" s="2" t="str">
        <f>IFERROR(__xludf.DUMMYFUNCTION("GOOGLETRANSLATE(E73, ""en"",""vi"")"),"Quần đảo Cook")</f>
        <v>Quần đảo Cook</v>
      </c>
      <c r="D73" s="2" t="str">
        <f>LOWER(C73)</f>
        <v>quần đảo cook</v>
      </c>
      <c r="E73" s="3" t="str">
        <f t="shared" si="2"/>
        <v>Cook Islands</v>
      </c>
    </row>
    <row r="74" ht="15.75" customHeight="1">
      <c r="A74" s="1" t="s">
        <v>194</v>
      </c>
      <c r="B74" s="1" t="s">
        <v>195</v>
      </c>
      <c r="C74" s="2" t="str">
        <f>IFERROR(__xludf.DUMMYFUNCTION("GOOGLETRANSLATE(E74, ""en"",""vi"")"),"Costa Rica")</f>
        <v>Costa Rica</v>
      </c>
      <c r="D74" s="2" t="s">
        <v>196</v>
      </c>
      <c r="E74" s="3" t="str">
        <f t="shared" si="2"/>
        <v>Costa Rica</v>
      </c>
    </row>
    <row r="75" ht="15.75" customHeight="1">
      <c r="A75" s="1" t="s">
        <v>197</v>
      </c>
      <c r="B75" s="1" t="s">
        <v>198</v>
      </c>
      <c r="C75" s="2" t="str">
        <f>IFERROR(__xludf.DUMMYFUNCTION("GOOGLETRANSLATE(E75, ""en"",""vi"")"),"Croatia")</f>
        <v>Croatia</v>
      </c>
      <c r="D75" s="2" t="s">
        <v>199</v>
      </c>
      <c r="E75" s="3" t="str">
        <f t="shared" si="2"/>
        <v>Croatia</v>
      </c>
    </row>
    <row r="76" ht="15.75" customHeight="1">
      <c r="A76" s="1" t="s">
        <v>200</v>
      </c>
      <c r="B76" s="1" t="s">
        <v>201</v>
      </c>
      <c r="C76" s="2" t="str">
        <f>IFERROR(__xludf.DUMMYFUNCTION("GOOGLETRANSLATE(E76, ""en"",""vi"")"),"Cu-ba")</f>
        <v>Cu-ba</v>
      </c>
      <c r="D76" s="2" t="s">
        <v>202</v>
      </c>
      <c r="E76" s="3" t="str">
        <f t="shared" si="2"/>
        <v>Cuba</v>
      </c>
    </row>
    <row r="77" ht="15.75" customHeight="1">
      <c r="A77" s="1" t="s">
        <v>203</v>
      </c>
      <c r="B77" s="1" t="s">
        <v>204</v>
      </c>
      <c r="C77" s="2" t="s">
        <v>205</v>
      </c>
      <c r="D77" s="2" t="str">
        <f t="shared" ref="D77:D78" si="12">LOWER(C77)</f>
        <v>curacao</v>
      </c>
      <c r="E77" s="3" t="str">
        <f t="shared" si="2"/>
        <v>Curaçao</v>
      </c>
    </row>
    <row r="78" ht="15.75" customHeight="1">
      <c r="A78" s="1" t="s">
        <v>206</v>
      </c>
      <c r="B78" s="1" t="s">
        <v>207</v>
      </c>
      <c r="C78" s="2" t="str">
        <f>IFERROR(__xludf.DUMMYFUNCTION("GOOGLETRANSLATE(E78, ""en"",""vi"")"),"đảo Síp")</f>
        <v>đảo Síp</v>
      </c>
      <c r="D78" s="2" t="str">
        <f t="shared" si="12"/>
        <v>đảo síp</v>
      </c>
      <c r="E78" s="3" t="str">
        <f t="shared" si="2"/>
        <v>Cyprus</v>
      </c>
    </row>
    <row r="79" ht="15.75" customHeight="1">
      <c r="A79" s="1" t="s">
        <v>208</v>
      </c>
      <c r="B79" s="1" t="s">
        <v>209</v>
      </c>
      <c r="C79" s="2" t="str">
        <f>IFERROR(__xludf.DUMMYFUNCTION("GOOGLETRANSLATE(E79, ""en"",""vi"")"),"Cộng hòa Séc")</f>
        <v>Cộng hòa Séc</v>
      </c>
      <c r="D79" s="2" t="s">
        <v>210</v>
      </c>
      <c r="E79" s="3" t="str">
        <f t="shared" si="2"/>
        <v>Czechia</v>
      </c>
    </row>
    <row r="80" ht="15.75" customHeight="1">
      <c r="A80" s="1" t="s">
        <v>211</v>
      </c>
      <c r="B80" s="1" t="s">
        <v>212</v>
      </c>
      <c r="C80" s="2" t="s">
        <v>213</v>
      </c>
      <c r="D80" s="2" t="str">
        <f t="shared" ref="D80:D81" si="13">LOWER(C80)</f>
        <v>bờ biển ngà</v>
      </c>
      <c r="E80" s="3" t="str">
        <f t="shared" si="2"/>
        <v>Côte d’Ivoire</v>
      </c>
    </row>
    <row r="81" ht="15.75" customHeight="1">
      <c r="A81" s="1" t="s">
        <v>214</v>
      </c>
      <c r="B81" s="1" t="s">
        <v>215</v>
      </c>
      <c r="C81" s="2" t="str">
        <f>IFERROR(__xludf.DUMMYFUNCTION("GOOGLETRANSLATE(E81, ""en"",""vi"")"),"Đan Mạch")</f>
        <v>Đan Mạch</v>
      </c>
      <c r="D81" s="2" t="str">
        <f t="shared" si="13"/>
        <v>đan mạch</v>
      </c>
      <c r="E81" s="3" t="str">
        <f t="shared" si="2"/>
        <v>Denmark</v>
      </c>
    </row>
    <row r="82" ht="15.75" customHeight="1">
      <c r="A82" s="1" t="s">
        <v>216</v>
      </c>
      <c r="B82" s="1" t="s">
        <v>217</v>
      </c>
      <c r="C82" s="2" t="str">
        <f>IFERROR(__xludf.DUMMYFUNCTION("GOOGLETRANSLATE(E82, ""en"",""vi"")"),"Diego Garcia")</f>
        <v>Diego Garcia</v>
      </c>
      <c r="D82" s="2" t="s">
        <v>218</v>
      </c>
      <c r="E82" s="3" t="str">
        <f t="shared" si="2"/>
        <v>Diego Garcia</v>
      </c>
    </row>
    <row r="83" ht="15.75" customHeight="1">
      <c r="A83" s="1" t="s">
        <v>219</v>
      </c>
      <c r="B83" s="1" t="s">
        <v>220</v>
      </c>
      <c r="C83" s="2" t="str">
        <f>IFERROR(__xludf.DUMMYFUNCTION("GOOGLETRANSLATE(E83, ""en"",""vi"")"),"Djibouti")</f>
        <v>Djibouti</v>
      </c>
      <c r="D83" s="2" t="s">
        <v>221</v>
      </c>
      <c r="E83" s="3" t="str">
        <f t="shared" si="2"/>
        <v>Djibouti</v>
      </c>
    </row>
    <row r="84" ht="15.75" customHeight="1">
      <c r="A84" s="1" t="s">
        <v>222</v>
      </c>
      <c r="B84" s="1" t="s">
        <v>223</v>
      </c>
      <c r="C84" s="2" t="str">
        <f>IFERROR(__xludf.DUMMYFUNCTION("GOOGLETRANSLATE(E84, ""en"",""vi"")"),"Dominica")</f>
        <v>Dominica</v>
      </c>
      <c r="D84" s="2" t="s">
        <v>224</v>
      </c>
      <c r="E84" s="3" t="str">
        <f t="shared" si="2"/>
        <v>Dominica</v>
      </c>
    </row>
    <row r="85" ht="15.75" customHeight="1">
      <c r="A85" s="1" t="s">
        <v>225</v>
      </c>
      <c r="B85" s="1" t="s">
        <v>226</v>
      </c>
      <c r="C85" s="2" t="str">
        <f>IFERROR(__xludf.DUMMYFUNCTION("GOOGLETRANSLATE(E85, ""en"",""vi"")"),"Cộng hòa Dominica")</f>
        <v>Cộng hòa Dominica</v>
      </c>
      <c r="D85" s="2" t="s">
        <v>227</v>
      </c>
      <c r="E85" s="3" t="str">
        <f t="shared" si="2"/>
        <v>Dominican Republic</v>
      </c>
    </row>
    <row r="86" ht="15.75" customHeight="1">
      <c r="A86" s="1" t="s">
        <v>228</v>
      </c>
      <c r="B86" s="1" t="s">
        <v>229</v>
      </c>
      <c r="C86" s="2" t="s">
        <v>230</v>
      </c>
      <c r="D86" s="2" t="str">
        <f>LOWER(C86)</f>
        <v>mũi tên kết thúc</v>
      </c>
      <c r="E86" s="3" t="str">
        <f t="shared" si="2"/>
        <v>END arrow</v>
      </c>
    </row>
    <row r="87" ht="15.75" customHeight="1">
      <c r="A87" s="1" t="s">
        <v>231</v>
      </c>
      <c r="B87" s="1" t="s">
        <v>232</v>
      </c>
      <c r="C87" s="2" t="str">
        <f>IFERROR(__xludf.DUMMYFUNCTION("GOOGLETRANSLATE(E87, ""en"",""vi"")"),"Êcuađo")</f>
        <v>Êcuađo</v>
      </c>
      <c r="D87" s="2" t="s">
        <v>233</v>
      </c>
      <c r="E87" s="3" t="str">
        <f t="shared" si="2"/>
        <v>Ecuador</v>
      </c>
    </row>
    <row r="88" ht="15.75" customHeight="1">
      <c r="A88" s="1" t="s">
        <v>234</v>
      </c>
      <c r="B88" s="1" t="s">
        <v>235</v>
      </c>
      <c r="C88" s="2" t="str">
        <f>IFERROR(__xludf.DUMMYFUNCTION("GOOGLETRANSLATE(E88, ""en"",""vi"")"),"Ai Cập")</f>
        <v>Ai Cập</v>
      </c>
      <c r="D88" s="2" t="s">
        <v>236</v>
      </c>
      <c r="E88" s="3" t="str">
        <f t="shared" si="2"/>
        <v>Egypt</v>
      </c>
    </row>
    <row r="89" ht="15.75" customHeight="1">
      <c r="A89" s="1" t="s">
        <v>237</v>
      </c>
      <c r="B89" s="1" t="s">
        <v>238</v>
      </c>
      <c r="C89" s="2" t="str">
        <f>IFERROR(__xludf.DUMMYFUNCTION("GOOGLETRANSLATE(E89, ""en"",""vi"")"),"El Salvador")</f>
        <v>El Salvador</v>
      </c>
      <c r="D89" s="2" t="str">
        <f t="shared" ref="D89:D91" si="14">LOWER(C89)</f>
        <v>el salvador</v>
      </c>
      <c r="E89" s="3" t="str">
        <f t="shared" si="2"/>
        <v>El Salvador</v>
      </c>
    </row>
    <row r="90" ht="15.75" customHeight="1">
      <c r="A90" s="1" t="s">
        <v>239</v>
      </c>
      <c r="B90" s="1" t="s">
        <v>240</v>
      </c>
      <c r="C90" s="2" t="str">
        <f>IFERROR(__xludf.DUMMYFUNCTION("GOOGLETRANSLATE(E90, ""en"",""vi"")"),"Anh")</f>
        <v>Anh</v>
      </c>
      <c r="D90" s="2" t="str">
        <f t="shared" si="14"/>
        <v>anh</v>
      </c>
      <c r="E90" s="3" t="str">
        <f t="shared" si="2"/>
        <v>England</v>
      </c>
    </row>
    <row r="91" ht="15.75" customHeight="1">
      <c r="A91" s="1" t="s">
        <v>241</v>
      </c>
      <c r="B91" s="1" t="s">
        <v>242</v>
      </c>
      <c r="C91" s="2" t="str">
        <f>IFERROR(__xludf.DUMMYFUNCTION("GOOGLETRANSLATE(E91, ""en"",""vi"")"),"Guinea Xích Đạo")</f>
        <v>Guinea Xích Đạo</v>
      </c>
      <c r="D91" s="2" t="str">
        <f t="shared" si="14"/>
        <v>guinea xích đạo</v>
      </c>
      <c r="E91" s="3" t="str">
        <f t="shared" si="2"/>
        <v>Equatorial Guinea</v>
      </c>
    </row>
    <row r="92" ht="15.75" customHeight="1">
      <c r="A92" s="1" t="s">
        <v>243</v>
      </c>
      <c r="B92" s="1" t="s">
        <v>244</v>
      </c>
      <c r="C92" s="2" t="str">
        <f>IFERROR(__xludf.DUMMYFUNCTION("GOOGLETRANSLATE(E92, ""en"",""vi"")"),"Eritrea")</f>
        <v>Eritrea</v>
      </c>
      <c r="D92" s="2" t="s">
        <v>245</v>
      </c>
      <c r="E92" s="3" t="str">
        <f t="shared" si="2"/>
        <v>Eritrea</v>
      </c>
    </row>
    <row r="93" ht="15.75" customHeight="1">
      <c r="A93" s="1" t="s">
        <v>246</v>
      </c>
      <c r="B93" s="1" t="s">
        <v>247</v>
      </c>
      <c r="C93" s="2" t="str">
        <f>IFERROR(__xludf.DUMMYFUNCTION("GOOGLETRANSLATE(E93, ""en"",""vi"")"),"Estonia")</f>
        <v>Estonia</v>
      </c>
      <c r="D93" s="2" t="s">
        <v>248</v>
      </c>
      <c r="E93" s="3" t="str">
        <f t="shared" si="2"/>
        <v>Estonia</v>
      </c>
    </row>
    <row r="94" ht="15.75" customHeight="1">
      <c r="A94" s="1" t="s">
        <v>249</v>
      </c>
      <c r="B94" s="1" t="s">
        <v>250</v>
      </c>
      <c r="C94" s="2" t="str">
        <f>IFERROR(__xludf.DUMMYFUNCTION("GOOGLETRANSLATE(E94, ""en"",""vi"")"),"Eswatini")</f>
        <v>Eswatini</v>
      </c>
      <c r="D94" s="2" t="s">
        <v>251</v>
      </c>
      <c r="E94" s="3" t="str">
        <f t="shared" si="2"/>
        <v>Eswatini</v>
      </c>
    </row>
    <row r="95" ht="15.75" customHeight="1">
      <c r="A95" s="1" t="s">
        <v>252</v>
      </c>
      <c r="B95" s="1" t="s">
        <v>253</v>
      </c>
      <c r="C95" s="2" t="str">
        <f>IFERROR(__xludf.DUMMYFUNCTION("GOOGLETRANSLATE(E95, ""en"",""vi"")"),"Êtiôpia")</f>
        <v>Êtiôpia</v>
      </c>
      <c r="D95" s="2" t="s">
        <v>254</v>
      </c>
      <c r="E95" s="3" t="str">
        <f t="shared" si="2"/>
        <v>Ethiopia</v>
      </c>
    </row>
    <row r="96" ht="15.75" customHeight="1">
      <c r="A96" s="1" t="s">
        <v>255</v>
      </c>
      <c r="B96" s="1" t="s">
        <v>256</v>
      </c>
      <c r="C96" s="2" t="str">
        <f>IFERROR(__xludf.DUMMYFUNCTION("GOOGLETRANSLATE(E96, ""en"",""vi"")"),"Liên minh Châu Âu")</f>
        <v>Liên minh Châu Âu</v>
      </c>
      <c r="D96" s="2" t="str">
        <f t="shared" ref="D96:D98" si="15">LOWER(C96)</f>
        <v>liên minh châu âu</v>
      </c>
      <c r="E96" s="3" t="str">
        <f t="shared" si="2"/>
        <v>European Union</v>
      </c>
    </row>
    <row r="97" ht="15.75" customHeight="1">
      <c r="A97" s="1" t="s">
        <v>257</v>
      </c>
      <c r="B97" s="1" t="s">
        <v>258</v>
      </c>
      <c r="C97" s="2" t="str">
        <f>IFERROR(__xludf.DUMMYFUNCTION("GOOGLETRANSLATE(E97, ""en"",""vi"")"),"Nút MIỄN PHÍ")</f>
        <v>Nút MIỄN PHÍ</v>
      </c>
      <c r="D97" s="2" t="str">
        <f t="shared" si="15"/>
        <v>nút miễn phí</v>
      </c>
      <c r="E97" s="3" t="str">
        <f t="shared" si="2"/>
        <v>FREE button</v>
      </c>
    </row>
    <row r="98" ht="15.75" customHeight="1">
      <c r="A98" s="1" t="s">
        <v>259</v>
      </c>
      <c r="B98" s="1" t="s">
        <v>260</v>
      </c>
      <c r="C98" s="2" t="str">
        <f>IFERROR(__xludf.DUMMYFUNCTION("GOOGLETRANSLATE(E98, ""en"",""vi"")"),"Quần đảo Falkland")</f>
        <v>Quần đảo Falkland</v>
      </c>
      <c r="D98" s="2" t="str">
        <f t="shared" si="15"/>
        <v>quần đảo falkland</v>
      </c>
      <c r="E98" s="3" t="str">
        <f t="shared" si="2"/>
        <v>Falkland Islands</v>
      </c>
    </row>
    <row r="99" ht="15.75" customHeight="1">
      <c r="A99" s="1" t="s">
        <v>261</v>
      </c>
      <c r="B99" s="1" t="s">
        <v>262</v>
      </c>
      <c r="C99" s="2" t="str">
        <f>IFERROR(__xludf.DUMMYFUNCTION("GOOGLETRANSLATE(E99, ""en"",""vi"")"),"Quần đảo Faroe")</f>
        <v>Quần đảo Faroe</v>
      </c>
      <c r="D99" s="2" t="s">
        <v>263</v>
      </c>
      <c r="E99" s="3" t="str">
        <f t="shared" si="2"/>
        <v>Faroe Islands</v>
      </c>
    </row>
    <row r="100" ht="15.75" customHeight="1">
      <c r="A100" s="1" t="s">
        <v>264</v>
      </c>
      <c r="B100" s="1" t="s">
        <v>265</v>
      </c>
      <c r="C100" s="2" t="str">
        <f>IFERROR(__xludf.DUMMYFUNCTION("GOOGLETRANSLATE(E100, ""en"",""vi"")"),"Fiji")</f>
        <v>Fiji</v>
      </c>
      <c r="D100" s="2" t="s">
        <v>266</v>
      </c>
      <c r="E100" s="3" t="str">
        <f t="shared" si="2"/>
        <v>Fiji</v>
      </c>
    </row>
    <row r="101" ht="15.75" customHeight="1">
      <c r="A101" s="1" t="s">
        <v>267</v>
      </c>
      <c r="B101" s="1" t="s">
        <v>268</v>
      </c>
      <c r="C101" s="2" t="str">
        <f>IFERROR(__xludf.DUMMYFUNCTION("GOOGLETRANSLATE(E101, ""en"",""vi"")"),"Phần Lan")</f>
        <v>Phần Lan</v>
      </c>
      <c r="D101" s="2" t="str">
        <f>LOWER(C101)</f>
        <v>phần lan</v>
      </c>
      <c r="E101" s="3" t="str">
        <f t="shared" si="2"/>
        <v>Finland</v>
      </c>
    </row>
    <row r="102" ht="15.75" customHeight="1">
      <c r="A102" s="1" t="s">
        <v>269</v>
      </c>
      <c r="B102" s="1" t="s">
        <v>270</v>
      </c>
      <c r="C102" s="2" t="str">
        <f>IFERROR(__xludf.DUMMYFUNCTION("GOOGLETRANSLATE(E102, ""en"",""vi"")"),"Pháp")</f>
        <v>Pháp</v>
      </c>
      <c r="D102" s="2" t="s">
        <v>271</v>
      </c>
      <c r="E102" s="3" t="str">
        <f t="shared" si="2"/>
        <v>France</v>
      </c>
    </row>
    <row r="103" ht="15.75" customHeight="1">
      <c r="A103" s="1" t="s">
        <v>272</v>
      </c>
      <c r="B103" s="1" t="s">
        <v>273</v>
      </c>
      <c r="C103" s="2" t="str">
        <f>IFERROR(__xludf.DUMMYFUNCTION("GOOGLETRANSLATE(E103, ""en"",""vi"")"),"Guiana thuộc Pháp")</f>
        <v>Guiana thuộc Pháp</v>
      </c>
      <c r="D103" s="2" t="str">
        <f>LOWER(C103)</f>
        <v>guiana thuộc pháp</v>
      </c>
      <c r="E103" s="3" t="str">
        <f t="shared" si="2"/>
        <v>French Guiana</v>
      </c>
    </row>
    <row r="104" ht="15.75" customHeight="1">
      <c r="A104" s="1" t="s">
        <v>274</v>
      </c>
      <c r="B104" s="1" t="s">
        <v>275</v>
      </c>
      <c r="C104" s="2" t="str">
        <f>IFERROR(__xludf.DUMMYFUNCTION("GOOGLETRANSLATE(E104, ""en"",""vi"")"),"Polynésie thuộc Pháp")</f>
        <v>Polynésie thuộc Pháp</v>
      </c>
      <c r="D104" s="2" t="s">
        <v>276</v>
      </c>
      <c r="E104" s="3" t="str">
        <f t="shared" si="2"/>
        <v>French Polynesia</v>
      </c>
    </row>
    <row r="105" ht="15.75" customHeight="1">
      <c r="A105" s="1" t="s">
        <v>277</v>
      </c>
      <c r="B105" s="1" t="s">
        <v>278</v>
      </c>
      <c r="C105" s="2" t="str">
        <f>IFERROR(__xludf.DUMMYFUNCTION("GOOGLETRANSLATE(E105, ""en"",""vi"")"),"Lãnh thổ phía Nam của Pháp")</f>
        <v>Lãnh thổ phía Nam của Pháp</v>
      </c>
      <c r="D105" s="2" t="str">
        <f>LOWER(C105)</f>
        <v>lãnh thổ phía nam của pháp</v>
      </c>
      <c r="E105" s="3" t="str">
        <f t="shared" si="2"/>
        <v>French Southern Territories</v>
      </c>
    </row>
    <row r="106" ht="15.75" customHeight="1">
      <c r="A106" s="1" t="s">
        <v>279</v>
      </c>
      <c r="B106" s="1" t="s">
        <v>280</v>
      </c>
      <c r="C106" s="2" t="str">
        <f>IFERROR(__xludf.DUMMYFUNCTION("GOOGLETRANSLATE(E106, ""en"",""vi"")"),"Gabon")</f>
        <v>Gabon</v>
      </c>
      <c r="D106" s="2" t="s">
        <v>281</v>
      </c>
      <c r="E106" s="3" t="str">
        <f t="shared" si="2"/>
        <v>Gabon</v>
      </c>
    </row>
    <row r="107" ht="15.75" customHeight="1">
      <c r="A107" s="1" t="s">
        <v>282</v>
      </c>
      <c r="B107" s="1" t="s">
        <v>283</v>
      </c>
      <c r="C107" s="2" t="str">
        <f>IFERROR(__xludf.DUMMYFUNCTION("GOOGLETRANSLATE(E107, ""en"",""vi"")"),"Gambia")</f>
        <v>Gambia</v>
      </c>
      <c r="D107" s="2" t="s">
        <v>284</v>
      </c>
      <c r="E107" s="3" t="str">
        <f t="shared" si="2"/>
        <v>Gambia</v>
      </c>
    </row>
    <row r="108" ht="15.75" customHeight="1">
      <c r="A108" s="1" t="s">
        <v>285</v>
      </c>
      <c r="B108" s="1" t="s">
        <v>286</v>
      </c>
      <c r="C108" s="2" t="str">
        <f>IFERROR(__xludf.DUMMYFUNCTION("GOOGLETRANSLATE(E108, ""en"",""vi"")"),"Song Tử")</f>
        <v>Song Tử</v>
      </c>
      <c r="D108" s="2" t="str">
        <f>LOWER(C108)</f>
        <v>song tử</v>
      </c>
      <c r="E108" s="3" t="str">
        <f t="shared" si="2"/>
        <v>Gemini</v>
      </c>
    </row>
    <row r="109" ht="15.75" customHeight="1">
      <c r="A109" s="1" t="s">
        <v>287</v>
      </c>
      <c r="B109" s="1" t="s">
        <v>288</v>
      </c>
      <c r="C109" s="2" t="str">
        <f>IFERROR(__xludf.DUMMYFUNCTION("GOOGLETRANSLATE(E109, ""en"",""vi"")"),"Gruzia")</f>
        <v>Gruzia</v>
      </c>
      <c r="D109" s="2" t="s">
        <v>289</v>
      </c>
      <c r="E109" s="3" t="str">
        <f t="shared" si="2"/>
        <v>Georgia</v>
      </c>
    </row>
    <row r="110" ht="15.75" customHeight="1">
      <c r="A110" s="1" t="s">
        <v>290</v>
      </c>
      <c r="B110" s="1" t="s">
        <v>291</v>
      </c>
      <c r="C110" s="2" t="str">
        <f>IFERROR(__xludf.DUMMYFUNCTION("GOOGLETRANSLATE(E110, ""en"",""vi"")"),"Đức")</f>
        <v>Đức</v>
      </c>
      <c r="D110" s="2" t="str">
        <f>LOWER(C110)</f>
        <v>đức</v>
      </c>
      <c r="E110" s="3" t="str">
        <f t="shared" si="2"/>
        <v>Germany</v>
      </c>
    </row>
    <row r="111" ht="15.75" customHeight="1">
      <c r="A111" s="1" t="s">
        <v>292</v>
      </c>
      <c r="B111" s="1" t="s">
        <v>293</v>
      </c>
      <c r="C111" s="2" t="str">
        <f>IFERROR(__xludf.DUMMYFUNCTION("GOOGLETRANSLATE(E111, ""en"",""vi"")"),"Gana")</f>
        <v>Gana</v>
      </c>
      <c r="D111" s="2" t="s">
        <v>294</v>
      </c>
      <c r="E111" s="3" t="str">
        <f t="shared" si="2"/>
        <v>Ghana</v>
      </c>
    </row>
    <row r="112" ht="15.75" customHeight="1">
      <c r="A112" s="1" t="s">
        <v>295</v>
      </c>
      <c r="B112" s="1" t="s">
        <v>296</v>
      </c>
      <c r="C112" s="2" t="str">
        <f>IFERROR(__xludf.DUMMYFUNCTION("GOOGLETRANSLATE(E112, ""en"",""vi"")"),"Gibraltar")</f>
        <v>Gibraltar</v>
      </c>
      <c r="D112" s="2" t="str">
        <f t="shared" ref="D112:D200" si="16">LOWER(C112)</f>
        <v>gibraltar</v>
      </c>
      <c r="E112" s="3" t="str">
        <f t="shared" si="2"/>
        <v>Gibraltar</v>
      </c>
    </row>
    <row r="113" ht="15.75" customHeight="1">
      <c r="A113" s="1" t="s">
        <v>297</v>
      </c>
      <c r="B113" s="1" t="s">
        <v>298</v>
      </c>
      <c r="C113" s="2" t="str">
        <f>IFERROR(__xludf.DUMMYFUNCTION("GOOGLETRANSLATE(E113, ""en"",""vi"")"),"Hy Lạp")</f>
        <v>Hy Lạp</v>
      </c>
      <c r="D113" s="2" t="str">
        <f t="shared" si="16"/>
        <v>hy lạp</v>
      </c>
      <c r="E113" s="3" t="str">
        <f t="shared" si="2"/>
        <v>Greece</v>
      </c>
    </row>
    <row r="114" ht="15.75" customHeight="1">
      <c r="A114" s="1" t="s">
        <v>299</v>
      </c>
      <c r="B114" s="1" t="s">
        <v>300</v>
      </c>
      <c r="C114" s="2" t="str">
        <f>IFERROR(__xludf.DUMMYFUNCTION("GOOGLETRANSLATE(E114, ""en"",""vi"")"),"Greenland")</f>
        <v>Greenland</v>
      </c>
      <c r="D114" s="2" t="str">
        <f t="shared" si="16"/>
        <v>greenland</v>
      </c>
      <c r="E114" s="3" t="str">
        <f t="shared" si="2"/>
        <v>Greenland</v>
      </c>
    </row>
    <row r="115" ht="15.75" customHeight="1">
      <c r="A115" s="1" t="s">
        <v>301</v>
      </c>
      <c r="B115" s="1" t="s">
        <v>302</v>
      </c>
      <c r="C115" s="2" t="str">
        <f>IFERROR(__xludf.DUMMYFUNCTION("GOOGLETRANSLATE(E115, ""en"",""vi"")"),"Grenada")</f>
        <v>Grenada</v>
      </c>
      <c r="D115" s="2" t="str">
        <f t="shared" si="16"/>
        <v>grenada</v>
      </c>
      <c r="E115" s="3" t="str">
        <f t="shared" si="2"/>
        <v>Grenada</v>
      </c>
    </row>
    <row r="116" ht="15.75" customHeight="1">
      <c r="A116" s="1" t="s">
        <v>303</v>
      </c>
      <c r="B116" s="1" t="s">
        <v>304</v>
      </c>
      <c r="C116" s="2" t="str">
        <f>IFERROR(__xludf.DUMMYFUNCTION("GOOGLETRANSLATE(E116, ""en"",""vi"")"),"Guadeloupe")</f>
        <v>Guadeloupe</v>
      </c>
      <c r="D116" s="2" t="str">
        <f t="shared" si="16"/>
        <v>guadeloupe</v>
      </c>
      <c r="E116" s="3" t="str">
        <f t="shared" si="2"/>
        <v>Guadeloupe</v>
      </c>
    </row>
    <row r="117" ht="15.75" customHeight="1">
      <c r="A117" s="1" t="s">
        <v>305</v>
      </c>
      <c r="B117" s="1" t="s">
        <v>306</v>
      </c>
      <c r="C117" s="2" t="str">
        <f>IFERROR(__xludf.DUMMYFUNCTION("GOOGLETRANSLATE(E117, ""en"",""vi"")"),"đảo Guam")</f>
        <v>đảo Guam</v>
      </c>
      <c r="D117" s="2" t="str">
        <f t="shared" si="16"/>
        <v>đảo guam</v>
      </c>
      <c r="E117" s="3" t="str">
        <f t="shared" si="2"/>
        <v>Guam</v>
      </c>
    </row>
    <row r="118" ht="15.75" customHeight="1">
      <c r="A118" s="1" t="s">
        <v>307</v>
      </c>
      <c r="B118" s="1" t="s">
        <v>308</v>
      </c>
      <c r="C118" s="2" t="str">
        <f>IFERROR(__xludf.DUMMYFUNCTION("GOOGLETRANSLATE(E118, ""en"",""vi"")"),"Guatemala")</f>
        <v>Guatemala</v>
      </c>
      <c r="D118" s="2" t="str">
        <f t="shared" si="16"/>
        <v>guatemala</v>
      </c>
      <c r="E118" s="3" t="str">
        <f t="shared" si="2"/>
        <v>Guatemala</v>
      </c>
    </row>
    <row r="119" ht="15.75" customHeight="1">
      <c r="A119" s="1" t="s">
        <v>309</v>
      </c>
      <c r="B119" s="1" t="s">
        <v>310</v>
      </c>
      <c r="C119" s="2" t="str">
        <f>IFERROR(__xludf.DUMMYFUNCTION("GOOGLETRANSLATE(E119, ""en"",""vi"")"),"Guernsey")</f>
        <v>Guernsey</v>
      </c>
      <c r="D119" s="2" t="str">
        <f t="shared" si="16"/>
        <v>guernsey</v>
      </c>
      <c r="E119" s="3" t="str">
        <f t="shared" si="2"/>
        <v>Guernsey</v>
      </c>
    </row>
    <row r="120" ht="15.75" customHeight="1">
      <c r="A120" s="1" t="s">
        <v>311</v>
      </c>
      <c r="B120" s="1" t="s">
        <v>312</v>
      </c>
      <c r="C120" s="2" t="str">
        <f>IFERROR(__xludf.DUMMYFUNCTION("GOOGLETRANSLATE(E120, ""en"",""vi"")"),"Ghi-nê")</f>
        <v>Ghi-nê</v>
      </c>
      <c r="D120" s="2" t="str">
        <f t="shared" si="16"/>
        <v>ghi-nê</v>
      </c>
      <c r="E120" s="3" t="str">
        <f t="shared" si="2"/>
        <v>Guinea</v>
      </c>
    </row>
    <row r="121" ht="15.75" customHeight="1">
      <c r="A121" s="1" t="s">
        <v>313</v>
      </c>
      <c r="B121" s="1" t="s">
        <v>314</v>
      </c>
      <c r="C121" s="2" t="str">
        <f>IFERROR(__xludf.DUMMYFUNCTION("GOOGLETRANSLATE(E121, ""en"",""vi"")"),"Guinea-Bissau")</f>
        <v>Guinea-Bissau</v>
      </c>
      <c r="D121" s="2" t="str">
        <f t="shared" si="16"/>
        <v>guinea-bissau</v>
      </c>
      <c r="E121" s="3" t="str">
        <f t="shared" si="2"/>
        <v>Guinea-Bissau</v>
      </c>
    </row>
    <row r="122" ht="15.75" customHeight="1">
      <c r="A122" s="1" t="s">
        <v>315</v>
      </c>
      <c r="B122" s="1" t="s">
        <v>316</v>
      </c>
      <c r="C122" s="2" t="str">
        <f>IFERROR(__xludf.DUMMYFUNCTION("GOOGLETRANSLATE(E122, ""en"",""vi"")"),"Guyana")</f>
        <v>Guyana</v>
      </c>
      <c r="D122" s="2" t="str">
        <f t="shared" si="16"/>
        <v>guyana</v>
      </c>
      <c r="E122" s="3" t="str">
        <f t="shared" si="2"/>
        <v>Guyana</v>
      </c>
    </row>
    <row r="123" ht="15.75" customHeight="1">
      <c r="A123" s="1" t="s">
        <v>317</v>
      </c>
      <c r="B123" s="1" t="s">
        <v>318</v>
      </c>
      <c r="C123" s="2" t="str">
        <f>IFERROR(__xludf.DUMMYFUNCTION("GOOGLETRANSLATE(E123, ""en"",""vi"")"),"Haiti")</f>
        <v>Haiti</v>
      </c>
      <c r="D123" s="2" t="str">
        <f t="shared" si="16"/>
        <v>haiti</v>
      </c>
      <c r="E123" s="3" t="str">
        <f t="shared" si="2"/>
        <v>Haiti</v>
      </c>
    </row>
    <row r="124" ht="15.75" customHeight="1">
      <c r="A124" s="1" t="s">
        <v>319</v>
      </c>
      <c r="B124" s="1" t="s">
        <v>320</v>
      </c>
      <c r="C124" s="2" t="str">
        <f>IFERROR(__xludf.DUMMYFUNCTION("GOOGLETRANSLATE(E124, ""en"",""vi"")"),"Quần đảo Heard và McDonald")</f>
        <v>Quần đảo Heard và McDonald</v>
      </c>
      <c r="D124" s="2" t="str">
        <f t="shared" si="16"/>
        <v>quần đảo heard và mcdonald</v>
      </c>
      <c r="E124" s="3" t="str">
        <f t="shared" si="2"/>
        <v>Heard &amp; McDonald Islands</v>
      </c>
    </row>
    <row r="125" ht="15.75" customHeight="1">
      <c r="A125" s="1" t="s">
        <v>321</v>
      </c>
      <c r="B125" s="1" t="s">
        <v>322</v>
      </c>
      <c r="C125" s="2" t="str">
        <f>IFERROR(__xludf.DUMMYFUNCTION("GOOGLETRANSLATE(E125, ""en"",""vi"")"),"Honduras")</f>
        <v>Honduras</v>
      </c>
      <c r="D125" s="2" t="str">
        <f t="shared" si="16"/>
        <v>honduras</v>
      </c>
      <c r="E125" s="3" t="str">
        <f t="shared" si="2"/>
        <v>Honduras</v>
      </c>
    </row>
    <row r="126" ht="15.75" customHeight="1">
      <c r="A126" s="1" t="s">
        <v>323</v>
      </c>
      <c r="B126" s="1" t="s">
        <v>324</v>
      </c>
      <c r="C126" s="2" t="str">
        <f>IFERROR(__xludf.DUMMYFUNCTION("GOOGLETRANSLATE(E126, ""en"",""vi"")"),"Đặc khu hành chính Hồng Kông Trung Quốc")</f>
        <v>Đặc khu hành chính Hồng Kông Trung Quốc</v>
      </c>
      <c r="D126" s="2" t="str">
        <f t="shared" si="16"/>
        <v>đặc khu hành chính hồng kông trung quốc</v>
      </c>
      <c r="E126" s="3" t="str">
        <f t="shared" si="2"/>
        <v>Hong Kong SAR China</v>
      </c>
    </row>
    <row r="127" ht="15.75" customHeight="1">
      <c r="A127" s="1" t="s">
        <v>325</v>
      </c>
      <c r="B127" s="1" t="s">
        <v>326</v>
      </c>
      <c r="C127" s="2" t="str">
        <f>IFERROR(__xludf.DUMMYFUNCTION("GOOGLETRANSLATE(E127, ""en"",""vi"")"),"Hungari")</f>
        <v>Hungari</v>
      </c>
      <c r="D127" s="2" t="str">
        <f t="shared" si="16"/>
        <v>hungari</v>
      </c>
      <c r="E127" s="3" t="str">
        <f t="shared" si="2"/>
        <v>Hungary</v>
      </c>
    </row>
    <row r="128" ht="15.75" customHeight="1">
      <c r="A128" s="1" t="s">
        <v>327</v>
      </c>
      <c r="B128" s="1" t="s">
        <v>328</v>
      </c>
      <c r="C128" s="2" t="str">
        <f>IFERROR(__xludf.DUMMYFUNCTION("GOOGLETRANSLATE(E128, ""en"",""vi"")"),"Nút ID")</f>
        <v>Nút ID</v>
      </c>
      <c r="D128" s="2" t="str">
        <f t="shared" si="16"/>
        <v>nút id</v>
      </c>
      <c r="E128" s="3" t="str">
        <f t="shared" si="2"/>
        <v>ID button</v>
      </c>
    </row>
    <row r="129" ht="15.75" customHeight="1">
      <c r="A129" s="1" t="s">
        <v>329</v>
      </c>
      <c r="B129" s="1" t="s">
        <v>330</v>
      </c>
      <c r="C129" s="2" t="str">
        <f>IFERROR(__xludf.DUMMYFUNCTION("GOOGLETRANSLATE(E129, ""en"",""vi"")"),"Aixơlen")</f>
        <v>Aixơlen</v>
      </c>
      <c r="D129" s="2" t="str">
        <f t="shared" si="16"/>
        <v>aixơlen</v>
      </c>
      <c r="E129" s="3" t="str">
        <f t="shared" si="2"/>
        <v>Iceland</v>
      </c>
    </row>
    <row r="130" ht="15.75" customHeight="1">
      <c r="A130" s="1" t="s">
        <v>331</v>
      </c>
      <c r="B130" s="1" t="s">
        <v>332</v>
      </c>
      <c r="C130" s="2" t="str">
        <f>IFERROR(__xludf.DUMMYFUNCTION("GOOGLETRANSLATE(E130, ""en"",""vi"")"),"Ấn Độ")</f>
        <v>Ấn Độ</v>
      </c>
      <c r="D130" s="2" t="str">
        <f t="shared" si="16"/>
        <v>ấn độ</v>
      </c>
      <c r="E130" s="3" t="str">
        <f t="shared" si="2"/>
        <v>India</v>
      </c>
    </row>
    <row r="131" ht="15.75" customHeight="1">
      <c r="A131" s="1" t="s">
        <v>333</v>
      </c>
      <c r="B131" s="1" t="s">
        <v>334</v>
      </c>
      <c r="C131" s="2" t="str">
        <f>IFERROR(__xludf.DUMMYFUNCTION("GOOGLETRANSLATE(E131, ""en"",""vi"")"),"Indonesia")</f>
        <v>Indonesia</v>
      </c>
      <c r="D131" s="2" t="str">
        <f t="shared" si="16"/>
        <v>indonesia</v>
      </c>
      <c r="E131" s="3" t="str">
        <f t="shared" si="2"/>
        <v>Indonesia</v>
      </c>
    </row>
    <row r="132" ht="15.75" customHeight="1">
      <c r="A132" s="1" t="s">
        <v>335</v>
      </c>
      <c r="B132" s="1" t="s">
        <v>336</v>
      </c>
      <c r="C132" s="2" t="str">
        <f>IFERROR(__xludf.DUMMYFUNCTION("GOOGLETRANSLATE(E132, ""en"",""vi"")"),"Iran")</f>
        <v>Iran</v>
      </c>
      <c r="D132" s="2" t="str">
        <f t="shared" si="16"/>
        <v>iran</v>
      </c>
      <c r="E132" s="3" t="str">
        <f t="shared" si="2"/>
        <v>Iran</v>
      </c>
    </row>
    <row r="133" ht="15.75" customHeight="1">
      <c r="A133" s="1" t="s">
        <v>337</v>
      </c>
      <c r="B133" s="1" t="s">
        <v>338</v>
      </c>
      <c r="C133" s="2" t="str">
        <f>IFERROR(__xludf.DUMMYFUNCTION("GOOGLETRANSLATE(E133, ""en"",""vi"")"),"I-rắc")</f>
        <v>I-rắc</v>
      </c>
      <c r="D133" s="2" t="str">
        <f t="shared" si="16"/>
        <v>i-rắc</v>
      </c>
      <c r="E133" s="3" t="str">
        <f t="shared" si="2"/>
        <v>Iraq</v>
      </c>
    </row>
    <row r="134" ht="15.75" customHeight="1">
      <c r="A134" s="1" t="s">
        <v>339</v>
      </c>
      <c r="B134" s="1" t="s">
        <v>340</v>
      </c>
      <c r="C134" s="2" t="str">
        <f>IFERROR(__xludf.DUMMYFUNCTION("GOOGLETRANSLATE(E134, ""en"",""vi"")"),"Ai-len")</f>
        <v>Ai-len</v>
      </c>
      <c r="D134" s="2" t="str">
        <f t="shared" si="16"/>
        <v>ai-len</v>
      </c>
      <c r="E134" s="3" t="str">
        <f t="shared" si="2"/>
        <v>Ireland</v>
      </c>
    </row>
    <row r="135" ht="15.75" customHeight="1">
      <c r="A135" s="1" t="s">
        <v>341</v>
      </c>
      <c r="B135" s="1" t="s">
        <v>342</v>
      </c>
      <c r="C135" s="2" t="str">
        <f>IFERROR(__xludf.DUMMYFUNCTION("GOOGLETRANSLATE(E135, ""en"",""vi"")"),"Đảo Man")</f>
        <v>Đảo Man</v>
      </c>
      <c r="D135" s="2" t="str">
        <f t="shared" si="16"/>
        <v>đảo man</v>
      </c>
      <c r="E135" s="3" t="str">
        <f t="shared" si="2"/>
        <v>Isle of Man</v>
      </c>
    </row>
    <row r="136" ht="15.75" customHeight="1">
      <c r="A136" s="1" t="s">
        <v>343</v>
      </c>
      <c r="B136" s="1" t="s">
        <v>344</v>
      </c>
      <c r="C136" s="2" t="str">
        <f>IFERROR(__xludf.DUMMYFUNCTION("GOOGLETRANSLATE(E136, ""en"",""vi"")"),"Israel")</f>
        <v>Israel</v>
      </c>
      <c r="D136" s="2" t="str">
        <f t="shared" si="16"/>
        <v>israel</v>
      </c>
      <c r="E136" s="3" t="str">
        <f t="shared" si="2"/>
        <v>Israel</v>
      </c>
    </row>
    <row r="137" ht="15.75" customHeight="1">
      <c r="A137" s="1" t="s">
        <v>345</v>
      </c>
      <c r="B137" s="1" t="s">
        <v>346</v>
      </c>
      <c r="C137" s="2" t="str">
        <f>IFERROR(__xludf.DUMMYFUNCTION("GOOGLETRANSLATE(E137, ""en"",""vi"")"),"Ý")</f>
        <v>Ý</v>
      </c>
      <c r="D137" s="2" t="str">
        <f t="shared" si="16"/>
        <v>ý</v>
      </c>
      <c r="E137" s="3" t="str">
        <f t="shared" si="2"/>
        <v>Italy</v>
      </c>
    </row>
    <row r="138" ht="15.75" customHeight="1">
      <c r="A138" s="1" t="s">
        <v>347</v>
      </c>
      <c r="B138" s="1" t="s">
        <v>348</v>
      </c>
      <c r="C138" s="2" t="str">
        <f>IFERROR(__xludf.DUMMYFUNCTION("GOOGLETRANSLATE(E138, ""en"",""vi"")"),"Jamaica")</f>
        <v>Jamaica</v>
      </c>
      <c r="D138" s="2" t="str">
        <f t="shared" si="16"/>
        <v>jamaica</v>
      </c>
      <c r="E138" s="3" t="str">
        <f t="shared" si="2"/>
        <v>Jamaica</v>
      </c>
    </row>
    <row r="139" ht="15.75" customHeight="1">
      <c r="A139" s="1" t="s">
        <v>349</v>
      </c>
      <c r="B139" s="1" t="s">
        <v>350</v>
      </c>
      <c r="C139" s="2" t="str">
        <f>IFERROR(__xludf.DUMMYFUNCTION("GOOGLETRANSLATE(E139, ""en"",""vi"")"),"Nhật Bản")</f>
        <v>Nhật Bản</v>
      </c>
      <c r="D139" s="2" t="str">
        <f t="shared" si="16"/>
        <v>nhật bản</v>
      </c>
      <c r="E139" s="3" t="str">
        <f t="shared" si="2"/>
        <v>Japan</v>
      </c>
    </row>
    <row r="140" ht="15.75" customHeight="1">
      <c r="A140" s="1" t="s">
        <v>351</v>
      </c>
      <c r="B140" s="1" t="s">
        <v>352</v>
      </c>
      <c r="C140" s="2" t="s">
        <v>353</v>
      </c>
      <c r="D140" s="2" t="str">
        <f t="shared" si="16"/>
        <v>nút chấp nhận tiếng nhật</v>
      </c>
      <c r="E140" s="3" t="str">
        <f t="shared" si="2"/>
        <v>Japanese acceptable button</v>
      </c>
    </row>
    <row r="141" ht="15.75" customHeight="1">
      <c r="A141" s="1" t="s">
        <v>354</v>
      </c>
      <c r="B141" s="1" t="s">
        <v>355</v>
      </c>
      <c r="C141" s="2" t="s">
        <v>356</v>
      </c>
      <c r="D141" s="2" t="str">
        <f t="shared" si="16"/>
        <v>nút ứng dụng tiếng nhật </v>
      </c>
      <c r="E141" s="3" t="str">
        <f t="shared" si="2"/>
        <v>Japanese application button</v>
      </c>
    </row>
    <row r="142" ht="15.75" customHeight="1">
      <c r="A142" s="1" t="s">
        <v>357</v>
      </c>
      <c r="B142" s="1" t="s">
        <v>358</v>
      </c>
      <c r="C142" s="2" t="s">
        <v>359</v>
      </c>
      <c r="D142" s="2" t="str">
        <f t="shared" si="16"/>
        <v>nút mặc cả tiếng nhật</v>
      </c>
      <c r="E142" s="3" t="str">
        <f t="shared" si="2"/>
        <v>Japanese bargain button</v>
      </c>
    </row>
    <row r="143" ht="15.75" customHeight="1">
      <c r="A143" s="1" t="s">
        <v>360</v>
      </c>
      <c r="B143" s="1" t="s">
        <v>361</v>
      </c>
      <c r="C143" s="2" t="s">
        <v>362</v>
      </c>
      <c r="D143" s="2" t="str">
        <f t="shared" si="16"/>
        <v>lâu đài nhật bản</v>
      </c>
      <c r="E143" s="3" t="str">
        <f t="shared" si="2"/>
        <v>Japanese castle</v>
      </c>
    </row>
    <row r="144" ht="15.75" customHeight="1">
      <c r="A144" s="1" t="s">
        <v>363</v>
      </c>
      <c r="B144" s="1" t="s">
        <v>364</v>
      </c>
      <c r="C144" s="2" t="s">
        <v>365</v>
      </c>
      <c r="D144" s="2" t="str">
        <f t="shared" si="16"/>
        <v>nút chúc mừng tiếng nhật</v>
      </c>
      <c r="E144" s="3" t="str">
        <f t="shared" si="2"/>
        <v>Japanese congratulations button</v>
      </c>
    </row>
    <row r="145" ht="15.75" customHeight="1">
      <c r="A145" s="1" t="s">
        <v>366</v>
      </c>
      <c r="B145" s="1" t="s">
        <v>367</v>
      </c>
      <c r="C145" s="2" t="s">
        <v>368</v>
      </c>
      <c r="D145" s="2" t="str">
        <f t="shared" si="16"/>
        <v>nút giảm giá tiếng nhật </v>
      </c>
      <c r="E145" s="3" t="str">
        <f t="shared" si="2"/>
        <v>Japanese discount button</v>
      </c>
    </row>
    <row r="146" ht="15.75" customHeight="1">
      <c r="A146" s="1" t="s">
        <v>369</v>
      </c>
      <c r="B146" s="1" t="s">
        <v>370</v>
      </c>
      <c r="C146" s="2" t="str">
        <f>IFERROR(__xludf.DUMMYFUNCTION("GOOGLETRANSLATE(E146, ""en"",""vi"")"),"búp bê Nhật Bản")</f>
        <v>búp bê Nhật Bản</v>
      </c>
      <c r="D146" s="2" t="str">
        <f t="shared" si="16"/>
        <v>búp bê nhật bản</v>
      </c>
      <c r="E146" s="3" t="str">
        <f t="shared" si="2"/>
        <v>Japanese dolls</v>
      </c>
    </row>
    <row r="147" ht="15.75" customHeight="1">
      <c r="A147" s="1" t="s">
        <v>371</v>
      </c>
      <c r="B147" s="1" t="s">
        <v>372</v>
      </c>
      <c r="C147" s="2" t="s">
        <v>373</v>
      </c>
      <c r="D147" s="2" t="str">
        <f t="shared" si="16"/>
        <v>nút miễn phí tiếng nhật</v>
      </c>
      <c r="E147" s="3" t="str">
        <f t="shared" si="2"/>
        <v>Japanese free of charge button</v>
      </c>
    </row>
    <row r="148" ht="15.75" customHeight="1">
      <c r="A148" s="1" t="s">
        <v>374</v>
      </c>
      <c r="B148" s="1" t="s">
        <v>375</v>
      </c>
      <c r="C148" s="2" t="s">
        <v>376</v>
      </c>
      <c r="D148" s="2" t="str">
        <f t="shared" si="16"/>
        <v>nút ở đây tiếng nhật</v>
      </c>
      <c r="E148" s="3" t="str">
        <f t="shared" si="2"/>
        <v>Japanese here button</v>
      </c>
    </row>
    <row r="149" ht="15.75" customHeight="1">
      <c r="A149" s="1" t="s">
        <v>377</v>
      </c>
      <c r="B149" s="1" t="s">
        <v>378</v>
      </c>
      <c r="C149" s="2" t="s">
        <v>379</v>
      </c>
      <c r="D149" s="2" t="str">
        <f t="shared" si="16"/>
        <v>nút số tiền hàng tháng tiếng nhật</v>
      </c>
      <c r="E149" s="3" t="str">
        <f t="shared" si="2"/>
        <v>Japanese monthly amount button</v>
      </c>
    </row>
    <row r="150" ht="15.75" customHeight="1">
      <c r="A150" s="1" t="s">
        <v>380</v>
      </c>
      <c r="B150" s="1" t="s">
        <v>381</v>
      </c>
      <c r="C150" s="2" t="s">
        <v>382</v>
      </c>
      <c r="D150" s="2" t="str">
        <f t="shared" si="16"/>
        <v>nút không tuyển dụng tiếng nhật</v>
      </c>
      <c r="E150" s="3" t="str">
        <f t="shared" si="2"/>
        <v>Japanese no vacancy button</v>
      </c>
    </row>
    <row r="151" ht="15.75" customHeight="1">
      <c r="A151" s="1" t="s">
        <v>383</v>
      </c>
      <c r="B151" s="1" t="s">
        <v>384</v>
      </c>
      <c r="C151" s="2" t="s">
        <v>385</v>
      </c>
      <c r="D151" s="2" t="str">
        <f t="shared" si="16"/>
        <v>nút không miễn phí tiếng nhật</v>
      </c>
      <c r="E151" s="3" t="str">
        <f t="shared" si="2"/>
        <v>Japanese not free of charge button</v>
      </c>
    </row>
    <row r="152" ht="15.75" customHeight="1">
      <c r="A152" s="1" t="s">
        <v>386</v>
      </c>
      <c r="B152" s="1" t="s">
        <v>387</v>
      </c>
      <c r="C152" s="2" t="s">
        <v>388</v>
      </c>
      <c r="D152" s="2" t="str">
        <f t="shared" si="16"/>
        <v>nút cho kinh doanh tiếng nhật</v>
      </c>
      <c r="E152" s="3" t="str">
        <f t="shared" si="2"/>
        <v>Japanese open for business button</v>
      </c>
    </row>
    <row r="153" ht="15.75" customHeight="1">
      <c r="A153" s="1" t="s">
        <v>389</v>
      </c>
      <c r="B153" s="1" t="s">
        <v>390</v>
      </c>
      <c r="C153" s="2" t="s">
        <v>391</v>
      </c>
      <c r="D153" s="2" t="str">
        <f t="shared" si="16"/>
        <v>nút điểm đậu tiếng nhật</v>
      </c>
      <c r="E153" s="3" t="str">
        <f t="shared" si="2"/>
        <v>Japanese passing grade button</v>
      </c>
    </row>
    <row r="154" ht="15.75" customHeight="1">
      <c r="A154" s="1" t="s">
        <v>392</v>
      </c>
      <c r="B154" s="1" t="s">
        <v>393</v>
      </c>
      <c r="C154" s="2" t="str">
        <f>IFERROR(__xludf.DUMMYFUNCTION("GOOGLETRANSLATE(E154, ""en"",""vi"")"),"Bưu điện Nhật Bản")</f>
        <v>Bưu điện Nhật Bản</v>
      </c>
      <c r="D154" s="2" t="str">
        <f t="shared" si="16"/>
        <v>bưu điện nhật bản</v>
      </c>
      <c r="E154" s="3" t="str">
        <f t="shared" si="2"/>
        <v>Japanese post office</v>
      </c>
    </row>
    <row r="155" ht="15.75" customHeight="1">
      <c r="A155" s="1" t="s">
        <v>394</v>
      </c>
      <c r="B155" s="1" t="s">
        <v>395</v>
      </c>
      <c r="C155" s="2" t="s">
        <v>396</v>
      </c>
      <c r="D155" s="2" t="str">
        <f t="shared" si="16"/>
        <v>nút cấm tiếng nhật</v>
      </c>
      <c r="E155" s="3" t="str">
        <f t="shared" si="2"/>
        <v>Japanese prohibited button</v>
      </c>
    </row>
    <row r="156" ht="15.75" customHeight="1">
      <c r="A156" s="1" t="s">
        <v>397</v>
      </c>
      <c r="B156" s="1" t="s">
        <v>398</v>
      </c>
      <c r="C156" s="2" t="s">
        <v>399</v>
      </c>
      <c r="D156" s="2" t="str">
        <f t="shared" si="16"/>
        <v>nút dành riêng tiếng nhật</v>
      </c>
      <c r="E156" s="3" t="str">
        <f t="shared" si="2"/>
        <v>Japanese reserved button</v>
      </c>
    </row>
    <row r="157" ht="15.75" customHeight="1">
      <c r="A157" s="1" t="s">
        <v>400</v>
      </c>
      <c r="B157" s="1" t="s">
        <v>401</v>
      </c>
      <c r="C157" s="2" t="s">
        <v>402</v>
      </c>
      <c r="D157" s="2" t="str">
        <f t="shared" si="16"/>
        <v>nút bí mật tiếng nhật</v>
      </c>
      <c r="E157" s="3" t="str">
        <f t="shared" si="2"/>
        <v>Japanese secret button</v>
      </c>
    </row>
    <row r="158" ht="15.75" customHeight="1">
      <c r="A158" s="1" t="s">
        <v>403</v>
      </c>
      <c r="B158" s="1" t="s">
        <v>404</v>
      </c>
      <c r="C158" s="2" t="s">
        <v>405</v>
      </c>
      <c r="D158" s="2" t="str">
        <f t="shared" si="16"/>
        <v>nút phí phục vụ tiếng nhật</v>
      </c>
      <c r="E158" s="3" t="str">
        <f t="shared" si="2"/>
        <v>Japanese service charge button</v>
      </c>
    </row>
    <row r="159" ht="15.75" customHeight="1">
      <c r="A159" s="1" t="s">
        <v>406</v>
      </c>
      <c r="B159" s="1" t="s">
        <v>407</v>
      </c>
      <c r="C159" s="2" t="str">
        <f>IFERROR(__xludf.DUMMYFUNCTION("GOOGLETRANSLATE(E159, ""en"",""vi"")"),"Biểu tượng tiếng Nhật cho người mới bắt đầu")</f>
        <v>Biểu tượng tiếng Nhật cho người mới bắt đầu</v>
      </c>
      <c r="D159" s="2" t="str">
        <f t="shared" si="16"/>
        <v>biểu tượng tiếng nhật cho người mới bắt đầu</v>
      </c>
      <c r="E159" s="3" t="str">
        <f t="shared" si="2"/>
        <v>Japanese symbol for beginner</v>
      </c>
    </row>
    <row r="160" ht="15.75" customHeight="1">
      <c r="A160" s="1" t="s">
        <v>408</v>
      </c>
      <c r="B160" s="1" t="s">
        <v>409</v>
      </c>
      <c r="C160" s="2" t="s">
        <v>410</v>
      </c>
      <c r="D160" s="2" t="str">
        <f t="shared" si="16"/>
        <v>nút vị trí tuyển dụng tiếng nhật</v>
      </c>
      <c r="E160" s="3" t="str">
        <f t="shared" si="2"/>
        <v>Japanese vacancy button</v>
      </c>
    </row>
    <row r="161" ht="15.75" customHeight="1">
      <c r="A161" s="1" t="s">
        <v>411</v>
      </c>
      <c r="B161" s="1" t="s">
        <v>412</v>
      </c>
      <c r="C161" s="2" t="s">
        <v>413</v>
      </c>
      <c r="D161" s="2" t="str">
        <f t="shared" si="16"/>
        <v>jersey</v>
      </c>
      <c r="E161" s="3" t="str">
        <f t="shared" si="2"/>
        <v>Jersey</v>
      </c>
    </row>
    <row r="162" ht="15.75" customHeight="1">
      <c r="A162" s="1" t="s">
        <v>414</v>
      </c>
      <c r="B162" s="1" t="s">
        <v>415</v>
      </c>
      <c r="C162" s="2" t="str">
        <f>IFERROR(__xludf.DUMMYFUNCTION("GOOGLETRANSLATE(E162, ""en"",""vi"")"),"Jordan")</f>
        <v>Jordan</v>
      </c>
      <c r="D162" s="2" t="str">
        <f t="shared" si="16"/>
        <v>jordan</v>
      </c>
      <c r="E162" s="3" t="str">
        <f t="shared" si="2"/>
        <v>Jordan</v>
      </c>
    </row>
    <row r="163" ht="15.75" customHeight="1">
      <c r="A163" s="1" t="s">
        <v>416</v>
      </c>
      <c r="B163" s="1" t="s">
        <v>417</v>
      </c>
      <c r="C163" s="2" t="str">
        <f>IFERROR(__xludf.DUMMYFUNCTION("GOOGLETRANSLATE(E163, ""en"",""vi"")"),"Kazakhstan")</f>
        <v>Kazakhstan</v>
      </c>
      <c r="D163" s="2" t="str">
        <f t="shared" si="16"/>
        <v>kazakhstan</v>
      </c>
      <c r="E163" s="3" t="str">
        <f t="shared" si="2"/>
        <v>Kazakhstan</v>
      </c>
    </row>
    <row r="164" ht="15.75" customHeight="1">
      <c r="A164" s="1" t="s">
        <v>418</v>
      </c>
      <c r="B164" s="1" t="s">
        <v>419</v>
      </c>
      <c r="C164" s="2" t="str">
        <f>IFERROR(__xludf.DUMMYFUNCTION("GOOGLETRANSLATE(E164, ""en"",""vi"")"),"Kenya")</f>
        <v>Kenya</v>
      </c>
      <c r="D164" s="2" t="str">
        <f t="shared" si="16"/>
        <v>kenya</v>
      </c>
      <c r="E164" s="3" t="str">
        <f t="shared" si="2"/>
        <v>Kenya</v>
      </c>
    </row>
    <row r="165" ht="15.75" customHeight="1">
      <c r="A165" s="1" t="s">
        <v>420</v>
      </c>
      <c r="B165" s="1" t="s">
        <v>421</v>
      </c>
      <c r="C165" s="2" t="str">
        <f>IFERROR(__xludf.DUMMYFUNCTION("GOOGLETRANSLATE(E165, ""en"",""vi"")"),"Kiribati")</f>
        <v>Kiribati</v>
      </c>
      <c r="D165" s="2" t="str">
        <f t="shared" si="16"/>
        <v>kiribati</v>
      </c>
      <c r="E165" s="3" t="str">
        <f t="shared" si="2"/>
        <v>Kiribati</v>
      </c>
    </row>
    <row r="166" ht="15.75" customHeight="1">
      <c r="A166" s="1" t="s">
        <v>422</v>
      </c>
      <c r="B166" s="1" t="s">
        <v>423</v>
      </c>
      <c r="C166" s="2" t="str">
        <f>IFERROR(__xludf.DUMMYFUNCTION("GOOGLETRANSLATE(E166, ""en"",""vi"")"),"Kosovo")</f>
        <v>Kosovo</v>
      </c>
      <c r="D166" s="2" t="str">
        <f t="shared" si="16"/>
        <v>kosovo</v>
      </c>
      <c r="E166" s="3" t="str">
        <f t="shared" si="2"/>
        <v>Kosovo</v>
      </c>
    </row>
    <row r="167" ht="15.75" customHeight="1">
      <c r="A167" s="1" t="s">
        <v>424</v>
      </c>
      <c r="B167" s="1" t="s">
        <v>425</v>
      </c>
      <c r="C167" s="2" t="str">
        <f>IFERROR(__xludf.DUMMYFUNCTION("GOOGLETRANSLATE(E167, ""en"",""vi"")"),"Cô-oét")</f>
        <v>Cô-oét</v>
      </c>
      <c r="D167" s="2" t="str">
        <f t="shared" si="16"/>
        <v>cô-oét</v>
      </c>
      <c r="E167" s="3" t="str">
        <f t="shared" si="2"/>
        <v>Kuwait</v>
      </c>
    </row>
    <row r="168" ht="15.75" customHeight="1">
      <c r="A168" s="1" t="s">
        <v>426</v>
      </c>
      <c r="B168" s="1" t="s">
        <v>427</v>
      </c>
      <c r="C168" s="2" t="str">
        <f>IFERROR(__xludf.DUMMYFUNCTION("GOOGLETRANSLATE(E168, ""en"",""vi"")"),"Kyrgyzstan")</f>
        <v>Kyrgyzstan</v>
      </c>
      <c r="D168" s="2" t="str">
        <f t="shared" si="16"/>
        <v>kyrgyzstan</v>
      </c>
      <c r="E168" s="3" t="str">
        <f t="shared" si="2"/>
        <v>Kyrgyzstan</v>
      </c>
    </row>
    <row r="169" ht="15.75" customHeight="1">
      <c r="A169" s="1" t="s">
        <v>428</v>
      </c>
      <c r="B169" s="1" t="s">
        <v>429</v>
      </c>
      <c r="C169" s="2" t="str">
        <f>IFERROR(__xludf.DUMMYFUNCTION("GOOGLETRANSLATE(E169, ""en"",""vi"")"),"Lào")</f>
        <v>Lào</v>
      </c>
      <c r="D169" s="2" t="str">
        <f t="shared" si="16"/>
        <v>lào</v>
      </c>
      <c r="E169" s="3" t="str">
        <f t="shared" si="2"/>
        <v>Laos</v>
      </c>
    </row>
    <row r="170" ht="15.75" customHeight="1">
      <c r="A170" s="1" t="s">
        <v>430</v>
      </c>
      <c r="B170" s="1" t="s">
        <v>431</v>
      </c>
      <c r="C170" s="2" t="str">
        <f>IFERROR(__xludf.DUMMYFUNCTION("GOOGLETRANSLATE(E170, ""en"",""vi"")"),"Latvia")</f>
        <v>Latvia</v>
      </c>
      <c r="D170" s="2" t="str">
        <f t="shared" si="16"/>
        <v>latvia</v>
      </c>
      <c r="E170" s="3" t="str">
        <f t="shared" si="2"/>
        <v>Latvia</v>
      </c>
    </row>
    <row r="171" ht="15.75" customHeight="1">
      <c r="A171" s="1" t="s">
        <v>432</v>
      </c>
      <c r="B171" s="1" t="s">
        <v>433</v>
      </c>
      <c r="C171" s="2" t="s">
        <v>434</v>
      </c>
      <c r="D171" s="2" t="str">
        <f t="shared" si="16"/>
        <v>li băng</v>
      </c>
      <c r="E171" s="3" t="str">
        <f t="shared" si="2"/>
        <v>Lebanon</v>
      </c>
    </row>
    <row r="172" ht="15.75" customHeight="1">
      <c r="A172" s="1" t="s">
        <v>435</v>
      </c>
      <c r="B172" s="1" t="s">
        <v>436</v>
      </c>
      <c r="C172" s="2" t="str">
        <f>IFERROR(__xludf.DUMMYFUNCTION("GOOGLETRANSLATE(E172, ""en"",""vi"")"),"Sư Tử")</f>
        <v>Sư Tử</v>
      </c>
      <c r="D172" s="2" t="str">
        <f t="shared" si="16"/>
        <v>sư tử</v>
      </c>
      <c r="E172" s="3" t="str">
        <f t="shared" si="2"/>
        <v>Leo</v>
      </c>
    </row>
    <row r="173" ht="15.75" customHeight="1">
      <c r="A173" s="1" t="s">
        <v>437</v>
      </c>
      <c r="B173" s="1" t="s">
        <v>438</v>
      </c>
      <c r="C173" s="2" t="str">
        <f>IFERROR(__xludf.DUMMYFUNCTION("GOOGLETRANSLATE(E173, ""en"",""vi"")"),"Lesotho")</f>
        <v>Lesotho</v>
      </c>
      <c r="D173" s="2" t="str">
        <f t="shared" si="16"/>
        <v>lesotho</v>
      </c>
      <c r="E173" s="3" t="str">
        <f t="shared" si="2"/>
        <v>Lesotho</v>
      </c>
    </row>
    <row r="174" ht="15.75" customHeight="1">
      <c r="A174" s="1" t="s">
        <v>439</v>
      </c>
      <c r="B174" s="1" t="s">
        <v>440</v>
      </c>
      <c r="C174" s="2" t="str">
        <f>IFERROR(__xludf.DUMMYFUNCTION("GOOGLETRANSLATE(E174, ""en"",""vi"")"),"Li-bê-ri-a")</f>
        <v>Li-bê-ri-a</v>
      </c>
      <c r="D174" s="2" t="str">
        <f t="shared" si="16"/>
        <v>li-bê-ri-a</v>
      </c>
      <c r="E174" s="3" t="str">
        <f t="shared" si="2"/>
        <v>Liberia</v>
      </c>
    </row>
    <row r="175" ht="15.75" customHeight="1">
      <c r="A175" s="1" t="s">
        <v>441</v>
      </c>
      <c r="B175" s="1" t="s">
        <v>442</v>
      </c>
      <c r="C175" s="2" t="str">
        <f>IFERROR(__xludf.DUMMYFUNCTION("GOOGLETRANSLATE(E175, ""en"",""vi"")"),"Thiên Bình")</f>
        <v>Thiên Bình</v>
      </c>
      <c r="D175" s="2" t="str">
        <f t="shared" si="16"/>
        <v>thiên bình</v>
      </c>
      <c r="E175" s="3" t="str">
        <f t="shared" si="2"/>
        <v>Libra</v>
      </c>
    </row>
    <row r="176" ht="15.75" customHeight="1">
      <c r="A176" s="1" t="s">
        <v>443</v>
      </c>
      <c r="B176" s="1" t="s">
        <v>444</v>
      </c>
      <c r="C176" s="2" t="str">
        <f>IFERROR(__xludf.DUMMYFUNCTION("GOOGLETRANSLATE(E176, ""en"",""vi"")"),"Libi")</f>
        <v>Libi</v>
      </c>
      <c r="D176" s="2" t="str">
        <f t="shared" si="16"/>
        <v>libi</v>
      </c>
      <c r="E176" s="3" t="str">
        <f t="shared" si="2"/>
        <v>Libya</v>
      </c>
    </row>
    <row r="177" ht="15.75" customHeight="1">
      <c r="A177" s="1" t="s">
        <v>445</v>
      </c>
      <c r="B177" s="1" t="s">
        <v>446</v>
      </c>
      <c r="C177" s="2" t="str">
        <f>IFERROR(__xludf.DUMMYFUNCTION("GOOGLETRANSLATE(E177, ""en"",""vi"")"),"Liechtenstein")</f>
        <v>Liechtenstein</v>
      </c>
      <c r="D177" s="2" t="str">
        <f t="shared" si="16"/>
        <v>liechtenstein</v>
      </c>
      <c r="E177" s="3" t="str">
        <f t="shared" si="2"/>
        <v>Liechtenstein</v>
      </c>
    </row>
    <row r="178" ht="15.75" customHeight="1">
      <c r="A178" s="1" t="s">
        <v>447</v>
      </c>
      <c r="B178" s="1" t="s">
        <v>448</v>
      </c>
      <c r="C178" s="2" t="str">
        <f>IFERROR(__xludf.DUMMYFUNCTION("GOOGLETRANSLATE(E178, ""en"",""vi"")"),"Litva")</f>
        <v>Litva</v>
      </c>
      <c r="D178" s="2" t="str">
        <f t="shared" si="16"/>
        <v>litva</v>
      </c>
      <c r="E178" s="3" t="str">
        <f t="shared" si="2"/>
        <v>Lithuania</v>
      </c>
    </row>
    <row r="179" ht="15.75" customHeight="1">
      <c r="A179" s="1" t="s">
        <v>449</v>
      </c>
      <c r="B179" s="1" t="s">
        <v>450</v>
      </c>
      <c r="C179" s="2" t="str">
        <f>IFERROR(__xludf.DUMMYFUNCTION("GOOGLETRANSLATE(E179, ""en"",""vi"")"),"Luxemburg")</f>
        <v>Luxemburg</v>
      </c>
      <c r="D179" s="2" t="str">
        <f t="shared" si="16"/>
        <v>luxemburg</v>
      </c>
      <c r="E179" s="3" t="str">
        <f t="shared" si="2"/>
        <v>Luxembourg</v>
      </c>
    </row>
    <row r="180" ht="15.75" customHeight="1">
      <c r="A180" s="1" t="s">
        <v>451</v>
      </c>
      <c r="B180" s="1" t="s">
        <v>452</v>
      </c>
      <c r="C180" s="2" t="s">
        <v>453</v>
      </c>
      <c r="D180" s="2" t="str">
        <f t="shared" si="16"/>
        <v>macao trung quốc</v>
      </c>
      <c r="E180" s="3" t="str">
        <f t="shared" si="2"/>
        <v>Macao SAR China</v>
      </c>
    </row>
    <row r="181" ht="15.75" customHeight="1">
      <c r="A181" s="1" t="s">
        <v>454</v>
      </c>
      <c r="B181" s="1" t="s">
        <v>455</v>
      </c>
      <c r="C181" s="2" t="str">
        <f>IFERROR(__xludf.DUMMYFUNCTION("GOOGLETRANSLATE(E181, ""en"",""vi"")"),"Madagascar")</f>
        <v>Madagascar</v>
      </c>
      <c r="D181" s="2" t="str">
        <f t="shared" si="16"/>
        <v>madagascar</v>
      </c>
      <c r="E181" s="3" t="str">
        <f t="shared" si="2"/>
        <v>Madagascar</v>
      </c>
    </row>
    <row r="182" ht="15.75" customHeight="1">
      <c r="A182" s="1" t="s">
        <v>456</v>
      </c>
      <c r="B182" s="1" t="s">
        <v>457</v>
      </c>
      <c r="C182" s="2" t="str">
        <f>IFERROR(__xludf.DUMMYFUNCTION("GOOGLETRANSLATE(E182, ""en"",""vi"")"),"Malawi")</f>
        <v>Malawi</v>
      </c>
      <c r="D182" s="2" t="str">
        <f t="shared" si="16"/>
        <v>malawi</v>
      </c>
      <c r="E182" s="3" t="str">
        <f t="shared" si="2"/>
        <v>Malawi</v>
      </c>
    </row>
    <row r="183" ht="15.75" customHeight="1">
      <c r="A183" s="1" t="s">
        <v>458</v>
      </c>
      <c r="B183" s="1" t="s">
        <v>459</v>
      </c>
      <c r="C183" s="2" t="str">
        <f>IFERROR(__xludf.DUMMYFUNCTION("GOOGLETRANSLATE(E183, ""en"",""vi"")"),"Mã Lai")</f>
        <v>Mã Lai</v>
      </c>
      <c r="D183" s="2" t="str">
        <f t="shared" si="16"/>
        <v>mã lai</v>
      </c>
      <c r="E183" s="3" t="str">
        <f t="shared" si="2"/>
        <v>Malaysia</v>
      </c>
    </row>
    <row r="184" ht="15.75" customHeight="1">
      <c r="A184" s="1" t="s">
        <v>460</v>
      </c>
      <c r="B184" s="1" t="s">
        <v>461</v>
      </c>
      <c r="C184" s="2" t="str">
        <f>IFERROR(__xludf.DUMMYFUNCTION("GOOGLETRANSLATE(E184, ""en"",""vi"")"),"Maldives")</f>
        <v>Maldives</v>
      </c>
      <c r="D184" s="2" t="str">
        <f t="shared" si="16"/>
        <v>maldives</v>
      </c>
      <c r="E184" s="3" t="str">
        <f t="shared" si="2"/>
        <v>Maldives</v>
      </c>
    </row>
    <row r="185" ht="15.75" customHeight="1">
      <c r="A185" s="1" t="s">
        <v>462</v>
      </c>
      <c r="B185" s="1" t="s">
        <v>463</v>
      </c>
      <c r="C185" s="2" t="str">
        <f>IFERROR(__xludf.DUMMYFUNCTION("GOOGLETRANSLATE(E185, ""en"",""vi"")"),"Ma-li")</f>
        <v>Ma-li</v>
      </c>
      <c r="D185" s="2" t="str">
        <f t="shared" si="16"/>
        <v>ma-li</v>
      </c>
      <c r="E185" s="3" t="str">
        <f t="shared" si="2"/>
        <v>Mali</v>
      </c>
    </row>
    <row r="186" ht="15.75" customHeight="1">
      <c r="A186" s="1" t="s">
        <v>464</v>
      </c>
      <c r="B186" s="1" t="s">
        <v>465</v>
      </c>
      <c r="C186" s="2" t="str">
        <f>IFERROR(__xludf.DUMMYFUNCTION("GOOGLETRANSLATE(E186, ""en"",""vi"")"),"Malta")</f>
        <v>Malta</v>
      </c>
      <c r="D186" s="2" t="str">
        <f t="shared" si="16"/>
        <v>malta</v>
      </c>
      <c r="E186" s="3" t="str">
        <f t="shared" si="2"/>
        <v>Malta</v>
      </c>
    </row>
    <row r="187" ht="15.75" customHeight="1">
      <c r="A187" s="1" t="s">
        <v>466</v>
      </c>
      <c r="B187" s="1" t="s">
        <v>467</v>
      </c>
      <c r="C187" s="2" t="str">
        <f>IFERROR(__xludf.DUMMYFUNCTION("GOOGLETRANSLATE(E187, ""en"",""vi"")"),"Quần đảo Marshall")</f>
        <v>Quần đảo Marshall</v>
      </c>
      <c r="D187" s="2" t="str">
        <f t="shared" si="16"/>
        <v>quần đảo marshall</v>
      </c>
      <c r="E187" s="3" t="str">
        <f t="shared" si="2"/>
        <v>Marshall Islands</v>
      </c>
    </row>
    <row r="188" ht="15.75" customHeight="1">
      <c r="A188" s="1" t="s">
        <v>468</v>
      </c>
      <c r="B188" s="1" t="s">
        <v>469</v>
      </c>
      <c r="C188" s="2" t="str">
        <f>IFERROR(__xludf.DUMMYFUNCTION("GOOGLETRANSLATE(E188, ""en"",""vi"")"),"Martinique")</f>
        <v>Martinique</v>
      </c>
      <c r="D188" s="2" t="str">
        <f t="shared" si="16"/>
        <v>martinique</v>
      </c>
      <c r="E188" s="3" t="str">
        <f t="shared" si="2"/>
        <v>Martinique</v>
      </c>
    </row>
    <row r="189" ht="15.75" customHeight="1">
      <c r="A189" s="1" t="s">
        <v>470</v>
      </c>
      <c r="B189" s="1" t="s">
        <v>471</v>
      </c>
      <c r="C189" s="2" t="str">
        <f>IFERROR(__xludf.DUMMYFUNCTION("GOOGLETRANSLATE(E189, ""en"",""vi"")"),"Mauritanie")</f>
        <v>Mauritanie</v>
      </c>
      <c r="D189" s="2" t="str">
        <f t="shared" si="16"/>
        <v>mauritanie</v>
      </c>
      <c r="E189" s="3" t="str">
        <f t="shared" si="2"/>
        <v>Mauritania</v>
      </c>
    </row>
    <row r="190" ht="15.75" customHeight="1">
      <c r="A190" s="1" t="s">
        <v>472</v>
      </c>
      <c r="B190" s="1" t="s">
        <v>473</v>
      </c>
      <c r="C190" s="2" t="str">
        <f>IFERROR(__xludf.DUMMYFUNCTION("GOOGLETRANSLATE(E190, ""en"",""vi"")"),"Ma-ri-xơ")</f>
        <v>Ma-ri-xơ</v>
      </c>
      <c r="D190" s="2" t="str">
        <f t="shared" si="16"/>
        <v>ma-ri-xơ</v>
      </c>
      <c r="E190" s="3" t="str">
        <f t="shared" si="2"/>
        <v>Mauritius</v>
      </c>
    </row>
    <row r="191" ht="15.75" customHeight="1">
      <c r="A191" s="1" t="s">
        <v>474</v>
      </c>
      <c r="B191" s="1" t="s">
        <v>475</v>
      </c>
      <c r="C191" s="2" t="str">
        <f>IFERROR(__xludf.DUMMYFUNCTION("GOOGLETRANSLATE(E191, ""en"",""vi"")"),"Mayotte")</f>
        <v>Mayotte</v>
      </c>
      <c r="D191" s="2" t="str">
        <f t="shared" si="16"/>
        <v>mayotte</v>
      </c>
      <c r="E191" s="3" t="str">
        <f t="shared" si="2"/>
        <v>Mayotte</v>
      </c>
    </row>
    <row r="192" ht="15.75" customHeight="1">
      <c r="A192" s="1" t="s">
        <v>476</v>
      </c>
      <c r="B192" s="1" t="s">
        <v>477</v>
      </c>
      <c r="C192" s="2" t="str">
        <f>IFERROR(__xludf.DUMMYFUNCTION("GOOGLETRANSLATE(E192, ""en"",""vi"")"),"Mêhicô")</f>
        <v>Mêhicô</v>
      </c>
      <c r="D192" s="2" t="str">
        <f t="shared" si="16"/>
        <v>mêhicô</v>
      </c>
      <c r="E192" s="3" t="str">
        <f t="shared" si="2"/>
        <v>Mexico</v>
      </c>
    </row>
    <row r="193" ht="15.75" customHeight="1">
      <c r="A193" s="1" t="s">
        <v>478</v>
      </c>
      <c r="B193" s="1" t="s">
        <v>479</v>
      </c>
      <c r="C193" s="2" t="str">
        <f>IFERROR(__xludf.DUMMYFUNCTION("GOOGLETRANSLATE(E193, ""en"",""vi"")"),"Micronesia")</f>
        <v>Micronesia</v>
      </c>
      <c r="D193" s="2" t="str">
        <f t="shared" si="16"/>
        <v>micronesia</v>
      </c>
      <c r="E193" s="3" t="str">
        <f t="shared" si="2"/>
        <v>Micronesia</v>
      </c>
    </row>
    <row r="194" ht="15.75" customHeight="1">
      <c r="A194" s="1" t="s">
        <v>480</v>
      </c>
      <c r="B194" s="1" t="s">
        <v>481</v>
      </c>
      <c r="C194" s="2" t="str">
        <f>IFERROR(__xludf.DUMMYFUNCTION("GOOGLETRANSLATE(E194, ""en"",""vi"")"),"Moldova")</f>
        <v>Moldova</v>
      </c>
      <c r="D194" s="2" t="str">
        <f t="shared" si="16"/>
        <v>moldova</v>
      </c>
      <c r="E194" s="3" t="str">
        <f t="shared" si="2"/>
        <v>Moldova</v>
      </c>
    </row>
    <row r="195" ht="15.75" customHeight="1">
      <c r="A195" s="1" t="s">
        <v>482</v>
      </c>
      <c r="B195" s="1" t="s">
        <v>483</v>
      </c>
      <c r="C195" s="2" t="str">
        <f>IFERROR(__xludf.DUMMYFUNCTION("GOOGLETRANSLATE(E195, ""en"",""vi"")"),"Monaco")</f>
        <v>Monaco</v>
      </c>
      <c r="D195" s="2" t="str">
        <f t="shared" si="16"/>
        <v>monaco</v>
      </c>
      <c r="E195" s="3" t="str">
        <f t="shared" si="2"/>
        <v>Monaco</v>
      </c>
    </row>
    <row r="196" ht="15.75" customHeight="1">
      <c r="A196" s="1" t="s">
        <v>484</v>
      </c>
      <c r="B196" s="1" t="s">
        <v>485</v>
      </c>
      <c r="C196" s="2" t="str">
        <f>IFERROR(__xludf.DUMMYFUNCTION("GOOGLETRANSLATE(E196, ""en"",""vi"")"),"Mông Cổ")</f>
        <v>Mông Cổ</v>
      </c>
      <c r="D196" s="2" t="str">
        <f t="shared" si="16"/>
        <v>mông cổ</v>
      </c>
      <c r="E196" s="3" t="str">
        <f t="shared" si="2"/>
        <v>Mongolia</v>
      </c>
    </row>
    <row r="197" ht="15.75" customHeight="1">
      <c r="A197" s="1" t="s">
        <v>486</v>
      </c>
      <c r="B197" s="1" t="s">
        <v>487</v>
      </c>
      <c r="C197" s="2" t="str">
        <f>IFERROR(__xludf.DUMMYFUNCTION("GOOGLETRANSLATE(E197, ""en"",""vi"")"),"Montenegro")</f>
        <v>Montenegro</v>
      </c>
      <c r="D197" s="2" t="str">
        <f t="shared" si="16"/>
        <v>montenegro</v>
      </c>
      <c r="E197" s="3" t="str">
        <f t="shared" si="2"/>
        <v>Montenegro</v>
      </c>
    </row>
    <row r="198" ht="15.75" customHeight="1">
      <c r="A198" s="1" t="s">
        <v>488</v>
      </c>
      <c r="B198" s="1" t="s">
        <v>489</v>
      </c>
      <c r="C198" s="2" t="str">
        <f>IFERROR(__xludf.DUMMYFUNCTION("GOOGLETRANSLATE(E198, ""en"",""vi"")"),"Montserrat")</f>
        <v>Montserrat</v>
      </c>
      <c r="D198" s="2" t="str">
        <f t="shared" si="16"/>
        <v>montserrat</v>
      </c>
      <c r="E198" s="3" t="str">
        <f t="shared" si="2"/>
        <v>Montserrat</v>
      </c>
    </row>
    <row r="199" ht="15.75" customHeight="1">
      <c r="A199" s="1" t="s">
        <v>490</v>
      </c>
      <c r="B199" s="1" t="s">
        <v>491</v>
      </c>
      <c r="C199" s="2" t="s">
        <v>492</v>
      </c>
      <c r="D199" s="2" t="str">
        <f t="shared" si="16"/>
        <v>maroc</v>
      </c>
      <c r="E199" s="3" t="str">
        <f t="shared" si="2"/>
        <v>Morocco</v>
      </c>
    </row>
    <row r="200" ht="15.75" customHeight="1">
      <c r="A200" s="1" t="s">
        <v>493</v>
      </c>
      <c r="B200" s="1" t="s">
        <v>494</v>
      </c>
      <c r="C200" s="2" t="str">
        <f>IFERROR(__xludf.DUMMYFUNCTION("GOOGLETRANSLATE(E200, ""en"",""vi"")"),"Mô-dăm-bích")</f>
        <v>Mô-dăm-bích</v>
      </c>
      <c r="D200" s="2" t="str">
        <f t="shared" si="16"/>
        <v>mô-dăm-bích</v>
      </c>
      <c r="E200" s="3" t="str">
        <f t="shared" si="2"/>
        <v>Mozambique</v>
      </c>
    </row>
    <row r="201" ht="15.75" customHeight="1">
      <c r="A201" s="1" t="s">
        <v>495</v>
      </c>
      <c r="B201" s="1" t="s">
        <v>496</v>
      </c>
      <c r="C201" s="2" t="str">
        <f>IFERROR(__xludf.DUMMYFUNCTION("GOOGLETRANSLATE(E201, ""en"",""vi"")"),"Bà già Noel")</f>
        <v>Bà già Noel</v>
      </c>
      <c r="D201" s="2" t="s">
        <v>497</v>
      </c>
      <c r="E201" s="3" t="str">
        <f t="shared" si="2"/>
        <v>Mrs. Claus</v>
      </c>
    </row>
    <row r="202" ht="15.75" customHeight="1">
      <c r="A202" s="1" t="s">
        <v>498</v>
      </c>
      <c r="B202" s="1" t="s">
        <v>499</v>
      </c>
      <c r="C202" s="2" t="str">
        <f>IFERROR(__xludf.DUMMYFUNCTION("GOOGLETRANSLATE(E202, ""en"",""vi"")"),"Bà Claus có làn da sẫm màu")</f>
        <v>Bà Claus có làn da sẫm màu</v>
      </c>
      <c r="D202" s="2" t="s">
        <v>500</v>
      </c>
      <c r="E202" s="3" t="str">
        <f t="shared" si="2"/>
        <v>Mrs. Claus dark skin tone</v>
      </c>
    </row>
    <row r="203" ht="15.75" customHeight="1">
      <c r="A203" s="1" t="s">
        <v>501</v>
      </c>
      <c r="B203" s="1" t="s">
        <v>502</v>
      </c>
      <c r="C203" s="2" t="str">
        <f>IFERROR(__xludf.DUMMYFUNCTION("GOOGLETRANSLATE(E203, ""en"",""vi"")"),"Bà Claus có làn da sáng")</f>
        <v>Bà Claus có làn da sáng</v>
      </c>
      <c r="D203" s="2" t="s">
        <v>503</v>
      </c>
      <c r="E203" s="3" t="str">
        <f t="shared" si="2"/>
        <v>Mrs. Claus light skin tone</v>
      </c>
    </row>
    <row r="204" ht="15.75" customHeight="1">
      <c r="A204" s="1" t="s">
        <v>504</v>
      </c>
      <c r="B204" s="1" t="s">
        <v>505</v>
      </c>
      <c r="C204" s="2" t="s">
        <v>506</v>
      </c>
      <c r="D204" s="2" t="s">
        <v>507</v>
      </c>
      <c r="E204" s="3" t="str">
        <f t="shared" si="2"/>
        <v>Mrs. Claus medium-dark skin tone</v>
      </c>
    </row>
    <row r="205" ht="15.75" customHeight="1">
      <c r="A205" s="1" t="s">
        <v>508</v>
      </c>
      <c r="B205" s="1" t="s">
        <v>509</v>
      </c>
      <c r="C205" s="2" t="s">
        <v>510</v>
      </c>
      <c r="D205" s="2" t="s">
        <v>511</v>
      </c>
      <c r="E205" s="3" t="str">
        <f t="shared" si="2"/>
        <v>Mrs. Claus medium-light skin tone</v>
      </c>
    </row>
    <row r="206" ht="15.75" customHeight="1">
      <c r="A206" s="1" t="s">
        <v>512</v>
      </c>
      <c r="B206" s="1" t="s">
        <v>513</v>
      </c>
      <c r="C206" s="2" t="s">
        <v>514</v>
      </c>
      <c r="D206" s="2" t="s">
        <v>515</v>
      </c>
      <c r="E206" s="3" t="str">
        <f t="shared" si="2"/>
        <v>Mrs. Claus medium skin tone</v>
      </c>
    </row>
    <row r="207" ht="15.75" customHeight="1">
      <c r="A207" s="1" t="s">
        <v>516</v>
      </c>
      <c r="B207" s="1" t="s">
        <v>517</v>
      </c>
      <c r="C207" s="2" t="str">
        <f>IFERROR(__xludf.DUMMYFUNCTION("GOOGLETRANSLATE(E207, ""en"",""vi"")"),"Myanmar (Miến Điện)")</f>
        <v>Myanmar (Miến Điện)</v>
      </c>
      <c r="D207" s="2" t="str">
        <f t="shared" ref="D207:D208" si="17">LOWER(C207)</f>
        <v>myanmar (miến điện)</v>
      </c>
      <c r="E207" s="3" t="str">
        <f t="shared" si="2"/>
        <v>Myanmar (Burma)</v>
      </c>
    </row>
    <row r="208" ht="15.75" customHeight="1">
      <c r="A208" s="1" t="s">
        <v>518</v>
      </c>
      <c r="B208" s="1" t="s">
        <v>519</v>
      </c>
      <c r="C208" s="2" t="str">
        <f>IFERROR(__xludf.DUMMYFUNCTION("GOOGLETRANSLATE(E208, ""en"",""vi"")"),"Nút MỚI")</f>
        <v>Nút MỚI</v>
      </c>
      <c r="D208" s="2" t="str">
        <f t="shared" si="17"/>
        <v>nút mới</v>
      </c>
      <c r="E208" s="3" t="str">
        <f t="shared" si="2"/>
        <v>NEW button</v>
      </c>
    </row>
    <row r="209" ht="15.75" customHeight="1">
      <c r="A209" s="1" t="s">
        <v>520</v>
      </c>
      <c r="B209" s="1" t="s">
        <v>521</v>
      </c>
      <c r="C209" s="2" t="str">
        <f>IFERROR(__xludf.DUMMYFUNCTION("GOOGLETRANSLATE(E209, ""en"",""vi"")"),"Nút NG")</f>
        <v>Nút NG</v>
      </c>
      <c r="D209" s="2" t="s">
        <v>522</v>
      </c>
      <c r="E209" s="3" t="str">
        <f t="shared" si="2"/>
        <v>NG button</v>
      </c>
    </row>
    <row r="210" ht="15.75" customHeight="1">
      <c r="A210" s="1" t="s">
        <v>523</v>
      </c>
      <c r="B210" s="1" t="s">
        <v>524</v>
      </c>
      <c r="C210" s="2" t="str">
        <f>IFERROR(__xludf.DUMMYFUNCTION("GOOGLETRANSLATE(E210, ""en"",""vi"")"),"Namibia")</f>
        <v>Namibia</v>
      </c>
      <c r="D210" s="2" t="str">
        <f t="shared" ref="D210:D259" si="18">LOWER(C210)</f>
        <v>namibia</v>
      </c>
      <c r="E210" s="3" t="str">
        <f t="shared" si="2"/>
        <v>Namibia</v>
      </c>
    </row>
    <row r="211" ht="15.75" customHeight="1">
      <c r="A211" s="1" t="s">
        <v>525</v>
      </c>
      <c r="B211" s="1" t="s">
        <v>526</v>
      </c>
      <c r="C211" s="2" t="str">
        <f>IFERROR(__xludf.DUMMYFUNCTION("GOOGLETRANSLATE(E211, ""en"",""vi"")"),"Nauru")</f>
        <v>Nauru</v>
      </c>
      <c r="D211" s="2" t="str">
        <f t="shared" si="18"/>
        <v>nauru</v>
      </c>
      <c r="E211" s="3" t="str">
        <f t="shared" si="2"/>
        <v>Nauru</v>
      </c>
    </row>
    <row r="212" ht="15.75" customHeight="1">
      <c r="A212" s="1" t="s">
        <v>527</v>
      </c>
      <c r="B212" s="1" t="s">
        <v>528</v>
      </c>
      <c r="C212" s="2" t="str">
        <f>IFERROR(__xludf.DUMMYFUNCTION("GOOGLETRANSLATE(E212, ""en"",""vi"")"),"Nê-pan")</f>
        <v>Nê-pan</v>
      </c>
      <c r="D212" s="2" t="str">
        <f t="shared" si="18"/>
        <v>nê-pan</v>
      </c>
      <c r="E212" s="3" t="str">
        <f t="shared" si="2"/>
        <v>Nepal</v>
      </c>
    </row>
    <row r="213" ht="15.75" customHeight="1">
      <c r="A213" s="1" t="s">
        <v>529</v>
      </c>
      <c r="B213" s="1" t="s">
        <v>530</v>
      </c>
      <c r="C213" s="2" t="str">
        <f>IFERROR(__xludf.DUMMYFUNCTION("GOOGLETRANSLATE(E213, ""en"",""vi"")"),"Hà Lan")</f>
        <v>Hà Lan</v>
      </c>
      <c r="D213" s="2" t="str">
        <f t="shared" si="18"/>
        <v>hà lan</v>
      </c>
      <c r="E213" s="3" t="str">
        <f t="shared" si="2"/>
        <v>Netherlands</v>
      </c>
    </row>
    <row r="214" ht="15.75" customHeight="1">
      <c r="A214" s="1" t="s">
        <v>531</v>
      </c>
      <c r="B214" s="1" t="s">
        <v>532</v>
      </c>
      <c r="C214" s="2" t="str">
        <f>IFERROR(__xludf.DUMMYFUNCTION("GOOGLETRANSLATE(E214, ""en"",""vi"")"),"Tân Caledonia")</f>
        <v>Tân Caledonia</v>
      </c>
      <c r="D214" s="2" t="str">
        <f t="shared" si="18"/>
        <v>tân caledonia</v>
      </c>
      <c r="E214" s="3" t="str">
        <f t="shared" si="2"/>
        <v>New Caledonia</v>
      </c>
    </row>
    <row r="215" ht="15.75" customHeight="1">
      <c r="A215" s="1" t="s">
        <v>533</v>
      </c>
      <c r="B215" s="1" t="s">
        <v>534</v>
      </c>
      <c r="C215" s="2" t="str">
        <f>IFERROR(__xludf.DUMMYFUNCTION("GOOGLETRANSLATE(E215, ""en"",""vi"")"),"New Zealand")</f>
        <v>New Zealand</v>
      </c>
      <c r="D215" s="2" t="str">
        <f t="shared" si="18"/>
        <v>new zealand</v>
      </c>
      <c r="E215" s="3" t="str">
        <f t="shared" si="2"/>
        <v>New Zealand</v>
      </c>
    </row>
    <row r="216" ht="15.75" customHeight="1">
      <c r="A216" s="1" t="s">
        <v>535</v>
      </c>
      <c r="B216" s="1" t="s">
        <v>536</v>
      </c>
      <c r="C216" s="2" t="str">
        <f>IFERROR(__xludf.DUMMYFUNCTION("GOOGLETRANSLATE(E216, ""en"",""vi"")"),"Nicaragua")</f>
        <v>Nicaragua</v>
      </c>
      <c r="D216" s="2" t="str">
        <f t="shared" si="18"/>
        <v>nicaragua</v>
      </c>
      <c r="E216" s="3" t="str">
        <f t="shared" si="2"/>
        <v>Nicaragua</v>
      </c>
    </row>
    <row r="217" ht="15.75" customHeight="1">
      <c r="A217" s="1" t="s">
        <v>537</v>
      </c>
      <c r="B217" s="1" t="s">
        <v>538</v>
      </c>
      <c r="C217" s="2" t="str">
        <f>IFERROR(__xludf.DUMMYFUNCTION("GOOGLETRANSLATE(E217, ""en"",""vi"")"),"Niger")</f>
        <v>Niger</v>
      </c>
      <c r="D217" s="2" t="str">
        <f t="shared" si="18"/>
        <v>niger</v>
      </c>
      <c r="E217" s="3" t="str">
        <f t="shared" si="2"/>
        <v>Niger</v>
      </c>
    </row>
    <row r="218" ht="15.75" customHeight="1">
      <c r="A218" s="1" t="s">
        <v>539</v>
      </c>
      <c r="B218" s="1" t="s">
        <v>540</v>
      </c>
      <c r="C218" s="2" t="str">
        <f>IFERROR(__xludf.DUMMYFUNCTION("GOOGLETRANSLATE(E218, ""en"",""vi"")"),"Nigeria")</f>
        <v>Nigeria</v>
      </c>
      <c r="D218" s="2" t="str">
        <f t="shared" si="18"/>
        <v>nigeria</v>
      </c>
      <c r="E218" s="3" t="str">
        <f t="shared" si="2"/>
        <v>Nigeria</v>
      </c>
    </row>
    <row r="219" ht="15.75" customHeight="1">
      <c r="A219" s="1" t="s">
        <v>541</v>
      </c>
      <c r="B219" s="1" t="s">
        <v>542</v>
      </c>
      <c r="C219" s="2" t="str">
        <f>IFERROR(__xludf.DUMMYFUNCTION("GOOGLETRANSLATE(E219, ""en"",""vi"")"),"Niue")</f>
        <v>Niue</v>
      </c>
      <c r="D219" s="2" t="str">
        <f t="shared" si="18"/>
        <v>niue</v>
      </c>
      <c r="E219" s="3" t="str">
        <f t="shared" si="2"/>
        <v>Niue</v>
      </c>
    </row>
    <row r="220" ht="15.75" customHeight="1">
      <c r="A220" s="1" t="s">
        <v>543</v>
      </c>
      <c r="B220" s="1" t="s">
        <v>544</v>
      </c>
      <c r="C220" s="2" t="str">
        <f>IFERROR(__xludf.DUMMYFUNCTION("GOOGLETRANSLATE(E220, ""en"",""vi"")"),"Đảo Norfolk")</f>
        <v>Đảo Norfolk</v>
      </c>
      <c r="D220" s="2" t="str">
        <f t="shared" si="18"/>
        <v>đảo norfolk</v>
      </c>
      <c r="E220" s="3" t="str">
        <f t="shared" si="2"/>
        <v>Norfolk Island</v>
      </c>
    </row>
    <row r="221" ht="15.75" customHeight="1">
      <c r="A221" s="1" t="s">
        <v>545</v>
      </c>
      <c r="B221" s="1" t="s">
        <v>546</v>
      </c>
      <c r="C221" s="2" t="str">
        <f>IFERROR(__xludf.DUMMYFUNCTION("GOOGLETRANSLATE(E221, ""en"",""vi"")"),"Bắc Triều Tiên")</f>
        <v>Bắc Triều Tiên</v>
      </c>
      <c r="D221" s="2" t="str">
        <f t="shared" si="18"/>
        <v>bắc triều tiên</v>
      </c>
      <c r="E221" s="3" t="str">
        <f t="shared" si="2"/>
        <v>North Korea</v>
      </c>
    </row>
    <row r="222" ht="15.75" customHeight="1">
      <c r="A222" s="1" t="s">
        <v>547</v>
      </c>
      <c r="B222" s="1" t="s">
        <v>548</v>
      </c>
      <c r="C222" s="2" t="str">
        <f>IFERROR(__xludf.DUMMYFUNCTION("GOOGLETRANSLATE(E222, ""en"",""vi"")"),"Bắc Macedonia")</f>
        <v>Bắc Macedonia</v>
      </c>
      <c r="D222" s="2" t="str">
        <f t="shared" si="18"/>
        <v>bắc macedonia</v>
      </c>
      <c r="E222" s="3" t="str">
        <f t="shared" si="2"/>
        <v>North Macedonia</v>
      </c>
    </row>
    <row r="223" ht="15.75" customHeight="1">
      <c r="A223" s="1" t="s">
        <v>549</v>
      </c>
      <c r="B223" s="1" t="s">
        <v>550</v>
      </c>
      <c r="C223" s="2" t="str">
        <f>IFERROR(__xludf.DUMMYFUNCTION("GOOGLETRANSLATE(E223, ""en"",""vi"")"),"Quần đảo Bắc Mariana")</f>
        <v>Quần đảo Bắc Mariana</v>
      </c>
      <c r="D223" s="2" t="str">
        <f t="shared" si="18"/>
        <v>quần đảo bắc mariana</v>
      </c>
      <c r="E223" s="3" t="str">
        <f t="shared" si="2"/>
        <v>Northern Mariana Islands</v>
      </c>
    </row>
    <row r="224" ht="15.75" customHeight="1">
      <c r="A224" s="1" t="s">
        <v>551</v>
      </c>
      <c r="B224" s="1" t="s">
        <v>552</v>
      </c>
      <c r="C224" s="2" t="str">
        <f>IFERROR(__xludf.DUMMYFUNCTION("GOOGLETRANSLATE(E224, ""en"",""vi"")"),"Na Uy")</f>
        <v>Na Uy</v>
      </c>
      <c r="D224" s="2" t="str">
        <f t="shared" si="18"/>
        <v>na uy</v>
      </c>
      <c r="E224" s="3" t="str">
        <f t="shared" si="2"/>
        <v>Norway</v>
      </c>
    </row>
    <row r="225" ht="15.75" customHeight="1">
      <c r="A225" s="1" t="s">
        <v>553</v>
      </c>
      <c r="B225" s="1" t="s">
        <v>554</v>
      </c>
      <c r="C225" s="2" t="str">
        <f>IFERROR(__xludf.DUMMYFUNCTION("GOOGLETRANSLATE(E225, ""en"",""vi"")"),"Nút OK")</f>
        <v>Nút OK</v>
      </c>
      <c r="D225" s="2" t="str">
        <f t="shared" si="18"/>
        <v>nút ok</v>
      </c>
      <c r="E225" s="3" t="str">
        <f t="shared" si="2"/>
        <v>OK button</v>
      </c>
    </row>
    <row r="226" ht="15.75" customHeight="1">
      <c r="A226" s="1" t="s">
        <v>555</v>
      </c>
      <c r="B226" s="1" t="s">
        <v>556</v>
      </c>
      <c r="C226" s="2" t="s">
        <v>557</v>
      </c>
      <c r="D226" s="2" t="str">
        <f t="shared" si="18"/>
        <v>tay ok</v>
      </c>
      <c r="E226" s="3" t="str">
        <f t="shared" si="2"/>
        <v>OK hand</v>
      </c>
    </row>
    <row r="227" ht="15.75" customHeight="1">
      <c r="A227" s="1" t="s">
        <v>558</v>
      </c>
      <c r="B227" s="1" t="s">
        <v>559</v>
      </c>
      <c r="C227" s="2" t="s">
        <v>560</v>
      </c>
      <c r="D227" s="2" t="str">
        <f t="shared" si="18"/>
        <v>tay ok màu da sẫm</v>
      </c>
      <c r="E227" s="3" t="str">
        <f t="shared" si="2"/>
        <v>OK hand dark skin tone</v>
      </c>
    </row>
    <row r="228" ht="15.75" customHeight="1">
      <c r="A228" s="1" t="s">
        <v>561</v>
      </c>
      <c r="B228" s="1" t="s">
        <v>562</v>
      </c>
      <c r="C228" s="2" t="s">
        <v>563</v>
      </c>
      <c r="D228" s="2" t="str">
        <f t="shared" si="18"/>
        <v>tay ok màu da sáng</v>
      </c>
      <c r="E228" s="3" t="str">
        <f t="shared" si="2"/>
        <v>OK hand light skin tone</v>
      </c>
    </row>
    <row r="229" ht="15.75" customHeight="1">
      <c r="A229" s="1" t="s">
        <v>564</v>
      </c>
      <c r="B229" s="1" t="s">
        <v>565</v>
      </c>
      <c r="C229" s="2" t="s">
        <v>566</v>
      </c>
      <c r="D229" s="2" t="str">
        <f t="shared" si="18"/>
        <v>tay ok màu da vừa tối</v>
      </c>
      <c r="E229" s="3" t="str">
        <f t="shared" si="2"/>
        <v>OK hand medium-dark skin tone</v>
      </c>
    </row>
    <row r="230" ht="15.75" customHeight="1">
      <c r="A230" s="1" t="s">
        <v>567</v>
      </c>
      <c r="B230" s="1" t="s">
        <v>568</v>
      </c>
      <c r="C230" s="2" t="s">
        <v>569</v>
      </c>
      <c r="D230" s="2" t="str">
        <f t="shared" si="18"/>
        <v>tay ok màu da vừa sáng</v>
      </c>
      <c r="E230" s="3" t="str">
        <f t="shared" si="2"/>
        <v>OK hand medium-light skin tone</v>
      </c>
    </row>
    <row r="231" ht="15.75" customHeight="1">
      <c r="A231" s="1" t="s">
        <v>570</v>
      </c>
      <c r="B231" s="1" t="s">
        <v>571</v>
      </c>
      <c r="C231" s="2" t="s">
        <v>572</v>
      </c>
      <c r="D231" s="2" t="str">
        <f t="shared" si="18"/>
        <v>tay ok màu da thường</v>
      </c>
      <c r="E231" s="3" t="str">
        <f t="shared" si="2"/>
        <v>OK hand medium skin tone</v>
      </c>
    </row>
    <row r="232" ht="15.75" customHeight="1">
      <c r="A232" s="1" t="s">
        <v>573</v>
      </c>
      <c r="B232" s="1" t="s">
        <v>574</v>
      </c>
      <c r="C232" s="2" t="s">
        <v>575</v>
      </c>
      <c r="D232" s="2" t="str">
        <f t="shared" si="18"/>
        <v>mũi tên trên!</v>
      </c>
      <c r="E232" s="3" t="str">
        <f t="shared" si="2"/>
        <v>ON! arrow</v>
      </c>
    </row>
    <row r="233" ht="15.75" customHeight="1">
      <c r="A233" s="1" t="s">
        <v>576</v>
      </c>
      <c r="B233" s="1" t="s">
        <v>577</v>
      </c>
      <c r="C233" s="2" t="str">
        <f>IFERROR(__xludf.DUMMYFUNCTION("GOOGLETRANSLATE(E233, ""en"",""vi"")"),"Nút O (nhóm máu)")</f>
        <v>Nút O (nhóm máu)</v>
      </c>
      <c r="D233" s="2" t="str">
        <f t="shared" si="18"/>
        <v>nút o (nhóm máu)</v>
      </c>
      <c r="E233" s="3" t="str">
        <f t="shared" si="2"/>
        <v>O button (blood type)</v>
      </c>
    </row>
    <row r="234" ht="15.75" customHeight="1">
      <c r="A234" s="1" t="s">
        <v>578</v>
      </c>
      <c r="B234" s="1" t="s">
        <v>579</v>
      </c>
      <c r="C234" s="2" t="str">
        <f>IFERROR(__xludf.DUMMYFUNCTION("GOOGLETRANSLATE(E234, ""en"",""vi"")"),"Ô-man")</f>
        <v>Ô-man</v>
      </c>
      <c r="D234" s="2" t="str">
        <f t="shared" si="18"/>
        <v>ô-man</v>
      </c>
      <c r="E234" s="3" t="str">
        <f t="shared" si="2"/>
        <v>Oman</v>
      </c>
    </row>
    <row r="235" ht="15.75" customHeight="1">
      <c r="A235" s="1" t="s">
        <v>580</v>
      </c>
      <c r="B235" s="1" t="s">
        <v>581</v>
      </c>
      <c r="C235" s="2" t="s">
        <v>582</v>
      </c>
      <c r="D235" s="2" t="str">
        <f t="shared" si="18"/>
        <v>chòm sao xà phu</v>
      </c>
      <c r="E235" s="3" t="str">
        <f t="shared" si="2"/>
        <v>Ophiuchus</v>
      </c>
    </row>
    <row r="236" ht="15.75" customHeight="1">
      <c r="A236" s="1" t="s">
        <v>583</v>
      </c>
      <c r="B236" s="1" t="s">
        <v>584</v>
      </c>
      <c r="C236" s="2" t="str">
        <f>IFERROR(__xludf.DUMMYFUNCTION("GOOGLETRANSLATE(E236, ""en"",""vi"")"),"Nút P")</f>
        <v>Nút P</v>
      </c>
      <c r="D236" s="2" t="str">
        <f t="shared" si="18"/>
        <v>nút p</v>
      </c>
      <c r="E236" s="3" t="str">
        <f t="shared" si="2"/>
        <v>P button</v>
      </c>
    </row>
    <row r="237" ht="15.75" customHeight="1">
      <c r="A237" s="1" t="s">
        <v>585</v>
      </c>
      <c r="B237" s="1" t="s">
        <v>586</v>
      </c>
      <c r="C237" s="2" t="str">
        <f>IFERROR(__xludf.DUMMYFUNCTION("GOOGLETRANSLATE(E237, ""en"",""vi"")"),"Pakistan")</f>
        <v>Pakistan</v>
      </c>
      <c r="D237" s="2" t="str">
        <f t="shared" si="18"/>
        <v>pakistan</v>
      </c>
      <c r="E237" s="3" t="str">
        <f t="shared" si="2"/>
        <v>Pakistan</v>
      </c>
    </row>
    <row r="238" ht="15.75" customHeight="1">
      <c r="A238" s="1" t="s">
        <v>587</v>
      </c>
      <c r="B238" s="1" t="s">
        <v>588</v>
      </c>
      <c r="C238" s="2" t="str">
        <f>IFERROR(__xludf.DUMMYFUNCTION("GOOGLETRANSLATE(E238, ""en"",""vi"")"),"Palau")</f>
        <v>Palau</v>
      </c>
      <c r="D238" s="2" t="str">
        <f t="shared" si="18"/>
        <v>palau</v>
      </c>
      <c r="E238" s="3" t="str">
        <f t="shared" si="2"/>
        <v>Palau</v>
      </c>
    </row>
    <row r="239" ht="15.75" customHeight="1">
      <c r="A239" s="1" t="s">
        <v>589</v>
      </c>
      <c r="B239" s="1" t="s">
        <v>590</v>
      </c>
      <c r="C239" s="2" t="str">
        <f>IFERROR(__xludf.DUMMYFUNCTION("GOOGLETRANSLATE(E239, ""en"",""vi"")"),"Lãnh thổ Palestine")</f>
        <v>Lãnh thổ Palestine</v>
      </c>
      <c r="D239" s="2" t="str">
        <f t="shared" si="18"/>
        <v>lãnh thổ palestine</v>
      </c>
      <c r="E239" s="3" t="str">
        <f t="shared" si="2"/>
        <v>Palestinian Territories</v>
      </c>
    </row>
    <row r="240" ht="15.75" customHeight="1">
      <c r="A240" s="1" t="s">
        <v>591</v>
      </c>
      <c r="B240" s="1" t="s">
        <v>592</v>
      </c>
      <c r="C240" s="2" t="str">
        <f>IFERROR(__xludf.DUMMYFUNCTION("GOOGLETRANSLATE(E240, ""en"",""vi"")"),"Panama")</f>
        <v>Panama</v>
      </c>
      <c r="D240" s="2" t="str">
        <f t="shared" si="18"/>
        <v>panama</v>
      </c>
      <c r="E240" s="3" t="str">
        <f t="shared" si="2"/>
        <v>Panama</v>
      </c>
    </row>
    <row r="241" ht="15.75" customHeight="1">
      <c r="A241" s="1" t="s">
        <v>593</v>
      </c>
      <c r="B241" s="1" t="s">
        <v>594</v>
      </c>
      <c r="C241" s="2" t="str">
        <f>IFERROR(__xludf.DUMMYFUNCTION("GOOGLETRANSLATE(E241, ""en"",""vi"")"),"Papua New Guinea")</f>
        <v>Papua New Guinea</v>
      </c>
      <c r="D241" s="2" t="str">
        <f t="shared" si="18"/>
        <v>papua new guinea</v>
      </c>
      <c r="E241" s="3" t="str">
        <f t="shared" si="2"/>
        <v>Papua New Guinea</v>
      </c>
    </row>
    <row r="242" ht="15.75" customHeight="1">
      <c r="A242" s="1" t="s">
        <v>595</v>
      </c>
      <c r="B242" s="1" t="s">
        <v>596</v>
      </c>
      <c r="C242" s="2" t="str">
        <f>IFERROR(__xludf.DUMMYFUNCTION("GOOGLETRANSLATE(E242, ""en"",""vi"")"),"Paraguay")</f>
        <v>Paraguay</v>
      </c>
      <c r="D242" s="2" t="str">
        <f t="shared" si="18"/>
        <v>paraguay</v>
      </c>
      <c r="E242" s="3" t="str">
        <f t="shared" si="2"/>
        <v>Paraguay</v>
      </c>
    </row>
    <row r="243" ht="15.75" customHeight="1">
      <c r="A243" s="1" t="s">
        <v>597</v>
      </c>
      <c r="B243" s="1" t="s">
        <v>598</v>
      </c>
      <c r="C243" s="2" t="str">
        <f>IFERROR(__xludf.DUMMYFUNCTION("GOOGLETRANSLATE(E243, ""en"",""vi"")"),"Pê-ru")</f>
        <v>Pê-ru</v>
      </c>
      <c r="D243" s="2" t="str">
        <f t="shared" si="18"/>
        <v>pê-ru</v>
      </c>
      <c r="E243" s="3" t="str">
        <f t="shared" si="2"/>
        <v>Peru</v>
      </c>
    </row>
    <row r="244" ht="15.75" customHeight="1">
      <c r="A244" s="1" t="s">
        <v>599</v>
      </c>
      <c r="B244" s="1" t="s">
        <v>600</v>
      </c>
      <c r="C244" s="2" t="str">
        <f>IFERROR(__xludf.DUMMYFUNCTION("GOOGLETRANSLATE(E244, ""en"",""vi"")"),"Philippines")</f>
        <v>Philippines</v>
      </c>
      <c r="D244" s="2" t="str">
        <f t="shared" si="18"/>
        <v>philippines</v>
      </c>
      <c r="E244" s="3" t="str">
        <f t="shared" si="2"/>
        <v>Philippines</v>
      </c>
    </row>
    <row r="245" ht="15.75" customHeight="1">
      <c r="A245" s="1" t="s">
        <v>601</v>
      </c>
      <c r="B245" s="1" t="s">
        <v>602</v>
      </c>
      <c r="C245" s="2" t="str">
        <f>IFERROR(__xludf.DUMMYFUNCTION("GOOGLETRANSLATE(E245, ""en"",""vi"")"),"Song Ngư")</f>
        <v>Song Ngư</v>
      </c>
      <c r="D245" s="2" t="str">
        <f t="shared" si="18"/>
        <v>song ngư</v>
      </c>
      <c r="E245" s="3" t="str">
        <f t="shared" si="2"/>
        <v>Pisces</v>
      </c>
    </row>
    <row r="246" ht="15.75" customHeight="1">
      <c r="A246" s="1" t="s">
        <v>603</v>
      </c>
      <c r="B246" s="1" t="s">
        <v>604</v>
      </c>
      <c r="C246" s="2" t="str">
        <f>IFERROR(__xludf.DUMMYFUNCTION("GOOGLETRANSLATE(E246, ""en"",""vi"")"),"Quần đảo Pitcairn")</f>
        <v>Quần đảo Pitcairn</v>
      </c>
      <c r="D246" s="2" t="str">
        <f t="shared" si="18"/>
        <v>quần đảo pitcairn</v>
      </c>
      <c r="E246" s="3" t="str">
        <f t="shared" si="2"/>
        <v>Pitcairn Islands</v>
      </c>
    </row>
    <row r="247" ht="15.75" customHeight="1">
      <c r="A247" s="1" t="s">
        <v>605</v>
      </c>
      <c r="B247" s="1" t="s">
        <v>606</v>
      </c>
      <c r="C247" s="2" t="str">
        <f>IFERROR(__xludf.DUMMYFUNCTION("GOOGLETRANSLATE(E247, ""en"",""vi"")"),"Ba Lan")</f>
        <v>Ba Lan</v>
      </c>
      <c r="D247" s="2" t="str">
        <f t="shared" si="18"/>
        <v>ba lan</v>
      </c>
      <c r="E247" s="3" t="str">
        <f t="shared" si="2"/>
        <v>Poland</v>
      </c>
    </row>
    <row r="248" ht="15.75" customHeight="1">
      <c r="A248" s="1" t="s">
        <v>607</v>
      </c>
      <c r="B248" s="1" t="s">
        <v>608</v>
      </c>
      <c r="C248" s="2" t="str">
        <f>IFERROR(__xludf.DUMMYFUNCTION("GOOGLETRANSLATE(E248, ""en"",""vi"")"),"Bồ Đào Nha")</f>
        <v>Bồ Đào Nha</v>
      </c>
      <c r="D248" s="2" t="str">
        <f t="shared" si="18"/>
        <v>bồ đào nha</v>
      </c>
      <c r="E248" s="3" t="str">
        <f t="shared" si="2"/>
        <v>Portugal</v>
      </c>
    </row>
    <row r="249" ht="15.75" customHeight="1">
      <c r="A249" s="1" t="s">
        <v>609</v>
      </c>
      <c r="B249" s="1" t="s">
        <v>610</v>
      </c>
      <c r="C249" s="2" t="str">
        <f>IFERROR(__xludf.DUMMYFUNCTION("GOOGLETRANSLATE(E249, ""en"",""vi"")"),"Puerto Rico")</f>
        <v>Puerto Rico</v>
      </c>
      <c r="D249" s="2" t="str">
        <f t="shared" si="18"/>
        <v>puerto rico</v>
      </c>
      <c r="E249" s="3" t="str">
        <f t="shared" si="2"/>
        <v>Puerto Rico</v>
      </c>
    </row>
    <row r="250" ht="15.75" customHeight="1">
      <c r="A250" s="1" t="s">
        <v>611</v>
      </c>
      <c r="B250" s="1" t="s">
        <v>612</v>
      </c>
      <c r="C250" s="2" t="str">
        <f>IFERROR(__xludf.DUMMYFUNCTION("GOOGLETRANSLATE(E250, ""en"",""vi"")"),"Qatar")</f>
        <v>Qatar</v>
      </c>
      <c r="D250" s="2" t="str">
        <f t="shared" si="18"/>
        <v>qatar</v>
      </c>
      <c r="E250" s="3" t="str">
        <f t="shared" si="2"/>
        <v>Qatar</v>
      </c>
    </row>
    <row r="251" ht="15.75" customHeight="1">
      <c r="A251" s="1" t="s">
        <v>613</v>
      </c>
      <c r="B251" s="1" t="s">
        <v>614</v>
      </c>
      <c r="C251" s="2" t="str">
        <f>IFERROR(__xludf.DUMMYFUNCTION("GOOGLETRANSLATE(E251, ""en"",""vi"")"),"Rumani")</f>
        <v>Rumani</v>
      </c>
      <c r="D251" s="2" t="str">
        <f t="shared" si="18"/>
        <v>rumani</v>
      </c>
      <c r="E251" s="3" t="str">
        <f t="shared" si="2"/>
        <v>Romania</v>
      </c>
    </row>
    <row r="252" ht="15.75" customHeight="1">
      <c r="A252" s="1" t="s">
        <v>615</v>
      </c>
      <c r="B252" s="1" t="s">
        <v>616</v>
      </c>
      <c r="C252" s="2" t="str">
        <f>IFERROR(__xludf.DUMMYFUNCTION("GOOGLETRANSLATE(E252, ""en"",""vi"")"),"Nga")</f>
        <v>Nga</v>
      </c>
      <c r="D252" s="2" t="str">
        <f t="shared" si="18"/>
        <v>nga</v>
      </c>
      <c r="E252" s="3" t="str">
        <f t="shared" si="2"/>
        <v>Russia</v>
      </c>
    </row>
    <row r="253" ht="15.75" customHeight="1">
      <c r="A253" s="1" t="s">
        <v>617</v>
      </c>
      <c r="B253" s="1" t="s">
        <v>618</v>
      </c>
      <c r="C253" s="2" t="str">
        <f>IFERROR(__xludf.DUMMYFUNCTION("GOOGLETRANSLATE(E253, ""en"",""vi"")"),"Rwanda")</f>
        <v>Rwanda</v>
      </c>
      <c r="D253" s="2" t="str">
        <f t="shared" si="18"/>
        <v>rwanda</v>
      </c>
      <c r="E253" s="3" t="str">
        <f t="shared" si="2"/>
        <v>Rwanda</v>
      </c>
    </row>
    <row r="254" ht="15.75" customHeight="1">
      <c r="A254" s="1" t="s">
        <v>619</v>
      </c>
      <c r="B254" s="1" t="s">
        <v>620</v>
      </c>
      <c r="C254" s="2" t="s">
        <v>621</v>
      </c>
      <c r="D254" s="2" t="str">
        <f t="shared" si="18"/>
        <v>réunion</v>
      </c>
      <c r="E254" s="3" t="str">
        <f t="shared" si="2"/>
        <v>Réunion</v>
      </c>
    </row>
    <row r="255" ht="15.75" customHeight="1">
      <c r="A255" s="1" t="s">
        <v>622</v>
      </c>
      <c r="B255" s="1" t="s">
        <v>623</v>
      </c>
      <c r="C255" s="2" t="s">
        <v>624</v>
      </c>
      <c r="D255" s="2" t="str">
        <f t="shared" si="18"/>
        <v>mũi tên sớm</v>
      </c>
      <c r="E255" s="3" t="str">
        <f t="shared" si="2"/>
        <v>SOON arrow</v>
      </c>
    </row>
    <row r="256" ht="15.75" customHeight="1">
      <c r="A256" s="1" t="s">
        <v>625</v>
      </c>
      <c r="B256" s="1" t="s">
        <v>626</v>
      </c>
      <c r="C256" s="2" t="str">
        <f>IFERROR(__xludf.DUMMYFUNCTION("GOOGLETRANSLATE(E256, ""en"",""vi"")"),"Nút SOS")</f>
        <v>Nút SOS</v>
      </c>
      <c r="D256" s="2" t="str">
        <f t="shared" si="18"/>
        <v>nút sos</v>
      </c>
      <c r="E256" s="3" t="str">
        <f t="shared" si="2"/>
        <v>SOS button</v>
      </c>
    </row>
    <row r="257" ht="15.75" customHeight="1">
      <c r="A257" s="1" t="s">
        <v>627</v>
      </c>
      <c r="B257" s="1" t="s">
        <v>628</v>
      </c>
      <c r="C257" s="2" t="str">
        <f>IFERROR(__xludf.DUMMYFUNCTION("GOOGLETRANSLATE(E257, ""en"",""vi"")"),"Nhân Mã")</f>
        <v>Nhân Mã</v>
      </c>
      <c r="D257" s="2" t="str">
        <f t="shared" si="18"/>
        <v>nhân mã</v>
      </c>
      <c r="E257" s="3" t="str">
        <f t="shared" si="2"/>
        <v>Sagittarius</v>
      </c>
    </row>
    <row r="258" ht="15.75" customHeight="1">
      <c r="A258" s="1" t="s">
        <v>629</v>
      </c>
      <c r="B258" s="1" t="s">
        <v>630</v>
      </c>
      <c r="C258" s="2" t="str">
        <f>IFERROR(__xludf.DUMMYFUNCTION("GOOGLETRANSLATE(E258, ""en"",""vi"")"),"Samoa")</f>
        <v>Samoa</v>
      </c>
      <c r="D258" s="2" t="str">
        <f t="shared" si="18"/>
        <v>samoa</v>
      </c>
      <c r="E258" s="3" t="str">
        <f t="shared" si="2"/>
        <v>Samoa</v>
      </c>
    </row>
    <row r="259" ht="15.75" customHeight="1">
      <c r="A259" s="1" t="s">
        <v>631</v>
      </c>
      <c r="B259" s="1" t="s">
        <v>632</v>
      </c>
      <c r="C259" s="2" t="str">
        <f>IFERROR(__xludf.DUMMYFUNCTION("GOOGLETRANSLATE(E259, ""en"",""vi"")"),"San Marino")</f>
        <v>San Marino</v>
      </c>
      <c r="D259" s="2" t="str">
        <f t="shared" si="18"/>
        <v>san marino</v>
      </c>
      <c r="E259" s="3" t="str">
        <f t="shared" si="2"/>
        <v>San Marino</v>
      </c>
    </row>
    <row r="260" ht="15.75" customHeight="1">
      <c r="A260" s="1" t="s">
        <v>633</v>
      </c>
      <c r="B260" s="1" t="s">
        <v>634</v>
      </c>
      <c r="C260" s="2" t="str">
        <f>IFERROR(__xludf.DUMMYFUNCTION("GOOGLETRANSLATE(E260, ""en"",""vi"")"),"Ông già Noel")</f>
        <v>Ông già Noel</v>
      </c>
      <c r="D260" s="2" t="s">
        <v>635</v>
      </c>
      <c r="E260" s="3" t="str">
        <f t="shared" si="2"/>
        <v>Santa Claus</v>
      </c>
    </row>
    <row r="261" ht="15.75" customHeight="1">
      <c r="A261" s="1" t="s">
        <v>636</v>
      </c>
      <c r="B261" s="1" t="s">
        <v>637</v>
      </c>
      <c r="C261" s="2" t="str">
        <f>IFERROR(__xludf.DUMMYFUNCTION("GOOGLETRANSLATE(E261, ""en"",""vi"")"),"Ông già Noel có làn da sẫm màu")</f>
        <v>Ông già Noel có làn da sẫm màu</v>
      </c>
      <c r="D261" s="2" t="s">
        <v>638</v>
      </c>
      <c r="E261" s="3" t="str">
        <f t="shared" si="2"/>
        <v>Santa Claus dark skin tone</v>
      </c>
    </row>
    <row r="262" ht="15.75" customHeight="1">
      <c r="A262" s="1" t="s">
        <v>639</v>
      </c>
      <c r="B262" s="1" t="s">
        <v>640</v>
      </c>
      <c r="C262" s="2" t="str">
        <f>IFERROR(__xludf.DUMMYFUNCTION("GOOGLETRANSLATE(E262, ""en"",""vi"")"),"Ông già Noel có làn da sáng")</f>
        <v>Ông già Noel có làn da sáng</v>
      </c>
      <c r="D262" s="2" t="s">
        <v>641</v>
      </c>
      <c r="E262" s="3" t="str">
        <f t="shared" si="2"/>
        <v>Santa Claus light skin tone</v>
      </c>
    </row>
    <row r="263" ht="15.75" customHeight="1">
      <c r="A263" s="1" t="s">
        <v>642</v>
      </c>
      <c r="B263" s="1" t="s">
        <v>643</v>
      </c>
      <c r="C263" s="2" t="s">
        <v>644</v>
      </c>
      <c r="D263" s="2" t="s">
        <v>645</v>
      </c>
      <c r="E263" s="3" t="str">
        <f t="shared" si="2"/>
        <v>Santa Claus medium-dark skin tone</v>
      </c>
    </row>
    <row r="264" ht="15.75" customHeight="1">
      <c r="A264" s="1" t="s">
        <v>646</v>
      </c>
      <c r="B264" s="1" t="s">
        <v>647</v>
      </c>
      <c r="C264" s="2" t="s">
        <v>648</v>
      </c>
      <c r="D264" s="2" t="s">
        <v>649</v>
      </c>
      <c r="E264" s="3" t="str">
        <f t="shared" si="2"/>
        <v>Santa Claus medium-light skin tone</v>
      </c>
    </row>
    <row r="265" ht="15.75" customHeight="1">
      <c r="A265" s="1" t="s">
        <v>650</v>
      </c>
      <c r="B265" s="1" t="s">
        <v>651</v>
      </c>
      <c r="C265" s="2" t="s">
        <v>652</v>
      </c>
      <c r="D265" s="2" t="s">
        <v>653</v>
      </c>
      <c r="E265" s="3" t="str">
        <f t="shared" si="2"/>
        <v>Santa Claus medium skin tone</v>
      </c>
    </row>
    <row r="266" ht="15.75" customHeight="1">
      <c r="A266" s="1" t="s">
        <v>654</v>
      </c>
      <c r="B266" s="1" t="s">
        <v>655</v>
      </c>
      <c r="C266" s="2" t="str">
        <f>IFERROR(__xludf.DUMMYFUNCTION("GOOGLETRANSLATE(E266, ""en"",""vi"")"),"Ả Rập Saudi")</f>
        <v>Ả Rập Saudi</v>
      </c>
      <c r="D266" s="2" t="str">
        <f t="shared" ref="D266:D291" si="19">LOWER(C266)</f>
        <v>ả rập saudi</v>
      </c>
      <c r="E266" s="3" t="str">
        <f t="shared" si="2"/>
        <v>Saudi Arabia</v>
      </c>
    </row>
    <row r="267" ht="15.75" customHeight="1">
      <c r="A267" s="1" t="s">
        <v>656</v>
      </c>
      <c r="B267" s="1" t="s">
        <v>657</v>
      </c>
      <c r="C267" s="2" t="str">
        <f>IFERROR(__xludf.DUMMYFUNCTION("GOOGLETRANSLATE(E267, ""en"",""vi"")"),"Bọ cạp")</f>
        <v>Bọ cạp</v>
      </c>
      <c r="D267" s="2" t="str">
        <f t="shared" si="19"/>
        <v>bọ cạp</v>
      </c>
      <c r="E267" s="3" t="str">
        <f t="shared" si="2"/>
        <v>Scorpio</v>
      </c>
    </row>
    <row r="268" ht="15.75" customHeight="1">
      <c r="A268" s="1" t="s">
        <v>658</v>
      </c>
      <c r="B268" s="1" t="s">
        <v>659</v>
      </c>
      <c r="C268" s="2" t="str">
        <f>IFERROR(__xludf.DUMMYFUNCTION("GOOGLETRANSLATE(E268, ""en"",""vi"")"),"Scotland")</f>
        <v>Scotland</v>
      </c>
      <c r="D268" s="2" t="str">
        <f t="shared" si="19"/>
        <v>scotland</v>
      </c>
      <c r="E268" s="3" t="str">
        <f t="shared" si="2"/>
        <v>Scotland</v>
      </c>
    </row>
    <row r="269" ht="15.75" customHeight="1">
      <c r="A269" s="1" t="s">
        <v>660</v>
      </c>
      <c r="B269" s="1" t="s">
        <v>661</v>
      </c>
      <c r="C269" s="2" t="str">
        <f>IFERROR(__xludf.DUMMYFUNCTION("GOOGLETRANSLATE(E269, ""en"",""vi"")"),"Sénégal")</f>
        <v>Sénégal</v>
      </c>
      <c r="D269" s="2" t="str">
        <f t="shared" si="19"/>
        <v>sénégal</v>
      </c>
      <c r="E269" s="3" t="str">
        <f t="shared" si="2"/>
        <v>Senegal</v>
      </c>
    </row>
    <row r="270" ht="15.75" customHeight="1">
      <c r="A270" s="1" t="s">
        <v>662</v>
      </c>
      <c r="B270" s="1" t="s">
        <v>663</v>
      </c>
      <c r="C270" s="2" t="str">
        <f>IFERROR(__xludf.DUMMYFUNCTION("GOOGLETRANSLATE(E270, ""en"",""vi"")"),"Serbia")</f>
        <v>Serbia</v>
      </c>
      <c r="D270" s="2" t="str">
        <f t="shared" si="19"/>
        <v>serbia</v>
      </c>
      <c r="E270" s="3" t="str">
        <f t="shared" si="2"/>
        <v>Serbia</v>
      </c>
    </row>
    <row r="271" ht="15.75" customHeight="1">
      <c r="A271" s="1" t="s">
        <v>664</v>
      </c>
      <c r="B271" s="1" t="s">
        <v>665</v>
      </c>
      <c r="C271" s="2" t="str">
        <f>IFERROR(__xludf.DUMMYFUNCTION("GOOGLETRANSLATE(E271, ""en"",""vi"")"),"Seychelles")</f>
        <v>Seychelles</v>
      </c>
      <c r="D271" s="2" t="str">
        <f t="shared" si="19"/>
        <v>seychelles</v>
      </c>
      <c r="E271" s="3" t="str">
        <f t="shared" si="2"/>
        <v>Seychelles</v>
      </c>
    </row>
    <row r="272" ht="15.75" customHeight="1">
      <c r="A272" s="1" t="s">
        <v>666</v>
      </c>
      <c r="B272" s="1" t="s">
        <v>667</v>
      </c>
      <c r="C272" s="2" t="str">
        <f>IFERROR(__xludf.DUMMYFUNCTION("GOOGLETRANSLATE(E272, ""en"",""vi"")"),"Sierra Leone")</f>
        <v>Sierra Leone</v>
      </c>
      <c r="D272" s="2" t="str">
        <f t="shared" si="19"/>
        <v>sierra leone</v>
      </c>
      <c r="E272" s="3" t="str">
        <f t="shared" si="2"/>
        <v>Sierra Leone</v>
      </c>
    </row>
    <row r="273" ht="15.75" customHeight="1">
      <c r="A273" s="1" t="s">
        <v>668</v>
      </c>
      <c r="B273" s="1" t="s">
        <v>669</v>
      </c>
      <c r="C273" s="2" t="str">
        <f>IFERROR(__xludf.DUMMYFUNCTION("GOOGLETRANSLATE(E273, ""en"",""vi"")"),"Singapore")</f>
        <v>Singapore</v>
      </c>
      <c r="D273" s="2" t="str">
        <f t="shared" si="19"/>
        <v>singapore</v>
      </c>
      <c r="E273" s="3" t="str">
        <f t="shared" si="2"/>
        <v>Singapore</v>
      </c>
    </row>
    <row r="274" ht="15.75" customHeight="1">
      <c r="A274" s="1" t="s">
        <v>670</v>
      </c>
      <c r="B274" s="1" t="s">
        <v>671</v>
      </c>
      <c r="C274" s="2" t="str">
        <f>IFERROR(__xludf.DUMMYFUNCTION("GOOGLETRANSLATE(E274, ""en"",""vi"")"),"Sint Maarten")</f>
        <v>Sint Maarten</v>
      </c>
      <c r="D274" s="2" t="str">
        <f t="shared" si="19"/>
        <v>sint maarten</v>
      </c>
      <c r="E274" s="3" t="str">
        <f t="shared" si="2"/>
        <v>Sint Maarten</v>
      </c>
    </row>
    <row r="275" ht="15.75" customHeight="1">
      <c r="A275" s="1" t="s">
        <v>672</v>
      </c>
      <c r="B275" s="1" t="s">
        <v>673</v>
      </c>
      <c r="C275" s="2" t="str">
        <f>IFERROR(__xludf.DUMMYFUNCTION("GOOGLETRANSLATE(E275, ""en"",""vi"")"),"Slovakia")</f>
        <v>Slovakia</v>
      </c>
      <c r="D275" s="2" t="str">
        <f t="shared" si="19"/>
        <v>slovakia</v>
      </c>
      <c r="E275" s="3" t="str">
        <f t="shared" si="2"/>
        <v>Slovakia</v>
      </c>
    </row>
    <row r="276" ht="15.75" customHeight="1">
      <c r="A276" s="1" t="s">
        <v>674</v>
      </c>
      <c r="B276" s="1" t="s">
        <v>675</v>
      </c>
      <c r="C276" s="2" t="str">
        <f>IFERROR(__xludf.DUMMYFUNCTION("GOOGLETRANSLATE(E276, ""en"",""vi"")"),"Slovenia")</f>
        <v>Slovenia</v>
      </c>
      <c r="D276" s="2" t="str">
        <f t="shared" si="19"/>
        <v>slovenia</v>
      </c>
      <c r="E276" s="3" t="str">
        <f t="shared" si="2"/>
        <v>Slovenia</v>
      </c>
    </row>
    <row r="277" ht="15.75" customHeight="1">
      <c r="A277" s="1" t="s">
        <v>676</v>
      </c>
      <c r="B277" s="1" t="s">
        <v>677</v>
      </c>
      <c r="C277" s="2" t="str">
        <f>IFERROR(__xludf.DUMMYFUNCTION("GOOGLETRANSLATE(E277, ""en"",""vi"")"),"Quần đảo Solomon")</f>
        <v>Quần đảo Solomon</v>
      </c>
      <c r="D277" s="2" t="str">
        <f t="shared" si="19"/>
        <v>quần đảo solomon</v>
      </c>
      <c r="E277" s="3" t="str">
        <f t="shared" si="2"/>
        <v>Solomon Islands</v>
      </c>
    </row>
    <row r="278" ht="15.75" customHeight="1">
      <c r="A278" s="1" t="s">
        <v>678</v>
      </c>
      <c r="B278" s="1" t="s">
        <v>679</v>
      </c>
      <c r="C278" s="2" t="str">
        <f>IFERROR(__xludf.DUMMYFUNCTION("GOOGLETRANSLATE(E278, ""en"",""vi"")"),"Somali")</f>
        <v>Somali</v>
      </c>
      <c r="D278" s="2" t="str">
        <f t="shared" si="19"/>
        <v>somali</v>
      </c>
      <c r="E278" s="3" t="str">
        <f t="shared" si="2"/>
        <v>Somalia</v>
      </c>
    </row>
    <row r="279" ht="15.75" customHeight="1">
      <c r="A279" s="1" t="s">
        <v>680</v>
      </c>
      <c r="B279" s="1" t="s">
        <v>681</v>
      </c>
      <c r="C279" s="2" t="str">
        <f>IFERROR(__xludf.DUMMYFUNCTION("GOOGLETRANSLATE(E279, ""en"",""vi"")"),"Nam Phi")</f>
        <v>Nam Phi</v>
      </c>
      <c r="D279" s="2" t="str">
        <f t="shared" si="19"/>
        <v>nam phi</v>
      </c>
      <c r="E279" s="3" t="str">
        <f t="shared" si="2"/>
        <v>South Africa</v>
      </c>
    </row>
    <row r="280" ht="15.75" customHeight="1">
      <c r="A280" s="1" t="s">
        <v>682</v>
      </c>
      <c r="B280" s="1" t="s">
        <v>683</v>
      </c>
      <c r="C280" s="2" t="str">
        <f>IFERROR(__xludf.DUMMYFUNCTION("GOOGLETRANSLATE(E280, ""en"",""vi"")"),"Quần đảo Nam Georgia và Nam Sandwich")</f>
        <v>Quần đảo Nam Georgia và Nam Sandwich</v>
      </c>
      <c r="D280" s="2" t="str">
        <f t="shared" si="19"/>
        <v>quần đảo nam georgia và nam sandwich</v>
      </c>
      <c r="E280" s="3" t="str">
        <f t="shared" si="2"/>
        <v>South Georgia &amp; South Sandwich Islands</v>
      </c>
    </row>
    <row r="281" ht="15.75" customHeight="1">
      <c r="A281" s="1" t="s">
        <v>684</v>
      </c>
      <c r="B281" s="1" t="s">
        <v>685</v>
      </c>
      <c r="C281" s="2" t="str">
        <f>IFERROR(__xludf.DUMMYFUNCTION("GOOGLETRANSLATE(E281, ""en"",""vi"")"),"Hàn Quốc")</f>
        <v>Hàn Quốc</v>
      </c>
      <c r="D281" s="2" t="str">
        <f t="shared" si="19"/>
        <v>hàn quốc</v>
      </c>
      <c r="E281" s="3" t="str">
        <f t="shared" si="2"/>
        <v>South Korea</v>
      </c>
    </row>
    <row r="282" ht="15.75" customHeight="1">
      <c r="A282" s="1" t="s">
        <v>686</v>
      </c>
      <c r="B282" s="1" t="s">
        <v>687</v>
      </c>
      <c r="C282" s="2" t="str">
        <f>IFERROR(__xludf.DUMMYFUNCTION("GOOGLETRANSLATE(E282, ""en"",""vi"")"),"Nam Sudan")</f>
        <v>Nam Sudan</v>
      </c>
      <c r="D282" s="2" t="str">
        <f t="shared" si="19"/>
        <v>nam sudan</v>
      </c>
      <c r="E282" s="3" t="str">
        <f t="shared" si="2"/>
        <v>South Sudan</v>
      </c>
    </row>
    <row r="283" ht="15.75" customHeight="1">
      <c r="A283" s="1" t="s">
        <v>688</v>
      </c>
      <c r="B283" s="1" t="s">
        <v>689</v>
      </c>
      <c r="C283" s="2" t="str">
        <f>IFERROR(__xludf.DUMMYFUNCTION("GOOGLETRANSLATE(E283, ""en"",""vi"")"),"Tây ban nha")</f>
        <v>Tây ban nha</v>
      </c>
      <c r="D283" s="2" t="str">
        <f t="shared" si="19"/>
        <v>tây ban nha</v>
      </c>
      <c r="E283" s="3" t="str">
        <f t="shared" si="2"/>
        <v>Spain</v>
      </c>
    </row>
    <row r="284" ht="15.75" customHeight="1">
      <c r="A284" s="1" t="s">
        <v>690</v>
      </c>
      <c r="B284" s="1" t="s">
        <v>691</v>
      </c>
      <c r="C284" s="2" t="str">
        <f>IFERROR(__xludf.DUMMYFUNCTION("GOOGLETRANSLATE(E284, ""en"",""vi"")"),"Sri Lanka")</f>
        <v>Sri Lanka</v>
      </c>
      <c r="D284" s="2" t="str">
        <f t="shared" si="19"/>
        <v>sri lanka</v>
      </c>
      <c r="E284" s="3" t="str">
        <f t="shared" si="2"/>
        <v>Sri Lanka</v>
      </c>
    </row>
    <row r="285" ht="15.75" customHeight="1">
      <c r="A285" s="1" t="s">
        <v>692</v>
      </c>
      <c r="B285" s="1" t="s">
        <v>693</v>
      </c>
      <c r="C285" s="2" t="str">
        <f>IFERROR(__xludf.DUMMYFUNCTION("GOOGLETRANSLATE(E285, ""en"",""vi"")"),"Thánh Barthélemy")</f>
        <v>Thánh Barthélemy</v>
      </c>
      <c r="D285" s="2" t="str">
        <f t="shared" si="19"/>
        <v>thánh barthélemy</v>
      </c>
      <c r="E285" s="3" t="str">
        <f t="shared" si="2"/>
        <v>St. Barthélemy</v>
      </c>
    </row>
    <row r="286" ht="15.75" customHeight="1">
      <c r="A286" s="1" t="s">
        <v>694</v>
      </c>
      <c r="B286" s="1" t="s">
        <v>695</v>
      </c>
      <c r="C286" s="2" t="str">
        <f>IFERROR(__xludf.DUMMYFUNCTION("GOOGLETRANSLATE(E286, ""en"",""vi"")"),"Thánh Helena")</f>
        <v>Thánh Helena</v>
      </c>
      <c r="D286" s="2" t="str">
        <f t="shared" si="19"/>
        <v>thánh helena</v>
      </c>
      <c r="E286" s="3" t="str">
        <f t="shared" si="2"/>
        <v>St. Helena</v>
      </c>
    </row>
    <row r="287" ht="15.75" customHeight="1">
      <c r="A287" s="1" t="s">
        <v>696</v>
      </c>
      <c r="B287" s="1" t="s">
        <v>697</v>
      </c>
      <c r="C287" s="2" t="str">
        <f>IFERROR(__xludf.DUMMYFUNCTION("GOOGLETRANSLATE(E287, ""en"",""vi"")"),"St. Kitts và Nevis")</f>
        <v>St. Kitts và Nevis</v>
      </c>
      <c r="D287" s="2" t="str">
        <f t="shared" si="19"/>
        <v>st. kitts và nevis</v>
      </c>
      <c r="E287" s="3" t="str">
        <f t="shared" si="2"/>
        <v>St. Kitts &amp; Nevis</v>
      </c>
    </row>
    <row r="288" ht="15.75" customHeight="1">
      <c r="A288" s="1" t="s">
        <v>698</v>
      </c>
      <c r="B288" s="1" t="s">
        <v>699</v>
      </c>
      <c r="C288" s="2" t="str">
        <f>IFERROR(__xludf.DUMMYFUNCTION("GOOGLETRANSLATE(E288, ""en"",""vi"")"),"Thánh Lucia")</f>
        <v>Thánh Lucia</v>
      </c>
      <c r="D288" s="2" t="str">
        <f t="shared" si="19"/>
        <v>thánh lucia</v>
      </c>
      <c r="E288" s="3" t="str">
        <f t="shared" si="2"/>
        <v>St. Lucia</v>
      </c>
    </row>
    <row r="289" ht="15.75" customHeight="1">
      <c r="A289" s="1" t="s">
        <v>700</v>
      </c>
      <c r="B289" s="1" t="s">
        <v>701</v>
      </c>
      <c r="C289" s="2" t="str">
        <f>IFERROR(__xludf.DUMMYFUNCTION("GOOGLETRANSLATE(E289, ""en"",""vi"")"),"Thánh Martin")</f>
        <v>Thánh Martin</v>
      </c>
      <c r="D289" s="2" t="str">
        <f t="shared" si="19"/>
        <v>thánh martin</v>
      </c>
      <c r="E289" s="3" t="str">
        <f t="shared" si="2"/>
        <v>St. Martin</v>
      </c>
    </row>
    <row r="290" ht="15.75" customHeight="1">
      <c r="A290" s="1" t="s">
        <v>702</v>
      </c>
      <c r="B290" s="1" t="s">
        <v>703</v>
      </c>
      <c r="C290" s="2" t="str">
        <f>IFERROR(__xludf.DUMMYFUNCTION("GOOGLETRANSLATE(E290, ""en"",""vi"")"),"St. Pierre và Miquelon")</f>
        <v>St. Pierre và Miquelon</v>
      </c>
      <c r="D290" s="2" t="str">
        <f t="shared" si="19"/>
        <v>st. pierre và miquelon</v>
      </c>
      <c r="E290" s="3" t="str">
        <f t="shared" si="2"/>
        <v>St. Pierre &amp; Miquelon</v>
      </c>
    </row>
    <row r="291" ht="15.75" customHeight="1">
      <c r="A291" s="1" t="s">
        <v>704</v>
      </c>
      <c r="B291" s="1" t="s">
        <v>705</v>
      </c>
      <c r="C291" s="2" t="str">
        <f>IFERROR(__xludf.DUMMYFUNCTION("GOOGLETRANSLATE(E291, ""en"",""vi"")"),"Saint Vincent và Grenadines")</f>
        <v>Saint Vincent và Grenadines</v>
      </c>
      <c r="D291" s="2" t="str">
        <f t="shared" si="19"/>
        <v>saint vincent và grenadines</v>
      </c>
      <c r="E291" s="3" t="str">
        <f t="shared" si="2"/>
        <v>St. Vincent &amp; Grenadines</v>
      </c>
    </row>
    <row r="292" ht="15.75" customHeight="1">
      <c r="A292" s="1" t="s">
        <v>706</v>
      </c>
      <c r="B292" s="1" t="s">
        <v>707</v>
      </c>
      <c r="C292" s="2" t="str">
        <f>IFERROR(__xludf.DUMMYFUNCTION("GOOGLETRANSLATE(E292, ""en"",""vi"")"),"Tượng Nữ thần Tự do")</f>
        <v>Tượng Nữ thần Tự do</v>
      </c>
      <c r="D292" s="2" t="s">
        <v>708</v>
      </c>
      <c r="E292" s="3" t="str">
        <f t="shared" si="2"/>
        <v>Statue of Liberty</v>
      </c>
    </row>
    <row r="293" ht="15.75" customHeight="1">
      <c r="A293" s="1" t="s">
        <v>709</v>
      </c>
      <c r="B293" s="1" t="s">
        <v>710</v>
      </c>
      <c r="C293" s="2" t="str">
        <f>IFERROR(__xludf.DUMMYFUNCTION("GOOGLETRANSLATE(E293, ""en"",""vi"")"),"Xu-đăng")</f>
        <v>Xu-đăng</v>
      </c>
      <c r="D293" s="2" t="str">
        <f t="shared" ref="D293:D381" si="20">LOWER(C293)</f>
        <v>xu-đăng</v>
      </c>
      <c r="E293" s="3" t="str">
        <f t="shared" si="2"/>
        <v>Sudan</v>
      </c>
    </row>
    <row r="294" ht="15.75" customHeight="1">
      <c r="A294" s="1" t="s">
        <v>711</v>
      </c>
      <c r="B294" s="1" t="s">
        <v>712</v>
      </c>
      <c r="C294" s="2" t="str">
        <f>IFERROR(__xludf.DUMMYFUNCTION("GOOGLETRANSLATE(E294, ""en"",""vi"")"),"Suriname")</f>
        <v>Suriname</v>
      </c>
      <c r="D294" s="2" t="str">
        <f t="shared" si="20"/>
        <v>suriname</v>
      </c>
      <c r="E294" s="3" t="str">
        <f t="shared" si="2"/>
        <v>Suriname</v>
      </c>
    </row>
    <row r="295" ht="15.75" customHeight="1">
      <c r="A295" s="1" t="s">
        <v>713</v>
      </c>
      <c r="B295" s="1" t="s">
        <v>714</v>
      </c>
      <c r="C295" s="2" t="str">
        <f>IFERROR(__xludf.DUMMYFUNCTION("GOOGLETRANSLATE(E295, ""en"",""vi"")"),"Svalbard và Jan Mayen")</f>
        <v>Svalbard và Jan Mayen</v>
      </c>
      <c r="D295" s="2" t="str">
        <f t="shared" si="20"/>
        <v>svalbard và jan mayen</v>
      </c>
      <c r="E295" s="3" t="str">
        <f t="shared" si="2"/>
        <v>Svalbard &amp; Jan Mayen</v>
      </c>
    </row>
    <row r="296" ht="15.75" customHeight="1">
      <c r="A296" s="1" t="s">
        <v>715</v>
      </c>
      <c r="B296" s="1" t="s">
        <v>716</v>
      </c>
      <c r="C296" s="2" t="str">
        <f>IFERROR(__xludf.DUMMYFUNCTION("GOOGLETRANSLATE(E296, ""en"",""vi"")"),"Thụy Điển")</f>
        <v>Thụy Điển</v>
      </c>
      <c r="D296" s="2" t="str">
        <f t="shared" si="20"/>
        <v>thụy điển</v>
      </c>
      <c r="E296" s="3" t="str">
        <f t="shared" si="2"/>
        <v>Sweden</v>
      </c>
    </row>
    <row r="297" ht="15.75" customHeight="1">
      <c r="A297" s="1" t="s">
        <v>717</v>
      </c>
      <c r="B297" s="1" t="s">
        <v>718</v>
      </c>
      <c r="C297" s="2" t="str">
        <f>IFERROR(__xludf.DUMMYFUNCTION("GOOGLETRANSLATE(E297, ""en"",""vi"")"),"Thụy Sĩ")</f>
        <v>Thụy Sĩ</v>
      </c>
      <c r="D297" s="2" t="str">
        <f t="shared" si="20"/>
        <v>thụy sĩ</v>
      </c>
      <c r="E297" s="3" t="str">
        <f t="shared" si="2"/>
        <v>Switzerland</v>
      </c>
    </row>
    <row r="298" ht="15.75" customHeight="1">
      <c r="A298" s="1" t="s">
        <v>719</v>
      </c>
      <c r="B298" s="1" t="s">
        <v>720</v>
      </c>
      <c r="C298" s="2" t="str">
        <f>IFERROR(__xludf.DUMMYFUNCTION("GOOGLETRANSLATE(E298, ""en"",""vi"")"),"Syria")</f>
        <v>Syria</v>
      </c>
      <c r="D298" s="2" t="str">
        <f t="shared" si="20"/>
        <v>syria</v>
      </c>
      <c r="E298" s="3" t="str">
        <f t="shared" si="2"/>
        <v>Syria</v>
      </c>
    </row>
    <row r="299" ht="15.75" customHeight="1">
      <c r="A299" s="1" t="s">
        <v>721</v>
      </c>
      <c r="B299" s="1" t="s">
        <v>722</v>
      </c>
      <c r="C299" s="2" t="str">
        <f>IFERROR(__xludf.DUMMYFUNCTION("GOOGLETRANSLATE(E299, ""en"",""vi"")"),"São Tomé và Príncipe")</f>
        <v>São Tomé và Príncipe</v>
      </c>
      <c r="D299" s="2" t="str">
        <f t="shared" si="20"/>
        <v>são tomé và príncipe</v>
      </c>
      <c r="E299" s="3" t="str">
        <f t="shared" si="2"/>
        <v>São Tomé &amp; Príncipe</v>
      </c>
    </row>
    <row r="300" ht="15.75" customHeight="1">
      <c r="A300" s="1" t="s">
        <v>723</v>
      </c>
      <c r="B300" s="1" t="s">
        <v>724</v>
      </c>
      <c r="C300" s="2" t="str">
        <f>IFERROR(__xludf.DUMMYFUNCTION("GOOGLETRANSLATE(E300, ""en"",""vi"")"),"khủng long bạo chúa")</f>
        <v>khủng long bạo chúa</v>
      </c>
      <c r="D300" s="2" t="str">
        <f t="shared" si="20"/>
        <v>khủng long bạo chúa</v>
      </c>
      <c r="E300" s="3" t="str">
        <f t="shared" si="2"/>
        <v>T-Rex</v>
      </c>
    </row>
    <row r="301" ht="15.75" customHeight="1">
      <c r="A301" s="1" t="s">
        <v>725</v>
      </c>
      <c r="B301" s="1" t="s">
        <v>726</v>
      </c>
      <c r="C301" s="2" t="s">
        <v>727</v>
      </c>
      <c r="D301" s="2" t="str">
        <f t="shared" si="20"/>
        <v>mũi tên hướng lên</v>
      </c>
      <c r="E301" s="3" t="str">
        <f t="shared" si="2"/>
        <v>TOP arrow</v>
      </c>
    </row>
    <row r="302" ht="15.75" customHeight="1">
      <c r="A302" s="1" t="s">
        <v>728</v>
      </c>
      <c r="B302" s="1" t="s">
        <v>729</v>
      </c>
      <c r="C302" s="2" t="str">
        <f>IFERROR(__xludf.DUMMYFUNCTION("GOOGLETRANSLATE(E302, ""en"",""vi"")"),"Đài Loan")</f>
        <v>Đài Loan</v>
      </c>
      <c r="D302" s="2" t="str">
        <f t="shared" si="20"/>
        <v>đài loan</v>
      </c>
      <c r="E302" s="3" t="str">
        <f t="shared" si="2"/>
        <v>Taiwan</v>
      </c>
    </row>
    <row r="303" ht="15.75" customHeight="1">
      <c r="A303" s="1" t="s">
        <v>730</v>
      </c>
      <c r="B303" s="1" t="s">
        <v>731</v>
      </c>
      <c r="C303" s="2" t="str">
        <f>IFERROR(__xludf.DUMMYFUNCTION("GOOGLETRANSLATE(E303, ""en"",""vi"")"),"Tajikistan")</f>
        <v>Tajikistan</v>
      </c>
      <c r="D303" s="2" t="str">
        <f t="shared" si="20"/>
        <v>tajikistan</v>
      </c>
      <c r="E303" s="3" t="str">
        <f t="shared" si="2"/>
        <v>Tajikistan</v>
      </c>
    </row>
    <row r="304" ht="15.75" customHeight="1">
      <c r="A304" s="1" t="s">
        <v>732</v>
      </c>
      <c r="B304" s="1" t="s">
        <v>733</v>
      </c>
      <c r="C304" s="2" t="str">
        <f>IFERROR(__xludf.DUMMYFUNCTION("GOOGLETRANSLATE(E304, ""en"",""vi"")"),"Tanzania")</f>
        <v>Tanzania</v>
      </c>
      <c r="D304" s="2" t="str">
        <f t="shared" si="20"/>
        <v>tanzania</v>
      </c>
      <c r="E304" s="3" t="str">
        <f t="shared" si="2"/>
        <v>Tanzania</v>
      </c>
    </row>
    <row r="305" ht="15.75" customHeight="1">
      <c r="A305" s="1" t="s">
        <v>734</v>
      </c>
      <c r="B305" s="1" t="s">
        <v>735</v>
      </c>
      <c r="C305" s="2" t="str">
        <f>IFERROR(__xludf.DUMMYFUNCTION("GOOGLETRANSLATE(E305, ""en"",""vi"")"),"Kim Ngưu")</f>
        <v>Kim Ngưu</v>
      </c>
      <c r="D305" s="2" t="str">
        <f t="shared" si="20"/>
        <v>kim ngưu</v>
      </c>
      <c r="E305" s="3" t="str">
        <f t="shared" si="2"/>
        <v>Taurus</v>
      </c>
    </row>
    <row r="306" ht="15.75" customHeight="1">
      <c r="A306" s="1" t="s">
        <v>736</v>
      </c>
      <c r="B306" s="1" t="s">
        <v>737</v>
      </c>
      <c r="C306" s="2" t="s">
        <v>738</v>
      </c>
      <c r="D306" s="2" t="str">
        <f t="shared" si="20"/>
        <v>thái lan</v>
      </c>
      <c r="E306" s="3" t="str">
        <f t="shared" si="2"/>
        <v>Thailand</v>
      </c>
    </row>
    <row r="307" ht="15.75" customHeight="1">
      <c r="A307" s="1" t="s">
        <v>739</v>
      </c>
      <c r="B307" s="1" t="s">
        <v>740</v>
      </c>
      <c r="C307" s="2" t="str">
        <f>IFERROR(__xludf.DUMMYFUNCTION("GOOGLETRANSLATE(E307, ""en"",""vi"")"),"Đông Timor")</f>
        <v>Đông Timor</v>
      </c>
      <c r="D307" s="2" t="str">
        <f t="shared" si="20"/>
        <v>đông timor</v>
      </c>
      <c r="E307" s="3" t="str">
        <f t="shared" si="2"/>
        <v>Timor-Leste</v>
      </c>
    </row>
    <row r="308" ht="15.75" customHeight="1">
      <c r="A308" s="1" t="s">
        <v>741</v>
      </c>
      <c r="B308" s="1" t="s">
        <v>742</v>
      </c>
      <c r="C308" s="2" t="s">
        <v>743</v>
      </c>
      <c r="D308" s="2" t="str">
        <f t="shared" si="20"/>
        <v>togo</v>
      </c>
      <c r="E308" s="3" t="str">
        <f t="shared" si="2"/>
        <v>Togo</v>
      </c>
    </row>
    <row r="309" ht="15.75" customHeight="1">
      <c r="A309" s="1" t="s">
        <v>744</v>
      </c>
      <c r="B309" s="1" t="s">
        <v>745</v>
      </c>
      <c r="C309" s="2" t="str">
        <f>IFERROR(__xludf.DUMMYFUNCTION("GOOGLETRANSLATE(E309, ""en"",""vi"")"),"Tokelau")</f>
        <v>Tokelau</v>
      </c>
      <c r="D309" s="2" t="str">
        <f t="shared" si="20"/>
        <v>tokelau</v>
      </c>
      <c r="E309" s="3" t="str">
        <f t="shared" si="2"/>
        <v>Tokelau</v>
      </c>
    </row>
    <row r="310" ht="15.75" customHeight="1">
      <c r="A310" s="1" t="s">
        <v>746</v>
      </c>
      <c r="B310" s="1" t="s">
        <v>747</v>
      </c>
      <c r="C310" s="2" t="str">
        <f>IFERROR(__xludf.DUMMYFUNCTION("GOOGLETRANSLATE(E310, ""en"",""vi"")"),"Tháp Tokyo")</f>
        <v>Tháp Tokyo</v>
      </c>
      <c r="D310" s="2" t="str">
        <f t="shared" si="20"/>
        <v>tháp tokyo</v>
      </c>
      <c r="E310" s="3" t="str">
        <f t="shared" si="2"/>
        <v>Tokyo tower</v>
      </c>
    </row>
    <row r="311" ht="15.75" customHeight="1">
      <c r="A311" s="1" t="s">
        <v>748</v>
      </c>
      <c r="B311" s="1" t="s">
        <v>749</v>
      </c>
      <c r="C311" s="2" t="s">
        <v>750</v>
      </c>
      <c r="D311" s="2" t="str">
        <f t="shared" si="20"/>
        <v>tonga</v>
      </c>
      <c r="E311" s="3" t="str">
        <f t="shared" si="2"/>
        <v>Tonga</v>
      </c>
    </row>
    <row r="312" ht="15.75" customHeight="1">
      <c r="A312" s="1" t="s">
        <v>751</v>
      </c>
      <c r="B312" s="1" t="s">
        <v>752</v>
      </c>
      <c r="C312" s="2" t="str">
        <f>IFERROR(__xludf.DUMMYFUNCTION("GOOGLETRANSLATE(E312, ""en"",""vi"")"),"Trinidad và Tobago")</f>
        <v>Trinidad và Tobago</v>
      </c>
      <c r="D312" s="2" t="str">
        <f t="shared" si="20"/>
        <v>trinidad và tobago</v>
      </c>
      <c r="E312" s="3" t="str">
        <f t="shared" si="2"/>
        <v>Trinidad &amp; Tobago</v>
      </c>
    </row>
    <row r="313" ht="15.75" customHeight="1">
      <c r="A313" s="1" t="s">
        <v>753</v>
      </c>
      <c r="B313" s="1" t="s">
        <v>754</v>
      </c>
      <c r="C313" s="2" t="str">
        <f>IFERROR(__xludf.DUMMYFUNCTION("GOOGLETRANSLATE(E313, ""en"",""vi"")"),"Tristan da Cunha")</f>
        <v>Tristan da Cunha</v>
      </c>
      <c r="D313" s="2" t="str">
        <f t="shared" si="20"/>
        <v>tristan da cunha</v>
      </c>
      <c r="E313" s="3" t="str">
        <f t="shared" si="2"/>
        <v>Tristan da Cunha</v>
      </c>
    </row>
    <row r="314" ht="15.75" customHeight="1">
      <c r="A314" s="1" t="s">
        <v>755</v>
      </c>
      <c r="B314" s="1" t="s">
        <v>756</v>
      </c>
      <c r="C314" s="2" t="str">
        <f>IFERROR(__xludf.DUMMYFUNCTION("GOOGLETRANSLATE(E314, ""en"",""vi"")"),"Tuy-ni-di")</f>
        <v>Tuy-ni-di</v>
      </c>
      <c r="D314" s="2" t="str">
        <f t="shared" si="20"/>
        <v>tuy-ni-di</v>
      </c>
      <c r="E314" s="3" t="str">
        <f t="shared" si="2"/>
        <v>Tunisia</v>
      </c>
    </row>
    <row r="315" ht="15.75" customHeight="1">
      <c r="A315" s="1" t="s">
        <v>757</v>
      </c>
      <c r="B315" s="1" t="s">
        <v>758</v>
      </c>
      <c r="C315" s="2" t="s">
        <v>759</v>
      </c>
      <c r="D315" s="2" t="str">
        <f t="shared" si="20"/>
        <v>thổ nhĩ kỳ</v>
      </c>
      <c r="E315" s="3" t="str">
        <f t="shared" si="2"/>
        <v>Turkey</v>
      </c>
    </row>
    <row r="316" ht="15.75" customHeight="1">
      <c r="A316" s="1" t="s">
        <v>760</v>
      </c>
      <c r="B316" s="1" t="s">
        <v>761</v>
      </c>
      <c r="C316" s="2" t="str">
        <f>IFERROR(__xludf.DUMMYFUNCTION("GOOGLETRANSLATE(E316, ""en"",""vi"")"),"Turkmenistan")</f>
        <v>Turkmenistan</v>
      </c>
      <c r="D316" s="2" t="str">
        <f t="shared" si="20"/>
        <v>turkmenistan</v>
      </c>
      <c r="E316" s="3" t="str">
        <f t="shared" si="2"/>
        <v>Turkmenistan</v>
      </c>
    </row>
    <row r="317" ht="15.75" customHeight="1">
      <c r="A317" s="1" t="s">
        <v>762</v>
      </c>
      <c r="B317" s="1" t="s">
        <v>763</v>
      </c>
      <c r="C317" s="2" t="str">
        <f>IFERROR(__xludf.DUMMYFUNCTION("GOOGLETRANSLATE(E317, ""en"",""vi"")"),"Quần đảo Turks &amp; Caicos")</f>
        <v>Quần đảo Turks &amp; Caicos</v>
      </c>
      <c r="D317" s="2" t="str">
        <f t="shared" si="20"/>
        <v>quần đảo turks &amp; caicos</v>
      </c>
      <c r="E317" s="3" t="str">
        <f t="shared" si="2"/>
        <v>Turks &amp; Caicos Islands</v>
      </c>
    </row>
    <row r="318" ht="15.75" customHeight="1">
      <c r="A318" s="1" t="s">
        <v>764</v>
      </c>
      <c r="B318" s="1" t="s">
        <v>765</v>
      </c>
      <c r="C318" s="2" t="str">
        <f>IFERROR(__xludf.DUMMYFUNCTION("GOOGLETRANSLATE(E318, ""en"",""vi"")"),"Tuvalu")</f>
        <v>Tuvalu</v>
      </c>
      <c r="D318" s="2" t="str">
        <f t="shared" si="20"/>
        <v>tuvalu</v>
      </c>
      <c r="E318" s="3" t="str">
        <f t="shared" si="2"/>
        <v>Tuvalu</v>
      </c>
    </row>
    <row r="319" ht="15.75" customHeight="1">
      <c r="A319" s="1" t="s">
        <v>766</v>
      </c>
      <c r="B319" s="1" t="s">
        <v>767</v>
      </c>
      <c r="C319" s="2" t="str">
        <f>IFERROR(__xludf.DUMMYFUNCTION("GOOGLETRANSLATE(E319, ""en"",""vi"")"),"Các đảo xa của Hoa Kỳ")</f>
        <v>Các đảo xa của Hoa Kỳ</v>
      </c>
      <c r="D319" s="2" t="str">
        <f t="shared" si="20"/>
        <v>các đảo xa của hoa kỳ</v>
      </c>
      <c r="E319" s="3" t="str">
        <f t="shared" si="2"/>
        <v>U.S. Outlying Islands</v>
      </c>
    </row>
    <row r="320" ht="15.75" customHeight="1">
      <c r="A320" s="1" t="s">
        <v>768</v>
      </c>
      <c r="B320" s="1" t="s">
        <v>769</v>
      </c>
      <c r="C320" s="2" t="str">
        <f>IFERROR(__xludf.DUMMYFUNCTION("GOOGLETRANSLATE(E320, ""en"",""vi"")"),"Quần đảo Virgin thuộc Hoa Kỳ")</f>
        <v>Quần đảo Virgin thuộc Hoa Kỳ</v>
      </c>
      <c r="D320" s="2" t="str">
        <f t="shared" si="20"/>
        <v>quần đảo virgin thuộc hoa kỳ</v>
      </c>
      <c r="E320" s="3" t="str">
        <f t="shared" si="2"/>
        <v>U.S. Virgin Islands</v>
      </c>
    </row>
    <row r="321" ht="15.75" customHeight="1">
      <c r="A321" s="1" t="s">
        <v>770</v>
      </c>
      <c r="B321" s="1" t="s">
        <v>771</v>
      </c>
      <c r="C321" s="2" t="s">
        <v>772</v>
      </c>
      <c r="D321" s="2" t="str">
        <f t="shared" si="20"/>
        <v>nút lên!</v>
      </c>
      <c r="E321" s="3" t="str">
        <f t="shared" si="2"/>
        <v>UP! button</v>
      </c>
    </row>
    <row r="322" ht="15.75" customHeight="1">
      <c r="A322" s="1" t="s">
        <v>773</v>
      </c>
      <c r="B322" s="1" t="s">
        <v>774</v>
      </c>
      <c r="C322" s="2" t="str">
        <f>IFERROR(__xludf.DUMMYFUNCTION("GOOGLETRANSLATE(E322, ""en"",""vi"")"),"Uganda")</f>
        <v>Uganda</v>
      </c>
      <c r="D322" s="2" t="str">
        <f t="shared" si="20"/>
        <v>uganda</v>
      </c>
      <c r="E322" s="3" t="str">
        <f t="shared" si="2"/>
        <v>Uganda</v>
      </c>
    </row>
    <row r="323" ht="15.75" customHeight="1">
      <c r="A323" s="1" t="s">
        <v>775</v>
      </c>
      <c r="B323" s="1" t="s">
        <v>776</v>
      </c>
      <c r="C323" s="2" t="str">
        <f>IFERROR(__xludf.DUMMYFUNCTION("GOOGLETRANSLATE(E323, ""en"",""vi"")"),"Ukraina")</f>
        <v>Ukraina</v>
      </c>
      <c r="D323" s="2" t="str">
        <f t="shared" si="20"/>
        <v>ukraina</v>
      </c>
      <c r="E323" s="3" t="str">
        <f t="shared" si="2"/>
        <v>Ukraine</v>
      </c>
    </row>
    <row r="324" ht="15.75" customHeight="1">
      <c r="A324" s="1" t="s">
        <v>777</v>
      </c>
      <c r="B324" s="1" t="s">
        <v>778</v>
      </c>
      <c r="C324" s="2" t="str">
        <f>IFERROR(__xludf.DUMMYFUNCTION("GOOGLETRANSLATE(E324, ""en"",""vi"")"),"Các Tiểu Vương Quốc Ả Rập Thống Nhất")</f>
        <v>Các Tiểu Vương Quốc Ả Rập Thống Nhất</v>
      </c>
      <c r="D324" s="2" t="str">
        <f t="shared" si="20"/>
        <v>các tiểu vương quốc ả rập thống nhất</v>
      </c>
      <c r="E324" s="3" t="str">
        <f t="shared" si="2"/>
        <v>United Arab Emirates</v>
      </c>
    </row>
    <row r="325" ht="15.75" customHeight="1">
      <c r="A325" s="1" t="s">
        <v>779</v>
      </c>
      <c r="B325" s="1" t="s">
        <v>780</v>
      </c>
      <c r="C325" s="2" t="str">
        <f>IFERROR(__xludf.DUMMYFUNCTION("GOOGLETRANSLATE(E325, ""en"",""vi"")"),"Vương quốc Anh")</f>
        <v>Vương quốc Anh</v>
      </c>
      <c r="D325" s="2" t="str">
        <f t="shared" si="20"/>
        <v>vương quốc anh</v>
      </c>
      <c r="E325" s="3" t="str">
        <f t="shared" si="2"/>
        <v>United Kingdom</v>
      </c>
    </row>
    <row r="326" ht="15.75" customHeight="1">
      <c r="A326" s="1" t="s">
        <v>781</v>
      </c>
      <c r="B326" s="1" t="s">
        <v>782</v>
      </c>
      <c r="C326" s="2" t="str">
        <f>IFERROR(__xludf.DUMMYFUNCTION("GOOGLETRANSLATE(E326, ""en"",""vi"")"),"Liên hợp quốc")</f>
        <v>Liên hợp quốc</v>
      </c>
      <c r="D326" s="2" t="str">
        <f t="shared" si="20"/>
        <v>liên hợp quốc</v>
      </c>
      <c r="E326" s="3" t="str">
        <f t="shared" si="2"/>
        <v>United Nations</v>
      </c>
    </row>
    <row r="327" ht="15.75" customHeight="1">
      <c r="A327" s="1" t="s">
        <v>783</v>
      </c>
      <c r="B327" s="1" t="s">
        <v>784</v>
      </c>
      <c r="C327" s="2" t="str">
        <f>IFERROR(__xludf.DUMMYFUNCTION("GOOGLETRANSLATE(E327, ""en"",""vi"")"),"Hoa Kỳ")</f>
        <v>Hoa Kỳ</v>
      </c>
      <c r="D327" s="2" t="str">
        <f t="shared" si="20"/>
        <v>hoa kỳ</v>
      </c>
      <c r="E327" s="3" t="str">
        <f t="shared" si="2"/>
        <v>United States</v>
      </c>
    </row>
    <row r="328" ht="15.75" customHeight="1">
      <c r="A328" s="1" t="s">
        <v>785</v>
      </c>
      <c r="B328" s="1" t="s">
        <v>786</v>
      </c>
      <c r="C328" s="2" t="str">
        <f>IFERROR(__xludf.DUMMYFUNCTION("GOOGLETRANSLATE(E328, ""en"",""vi"")"),"Urugoay")</f>
        <v>Urugoay</v>
      </c>
      <c r="D328" s="2" t="str">
        <f t="shared" si="20"/>
        <v>urugoay</v>
      </c>
      <c r="E328" s="3" t="str">
        <f t="shared" si="2"/>
        <v>Uruguay</v>
      </c>
    </row>
    <row r="329" ht="15.75" customHeight="1">
      <c r="A329" s="1" t="s">
        <v>787</v>
      </c>
      <c r="B329" s="1" t="s">
        <v>788</v>
      </c>
      <c r="C329" s="2" t="str">
        <f>IFERROR(__xludf.DUMMYFUNCTION("GOOGLETRANSLATE(E329, ""en"",""vi"")"),"Uzbekistan")</f>
        <v>Uzbekistan</v>
      </c>
      <c r="D329" s="2" t="str">
        <f t="shared" si="20"/>
        <v>uzbekistan</v>
      </c>
      <c r="E329" s="3" t="str">
        <f t="shared" si="2"/>
        <v>Uzbekistan</v>
      </c>
    </row>
    <row r="330" ht="15.75" customHeight="1">
      <c r="A330" s="1" t="s">
        <v>789</v>
      </c>
      <c r="B330" s="1" t="s">
        <v>790</v>
      </c>
      <c r="C330" s="2" t="str">
        <f>IFERROR(__xludf.DUMMYFUNCTION("GOOGLETRANSLATE(E330, ""en"",""vi"")"),"Nút VS")</f>
        <v>Nút VS</v>
      </c>
      <c r="D330" s="2" t="str">
        <f t="shared" si="20"/>
        <v>nút vs</v>
      </c>
      <c r="E330" s="3" t="str">
        <f t="shared" si="2"/>
        <v>VS button</v>
      </c>
    </row>
    <row r="331" ht="15.75" customHeight="1">
      <c r="A331" s="1" t="s">
        <v>791</v>
      </c>
      <c r="B331" s="1" t="s">
        <v>792</v>
      </c>
      <c r="C331" s="2" t="str">
        <f>IFERROR(__xludf.DUMMYFUNCTION("GOOGLETRANSLATE(E331, ""en"",""vi"")"),"Vanuatu")</f>
        <v>Vanuatu</v>
      </c>
      <c r="D331" s="2" t="str">
        <f t="shared" si="20"/>
        <v>vanuatu</v>
      </c>
      <c r="E331" s="3" t="str">
        <f t="shared" si="2"/>
        <v>Vanuatu</v>
      </c>
    </row>
    <row r="332" ht="15.75" customHeight="1">
      <c r="A332" s="1" t="s">
        <v>793</v>
      </c>
      <c r="B332" s="1" t="s">
        <v>794</v>
      </c>
      <c r="C332" s="2" t="str">
        <f>IFERROR(__xludf.DUMMYFUNCTION("GOOGLETRANSLATE(E332, ""en"",""vi"")"),"Thành phố Vatican")</f>
        <v>Thành phố Vatican</v>
      </c>
      <c r="D332" s="2" t="str">
        <f t="shared" si="20"/>
        <v>thành phố vatican</v>
      </c>
      <c r="E332" s="3" t="str">
        <f t="shared" si="2"/>
        <v>Vatican City</v>
      </c>
    </row>
    <row r="333" ht="15.75" customHeight="1">
      <c r="A333" s="1" t="s">
        <v>795</v>
      </c>
      <c r="B333" s="1" t="s">
        <v>796</v>
      </c>
      <c r="C333" s="2" t="str">
        <f>IFERROR(__xludf.DUMMYFUNCTION("GOOGLETRANSLATE(E333, ""en"",""vi"")"),"Venezuela")</f>
        <v>Venezuela</v>
      </c>
      <c r="D333" s="2" t="str">
        <f t="shared" si="20"/>
        <v>venezuela</v>
      </c>
      <c r="E333" s="3" t="str">
        <f t="shared" si="2"/>
        <v>Venezuela</v>
      </c>
    </row>
    <row r="334" ht="15.75" customHeight="1">
      <c r="A334" s="1" t="s">
        <v>797</v>
      </c>
      <c r="B334" s="1" t="s">
        <v>798</v>
      </c>
      <c r="C334" s="2" t="str">
        <f>IFERROR(__xludf.DUMMYFUNCTION("GOOGLETRANSLATE(E334, ""en"",""vi"")"),"Việt Nam")</f>
        <v>Việt Nam</v>
      </c>
      <c r="D334" s="2" t="str">
        <f t="shared" si="20"/>
        <v>việt nam</v>
      </c>
      <c r="E334" s="3" t="str">
        <f t="shared" si="2"/>
        <v>Vietnam</v>
      </c>
    </row>
    <row r="335" ht="15.75" customHeight="1">
      <c r="A335" s="1" t="s">
        <v>799</v>
      </c>
      <c r="B335" s="1" t="s">
        <v>800</v>
      </c>
      <c r="C335" s="2" t="str">
        <f>IFERROR(__xludf.DUMMYFUNCTION("GOOGLETRANSLATE(E335, ""en"",""vi"")"),"Xử Nữ")</f>
        <v>Xử Nữ</v>
      </c>
      <c r="D335" s="2" t="str">
        <f t="shared" si="20"/>
        <v>xử nữ</v>
      </c>
      <c r="E335" s="3" t="str">
        <f t="shared" si="2"/>
        <v>Virgo</v>
      </c>
    </row>
    <row r="336" ht="15.75" customHeight="1">
      <c r="A336" s="1" t="s">
        <v>801</v>
      </c>
      <c r="B336" s="1" t="s">
        <v>802</v>
      </c>
      <c r="C336" s="2" t="str">
        <f>IFERROR(__xludf.DUMMYFUNCTION("GOOGLETRANSLATE(E336, ""en"",""vi"")"),"xứ Wales")</f>
        <v>xứ Wales</v>
      </c>
      <c r="D336" s="2" t="str">
        <f t="shared" si="20"/>
        <v>xứ wales</v>
      </c>
      <c r="E336" s="3" t="str">
        <f t="shared" si="2"/>
        <v>Wales</v>
      </c>
    </row>
    <row r="337" ht="15.75" customHeight="1">
      <c r="A337" s="1" t="s">
        <v>803</v>
      </c>
      <c r="B337" s="1" t="s">
        <v>804</v>
      </c>
      <c r="C337" s="2" t="str">
        <f>IFERROR(__xludf.DUMMYFUNCTION("GOOGLETRANSLATE(E337, ""en"",""vi"")"),"Wallis và Futuna")</f>
        <v>Wallis và Futuna</v>
      </c>
      <c r="D337" s="2" t="str">
        <f t="shared" si="20"/>
        <v>wallis và futuna</v>
      </c>
      <c r="E337" s="3" t="str">
        <f t="shared" si="2"/>
        <v>Wallis &amp; Futuna</v>
      </c>
    </row>
    <row r="338" ht="15.75" customHeight="1">
      <c r="A338" s="1" t="s">
        <v>805</v>
      </c>
      <c r="B338" s="1" t="s">
        <v>806</v>
      </c>
      <c r="C338" s="2" t="str">
        <f>IFERROR(__xludf.DUMMYFUNCTION("GOOGLETRANSLATE(E338, ""en"",""vi"")"),"Tây Sahara")</f>
        <v>Tây Sahara</v>
      </c>
      <c r="D338" s="2" t="str">
        <f t="shared" si="20"/>
        <v>tây sahara</v>
      </c>
      <c r="E338" s="3" t="str">
        <f t="shared" si="2"/>
        <v>Western Sahara</v>
      </c>
    </row>
    <row r="339" ht="15.75" customHeight="1">
      <c r="A339" s="1" t="s">
        <v>807</v>
      </c>
      <c r="B339" s="1" t="s">
        <v>808</v>
      </c>
      <c r="C339" s="2" t="str">
        <f>IFERROR(__xludf.DUMMYFUNCTION("GOOGLETRANSLATE(E339, ""en"",""vi"")"),"Yemen")</f>
        <v>Yemen</v>
      </c>
      <c r="D339" s="2" t="str">
        <f t="shared" si="20"/>
        <v>yemen</v>
      </c>
      <c r="E339" s="3" t="str">
        <f t="shared" si="2"/>
        <v>Yemen</v>
      </c>
    </row>
    <row r="340" ht="15.75" customHeight="1">
      <c r="A340" s="1" t="s">
        <v>809</v>
      </c>
      <c r="B340" s="1" t="s">
        <v>810</v>
      </c>
      <c r="C340" s="2" t="str">
        <f>IFERROR(__xludf.DUMMYFUNCTION("GOOGLETRANSLATE(E340, ""en"",""vi"")"),"Zambia")</f>
        <v>Zambia</v>
      </c>
      <c r="D340" s="2" t="str">
        <f t="shared" si="20"/>
        <v>zambia</v>
      </c>
      <c r="E340" s="3" t="str">
        <f t="shared" si="2"/>
        <v>Zambia</v>
      </c>
    </row>
    <row r="341" ht="15.75" customHeight="1">
      <c r="A341" s="1" t="s">
        <v>811</v>
      </c>
      <c r="B341" s="1" t="s">
        <v>812</v>
      </c>
      <c r="C341" s="2" t="str">
        <f>IFERROR(__xludf.DUMMYFUNCTION("GOOGLETRANSLATE(E341, ""en"",""vi"")"),"Zimbabwe")</f>
        <v>Zimbabwe</v>
      </c>
      <c r="D341" s="2" t="str">
        <f t="shared" si="20"/>
        <v>zimbabwe</v>
      </c>
      <c r="E341" s="3" t="str">
        <f t="shared" si="2"/>
        <v>Zimbabwe</v>
      </c>
    </row>
    <row r="342" ht="15.75" customHeight="1">
      <c r="A342" s="1" t="s">
        <v>813</v>
      </c>
      <c r="B342" s="1" t="s">
        <v>814</v>
      </c>
      <c r="C342" s="2" t="s">
        <v>815</v>
      </c>
      <c r="D342" s="2" t="str">
        <f t="shared" si="20"/>
        <v>bàn tính</v>
      </c>
      <c r="E342" s="3" t="str">
        <f t="shared" si="2"/>
        <v>abacus</v>
      </c>
    </row>
    <row r="343" ht="15.75" customHeight="1">
      <c r="A343" s="1" t="s">
        <v>816</v>
      </c>
      <c r="B343" s="1" t="s">
        <v>817</v>
      </c>
      <c r="C343" s="2" t="s">
        <v>818</v>
      </c>
      <c r="D343" s="2" t="str">
        <f t="shared" si="20"/>
        <v>phong cầm</v>
      </c>
      <c r="E343" s="3" t="str">
        <f t="shared" si="2"/>
        <v>accordion</v>
      </c>
    </row>
    <row r="344" ht="15.75" customHeight="1">
      <c r="A344" s="1" t="s">
        <v>819</v>
      </c>
      <c r="B344" s="1" t="s">
        <v>820</v>
      </c>
      <c r="C344" s="2" t="s">
        <v>821</v>
      </c>
      <c r="D344" s="2" t="str">
        <f t="shared" si="20"/>
        <v>băng keo cá nhân</v>
      </c>
      <c r="E344" s="3" t="str">
        <f t="shared" si="2"/>
        <v>adhesive bandage</v>
      </c>
    </row>
    <row r="345" ht="15.75" customHeight="1">
      <c r="A345" s="1" t="s">
        <v>822</v>
      </c>
      <c r="B345" s="1" t="s">
        <v>823</v>
      </c>
      <c r="C345" s="2" t="str">
        <f>IFERROR(__xludf.DUMMYFUNCTION("GOOGLETRANSLATE(E345, ""en"",""vi"")"),"vé vào cửa")</f>
        <v>vé vào cửa</v>
      </c>
      <c r="D345" s="2" t="str">
        <f t="shared" si="20"/>
        <v>vé vào cửa</v>
      </c>
      <c r="E345" s="3" t="str">
        <f t="shared" si="2"/>
        <v>admission tickets</v>
      </c>
    </row>
    <row r="346" ht="15.75" customHeight="1">
      <c r="A346" s="1" t="s">
        <v>824</v>
      </c>
      <c r="B346" s="1" t="s">
        <v>825</v>
      </c>
      <c r="C346" s="2" t="str">
        <f>IFERROR(__xludf.DUMMYFUNCTION("GOOGLETRANSLATE(E346, ""en"",""vi"")"),"xe điện trên không")</f>
        <v>xe điện trên không</v>
      </c>
      <c r="D346" s="2" t="str">
        <f t="shared" si="20"/>
        <v>xe điện trên không</v>
      </c>
      <c r="E346" s="3" t="str">
        <f t="shared" si="2"/>
        <v>aerial tramway</v>
      </c>
    </row>
    <row r="347" ht="15.75" customHeight="1">
      <c r="A347" s="1" t="s">
        <v>826</v>
      </c>
      <c r="B347" s="1" t="s">
        <v>827</v>
      </c>
      <c r="C347" s="2" t="str">
        <f>IFERROR(__xludf.DUMMYFUNCTION("GOOGLETRANSLATE(E347, ""en"",""vi"")"),"máy bay")</f>
        <v>máy bay</v>
      </c>
      <c r="D347" s="2" t="str">
        <f t="shared" si="20"/>
        <v>máy bay</v>
      </c>
      <c r="E347" s="3" t="str">
        <f t="shared" si="2"/>
        <v>airplane</v>
      </c>
    </row>
    <row r="348" ht="15.75" customHeight="1">
      <c r="A348" s="1" t="s">
        <v>828</v>
      </c>
      <c r="B348" s="1" t="s">
        <v>829</v>
      </c>
      <c r="C348" s="2" t="str">
        <f>IFERROR(__xludf.DUMMYFUNCTION("GOOGLETRANSLATE(E348, ""en"",""vi"")"),"máy bay đến")</f>
        <v>máy bay đến</v>
      </c>
      <c r="D348" s="2" t="str">
        <f t="shared" si="20"/>
        <v>máy bay đến</v>
      </c>
      <c r="E348" s="3" t="str">
        <f t="shared" si="2"/>
        <v>airplane arrival</v>
      </c>
    </row>
    <row r="349" ht="15.75" customHeight="1">
      <c r="A349" s="1" t="s">
        <v>830</v>
      </c>
      <c r="B349" s="1" t="s">
        <v>831</v>
      </c>
      <c r="C349" s="2" t="str">
        <f>IFERROR(__xludf.DUMMYFUNCTION("GOOGLETRANSLATE(E349, ""en"",""vi"")"),"máy bay khởi hành")</f>
        <v>máy bay khởi hành</v>
      </c>
      <c r="D349" s="2" t="str">
        <f t="shared" si="20"/>
        <v>máy bay khởi hành</v>
      </c>
      <c r="E349" s="3" t="str">
        <f t="shared" si="2"/>
        <v>airplane departure</v>
      </c>
    </row>
    <row r="350" ht="15.75" customHeight="1">
      <c r="A350" s="1" t="s">
        <v>832</v>
      </c>
      <c r="B350" s="1" t="s">
        <v>833</v>
      </c>
      <c r="C350" s="2" t="str">
        <f>IFERROR(__xludf.DUMMYFUNCTION("GOOGLETRANSLATE(E350, ""en"",""vi"")"),"đồng hồ báo thức")</f>
        <v>đồng hồ báo thức</v>
      </c>
      <c r="D350" s="2" t="str">
        <f t="shared" si="20"/>
        <v>đồng hồ báo thức</v>
      </c>
      <c r="E350" s="3" t="str">
        <f t="shared" si="2"/>
        <v>alarm clock</v>
      </c>
    </row>
    <row r="351" ht="15.75" customHeight="1">
      <c r="A351" s="1" t="s">
        <v>834</v>
      </c>
      <c r="B351" s="1" t="s">
        <v>835</v>
      </c>
      <c r="C351" s="2" t="str">
        <f>IFERROR(__xludf.DUMMYFUNCTION("GOOGLETRANSLATE(E351, ""en"",""vi"")"),"nồi nấu rượu")</f>
        <v>nồi nấu rượu</v>
      </c>
      <c r="D351" s="2" t="str">
        <f t="shared" si="20"/>
        <v>nồi nấu rượu</v>
      </c>
      <c r="E351" s="3" t="str">
        <f t="shared" si="2"/>
        <v>alembic</v>
      </c>
    </row>
    <row r="352" ht="15.75" customHeight="1">
      <c r="A352" s="1" t="s">
        <v>836</v>
      </c>
      <c r="B352" s="1" t="s">
        <v>837</v>
      </c>
      <c r="C352" s="2" t="str">
        <f>IFERROR(__xludf.DUMMYFUNCTION("GOOGLETRANSLATE(E352, ""en"",""vi"")"),"người ngoài hành tinh")</f>
        <v>người ngoài hành tinh</v>
      </c>
      <c r="D352" s="2" t="str">
        <f t="shared" si="20"/>
        <v>người ngoài hành tinh</v>
      </c>
      <c r="E352" s="3" t="str">
        <f t="shared" si="2"/>
        <v>alien</v>
      </c>
    </row>
    <row r="353" ht="15.75" customHeight="1">
      <c r="A353" s="1" t="s">
        <v>838</v>
      </c>
      <c r="B353" s="1" t="s">
        <v>839</v>
      </c>
      <c r="C353" s="2" t="s">
        <v>840</v>
      </c>
      <c r="D353" s="2" t="str">
        <f t="shared" si="20"/>
        <v>quái vật ngoài hành tinh</v>
      </c>
      <c r="E353" s="3" t="str">
        <f t="shared" si="2"/>
        <v>alien monster</v>
      </c>
    </row>
    <row r="354" ht="15.75" customHeight="1">
      <c r="A354" s="1" t="s">
        <v>841</v>
      </c>
      <c r="B354" s="1" t="s">
        <v>842</v>
      </c>
      <c r="C354" s="2" t="str">
        <f>IFERROR(__xludf.DUMMYFUNCTION("GOOGLETRANSLATE(E354, ""en"",""vi"")"),"xe cứu thương")</f>
        <v>xe cứu thương</v>
      </c>
      <c r="D354" s="2" t="str">
        <f t="shared" si="20"/>
        <v>xe cứu thương</v>
      </c>
      <c r="E354" s="3" t="str">
        <f t="shared" si="2"/>
        <v>ambulance</v>
      </c>
    </row>
    <row r="355" ht="15.75" customHeight="1">
      <c r="A355" s="1" t="s">
        <v>843</v>
      </c>
      <c r="B355" s="1" t="s">
        <v>844</v>
      </c>
      <c r="C355" s="2" t="str">
        <f>IFERROR(__xludf.DUMMYFUNCTION("GOOGLETRANSLATE(E355, ""en"",""vi"")"),"bóng bầu dục mỹ")</f>
        <v>bóng bầu dục mỹ</v>
      </c>
      <c r="D355" s="2" t="str">
        <f t="shared" si="20"/>
        <v>bóng bầu dục mỹ</v>
      </c>
      <c r="E355" s="3" t="str">
        <f t="shared" si="2"/>
        <v>american football</v>
      </c>
    </row>
    <row r="356" ht="15.75" customHeight="1">
      <c r="A356" s="1" t="s">
        <v>845</v>
      </c>
      <c r="B356" s="1" t="s">
        <v>846</v>
      </c>
      <c r="C356" s="2" t="s">
        <v>847</v>
      </c>
      <c r="D356" s="2" t="str">
        <f t="shared" si="20"/>
        <v>bình hai quai xưa</v>
      </c>
      <c r="E356" s="3" t="str">
        <f t="shared" si="2"/>
        <v>amphora</v>
      </c>
    </row>
    <row r="357" ht="15.75" customHeight="1">
      <c r="A357" s="1" t="s">
        <v>848</v>
      </c>
      <c r="B357" s="1" t="s">
        <v>849</v>
      </c>
      <c r="C357" s="2" t="str">
        <f>IFERROR(__xludf.DUMMYFUNCTION("GOOGLETRANSLATE(E357, ""en"",""vi"")"),"giải phẫu tim")</f>
        <v>giải phẫu tim</v>
      </c>
      <c r="D357" s="2" t="str">
        <f t="shared" si="20"/>
        <v>giải phẫu tim</v>
      </c>
      <c r="E357" s="3" t="str">
        <f t="shared" si="2"/>
        <v>anatomical heart</v>
      </c>
    </row>
    <row r="358" ht="15.75" customHeight="1">
      <c r="A358" s="1" t="s">
        <v>850</v>
      </c>
      <c r="B358" s="1" t="s">
        <v>851</v>
      </c>
      <c r="C358" s="2" t="str">
        <f>IFERROR(__xludf.DUMMYFUNCTION("GOOGLETRANSLATE(E358, ""en"",""vi"")"),"neo")</f>
        <v>neo</v>
      </c>
      <c r="D358" s="2" t="str">
        <f t="shared" si="20"/>
        <v>neo</v>
      </c>
      <c r="E358" s="3" t="str">
        <f t="shared" si="2"/>
        <v>anchor</v>
      </c>
    </row>
    <row r="359" ht="15.75" customHeight="1">
      <c r="A359" s="1" t="s">
        <v>852</v>
      </c>
      <c r="B359" s="1" t="s">
        <v>853</v>
      </c>
      <c r="C359" s="2" t="str">
        <f>IFERROR(__xludf.DUMMYFUNCTION("GOOGLETRANSLATE(E359, ""en"",""vi"")"),"biểu tượng tức giận")</f>
        <v>biểu tượng tức giận</v>
      </c>
      <c r="D359" s="2" t="str">
        <f t="shared" si="20"/>
        <v>biểu tượng tức giận</v>
      </c>
      <c r="E359" s="3" t="str">
        <f t="shared" si="2"/>
        <v>anger symbol</v>
      </c>
    </row>
    <row r="360" ht="15.75" customHeight="1">
      <c r="A360" s="1" t="s">
        <v>854</v>
      </c>
      <c r="B360" s="1" t="s">
        <v>855</v>
      </c>
      <c r="C360" s="2" t="str">
        <f>IFERROR(__xludf.DUMMYFUNCTION("GOOGLETRANSLATE(E360, ""en"",""vi"")"),"khuôn mặt giận dữ")</f>
        <v>khuôn mặt giận dữ</v>
      </c>
      <c r="D360" s="2" t="str">
        <f t="shared" si="20"/>
        <v>khuôn mặt giận dữ</v>
      </c>
      <c r="E360" s="3" t="str">
        <f t="shared" si="2"/>
        <v>angry face</v>
      </c>
    </row>
    <row r="361" ht="15.75" customHeight="1">
      <c r="A361" s="1" t="s">
        <v>856</v>
      </c>
      <c r="B361" s="1" t="s">
        <v>857</v>
      </c>
      <c r="C361" s="2" t="s">
        <v>858</v>
      </c>
      <c r="D361" s="2" t="str">
        <f t="shared" si="20"/>
        <v>gương mặt giận dữ có sừng</v>
      </c>
      <c r="E361" s="3" t="str">
        <f t="shared" si="2"/>
        <v>angry face with horns</v>
      </c>
    </row>
    <row r="362" ht="15.75" customHeight="1">
      <c r="A362" s="1" t="s">
        <v>859</v>
      </c>
      <c r="B362" s="1" t="s">
        <v>860</v>
      </c>
      <c r="C362" s="2" t="s">
        <v>861</v>
      </c>
      <c r="D362" s="2" t="str">
        <f t="shared" si="20"/>
        <v>gương mặt đau khổ</v>
      </c>
      <c r="E362" s="3" t="str">
        <f t="shared" si="2"/>
        <v>anguished face</v>
      </c>
    </row>
    <row r="363" ht="15.75" customHeight="1">
      <c r="A363" s="1" t="s">
        <v>862</v>
      </c>
      <c r="B363" s="1" t="s">
        <v>863</v>
      </c>
      <c r="C363" s="2" t="str">
        <f>IFERROR(__xludf.DUMMYFUNCTION("GOOGLETRANSLATE(E363, ""en"",""vi"")"),"kiến")</f>
        <v>kiến</v>
      </c>
      <c r="D363" s="2" t="str">
        <f t="shared" si="20"/>
        <v>kiến</v>
      </c>
      <c r="E363" s="3" t="str">
        <f t="shared" si="2"/>
        <v>ant</v>
      </c>
    </row>
    <row r="364" ht="15.75" customHeight="1">
      <c r="A364" s="1" t="s">
        <v>864</v>
      </c>
      <c r="B364" s="1" t="s">
        <v>865</v>
      </c>
      <c r="C364" s="2" t="str">
        <f>IFERROR(__xludf.DUMMYFUNCTION("GOOGLETRANSLATE(E364, ""en"",""vi"")"),"thanh ăng ten")</f>
        <v>thanh ăng ten</v>
      </c>
      <c r="D364" s="2" t="str">
        <f t="shared" si="20"/>
        <v>thanh ăng ten</v>
      </c>
      <c r="E364" s="3" t="str">
        <f t="shared" si="2"/>
        <v>antenna bars</v>
      </c>
    </row>
    <row r="365" ht="15.75" customHeight="1">
      <c r="A365" s="1" t="s">
        <v>866</v>
      </c>
      <c r="B365" s="1" t="s">
        <v>867</v>
      </c>
      <c r="C365" s="2" t="s">
        <v>868</v>
      </c>
      <c r="D365" s="2" t="str">
        <f t="shared" si="20"/>
        <v>gương mặt lo lắng với mồ hôi</v>
      </c>
      <c r="E365" s="3" t="str">
        <f t="shared" si="2"/>
        <v>anxious face with sweat</v>
      </c>
    </row>
    <row r="366" ht="15.75" customHeight="1">
      <c r="A366" s="1" t="s">
        <v>869</v>
      </c>
      <c r="B366" s="1" t="s">
        <v>870</v>
      </c>
      <c r="C366" s="2" t="str">
        <f>IFERROR(__xludf.DUMMYFUNCTION("GOOGLETRANSLATE(E366, ""en"",""vi"")"),"xe tải khớp nối")</f>
        <v>xe tải khớp nối</v>
      </c>
      <c r="D366" s="2" t="str">
        <f t="shared" si="20"/>
        <v>xe tải khớp nối</v>
      </c>
      <c r="E366" s="3" t="str">
        <f t="shared" si="2"/>
        <v>articulated lorry</v>
      </c>
    </row>
    <row r="367" ht="15.75" customHeight="1">
      <c r="A367" s="1" t="s">
        <v>871</v>
      </c>
      <c r="B367" s="1" t="s">
        <v>872</v>
      </c>
      <c r="C367" s="2" t="str">
        <f>IFERROR(__xludf.DUMMYFUNCTION("GOOGLETRANSLATE(E367, ""en"",""vi"")"),"nghệ sĩ")</f>
        <v>nghệ sĩ</v>
      </c>
      <c r="D367" s="2" t="str">
        <f t="shared" si="20"/>
        <v>nghệ sĩ</v>
      </c>
      <c r="E367" s="3" t="str">
        <f t="shared" si="2"/>
        <v>artist</v>
      </c>
    </row>
    <row r="368" ht="15.75" customHeight="1">
      <c r="A368" s="1" t="s">
        <v>873</v>
      </c>
      <c r="B368" s="1" t="s">
        <v>874</v>
      </c>
      <c r="C368" s="2" t="str">
        <f>IFERROR(__xludf.DUMMYFUNCTION("GOOGLETRANSLATE(E368, ""en"",""vi"")"),"nghệ sĩ có làn da tối màu")</f>
        <v>nghệ sĩ có làn da tối màu</v>
      </c>
      <c r="D368" s="2" t="str">
        <f t="shared" si="20"/>
        <v>nghệ sĩ có làn da tối màu</v>
      </c>
      <c r="E368" s="3" t="str">
        <f t="shared" si="2"/>
        <v>artist dark skin tone</v>
      </c>
    </row>
    <row r="369" ht="15.75" customHeight="1">
      <c r="A369" s="1" t="s">
        <v>875</v>
      </c>
      <c r="B369" s="1" t="s">
        <v>876</v>
      </c>
      <c r="C369" s="2" t="s">
        <v>877</v>
      </c>
      <c r="D369" s="2" t="str">
        <f t="shared" si="20"/>
        <v>nghệ sĩ màu da sáng</v>
      </c>
      <c r="E369" s="3" t="str">
        <f t="shared" si="2"/>
        <v>artist light skin tone</v>
      </c>
    </row>
    <row r="370" ht="15.75" customHeight="1">
      <c r="A370" s="1" t="s">
        <v>878</v>
      </c>
      <c r="B370" s="1" t="s">
        <v>879</v>
      </c>
      <c r="C370" s="2" t="s">
        <v>880</v>
      </c>
      <c r="D370" s="2" t="str">
        <f t="shared" si="20"/>
        <v>nghệ sĩ màu da tối vừa</v>
      </c>
      <c r="E370" s="3" t="str">
        <f t="shared" si="2"/>
        <v>artist medium-dark skin tone</v>
      </c>
    </row>
    <row r="371" ht="15.75" customHeight="1">
      <c r="A371" s="1" t="s">
        <v>881</v>
      </c>
      <c r="B371" s="1" t="s">
        <v>882</v>
      </c>
      <c r="C371" s="2" t="s">
        <v>883</v>
      </c>
      <c r="D371" s="2" t="str">
        <f t="shared" si="20"/>
        <v>nghệ sĩ màu da sáng vừa</v>
      </c>
      <c r="E371" s="3" t="str">
        <f t="shared" si="2"/>
        <v>artist medium-light skin tone</v>
      </c>
    </row>
    <row r="372" ht="15.75" customHeight="1">
      <c r="A372" s="1" t="s">
        <v>884</v>
      </c>
      <c r="B372" s="1" t="s">
        <v>885</v>
      </c>
      <c r="C372" s="2" t="s">
        <v>886</v>
      </c>
      <c r="D372" s="2" t="str">
        <f t="shared" si="20"/>
        <v>nghệ sĩ màu da thường</v>
      </c>
      <c r="E372" s="3" t="str">
        <f t="shared" si="2"/>
        <v>artist medium skin tone</v>
      </c>
    </row>
    <row r="373" ht="15.75" customHeight="1">
      <c r="A373" s="1" t="s">
        <v>887</v>
      </c>
      <c r="B373" s="1" t="s">
        <v>888</v>
      </c>
      <c r="C373" s="2" t="s">
        <v>889</v>
      </c>
      <c r="D373" s="2" t="str">
        <f t="shared" si="20"/>
        <v>bảng màu nghệ sĩ</v>
      </c>
      <c r="E373" s="3" t="str">
        <f t="shared" si="2"/>
        <v>artist palette</v>
      </c>
    </row>
    <row r="374" ht="15.75" customHeight="1">
      <c r="A374" s="1" t="s">
        <v>890</v>
      </c>
      <c r="B374" s="1" t="s">
        <v>891</v>
      </c>
      <c r="C374" s="2" t="str">
        <f>IFERROR(__xludf.DUMMYFUNCTION("GOOGLETRANSLATE(E374, ""en"",""vi"")"),"khuôn mặt ngạc nhiên")</f>
        <v>khuôn mặt ngạc nhiên</v>
      </c>
      <c r="D374" s="2" t="str">
        <f t="shared" si="20"/>
        <v>khuôn mặt ngạc nhiên</v>
      </c>
      <c r="E374" s="3" t="str">
        <f t="shared" si="2"/>
        <v>astonished face</v>
      </c>
    </row>
    <row r="375" ht="15.75" customHeight="1">
      <c r="A375" s="1" t="s">
        <v>892</v>
      </c>
      <c r="B375" s="1" t="s">
        <v>893</v>
      </c>
      <c r="C375" s="2" t="str">
        <f>IFERROR(__xludf.DUMMYFUNCTION("GOOGLETRANSLATE(E375, ""en"",""vi"")"),"phi hành gia")</f>
        <v>phi hành gia</v>
      </c>
      <c r="D375" s="2" t="str">
        <f t="shared" si="20"/>
        <v>phi hành gia</v>
      </c>
      <c r="E375" s="3" t="str">
        <f t="shared" si="2"/>
        <v>astronaut</v>
      </c>
    </row>
    <row r="376" ht="15.75" customHeight="1">
      <c r="A376" s="1" t="s">
        <v>894</v>
      </c>
      <c r="B376" s="1" t="s">
        <v>895</v>
      </c>
      <c r="C376" s="2" t="str">
        <f>IFERROR(__xludf.DUMMYFUNCTION("GOOGLETRANSLATE(E376, ""en"",""vi"")"),"phi hành gia da ngăm đen")</f>
        <v>phi hành gia da ngăm đen</v>
      </c>
      <c r="D376" s="2" t="str">
        <f t="shared" si="20"/>
        <v>phi hành gia da ngăm đen</v>
      </c>
      <c r="E376" s="3" t="str">
        <f t="shared" si="2"/>
        <v>astronaut dark skin tone</v>
      </c>
    </row>
    <row r="377" ht="15.75" customHeight="1">
      <c r="A377" s="1" t="s">
        <v>896</v>
      </c>
      <c r="B377" s="1" t="s">
        <v>897</v>
      </c>
      <c r="C377" s="2" t="s">
        <v>898</v>
      </c>
      <c r="D377" s="2" t="str">
        <f t="shared" si="20"/>
        <v>phi hành gia màu da sáng</v>
      </c>
      <c r="E377" s="3" t="str">
        <f t="shared" si="2"/>
        <v>astronaut light skin tone</v>
      </c>
    </row>
    <row r="378" ht="15.75" customHeight="1">
      <c r="A378" s="1" t="s">
        <v>899</v>
      </c>
      <c r="B378" s="1" t="s">
        <v>900</v>
      </c>
      <c r="C378" s="2" t="s">
        <v>901</v>
      </c>
      <c r="D378" s="2" t="str">
        <f t="shared" si="20"/>
        <v>phi hành gia màu da sáng vừa</v>
      </c>
      <c r="E378" s="3" t="str">
        <f t="shared" si="2"/>
        <v>astronaut medium-dark skin tone</v>
      </c>
    </row>
    <row r="379" ht="15.75" customHeight="1">
      <c r="A379" s="1" t="s">
        <v>902</v>
      </c>
      <c r="B379" s="1" t="s">
        <v>903</v>
      </c>
      <c r="C379" s="2" t="s">
        <v>901</v>
      </c>
      <c r="D379" s="2" t="str">
        <f t="shared" si="20"/>
        <v>phi hành gia màu da sáng vừa</v>
      </c>
      <c r="E379" s="3" t="str">
        <f t="shared" si="2"/>
        <v>astronaut medium-light skin tone</v>
      </c>
    </row>
    <row r="380" ht="15.75" customHeight="1">
      <c r="A380" s="1" t="s">
        <v>904</v>
      </c>
      <c r="B380" s="1" t="s">
        <v>905</v>
      </c>
      <c r="C380" s="2" t="s">
        <v>906</v>
      </c>
      <c r="D380" s="2" t="str">
        <f t="shared" si="20"/>
        <v>phi hành gia màu da thường</v>
      </c>
      <c r="E380" s="3" t="str">
        <f t="shared" si="2"/>
        <v>astronaut medium skin tone</v>
      </c>
    </row>
    <row r="381" ht="15.75" customHeight="1">
      <c r="A381" s="1" t="s">
        <v>907</v>
      </c>
      <c r="B381" s="1" t="s">
        <v>908</v>
      </c>
      <c r="C381" s="2" t="str">
        <f>IFERROR(__xludf.DUMMYFUNCTION("GOOGLETRANSLATE(E381, ""en"",""vi"")"),"biểu tượng nguyên tử")</f>
        <v>biểu tượng nguyên tử</v>
      </c>
      <c r="D381" s="2" t="str">
        <f t="shared" si="20"/>
        <v>biểu tượng nguyên tử</v>
      </c>
      <c r="E381" s="3" t="str">
        <f t="shared" si="2"/>
        <v>atom symbol</v>
      </c>
    </row>
    <row r="382" ht="15.75" customHeight="1">
      <c r="A382" s="1" t="s">
        <v>909</v>
      </c>
      <c r="B382" s="1" t="s">
        <v>910</v>
      </c>
      <c r="C382" s="2" t="str">
        <f>IFERROR(__xludf.DUMMYFUNCTION("GOOGLETRANSLATE(E382, ""en"",""vi"")"),"xe xích lô tự động")</f>
        <v>xe xích lô tự động</v>
      </c>
      <c r="D382" s="2" t="s">
        <v>911</v>
      </c>
      <c r="E382" s="3" t="str">
        <f t="shared" si="2"/>
        <v>auto rickshaw</v>
      </c>
    </row>
    <row r="383" ht="15.75" customHeight="1">
      <c r="A383" s="1" t="s">
        <v>912</v>
      </c>
      <c r="B383" s="1" t="s">
        <v>913</v>
      </c>
      <c r="C383" s="2" t="str">
        <f>IFERROR(__xludf.DUMMYFUNCTION("GOOGLETRANSLATE(E383, ""en"",""vi"")"),"ô tô")</f>
        <v>ô tô</v>
      </c>
      <c r="D383" s="2" t="str">
        <f t="shared" ref="D383:D488" si="21">LOWER(C383)</f>
        <v>ô tô</v>
      </c>
      <c r="E383" s="3" t="str">
        <f t="shared" si="2"/>
        <v>automobile</v>
      </c>
    </row>
    <row r="384" ht="15.75" customHeight="1">
      <c r="A384" s="1" t="s">
        <v>914</v>
      </c>
      <c r="B384" s="1" t="s">
        <v>915</v>
      </c>
      <c r="C384" s="2" t="str">
        <f>IFERROR(__xludf.DUMMYFUNCTION("GOOGLETRANSLATE(E384, ""en"",""vi"")"),"quả bơ")</f>
        <v>quả bơ</v>
      </c>
      <c r="D384" s="2" t="str">
        <f t="shared" si="21"/>
        <v>quả bơ</v>
      </c>
      <c r="E384" s="3" t="str">
        <f t="shared" si="2"/>
        <v>avocado</v>
      </c>
    </row>
    <row r="385" ht="15.75" customHeight="1">
      <c r="A385" s="1" t="s">
        <v>916</v>
      </c>
      <c r="B385" s="1" t="s">
        <v>917</v>
      </c>
      <c r="C385" s="2" t="str">
        <f>IFERROR(__xludf.DUMMYFUNCTION("GOOGLETRANSLATE(E385, ""en"",""vi"")"),"rìu")</f>
        <v>rìu</v>
      </c>
      <c r="D385" s="2" t="str">
        <f t="shared" si="21"/>
        <v>rìu</v>
      </c>
      <c r="E385" s="3" t="str">
        <f t="shared" si="2"/>
        <v>axe</v>
      </c>
    </row>
    <row r="386" ht="15.75" customHeight="1">
      <c r="A386" s="1" t="s">
        <v>918</v>
      </c>
      <c r="B386" s="1" t="s">
        <v>919</v>
      </c>
      <c r="C386" s="2" t="str">
        <f>IFERROR(__xludf.DUMMYFUNCTION("GOOGLETRANSLATE(E386, ""en"",""vi"")"),"Đứa bé")</f>
        <v>Đứa bé</v>
      </c>
      <c r="D386" s="2" t="str">
        <f t="shared" si="21"/>
        <v>đứa bé</v>
      </c>
      <c r="E386" s="3" t="str">
        <f t="shared" si="2"/>
        <v>baby</v>
      </c>
    </row>
    <row r="387" ht="15.75" customHeight="1">
      <c r="A387" s="1" t="s">
        <v>920</v>
      </c>
      <c r="B387" s="1" t="s">
        <v>921</v>
      </c>
      <c r="C387" s="2" t="str">
        <f>IFERROR(__xludf.DUMMYFUNCTION("GOOGLETRANSLATE(E387, ""en"",""vi"")"),"thiên thần bé nhỏ")</f>
        <v>thiên thần bé nhỏ</v>
      </c>
      <c r="D387" s="2" t="str">
        <f t="shared" si="21"/>
        <v>thiên thần bé nhỏ</v>
      </c>
      <c r="E387" s="3" t="str">
        <f t="shared" si="2"/>
        <v>baby angel</v>
      </c>
    </row>
    <row r="388" ht="15.75" customHeight="1">
      <c r="A388" s="1" t="s">
        <v>922</v>
      </c>
      <c r="B388" s="1" t="s">
        <v>923</v>
      </c>
      <c r="C388" s="2" t="str">
        <f>IFERROR(__xludf.DUMMYFUNCTION("GOOGLETRANSLATE(E388, ""en"",""vi"")"),"thiên thần bé nhỏ màu da tối")</f>
        <v>thiên thần bé nhỏ màu da tối</v>
      </c>
      <c r="D388" s="2" t="str">
        <f t="shared" si="21"/>
        <v>thiên thần bé nhỏ màu da tối</v>
      </c>
      <c r="E388" s="3" t="str">
        <f t="shared" si="2"/>
        <v>baby angel dark skin tone</v>
      </c>
    </row>
    <row r="389" ht="15.75" customHeight="1">
      <c r="A389" s="1" t="s">
        <v>924</v>
      </c>
      <c r="B389" s="1" t="s">
        <v>925</v>
      </c>
      <c r="C389" s="2" t="s">
        <v>926</v>
      </c>
      <c r="D389" s="2" t="str">
        <f t="shared" si="21"/>
        <v>bé thiên thần màu da sáng</v>
      </c>
      <c r="E389" s="3" t="str">
        <f t="shared" si="2"/>
        <v>baby angel light skin tone</v>
      </c>
    </row>
    <row r="390" ht="15.75" customHeight="1">
      <c r="A390" s="1" t="s">
        <v>927</v>
      </c>
      <c r="B390" s="1" t="s">
        <v>928</v>
      </c>
      <c r="C390" s="2" t="s">
        <v>929</v>
      </c>
      <c r="D390" s="2" t="str">
        <f t="shared" si="21"/>
        <v>bé thiên thần màu da sẫm vừa</v>
      </c>
      <c r="E390" s="3" t="str">
        <f t="shared" si="2"/>
        <v>baby angel medium-dark skin tone</v>
      </c>
    </row>
    <row r="391" ht="15.75" customHeight="1">
      <c r="A391" s="1" t="s">
        <v>930</v>
      </c>
      <c r="B391" s="1" t="s">
        <v>931</v>
      </c>
      <c r="C391" s="2" t="s">
        <v>932</v>
      </c>
      <c r="D391" s="2" t="str">
        <f t="shared" si="21"/>
        <v>bé thiên thần màu da sáng vừa</v>
      </c>
      <c r="E391" s="3" t="str">
        <f t="shared" si="2"/>
        <v>baby angel medium-light skin tone</v>
      </c>
    </row>
    <row r="392" ht="15.75" customHeight="1">
      <c r="A392" s="1" t="s">
        <v>933</v>
      </c>
      <c r="B392" s="1" t="s">
        <v>934</v>
      </c>
      <c r="C392" s="2" t="s">
        <v>935</v>
      </c>
      <c r="D392" s="2" t="str">
        <f t="shared" si="21"/>
        <v>bé thiên thần màu da thường</v>
      </c>
      <c r="E392" s="3" t="str">
        <f t="shared" si="2"/>
        <v>baby angel medium skin tone</v>
      </c>
    </row>
    <row r="393" ht="15.75" customHeight="1">
      <c r="A393" s="1" t="s">
        <v>936</v>
      </c>
      <c r="B393" s="1" t="s">
        <v>937</v>
      </c>
      <c r="C393" s="2" t="s">
        <v>938</v>
      </c>
      <c r="D393" s="2" t="str">
        <f t="shared" si="21"/>
        <v>bình sữa trẻ em</v>
      </c>
      <c r="E393" s="3" t="str">
        <f t="shared" si="2"/>
        <v>baby bottle</v>
      </c>
    </row>
    <row r="394" ht="15.75" customHeight="1">
      <c r="A394" s="1" t="s">
        <v>939</v>
      </c>
      <c r="B394" s="1" t="s">
        <v>940</v>
      </c>
      <c r="C394" s="2" t="str">
        <f>IFERROR(__xludf.DUMMYFUNCTION("GOOGLETRANSLATE(E394, ""en"",""vi"")"),"gà con")</f>
        <v>gà con</v>
      </c>
      <c r="D394" s="2" t="str">
        <f t="shared" si="21"/>
        <v>gà con</v>
      </c>
      <c r="E394" s="3" t="str">
        <f t="shared" si="2"/>
        <v>baby chick</v>
      </c>
    </row>
    <row r="395" ht="15.75" customHeight="1">
      <c r="A395" s="1" t="s">
        <v>941</v>
      </c>
      <c r="B395" s="1" t="s">
        <v>942</v>
      </c>
      <c r="C395" s="2" t="str">
        <f>IFERROR(__xludf.DUMMYFUNCTION("GOOGLETRANSLATE(E395, ""en"",""vi"")"),"màu da tối của em bé")</f>
        <v>màu da tối của em bé</v>
      </c>
      <c r="D395" s="2" t="str">
        <f t="shared" si="21"/>
        <v>màu da tối của em bé</v>
      </c>
      <c r="E395" s="3" t="str">
        <f t="shared" si="2"/>
        <v>baby dark skin tone</v>
      </c>
    </row>
    <row r="396" ht="15.75" customHeight="1">
      <c r="A396" s="1" t="s">
        <v>943</v>
      </c>
      <c r="B396" s="1" t="s">
        <v>944</v>
      </c>
      <c r="C396" s="2" t="s">
        <v>945</v>
      </c>
      <c r="D396" s="2" t="str">
        <f t="shared" si="21"/>
        <v>bé màu da sáng</v>
      </c>
      <c r="E396" s="3" t="str">
        <f t="shared" si="2"/>
        <v>baby light skin tone</v>
      </c>
    </row>
    <row r="397" ht="15.75" customHeight="1">
      <c r="A397" s="1" t="s">
        <v>946</v>
      </c>
      <c r="B397" s="1" t="s">
        <v>947</v>
      </c>
      <c r="C397" s="2" t="s">
        <v>948</v>
      </c>
      <c r="D397" s="2" t="str">
        <f t="shared" si="21"/>
        <v>bé màu da sẫm vừa</v>
      </c>
      <c r="E397" s="3" t="str">
        <f t="shared" si="2"/>
        <v>baby medium-dark skin tone</v>
      </c>
    </row>
    <row r="398" ht="15.75" customHeight="1">
      <c r="A398" s="1" t="s">
        <v>949</v>
      </c>
      <c r="B398" s="1" t="s">
        <v>950</v>
      </c>
      <c r="C398" s="2" t="s">
        <v>951</v>
      </c>
      <c r="D398" s="2" t="str">
        <f t="shared" si="21"/>
        <v>bé màu da sáng vừa</v>
      </c>
      <c r="E398" s="3" t="str">
        <f t="shared" si="2"/>
        <v>baby medium-light skin tone</v>
      </c>
    </row>
    <row r="399" ht="15.75" customHeight="1">
      <c r="A399" s="1" t="s">
        <v>952</v>
      </c>
      <c r="B399" s="1" t="s">
        <v>953</v>
      </c>
      <c r="C399" s="2" t="s">
        <v>954</v>
      </c>
      <c r="D399" s="2" t="str">
        <f t="shared" si="21"/>
        <v>bé màu da thường</v>
      </c>
      <c r="E399" s="3" t="str">
        <f t="shared" si="2"/>
        <v>baby medium skin tone</v>
      </c>
    </row>
    <row r="400" ht="15.75" customHeight="1">
      <c r="A400" s="1" t="s">
        <v>955</v>
      </c>
      <c r="B400" s="1" t="s">
        <v>956</v>
      </c>
      <c r="C400" s="2" t="str">
        <f>IFERROR(__xludf.DUMMYFUNCTION("GOOGLETRANSLATE(E400, ""en"",""vi"")"),"biểu tượng em bé")</f>
        <v>biểu tượng em bé</v>
      </c>
      <c r="D400" s="2" t="str">
        <f t="shared" si="21"/>
        <v>biểu tượng em bé</v>
      </c>
      <c r="E400" s="3" t="str">
        <f t="shared" si="2"/>
        <v>baby symbol</v>
      </c>
    </row>
    <row r="401" ht="15.75" customHeight="1">
      <c r="A401" s="1" t="s">
        <v>957</v>
      </c>
      <c r="B401" s="1" t="s">
        <v>958</v>
      </c>
      <c r="C401" s="2" t="s">
        <v>959</v>
      </c>
      <c r="D401" s="2" t="str">
        <f t="shared" si="21"/>
        <v>ngón tay trái tay chỉ xuống</v>
      </c>
      <c r="E401" s="3" t="str">
        <f t="shared" si="2"/>
        <v>backhand index pointing down</v>
      </c>
    </row>
    <row r="402" ht="15.75" customHeight="1">
      <c r="A402" s="1" t="s">
        <v>960</v>
      </c>
      <c r="B402" s="1" t="s">
        <v>961</v>
      </c>
      <c r="C402" s="2" t="s">
        <v>962</v>
      </c>
      <c r="D402" s="2" t="str">
        <f t="shared" si="21"/>
        <v>ngón tay trái tay màu da sẫm chỉ xuống</v>
      </c>
      <c r="E402" s="3" t="str">
        <f t="shared" si="2"/>
        <v>backhand index pointing down dark skin tone</v>
      </c>
    </row>
    <row r="403" ht="15.75" customHeight="1">
      <c r="A403" s="1" t="s">
        <v>963</v>
      </c>
      <c r="B403" s="1" t="s">
        <v>964</v>
      </c>
      <c r="C403" s="2" t="s">
        <v>965</v>
      </c>
      <c r="D403" s="2" t="str">
        <f t="shared" si="21"/>
        <v>ngón tay trái tay màu da sáng chỉ xuống</v>
      </c>
      <c r="E403" s="3" t="str">
        <f t="shared" si="2"/>
        <v>backhand index pointing down light skin tone</v>
      </c>
    </row>
    <row r="404" ht="15.75" customHeight="1">
      <c r="A404" s="1" t="s">
        <v>966</v>
      </c>
      <c r="B404" s="1" t="s">
        <v>967</v>
      </c>
      <c r="C404" s="4" t="s">
        <v>968</v>
      </c>
      <c r="D404" s="2" t="str">
        <f t="shared" si="21"/>
        <v>ngón tay trái tay màu da sẫm vừa chỉ xuống</v>
      </c>
      <c r="E404" s="3" t="str">
        <f t="shared" si="2"/>
        <v>backhand index pointing down medium-dark skin tone</v>
      </c>
    </row>
    <row r="405" ht="15.75" customHeight="1">
      <c r="A405" s="1" t="s">
        <v>969</v>
      </c>
      <c r="B405" s="1" t="s">
        <v>970</v>
      </c>
      <c r="C405" s="2" t="s">
        <v>971</v>
      </c>
      <c r="D405" s="2" t="str">
        <f t="shared" si="21"/>
        <v>ngón tay trái tay màu da sáng vừa chỉ xuống</v>
      </c>
      <c r="E405" s="3" t="str">
        <f t="shared" si="2"/>
        <v>backhand index pointing down medium-light skin tone</v>
      </c>
    </row>
    <row r="406" ht="15.75" customHeight="1">
      <c r="A406" s="1" t="s">
        <v>972</v>
      </c>
      <c r="B406" s="1" t="s">
        <v>973</v>
      </c>
      <c r="C406" s="4" t="s">
        <v>974</v>
      </c>
      <c r="D406" s="2" t="str">
        <f t="shared" si="21"/>
        <v>ngón tay trái tay màu da thường chỉ xuống</v>
      </c>
      <c r="E406" s="3" t="str">
        <f t="shared" si="2"/>
        <v>backhand index pointing down medium skin tone</v>
      </c>
    </row>
    <row r="407" ht="15.75" customHeight="1">
      <c r="A407" s="1" t="s">
        <v>975</v>
      </c>
      <c r="B407" s="1" t="s">
        <v>976</v>
      </c>
      <c r="C407" s="2" t="s">
        <v>977</v>
      </c>
      <c r="D407" s="2" t="str">
        <f t="shared" si="21"/>
        <v>ngón tay trái tay chỉ bên trái</v>
      </c>
      <c r="E407" s="3" t="str">
        <f t="shared" si="2"/>
        <v>backhand index pointing left</v>
      </c>
    </row>
    <row r="408" ht="15.75" customHeight="1">
      <c r="A408" s="1" t="s">
        <v>978</v>
      </c>
      <c r="B408" s="1" t="s">
        <v>979</v>
      </c>
      <c r="C408" s="2" t="s">
        <v>980</v>
      </c>
      <c r="D408" s="2" t="str">
        <f t="shared" si="21"/>
        <v>ngón tay trái tay màu da sẫm chỉ bên trái</v>
      </c>
      <c r="E408" s="3" t="str">
        <f t="shared" si="2"/>
        <v>backhand index pointing left dark skin tone</v>
      </c>
    </row>
    <row r="409" ht="15.75" customHeight="1">
      <c r="A409" s="1" t="s">
        <v>981</v>
      </c>
      <c r="B409" s="1" t="s">
        <v>982</v>
      </c>
      <c r="C409" s="2" t="s">
        <v>983</v>
      </c>
      <c r="D409" s="2" t="str">
        <f t="shared" si="21"/>
        <v>ngón tay trái tay màu da sáng chỉ bên trái</v>
      </c>
      <c r="E409" s="3" t="str">
        <f t="shared" si="2"/>
        <v>backhand index pointing left light skin tone</v>
      </c>
    </row>
    <row r="410" ht="15.75" customHeight="1">
      <c r="A410" s="1" t="s">
        <v>984</v>
      </c>
      <c r="B410" s="1" t="s">
        <v>985</v>
      </c>
      <c r="C410" s="2" t="s">
        <v>986</v>
      </c>
      <c r="D410" s="2" t="str">
        <f t="shared" si="21"/>
        <v>ngón tay trái tay màu da sẫm vừa chỉ bên trái</v>
      </c>
      <c r="E410" s="3" t="str">
        <f t="shared" si="2"/>
        <v>backhand index pointing left medium-dark skin tone</v>
      </c>
    </row>
    <row r="411" ht="15.75" customHeight="1">
      <c r="A411" s="1" t="s">
        <v>987</v>
      </c>
      <c r="B411" s="1" t="s">
        <v>988</v>
      </c>
      <c r="C411" s="2" t="s">
        <v>989</v>
      </c>
      <c r="D411" s="2" t="str">
        <f t="shared" si="21"/>
        <v>ngón tay trái tay màu da sáng vừa chỉ bên trái</v>
      </c>
      <c r="E411" s="3" t="str">
        <f t="shared" si="2"/>
        <v>backhand index pointing left medium-light skin tone</v>
      </c>
    </row>
    <row r="412" ht="15.75" customHeight="1">
      <c r="A412" s="1" t="s">
        <v>990</v>
      </c>
      <c r="B412" s="1" t="s">
        <v>991</v>
      </c>
      <c r="C412" s="2" t="s">
        <v>992</v>
      </c>
      <c r="D412" s="2" t="str">
        <f t="shared" si="21"/>
        <v>ngón tay trái tay màu da thường chỉ bên trái</v>
      </c>
      <c r="E412" s="3" t="str">
        <f t="shared" si="2"/>
        <v>backhand index pointing left medium skin tone</v>
      </c>
    </row>
    <row r="413" ht="15.75" customHeight="1">
      <c r="A413" s="1" t="s">
        <v>993</v>
      </c>
      <c r="B413" s="1" t="s">
        <v>994</v>
      </c>
      <c r="C413" s="2" t="s">
        <v>995</v>
      </c>
      <c r="D413" s="2" t="str">
        <f t="shared" si="21"/>
        <v>ngón tay trái tay chỉ bên phải</v>
      </c>
      <c r="E413" s="3" t="str">
        <f t="shared" si="2"/>
        <v>backhand index pointing right</v>
      </c>
    </row>
    <row r="414" ht="15.75" customHeight="1">
      <c r="A414" s="1" t="s">
        <v>996</v>
      </c>
      <c r="B414" s="1" t="s">
        <v>997</v>
      </c>
      <c r="C414" s="2" t="s">
        <v>998</v>
      </c>
      <c r="D414" s="2" t="str">
        <f t="shared" si="21"/>
        <v>ngón tay trái tay màu sẫm chỉ bên phải</v>
      </c>
      <c r="E414" s="3" t="str">
        <f t="shared" si="2"/>
        <v>backhand index pointing right dark skin tone</v>
      </c>
    </row>
    <row r="415" ht="15.75" customHeight="1">
      <c r="A415" s="1" t="s">
        <v>999</v>
      </c>
      <c r="B415" s="1" t="s">
        <v>1000</v>
      </c>
      <c r="C415" s="4" t="s">
        <v>1001</v>
      </c>
      <c r="D415" s="2" t="str">
        <f t="shared" si="21"/>
        <v>ngón tay trái tay màu sáng chỉ bên phải</v>
      </c>
      <c r="E415" s="3" t="str">
        <f t="shared" si="2"/>
        <v>backhand index pointing right light skin tone</v>
      </c>
    </row>
    <row r="416" ht="15.75" customHeight="1">
      <c r="A416" s="1" t="s">
        <v>1002</v>
      </c>
      <c r="B416" s="1" t="s">
        <v>1003</v>
      </c>
      <c r="C416" s="4" t="s">
        <v>1004</v>
      </c>
      <c r="D416" s="2" t="str">
        <f t="shared" si="21"/>
        <v>ngón tay trái tay màu sẫm vừa chỉ bên phải</v>
      </c>
      <c r="E416" s="3" t="str">
        <f t="shared" si="2"/>
        <v>backhand index pointing right medium-dark skin tone</v>
      </c>
    </row>
    <row r="417" ht="15.75" customHeight="1">
      <c r="A417" s="1" t="s">
        <v>1005</v>
      </c>
      <c r="B417" s="1" t="s">
        <v>1006</v>
      </c>
      <c r="C417" s="2" t="s">
        <v>1007</v>
      </c>
      <c r="D417" s="2" t="str">
        <f t="shared" si="21"/>
        <v>ngón tay trái tay màu sáng vừa chỉ bên phải</v>
      </c>
      <c r="E417" s="3" t="str">
        <f t="shared" si="2"/>
        <v>backhand index pointing right medium-light skin tone</v>
      </c>
    </row>
    <row r="418" ht="15.75" customHeight="1">
      <c r="A418" s="1" t="s">
        <v>1008</v>
      </c>
      <c r="B418" s="1" t="s">
        <v>1009</v>
      </c>
      <c r="C418" s="2" t="s">
        <v>1010</v>
      </c>
      <c r="D418" s="2" t="str">
        <f t="shared" si="21"/>
        <v>ngón tay trái tay màu thường chỉ bên phải</v>
      </c>
      <c r="E418" s="3" t="str">
        <f t="shared" si="2"/>
        <v>backhand index pointing right medium skin tone</v>
      </c>
    </row>
    <row r="419" ht="15.75" customHeight="1">
      <c r="A419" s="1" t="s">
        <v>1011</v>
      </c>
      <c r="B419" s="1" t="s">
        <v>1012</v>
      </c>
      <c r="C419" s="2" t="s">
        <v>1013</v>
      </c>
      <c r="D419" s="2" t="str">
        <f t="shared" si="21"/>
        <v>ngón tay trái tay chỉ lên</v>
      </c>
      <c r="E419" s="3" t="str">
        <f t="shared" si="2"/>
        <v>backhand index pointing up</v>
      </c>
    </row>
    <row r="420" ht="15.75" customHeight="1">
      <c r="A420" s="1" t="s">
        <v>1014</v>
      </c>
      <c r="B420" s="1" t="s">
        <v>1015</v>
      </c>
      <c r="C420" s="2" t="s">
        <v>1016</v>
      </c>
      <c r="D420" s="2" t="str">
        <f t="shared" si="21"/>
        <v>ngón tay trái tay màu sẫm chỉ lên</v>
      </c>
      <c r="E420" s="3" t="str">
        <f t="shared" si="2"/>
        <v>backhand index pointing up dark skin tone</v>
      </c>
    </row>
    <row r="421" ht="15.75" customHeight="1">
      <c r="A421" s="1" t="s">
        <v>1017</v>
      </c>
      <c r="B421" s="1" t="s">
        <v>1018</v>
      </c>
      <c r="C421" s="2" t="s">
        <v>1019</v>
      </c>
      <c r="D421" s="2" t="str">
        <f t="shared" si="21"/>
        <v>ngón tay trái tay màu sáng chỉ lên</v>
      </c>
      <c r="E421" s="3" t="str">
        <f t="shared" si="2"/>
        <v>backhand index pointing up light skin tone</v>
      </c>
    </row>
    <row r="422" ht="15.75" customHeight="1">
      <c r="A422" s="1" t="s">
        <v>1020</v>
      </c>
      <c r="B422" s="1" t="s">
        <v>1021</v>
      </c>
      <c r="C422" s="2" t="s">
        <v>1022</v>
      </c>
      <c r="D422" s="2" t="str">
        <f t="shared" si="21"/>
        <v>ngón tay trái tay màu sẫm vừa chỉ lên</v>
      </c>
      <c r="E422" s="3" t="str">
        <f t="shared" si="2"/>
        <v>backhand index pointing up medium-dark skin tone</v>
      </c>
    </row>
    <row r="423" ht="15.75" customHeight="1">
      <c r="A423" s="1" t="s">
        <v>1023</v>
      </c>
      <c r="B423" s="1" t="s">
        <v>1024</v>
      </c>
      <c r="C423" s="2" t="s">
        <v>1025</v>
      </c>
      <c r="D423" s="2" t="str">
        <f t="shared" si="21"/>
        <v>ngón tay trái tay màu sáng vừa chỉ lên</v>
      </c>
      <c r="E423" s="3" t="str">
        <f t="shared" si="2"/>
        <v>backhand index pointing up medium-light skin tone</v>
      </c>
    </row>
    <row r="424" ht="15.75" customHeight="1">
      <c r="A424" s="1" t="s">
        <v>1026</v>
      </c>
      <c r="B424" s="1" t="s">
        <v>1027</v>
      </c>
      <c r="C424" s="2" t="s">
        <v>1028</v>
      </c>
      <c r="D424" s="2" t="str">
        <f t="shared" si="21"/>
        <v>ngón tay trái tay màu thường chỉ lên</v>
      </c>
      <c r="E424" s="3" t="str">
        <f t="shared" si="2"/>
        <v>backhand index pointing up medium skin tone</v>
      </c>
    </row>
    <row r="425" ht="15.75" customHeight="1">
      <c r="A425" s="1" t="s">
        <v>1029</v>
      </c>
      <c r="B425" s="1" t="s">
        <v>1030</v>
      </c>
      <c r="C425" s="2" t="str">
        <f>IFERROR(__xludf.DUMMYFUNCTION("GOOGLETRANSLATE(E425, ""en"",""vi"")"),"balo")</f>
        <v>balo</v>
      </c>
      <c r="D425" s="2" t="str">
        <f t="shared" si="21"/>
        <v>balo</v>
      </c>
      <c r="E425" s="3" t="str">
        <f t="shared" si="2"/>
        <v>backpack</v>
      </c>
    </row>
    <row r="426" ht="15.75" customHeight="1">
      <c r="A426" s="1" t="s">
        <v>1031</v>
      </c>
      <c r="B426" s="1" t="s">
        <v>1032</v>
      </c>
      <c r="C426" s="2" t="str">
        <f>IFERROR(__xludf.DUMMYFUNCTION("GOOGLETRANSLATE(E426, ""en"",""vi"")"),"thịt xông khói")</f>
        <v>thịt xông khói</v>
      </c>
      <c r="D426" s="2" t="str">
        <f t="shared" si="21"/>
        <v>thịt xông khói</v>
      </c>
      <c r="E426" s="3" t="str">
        <f t="shared" si="2"/>
        <v>bacon</v>
      </c>
    </row>
    <row r="427" ht="15.75" customHeight="1">
      <c r="A427" s="1" t="s">
        <v>1033</v>
      </c>
      <c r="B427" s="1" t="s">
        <v>1034</v>
      </c>
      <c r="C427" s="2" t="s">
        <v>1035</v>
      </c>
      <c r="D427" s="2" t="str">
        <f t="shared" si="21"/>
        <v>con lửng</v>
      </c>
      <c r="E427" s="3" t="str">
        <f t="shared" si="2"/>
        <v>badger</v>
      </c>
    </row>
    <row r="428" ht="15.75" customHeight="1">
      <c r="A428" s="1" t="s">
        <v>1036</v>
      </c>
      <c r="B428" s="1" t="s">
        <v>1037</v>
      </c>
      <c r="C428" s="2" t="str">
        <f>IFERROR(__xludf.DUMMYFUNCTION("GOOGLETRANSLATE(E428, ""en"",""vi"")"),"cầu lông")</f>
        <v>cầu lông</v>
      </c>
      <c r="D428" s="2" t="str">
        <f t="shared" si="21"/>
        <v>cầu lông</v>
      </c>
      <c r="E428" s="3" t="str">
        <f t="shared" si="2"/>
        <v>badminton</v>
      </c>
    </row>
    <row r="429" ht="15.75" customHeight="1">
      <c r="A429" s="1" t="s">
        <v>1038</v>
      </c>
      <c r="B429" s="1" t="s">
        <v>1039</v>
      </c>
      <c r="C429" s="2" t="str">
        <f>IFERROR(__xludf.DUMMYFUNCTION("GOOGLETRANSLATE(E429, ""en"",""vi"")"),"bánh mì tròn")</f>
        <v>bánh mì tròn</v>
      </c>
      <c r="D429" s="2" t="str">
        <f t="shared" si="21"/>
        <v>bánh mì tròn</v>
      </c>
      <c r="E429" s="3" t="str">
        <f t="shared" si="2"/>
        <v>bagel</v>
      </c>
    </row>
    <row r="430" ht="15.75" customHeight="1">
      <c r="A430" s="1" t="s">
        <v>1040</v>
      </c>
      <c r="B430" s="1" t="s">
        <v>1041</v>
      </c>
      <c r="C430" s="2" t="str">
        <f>IFERROR(__xludf.DUMMYFUNCTION("GOOGLETRANSLATE(E430, ""en"",""vi"")"),"yêu cầu hành lý")</f>
        <v>yêu cầu hành lý</v>
      </c>
      <c r="D430" s="2" t="str">
        <f t="shared" si="21"/>
        <v>yêu cầu hành lý</v>
      </c>
      <c r="E430" s="3" t="str">
        <f t="shared" si="2"/>
        <v>baggage claim</v>
      </c>
    </row>
    <row r="431" ht="15.75" customHeight="1">
      <c r="A431" s="1" t="s">
        <v>1042</v>
      </c>
      <c r="B431" s="1" t="s">
        <v>1043</v>
      </c>
      <c r="C431" s="2" t="s">
        <v>1044</v>
      </c>
      <c r="D431" s="2" t="str">
        <f t="shared" si="21"/>
        <v>bánh mì que</v>
      </c>
      <c r="E431" s="3" t="str">
        <f t="shared" si="2"/>
        <v>baguette bread</v>
      </c>
    </row>
    <row r="432" ht="15.75" customHeight="1">
      <c r="A432" s="1" t="s">
        <v>1045</v>
      </c>
      <c r="B432" s="1" t="s">
        <v>1046</v>
      </c>
      <c r="C432" s="2" t="s">
        <v>1047</v>
      </c>
      <c r="D432" s="2" t="str">
        <f t="shared" si="21"/>
        <v>cân cân bằng</v>
      </c>
      <c r="E432" s="3" t="str">
        <f t="shared" si="2"/>
        <v>balance scale</v>
      </c>
    </row>
    <row r="433" ht="15.75" customHeight="1">
      <c r="A433" s="1" t="s">
        <v>1048</v>
      </c>
      <c r="B433" s="1" t="s">
        <v>1049</v>
      </c>
      <c r="C433" s="2" t="str">
        <f>IFERROR(__xludf.DUMMYFUNCTION("GOOGLETRANSLATE(E433, ""en"",""vi"")"),"hói")</f>
        <v>hói</v>
      </c>
      <c r="D433" s="2" t="str">
        <f t="shared" si="21"/>
        <v>hói</v>
      </c>
      <c r="E433" s="3" t="str">
        <f t="shared" si="2"/>
        <v>bald</v>
      </c>
    </row>
    <row r="434" ht="15.75" customHeight="1">
      <c r="A434" s="1" t="s">
        <v>1050</v>
      </c>
      <c r="B434" s="1" t="s">
        <v>1051</v>
      </c>
      <c r="C434" s="2" t="s">
        <v>1052</v>
      </c>
      <c r="D434" s="2" t="str">
        <f t="shared" si="21"/>
        <v>giày ba lê</v>
      </c>
      <c r="E434" s="3" t="str">
        <f t="shared" si="2"/>
        <v>ballet shoes</v>
      </c>
    </row>
    <row r="435" ht="15.75" customHeight="1">
      <c r="A435" s="1" t="s">
        <v>1053</v>
      </c>
      <c r="B435" s="1" t="s">
        <v>1054</v>
      </c>
      <c r="C435" s="2" t="str">
        <f>IFERROR(__xludf.DUMMYFUNCTION("GOOGLETRANSLATE(E435, ""en"",""vi"")"),"bóng bay")</f>
        <v>bóng bay</v>
      </c>
      <c r="D435" s="2" t="str">
        <f t="shared" si="21"/>
        <v>bóng bay</v>
      </c>
      <c r="E435" s="3" t="str">
        <f t="shared" si="2"/>
        <v>balloon</v>
      </c>
    </row>
    <row r="436" ht="15.75" customHeight="1">
      <c r="A436" s="1" t="s">
        <v>1055</v>
      </c>
      <c r="B436" s="1" t="s">
        <v>1056</v>
      </c>
      <c r="C436" s="2" t="str">
        <f>IFERROR(__xludf.DUMMYFUNCTION("GOOGLETRANSLATE(E436, ""en"",""vi"")"),"thùng phiếu có lá phiếu")</f>
        <v>thùng phiếu có lá phiếu</v>
      </c>
      <c r="D436" s="2" t="str">
        <f t="shared" si="21"/>
        <v>thùng phiếu có lá phiếu</v>
      </c>
      <c r="E436" s="3" t="str">
        <f t="shared" si="2"/>
        <v>ballot box with ballot</v>
      </c>
    </row>
    <row r="437" ht="15.75" customHeight="1">
      <c r="A437" s="1" t="s">
        <v>1057</v>
      </c>
      <c r="B437" s="1" t="s">
        <v>1058</v>
      </c>
      <c r="C437" s="2" t="str">
        <f>IFERROR(__xludf.DUMMYFUNCTION("GOOGLETRANSLATE(E437, ""en"",""vi"")"),"chuối")</f>
        <v>chuối</v>
      </c>
      <c r="D437" s="2" t="str">
        <f t="shared" si="21"/>
        <v>chuối</v>
      </c>
      <c r="E437" s="3" t="str">
        <f t="shared" si="2"/>
        <v>banana</v>
      </c>
    </row>
    <row r="438" ht="15.75" customHeight="1">
      <c r="A438" s="1" t="s">
        <v>1059</v>
      </c>
      <c r="B438" s="1" t="s">
        <v>1060</v>
      </c>
      <c r="C438" s="2" t="s">
        <v>1061</v>
      </c>
      <c r="D438" s="2" t="str">
        <f t="shared" si="21"/>
        <v>băng cầm</v>
      </c>
      <c r="E438" s="3" t="str">
        <f t="shared" si="2"/>
        <v>banjo</v>
      </c>
    </row>
    <row r="439" ht="15.75" customHeight="1">
      <c r="A439" s="1" t="s">
        <v>1062</v>
      </c>
      <c r="B439" s="1" t="s">
        <v>1063</v>
      </c>
      <c r="C439" s="2" t="str">
        <f>IFERROR(__xludf.DUMMYFUNCTION("GOOGLETRANSLATE(E439, ""en"",""vi"")"),"ngân hàng")</f>
        <v>ngân hàng</v>
      </c>
      <c r="D439" s="2" t="str">
        <f t="shared" si="21"/>
        <v>ngân hàng</v>
      </c>
      <c r="E439" s="3" t="str">
        <f t="shared" si="2"/>
        <v>bank</v>
      </c>
    </row>
    <row r="440" ht="15.75" customHeight="1">
      <c r="A440" s="1" t="s">
        <v>1064</v>
      </c>
      <c r="B440" s="1" t="s">
        <v>1065</v>
      </c>
      <c r="C440" s="2" t="str">
        <f>IFERROR(__xludf.DUMMYFUNCTION("GOOGLETRANSLATE(E440, ""en"",""vi"")"),"biểu đồ thanh")</f>
        <v>biểu đồ thanh</v>
      </c>
      <c r="D440" s="2" t="str">
        <f t="shared" si="21"/>
        <v>biểu đồ thanh</v>
      </c>
      <c r="E440" s="3" t="str">
        <f t="shared" si="2"/>
        <v>bar chart</v>
      </c>
    </row>
    <row r="441" ht="15.75" customHeight="1">
      <c r="A441" s="1" t="s">
        <v>1066</v>
      </c>
      <c r="B441" s="1" t="s">
        <v>1067</v>
      </c>
      <c r="C441" s="2" t="s">
        <v>1068</v>
      </c>
      <c r="D441" s="2" t="str">
        <f t="shared" si="21"/>
        <v>cột hiệu cắt tóc</v>
      </c>
      <c r="E441" s="3" t="str">
        <f t="shared" si="2"/>
        <v>barber pole</v>
      </c>
    </row>
    <row r="442" ht="15.75" customHeight="1">
      <c r="A442" s="1" t="s">
        <v>1069</v>
      </c>
      <c r="B442" s="1" t="s">
        <v>1070</v>
      </c>
      <c r="C442" s="2" t="str">
        <f>IFERROR(__xludf.DUMMYFUNCTION("GOOGLETRANSLATE(E442, ""en"",""vi"")"),"bóng chày")</f>
        <v>bóng chày</v>
      </c>
      <c r="D442" s="2" t="str">
        <f t="shared" si="21"/>
        <v>bóng chày</v>
      </c>
      <c r="E442" s="3" t="str">
        <f t="shared" si="2"/>
        <v>baseball</v>
      </c>
    </row>
    <row r="443" ht="15.75" customHeight="1">
      <c r="A443" s="1" t="s">
        <v>1071</v>
      </c>
      <c r="B443" s="1" t="s">
        <v>1072</v>
      </c>
      <c r="C443" s="2" t="str">
        <f>IFERROR(__xludf.DUMMYFUNCTION("GOOGLETRANSLATE(E443, ""en"",""vi"")"),"rổ")</f>
        <v>rổ</v>
      </c>
      <c r="D443" s="2" t="str">
        <f t="shared" si="21"/>
        <v>rổ</v>
      </c>
      <c r="E443" s="3" t="str">
        <f t="shared" si="2"/>
        <v>basket</v>
      </c>
    </row>
    <row r="444" ht="15.75" customHeight="1">
      <c r="A444" s="1" t="s">
        <v>1073</v>
      </c>
      <c r="B444" s="1" t="s">
        <v>1074</v>
      </c>
      <c r="C444" s="2" t="str">
        <f>IFERROR(__xludf.DUMMYFUNCTION("GOOGLETRANSLATE(E444, ""en"",""vi"")"),"bóng rổ")</f>
        <v>bóng rổ</v>
      </c>
      <c r="D444" s="2" t="str">
        <f t="shared" si="21"/>
        <v>bóng rổ</v>
      </c>
      <c r="E444" s="3" t="str">
        <f t="shared" si="2"/>
        <v>basketball</v>
      </c>
    </row>
    <row r="445" ht="15.75" customHeight="1">
      <c r="A445" s="1" t="s">
        <v>1075</v>
      </c>
      <c r="B445" s="1" t="s">
        <v>1076</v>
      </c>
      <c r="C445" s="2" t="str">
        <f>IFERROR(__xludf.DUMMYFUNCTION("GOOGLETRANSLATE(E445, ""en"",""vi"")"),"con dơi")</f>
        <v>con dơi</v>
      </c>
      <c r="D445" s="2" t="str">
        <f t="shared" si="21"/>
        <v>con dơi</v>
      </c>
      <c r="E445" s="3" t="str">
        <f t="shared" si="2"/>
        <v>bat</v>
      </c>
    </row>
    <row r="446" ht="15.75" customHeight="1">
      <c r="A446" s="1" t="s">
        <v>1077</v>
      </c>
      <c r="B446" s="1" t="s">
        <v>1078</v>
      </c>
      <c r="C446" s="2" t="str">
        <f>IFERROR(__xludf.DUMMYFUNCTION("GOOGLETRANSLATE(E446, ""en"",""vi"")"),"bồn tắm")</f>
        <v>bồn tắm</v>
      </c>
      <c r="D446" s="2" t="str">
        <f t="shared" si="21"/>
        <v>bồn tắm</v>
      </c>
      <c r="E446" s="3" t="str">
        <f t="shared" si="2"/>
        <v>bathtub</v>
      </c>
    </row>
    <row r="447" ht="15.75" customHeight="1">
      <c r="A447" s="1" t="s">
        <v>1079</v>
      </c>
      <c r="B447" s="1" t="s">
        <v>1080</v>
      </c>
      <c r="C447" s="2" t="str">
        <f>IFERROR(__xludf.DUMMYFUNCTION("GOOGLETRANSLATE(E447, ""en"",""vi"")"),"ắc quy")</f>
        <v>ắc quy</v>
      </c>
      <c r="D447" s="2" t="str">
        <f t="shared" si="21"/>
        <v>ắc quy</v>
      </c>
      <c r="E447" s="3" t="str">
        <f t="shared" si="2"/>
        <v>battery</v>
      </c>
    </row>
    <row r="448" ht="15.75" customHeight="1">
      <c r="A448" s="1" t="s">
        <v>1081</v>
      </c>
      <c r="B448" s="1" t="s">
        <v>1082</v>
      </c>
      <c r="C448" s="2" t="str">
        <f>IFERROR(__xludf.DUMMYFUNCTION("GOOGLETRANSLATE(E448, ""en"",""vi"")"),"bãi biển có ô dù")</f>
        <v>bãi biển có ô dù</v>
      </c>
      <c r="D448" s="2" t="str">
        <f t="shared" si="21"/>
        <v>bãi biển có ô dù</v>
      </c>
      <c r="E448" s="3" t="str">
        <f t="shared" si="2"/>
        <v>beach with umbrella</v>
      </c>
    </row>
    <row r="449" ht="15.75" customHeight="1">
      <c r="A449" s="1" t="s">
        <v>1083</v>
      </c>
      <c r="B449" s="1" t="s">
        <v>1084</v>
      </c>
      <c r="C449" s="2" t="str">
        <f>IFERROR(__xludf.DUMMYFUNCTION("GOOGLETRANSLATE(E449, ""en"",""vi"")"),"khuôn mặt rạng rỡ với đôi mắt tươi cười")</f>
        <v>khuôn mặt rạng rỡ với đôi mắt tươi cười</v>
      </c>
      <c r="D449" s="2" t="str">
        <f t="shared" si="21"/>
        <v>khuôn mặt rạng rỡ với đôi mắt tươi cười</v>
      </c>
      <c r="E449" s="3" t="str">
        <f t="shared" si="2"/>
        <v>beaming face with smiling eyes</v>
      </c>
    </row>
    <row r="450" ht="15.75" customHeight="1">
      <c r="A450" s="1" t="s">
        <v>1085</v>
      </c>
      <c r="B450" s="1" t="s">
        <v>1086</v>
      </c>
      <c r="C450" s="2" t="s">
        <v>1087</v>
      </c>
      <c r="D450" s="2" t="str">
        <f t="shared" si="21"/>
        <v>gấu</v>
      </c>
      <c r="E450" s="3" t="str">
        <f t="shared" si="2"/>
        <v>bear</v>
      </c>
    </row>
    <row r="451" ht="15.75" customHeight="1">
      <c r="A451" s="1" t="s">
        <v>1088</v>
      </c>
      <c r="B451" s="1" t="s">
        <v>1089</v>
      </c>
      <c r="C451" s="2" t="s">
        <v>1090</v>
      </c>
      <c r="D451" s="2" t="str">
        <f t="shared" si="21"/>
        <v>trái tim đập</v>
      </c>
      <c r="E451" s="3" t="str">
        <f t="shared" si="2"/>
        <v>beating heart</v>
      </c>
    </row>
    <row r="452" ht="15.75" customHeight="1">
      <c r="A452" s="1" t="s">
        <v>1091</v>
      </c>
      <c r="B452" s="1" t="s">
        <v>1092</v>
      </c>
      <c r="C452" s="2" t="s">
        <v>1093</v>
      </c>
      <c r="D452" s="2" t="str">
        <f t="shared" si="21"/>
        <v>hải ly</v>
      </c>
      <c r="E452" s="3" t="str">
        <f t="shared" si="2"/>
        <v>beaver</v>
      </c>
    </row>
    <row r="453" ht="15.75" customHeight="1">
      <c r="A453" s="1" t="s">
        <v>1094</v>
      </c>
      <c r="B453" s="1" t="s">
        <v>1095</v>
      </c>
      <c r="C453" s="2" t="str">
        <f>IFERROR(__xludf.DUMMYFUNCTION("GOOGLETRANSLATE(E453, ""en"",""vi"")"),"giường")</f>
        <v>giường</v>
      </c>
      <c r="D453" s="2" t="str">
        <f t="shared" si="21"/>
        <v>giường</v>
      </c>
      <c r="E453" s="3" t="str">
        <f t="shared" si="2"/>
        <v>bed</v>
      </c>
    </row>
    <row r="454" ht="15.75" customHeight="1">
      <c r="A454" s="1" t="s">
        <v>1096</v>
      </c>
      <c r="B454" s="1" t="s">
        <v>1097</v>
      </c>
      <c r="C454" s="2" t="str">
        <f>IFERROR(__xludf.DUMMYFUNCTION("GOOGLETRANSLATE(E454, ""en"",""vi"")"),"cốc bia")</f>
        <v>cốc bia</v>
      </c>
      <c r="D454" s="2" t="str">
        <f t="shared" si="21"/>
        <v>cốc bia</v>
      </c>
      <c r="E454" s="3" t="str">
        <f t="shared" si="2"/>
        <v>beer mug</v>
      </c>
    </row>
    <row r="455" ht="15.75" customHeight="1">
      <c r="A455" s="1" t="s">
        <v>1098</v>
      </c>
      <c r="B455" s="1" t="s">
        <v>1099</v>
      </c>
      <c r="C455" s="2" t="str">
        <f>IFERROR(__xludf.DUMMYFUNCTION("GOOGLETRANSLATE(E455, ""en"",""vi"")"),"con bọ cánh cứng")</f>
        <v>con bọ cánh cứng</v>
      </c>
      <c r="D455" s="2" t="str">
        <f t="shared" si="21"/>
        <v>con bọ cánh cứng</v>
      </c>
      <c r="E455" s="3" t="str">
        <f t="shared" si="2"/>
        <v>beetle</v>
      </c>
    </row>
    <row r="456" ht="15.75" customHeight="1">
      <c r="A456" s="1" t="s">
        <v>1100</v>
      </c>
      <c r="B456" s="1" t="s">
        <v>1101</v>
      </c>
      <c r="C456" s="2" t="str">
        <f>IFERROR(__xludf.DUMMYFUNCTION("GOOGLETRANSLATE(E456, ""en"",""vi"")"),"chuông")</f>
        <v>chuông</v>
      </c>
      <c r="D456" s="2" t="str">
        <f t="shared" si="21"/>
        <v>chuông</v>
      </c>
      <c r="E456" s="3" t="str">
        <f t="shared" si="2"/>
        <v>bell</v>
      </c>
    </row>
    <row r="457" ht="15.75" customHeight="1">
      <c r="A457" s="1" t="s">
        <v>1102</v>
      </c>
      <c r="B457" s="1" t="s">
        <v>1103</v>
      </c>
      <c r="C457" s="2" t="str">
        <f>IFERROR(__xludf.DUMMYFUNCTION("GOOGLETRANSLATE(E457, ""en"",""vi"")"),"ớt chuông")</f>
        <v>ớt chuông</v>
      </c>
      <c r="D457" s="2" t="str">
        <f t="shared" si="21"/>
        <v>ớt chuông</v>
      </c>
      <c r="E457" s="3" t="str">
        <f t="shared" si="2"/>
        <v>bell pepper</v>
      </c>
    </row>
    <row r="458" ht="15.75" customHeight="1">
      <c r="A458" s="1" t="s">
        <v>1104</v>
      </c>
      <c r="B458" s="1" t="s">
        <v>1105</v>
      </c>
      <c r="C458" s="2" t="str">
        <f>IFERROR(__xludf.DUMMYFUNCTION("GOOGLETRANSLATE(E458, ""en"",""vi"")"),"chuông có dấu gạch chéo")</f>
        <v>chuông có dấu gạch chéo</v>
      </c>
      <c r="D458" s="2" t="str">
        <f t="shared" si="21"/>
        <v>chuông có dấu gạch chéo</v>
      </c>
      <c r="E458" s="3" t="str">
        <f t="shared" si="2"/>
        <v>bell with slash</v>
      </c>
    </row>
    <row r="459" ht="15.75" customHeight="1">
      <c r="A459" s="1" t="s">
        <v>1106</v>
      </c>
      <c r="B459" s="1" t="s">
        <v>1107</v>
      </c>
      <c r="C459" s="2" t="s">
        <v>1108</v>
      </c>
      <c r="D459" s="2" t="str">
        <f t="shared" si="21"/>
        <v>chuông cửa hàng</v>
      </c>
      <c r="E459" s="3" t="str">
        <f t="shared" si="2"/>
        <v>bellhop bell</v>
      </c>
    </row>
    <row r="460" ht="15.75" customHeight="1">
      <c r="A460" s="1" t="s">
        <v>1109</v>
      </c>
      <c r="B460" s="1" t="s">
        <v>1110</v>
      </c>
      <c r="C460" s="2" t="str">
        <f>IFERROR(__xludf.DUMMYFUNCTION("GOOGLETRANSLATE(E460, ""en"",""vi"")"),"hộp cơm bento")</f>
        <v>hộp cơm bento</v>
      </c>
      <c r="D460" s="2" t="str">
        <f t="shared" si="21"/>
        <v>hộp cơm bento</v>
      </c>
      <c r="E460" s="3" t="str">
        <f t="shared" si="2"/>
        <v>bento box</v>
      </c>
    </row>
    <row r="461" ht="15.75" customHeight="1">
      <c r="A461" s="1" t="s">
        <v>1111</v>
      </c>
      <c r="B461" s="1" t="s">
        <v>1112</v>
      </c>
      <c r="C461" s="2" t="str">
        <f>IFERROR(__xludf.DUMMYFUNCTION("GOOGLETRANSLATE(E461, ""en"",""vi"")"),"hộp đựng đồ uống")</f>
        <v>hộp đựng đồ uống</v>
      </c>
      <c r="D461" s="2" t="str">
        <f t="shared" si="21"/>
        <v>hộp đựng đồ uống</v>
      </c>
      <c r="E461" s="3" t="str">
        <f t="shared" si="2"/>
        <v>beverage box</v>
      </c>
    </row>
    <row r="462" ht="15.75" customHeight="1">
      <c r="A462" s="1" t="s">
        <v>1113</v>
      </c>
      <c r="B462" s="1" t="s">
        <v>1114</v>
      </c>
      <c r="C462" s="2" t="str">
        <f>IFERROR(__xludf.DUMMYFUNCTION("GOOGLETRANSLATE(E462, ""en"",""vi"")"),"xe đạp")</f>
        <v>xe đạp</v>
      </c>
      <c r="D462" s="2" t="str">
        <f t="shared" si="21"/>
        <v>xe đạp</v>
      </c>
      <c r="E462" s="3" t="str">
        <f t="shared" si="2"/>
        <v>bicycle</v>
      </c>
    </row>
    <row r="463" ht="15.75" customHeight="1">
      <c r="A463" s="1" t="s">
        <v>1115</v>
      </c>
      <c r="B463" s="1" t="s">
        <v>1116</v>
      </c>
      <c r="C463" s="2" t="s">
        <v>1117</v>
      </c>
      <c r="D463" s="2" t="str">
        <f t="shared" si="21"/>
        <v>bikini</v>
      </c>
      <c r="E463" s="3" t="str">
        <f t="shared" si="2"/>
        <v>bikini</v>
      </c>
    </row>
    <row r="464" ht="15.75" customHeight="1">
      <c r="A464" s="1" t="s">
        <v>1118</v>
      </c>
      <c r="B464" s="1" t="s">
        <v>1119</v>
      </c>
      <c r="C464" s="2" t="s">
        <v>1120</v>
      </c>
      <c r="D464" s="2" t="str">
        <f t="shared" si="21"/>
        <v>nón lưỡi trai</v>
      </c>
      <c r="E464" s="3" t="str">
        <f t="shared" si="2"/>
        <v>billed cap</v>
      </c>
    </row>
    <row r="465" ht="15.75" customHeight="1">
      <c r="A465" s="1" t="s">
        <v>1121</v>
      </c>
      <c r="B465" s="1" t="s">
        <v>1122</v>
      </c>
      <c r="C465" s="2" t="s">
        <v>1123</v>
      </c>
      <c r="D465" s="2" t="str">
        <f t="shared" si="21"/>
        <v>nguy cơ sinh học</v>
      </c>
      <c r="E465" s="3" t="str">
        <f t="shared" si="2"/>
        <v>biohazard</v>
      </c>
    </row>
    <row r="466" ht="15.75" customHeight="1">
      <c r="A466" s="1" t="s">
        <v>1124</v>
      </c>
      <c r="B466" s="1" t="s">
        <v>1125</v>
      </c>
      <c r="C466" s="2" t="str">
        <f>IFERROR(__xludf.DUMMYFUNCTION("GOOGLETRANSLATE(E466, ""en"",""vi"")"),"chim")</f>
        <v>chim</v>
      </c>
      <c r="D466" s="2" t="str">
        <f t="shared" si="21"/>
        <v>chim</v>
      </c>
      <c r="E466" s="3" t="str">
        <f t="shared" si="2"/>
        <v>bird</v>
      </c>
    </row>
    <row r="467" ht="15.75" customHeight="1">
      <c r="A467" s="1" t="s">
        <v>1126</v>
      </c>
      <c r="B467" s="1" t="s">
        <v>1127</v>
      </c>
      <c r="C467" s="2" t="str">
        <f>IFERROR(__xludf.DUMMYFUNCTION("GOOGLETRANSLATE(E467, ""en"",""vi"")"),"bánh sinh nhật")</f>
        <v>bánh sinh nhật</v>
      </c>
      <c r="D467" s="2" t="str">
        <f t="shared" si="21"/>
        <v>bánh sinh nhật</v>
      </c>
      <c r="E467" s="3" t="str">
        <f t="shared" si="2"/>
        <v>birthday cake</v>
      </c>
    </row>
    <row r="468" ht="15.75" customHeight="1">
      <c r="A468" s="1" t="s">
        <v>1128</v>
      </c>
      <c r="B468" s="1" t="s">
        <v>1129</v>
      </c>
      <c r="C468" s="2" t="s">
        <v>1130</v>
      </c>
      <c r="D468" s="2" t="str">
        <f t="shared" si="21"/>
        <v>bò bi son</v>
      </c>
      <c r="E468" s="3" t="str">
        <f t="shared" si="2"/>
        <v>bison</v>
      </c>
    </row>
    <row r="469" ht="15.75" customHeight="1">
      <c r="A469" s="1" t="s">
        <v>1131</v>
      </c>
      <c r="B469" s="1" t="s">
        <v>1132</v>
      </c>
      <c r="C469" s="2" t="str">
        <f>IFERROR(__xludf.DUMMYFUNCTION("GOOGLETRANSLATE(E469, ""en"",""vi"")"),"con mèo đen")</f>
        <v>con mèo đen</v>
      </c>
      <c r="D469" s="2" t="str">
        <f t="shared" si="21"/>
        <v>con mèo đen</v>
      </c>
      <c r="E469" s="3" t="str">
        <f t="shared" si="2"/>
        <v>black cat</v>
      </c>
    </row>
    <row r="470" ht="15.75" customHeight="1">
      <c r="A470" s="1" t="s">
        <v>1133</v>
      </c>
      <c r="B470" s="1" t="s">
        <v>1134</v>
      </c>
      <c r="C470" s="2" t="str">
        <f>IFERROR(__xludf.DUMMYFUNCTION("GOOGLETRANSLATE(E470, ""en"",""vi"")"),"vòng tròn đen")</f>
        <v>vòng tròn đen</v>
      </c>
      <c r="D470" s="2" t="str">
        <f t="shared" si="21"/>
        <v>vòng tròn đen</v>
      </c>
      <c r="E470" s="3" t="str">
        <f t="shared" si="2"/>
        <v>black circle</v>
      </c>
    </row>
    <row r="471" ht="15.75" customHeight="1">
      <c r="A471" s="1" t="s">
        <v>1135</v>
      </c>
      <c r="B471" s="1" t="s">
        <v>1136</v>
      </c>
      <c r="C471" s="2" t="str">
        <f>IFERROR(__xludf.DUMMYFUNCTION("GOOGLETRANSLATE(E471, ""en"",""vi"")"),"cờ đen")</f>
        <v>cờ đen</v>
      </c>
      <c r="D471" s="2" t="str">
        <f t="shared" si="21"/>
        <v>cờ đen</v>
      </c>
      <c r="E471" s="3" t="str">
        <f t="shared" si="2"/>
        <v>black flag</v>
      </c>
    </row>
    <row r="472" ht="15.75" customHeight="1">
      <c r="A472" s="1" t="s">
        <v>1137</v>
      </c>
      <c r="B472" s="1" t="s">
        <v>1138</v>
      </c>
      <c r="C472" s="2" t="str">
        <f>IFERROR(__xludf.DUMMYFUNCTION("GOOGLETRANSLATE(E472, ""en"",""vi"")"),"trái tim đen")</f>
        <v>trái tim đen</v>
      </c>
      <c r="D472" s="2" t="str">
        <f t="shared" si="21"/>
        <v>trái tim đen</v>
      </c>
      <c r="E472" s="3" t="str">
        <f t="shared" si="2"/>
        <v>black heart</v>
      </c>
    </row>
    <row r="473" ht="15.75" customHeight="1">
      <c r="A473" s="1" t="s">
        <v>1139</v>
      </c>
      <c r="B473" s="1" t="s">
        <v>1140</v>
      </c>
      <c r="C473" s="2" t="s">
        <v>1141</v>
      </c>
      <c r="D473" s="2" t="str">
        <f t="shared" si="21"/>
        <v>hình vuông lớn màu đen</v>
      </c>
      <c r="E473" s="3" t="str">
        <f t="shared" si="2"/>
        <v>black large square</v>
      </c>
    </row>
    <row r="474" ht="15.75" customHeight="1">
      <c r="A474" s="1" t="s">
        <v>1142</v>
      </c>
      <c r="B474" s="1" t="s">
        <v>1143</v>
      </c>
      <c r="C474" s="2" t="s">
        <v>1144</v>
      </c>
      <c r="D474" s="2" t="str">
        <f t="shared" si="21"/>
        <v>hình vuông màu đen nhỏ vừa</v>
      </c>
      <c r="E474" s="3" t="str">
        <f t="shared" si="2"/>
        <v>black medium-small square</v>
      </c>
    </row>
    <row r="475" ht="15.75" customHeight="1">
      <c r="A475" s="1" t="s">
        <v>1145</v>
      </c>
      <c r="B475" s="1" t="s">
        <v>1146</v>
      </c>
      <c r="C475" s="2" t="s">
        <v>1147</v>
      </c>
      <c r="D475" s="2" t="str">
        <f t="shared" si="21"/>
        <v>hình vuông màu đen vừa</v>
      </c>
      <c r="E475" s="3" t="str">
        <f t="shared" si="2"/>
        <v>black medium square</v>
      </c>
    </row>
    <row r="476" ht="15.75" customHeight="1">
      <c r="A476" s="1" t="s">
        <v>1148</v>
      </c>
      <c r="B476" s="1" t="s">
        <v>1149</v>
      </c>
      <c r="C476" s="2" t="s">
        <v>1150</v>
      </c>
      <c r="D476" s="2" t="str">
        <f t="shared" si="21"/>
        <v>ngòi bút màu đen</v>
      </c>
      <c r="E476" s="3" t="str">
        <f t="shared" si="2"/>
        <v>black nib</v>
      </c>
    </row>
    <row r="477" ht="15.75" customHeight="1">
      <c r="A477" s="1" t="s">
        <v>1151</v>
      </c>
      <c r="B477" s="1" t="s">
        <v>1152</v>
      </c>
      <c r="C477" s="2" t="s">
        <v>1153</v>
      </c>
      <c r="D477" s="2" t="str">
        <f t="shared" si="21"/>
        <v>hình vuông màu đen nhỏ  </v>
      </c>
      <c r="E477" s="3" t="str">
        <f t="shared" si="2"/>
        <v>black small square</v>
      </c>
    </row>
    <row r="478" ht="15.75" customHeight="1">
      <c r="A478" s="1" t="s">
        <v>1154</v>
      </c>
      <c r="B478" s="1" t="s">
        <v>1155</v>
      </c>
      <c r="C478" s="2" t="s">
        <v>1156</v>
      </c>
      <c r="D478" s="2" t="str">
        <f t="shared" si="21"/>
        <v>nút hình vuông màu đen</v>
      </c>
      <c r="E478" s="3" t="str">
        <f t="shared" si="2"/>
        <v>black square button</v>
      </c>
    </row>
    <row r="479" ht="15.75" customHeight="1">
      <c r="A479" s="1" t="s">
        <v>1157</v>
      </c>
      <c r="B479" s="1" t="s">
        <v>1158</v>
      </c>
      <c r="C479" s="2" t="s">
        <v>1159</v>
      </c>
      <c r="D479" s="2" t="str">
        <f t="shared" si="21"/>
        <v>hoa nở</v>
      </c>
      <c r="E479" s="3" t="str">
        <f t="shared" si="2"/>
        <v>blossom</v>
      </c>
    </row>
    <row r="480" ht="15.75" customHeight="1">
      <c r="A480" s="1" t="s">
        <v>1160</v>
      </c>
      <c r="B480" s="1" t="s">
        <v>1161</v>
      </c>
      <c r="C480" s="2" t="s">
        <v>1162</v>
      </c>
      <c r="D480" s="2" t="str">
        <f t="shared" si="21"/>
        <v>cá nóc</v>
      </c>
      <c r="E480" s="3" t="str">
        <f t="shared" si="2"/>
        <v>blowfish</v>
      </c>
    </row>
    <row r="481" ht="15.75" customHeight="1">
      <c r="A481" s="1" t="s">
        <v>1163</v>
      </c>
      <c r="B481" s="1" t="s">
        <v>1164</v>
      </c>
      <c r="C481" s="2" t="str">
        <f>IFERROR(__xludf.DUMMYFUNCTION("GOOGLETRANSLATE(E481, ""en"",""vi"")"),"sách xanh")</f>
        <v>sách xanh</v>
      </c>
      <c r="D481" s="2" t="str">
        <f t="shared" si="21"/>
        <v>sách xanh</v>
      </c>
      <c r="E481" s="3" t="str">
        <f t="shared" si="2"/>
        <v>blue book</v>
      </c>
    </row>
    <row r="482" ht="15.75" customHeight="1">
      <c r="A482" s="1" t="s">
        <v>1165</v>
      </c>
      <c r="B482" s="1" t="s">
        <v>1166</v>
      </c>
      <c r="C482" s="2" t="str">
        <f>IFERROR(__xludf.DUMMYFUNCTION("GOOGLETRANSLATE(E482, ""en"",""vi"")"),"vòng tròn màu xanh")</f>
        <v>vòng tròn màu xanh</v>
      </c>
      <c r="D482" s="2" t="str">
        <f t="shared" si="21"/>
        <v>vòng tròn màu xanh</v>
      </c>
      <c r="E482" s="3" t="str">
        <f t="shared" si="2"/>
        <v>blue circle</v>
      </c>
    </row>
    <row r="483" ht="15.75" customHeight="1">
      <c r="A483" s="1" t="s">
        <v>1167</v>
      </c>
      <c r="B483" s="1" t="s">
        <v>1168</v>
      </c>
      <c r="C483" s="2" t="s">
        <v>1169</v>
      </c>
      <c r="D483" s="2" t="str">
        <f t="shared" si="21"/>
        <v>trái tim màu xanh</v>
      </c>
      <c r="E483" s="3" t="str">
        <f t="shared" si="2"/>
        <v>blue heart</v>
      </c>
    </row>
    <row r="484" ht="15.75" customHeight="1">
      <c r="A484" s="1" t="s">
        <v>1170</v>
      </c>
      <c r="B484" s="1" t="s">
        <v>1171</v>
      </c>
      <c r="C484" s="2" t="str">
        <f>IFERROR(__xludf.DUMMYFUNCTION("GOOGLETRANSLATE(E484, ""en"",""vi"")"),"hình vuông màu xanh")</f>
        <v>hình vuông màu xanh</v>
      </c>
      <c r="D484" s="2" t="str">
        <f t="shared" si="21"/>
        <v>hình vuông màu xanh</v>
      </c>
      <c r="E484" s="3" t="str">
        <f t="shared" si="2"/>
        <v>blue square</v>
      </c>
    </row>
    <row r="485" ht="15.75" customHeight="1">
      <c r="A485" s="1" t="s">
        <v>1172</v>
      </c>
      <c r="B485" s="1" t="s">
        <v>1173</v>
      </c>
      <c r="C485" s="2" t="str">
        <f>IFERROR(__xludf.DUMMYFUNCTION("GOOGLETRANSLATE(E485, ""en"",""vi"")"),"quả việt quất")</f>
        <v>quả việt quất</v>
      </c>
      <c r="D485" s="2" t="str">
        <f t="shared" si="21"/>
        <v>quả việt quất</v>
      </c>
      <c r="E485" s="3" t="str">
        <f t="shared" si="2"/>
        <v>blueberries</v>
      </c>
    </row>
    <row r="486" ht="15.75" customHeight="1">
      <c r="A486" s="1" t="s">
        <v>1174</v>
      </c>
      <c r="B486" s="1" t="s">
        <v>1175</v>
      </c>
      <c r="C486" s="2" t="str">
        <f>IFERROR(__xludf.DUMMYFUNCTION("GOOGLETRANSLATE(E486, ""en"",""vi"")"),"lợn rừng")</f>
        <v>lợn rừng</v>
      </c>
      <c r="D486" s="2" t="str">
        <f t="shared" si="21"/>
        <v>lợn rừng</v>
      </c>
      <c r="E486" s="3" t="str">
        <f t="shared" si="2"/>
        <v>boar</v>
      </c>
    </row>
    <row r="487" ht="15.75" customHeight="1">
      <c r="A487" s="1" t="s">
        <v>1176</v>
      </c>
      <c r="B487" s="1" t="s">
        <v>1177</v>
      </c>
      <c r="C487" s="2" t="str">
        <f>IFERROR(__xludf.DUMMYFUNCTION("GOOGLETRANSLATE(E487, ""en"",""vi"")"),"bom")</f>
        <v>bom</v>
      </c>
      <c r="D487" s="2" t="str">
        <f t="shared" si="21"/>
        <v>bom</v>
      </c>
      <c r="E487" s="3" t="str">
        <f t="shared" si="2"/>
        <v>bomb</v>
      </c>
    </row>
    <row r="488" ht="15.75" customHeight="1">
      <c r="A488" s="1" t="s">
        <v>1178</v>
      </c>
      <c r="B488" s="1" t="s">
        <v>1179</v>
      </c>
      <c r="C488" s="2" t="str">
        <f>IFERROR(__xludf.DUMMYFUNCTION("GOOGLETRANSLATE(E488, ""en"",""vi"")"),"xương")</f>
        <v>xương</v>
      </c>
      <c r="D488" s="2" t="str">
        <f t="shared" si="21"/>
        <v>xương</v>
      </c>
      <c r="E488" s="3" t="str">
        <f t="shared" si="2"/>
        <v>bone</v>
      </c>
    </row>
    <row r="489" ht="15.75" customHeight="1">
      <c r="A489" s="1" t="s">
        <v>1180</v>
      </c>
      <c r="B489" s="1" t="s">
        <v>1181</v>
      </c>
      <c r="C489" s="2" t="str">
        <f>IFERROR(__xludf.DUMMYFUNCTION("GOOGLETRANSLATE(E489, ""en"",""vi"")"),"dấu trang")</f>
        <v>dấu trang</v>
      </c>
      <c r="D489" s="2" t="s">
        <v>1182</v>
      </c>
      <c r="E489" s="3" t="str">
        <f t="shared" si="2"/>
        <v>bookmark</v>
      </c>
    </row>
    <row r="490" ht="15.75" customHeight="1">
      <c r="A490" s="1" t="s">
        <v>1183</v>
      </c>
      <c r="B490" s="1" t="s">
        <v>1184</v>
      </c>
      <c r="C490" s="2" t="str">
        <f>IFERROR(__xludf.DUMMYFUNCTION("GOOGLETRANSLATE(E490, ""en"",""vi"")"),"tab đánh dấu")</f>
        <v>tab đánh dấu</v>
      </c>
      <c r="D490" s="2" t="str">
        <f t="shared" ref="D490:D519" si="22">LOWER(C490)</f>
        <v>tab đánh dấu</v>
      </c>
      <c r="E490" s="3" t="str">
        <f t="shared" si="2"/>
        <v>bookmark tabs</v>
      </c>
    </row>
    <row r="491" ht="15.75" customHeight="1">
      <c r="A491" s="1" t="s">
        <v>1185</v>
      </c>
      <c r="B491" s="1" t="s">
        <v>1186</v>
      </c>
      <c r="C491" s="2" t="str">
        <f>IFERROR(__xludf.DUMMYFUNCTION("GOOGLETRANSLATE(E491, ""en"",""vi"")"),"sách")</f>
        <v>sách</v>
      </c>
      <c r="D491" s="2" t="str">
        <f t="shared" si="22"/>
        <v>sách</v>
      </c>
      <c r="E491" s="3" t="str">
        <f t="shared" si="2"/>
        <v>books</v>
      </c>
    </row>
    <row r="492" ht="15.75" customHeight="1">
      <c r="A492" s="1" t="s">
        <v>1187</v>
      </c>
      <c r="B492" s="1" t="s">
        <v>1188</v>
      </c>
      <c r="C492" s="2" t="s">
        <v>1189</v>
      </c>
      <c r="D492" s="2" t="str">
        <f t="shared" si="22"/>
        <v>boomerang</v>
      </c>
      <c r="E492" s="3" t="str">
        <f t="shared" si="2"/>
        <v>boomerang</v>
      </c>
    </row>
    <row r="493" ht="15.75" customHeight="1">
      <c r="A493" s="1" t="s">
        <v>1190</v>
      </c>
      <c r="B493" s="1" t="s">
        <v>1191</v>
      </c>
      <c r="C493" s="2" t="s">
        <v>1192</v>
      </c>
      <c r="D493" s="2" t="str">
        <f t="shared" si="22"/>
        <v>chai với nút chai</v>
      </c>
      <c r="E493" s="3" t="str">
        <f t="shared" si="2"/>
        <v>bottle with popping cork</v>
      </c>
    </row>
    <row r="494" ht="15.75" customHeight="1">
      <c r="A494" s="1" t="s">
        <v>1193</v>
      </c>
      <c r="B494" s="1" t="s">
        <v>1194</v>
      </c>
      <c r="C494" s="2" t="str">
        <f>IFERROR(__xludf.DUMMYFUNCTION("GOOGLETRANSLATE(E494, ""en"",""vi"")"),"bó hoa")</f>
        <v>bó hoa</v>
      </c>
      <c r="D494" s="2" t="str">
        <f t="shared" si="22"/>
        <v>bó hoa</v>
      </c>
      <c r="E494" s="3" t="str">
        <f t="shared" si="2"/>
        <v>bouquet</v>
      </c>
    </row>
    <row r="495" ht="15.75" customHeight="1">
      <c r="A495" s="1" t="s">
        <v>1195</v>
      </c>
      <c r="B495" s="1" t="s">
        <v>1196</v>
      </c>
      <c r="C495" s="2" t="str">
        <f>IFERROR(__xludf.DUMMYFUNCTION("GOOGLETRANSLATE(E495, ""en"",""vi"")"),"cung và tên")</f>
        <v>cung và tên</v>
      </c>
      <c r="D495" s="2" t="str">
        <f t="shared" si="22"/>
        <v>cung và tên</v>
      </c>
      <c r="E495" s="3" t="str">
        <f t="shared" si="2"/>
        <v>bow and arrow</v>
      </c>
    </row>
    <row r="496" ht="15.75" customHeight="1">
      <c r="A496" s="1" t="s">
        <v>1197</v>
      </c>
      <c r="B496" s="1" t="s">
        <v>1198</v>
      </c>
      <c r="C496" s="2" t="str">
        <f>IFERROR(__xludf.DUMMYFUNCTION("GOOGLETRANSLATE(E496, ""en"",""vi"")"),"bát có thìa")</f>
        <v>bát có thìa</v>
      </c>
      <c r="D496" s="2" t="str">
        <f t="shared" si="22"/>
        <v>bát có thìa</v>
      </c>
      <c r="E496" s="3" t="str">
        <f t="shared" si="2"/>
        <v>bowl with spoon</v>
      </c>
    </row>
    <row r="497" ht="15.75" customHeight="1">
      <c r="A497" s="1" t="s">
        <v>1199</v>
      </c>
      <c r="B497" s="1" t="s">
        <v>1200</v>
      </c>
      <c r="C497" s="2" t="str">
        <f>IFERROR(__xludf.DUMMYFUNCTION("GOOGLETRANSLATE(E497, ""en"",""vi"")"),"bowling")</f>
        <v>bowling</v>
      </c>
      <c r="D497" s="2" t="str">
        <f t="shared" si="22"/>
        <v>bowling</v>
      </c>
      <c r="E497" s="3" t="str">
        <f t="shared" si="2"/>
        <v>bowling</v>
      </c>
    </row>
    <row r="498" ht="15.75" customHeight="1">
      <c r="A498" s="1" t="s">
        <v>1201</v>
      </c>
      <c r="B498" s="1" t="s">
        <v>1202</v>
      </c>
      <c r="C498" s="2" t="str">
        <f>IFERROR(__xludf.DUMMYFUNCTION("GOOGLETRANSLATE(E498, ""en"",""vi"")"),"găng tay đấm bốc")</f>
        <v>găng tay đấm bốc</v>
      </c>
      <c r="D498" s="2" t="str">
        <f t="shared" si="22"/>
        <v>găng tay đấm bốc</v>
      </c>
      <c r="E498" s="3" t="str">
        <f t="shared" si="2"/>
        <v>boxing glove</v>
      </c>
    </row>
    <row r="499" ht="15.75" customHeight="1">
      <c r="A499" s="1" t="s">
        <v>1203</v>
      </c>
      <c r="B499" s="1" t="s">
        <v>1204</v>
      </c>
      <c r="C499" s="2" t="str">
        <f>IFERROR(__xludf.DUMMYFUNCTION("GOOGLETRANSLATE(E499, ""en"",""vi"")"),"con trai")</f>
        <v>con trai</v>
      </c>
      <c r="D499" s="2" t="str">
        <f t="shared" si="22"/>
        <v>con trai</v>
      </c>
      <c r="E499" s="3" t="str">
        <f t="shared" si="2"/>
        <v>boy</v>
      </c>
    </row>
    <row r="500" ht="15.75" customHeight="1">
      <c r="A500" s="1" t="s">
        <v>1205</v>
      </c>
      <c r="B500" s="1" t="s">
        <v>1206</v>
      </c>
      <c r="C500" s="2" t="str">
        <f>IFERROR(__xludf.DUMMYFUNCTION("GOOGLETRANSLATE(E500, ""en"",""vi"")"),"con trai da ngăm đen")</f>
        <v>con trai da ngăm đen</v>
      </c>
      <c r="D500" s="2" t="str">
        <f t="shared" si="22"/>
        <v>con trai da ngăm đen</v>
      </c>
      <c r="E500" s="3" t="str">
        <f t="shared" si="2"/>
        <v>boy dark skin tone</v>
      </c>
    </row>
    <row r="501" ht="15.75" customHeight="1">
      <c r="A501" s="1" t="s">
        <v>1207</v>
      </c>
      <c r="B501" s="1" t="s">
        <v>1208</v>
      </c>
      <c r="C501" s="2" t="s">
        <v>1209</v>
      </c>
      <c r="D501" s="2" t="str">
        <f t="shared" si="22"/>
        <v>cậu bé màu da sáng</v>
      </c>
      <c r="E501" s="3" t="str">
        <f t="shared" si="2"/>
        <v>boy light skin tone</v>
      </c>
    </row>
    <row r="502" ht="15.75" customHeight="1">
      <c r="A502" s="1" t="s">
        <v>1210</v>
      </c>
      <c r="B502" s="1" t="s">
        <v>1211</v>
      </c>
      <c r="C502" s="4" t="s">
        <v>1212</v>
      </c>
      <c r="D502" s="2" t="str">
        <f t="shared" si="22"/>
        <v>cậu bé màu da sẫm vừa</v>
      </c>
      <c r="E502" s="3" t="str">
        <f t="shared" si="2"/>
        <v>boy medium-dark skin tone</v>
      </c>
    </row>
    <row r="503" ht="15.75" customHeight="1">
      <c r="A503" s="1" t="s">
        <v>1213</v>
      </c>
      <c r="B503" s="1" t="s">
        <v>1214</v>
      </c>
      <c r="C503" s="2" t="s">
        <v>1215</v>
      </c>
      <c r="D503" s="2" t="str">
        <f t="shared" si="22"/>
        <v>cậu bé màu da sáng vừa</v>
      </c>
      <c r="E503" s="3" t="str">
        <f t="shared" si="2"/>
        <v>boy medium-light skin tone</v>
      </c>
    </row>
    <row r="504" ht="15.75" customHeight="1">
      <c r="A504" s="1" t="s">
        <v>1216</v>
      </c>
      <c r="B504" s="1" t="s">
        <v>1217</v>
      </c>
      <c r="C504" s="2" t="s">
        <v>1218</v>
      </c>
      <c r="D504" s="2" t="str">
        <f t="shared" si="22"/>
        <v>cậu bé màu da thường</v>
      </c>
      <c r="E504" s="3" t="str">
        <f t="shared" si="2"/>
        <v>boy medium skin tone</v>
      </c>
    </row>
    <row r="505" ht="15.75" customHeight="1">
      <c r="A505" s="1" t="s">
        <v>1219</v>
      </c>
      <c r="B505" s="1" t="s">
        <v>1220</v>
      </c>
      <c r="C505" s="2" t="s">
        <v>1221</v>
      </c>
      <c r="D505" s="2" t="str">
        <f t="shared" si="22"/>
        <v>não</v>
      </c>
      <c r="E505" s="3" t="str">
        <f t="shared" si="2"/>
        <v>brain</v>
      </c>
    </row>
    <row r="506" ht="15.75" customHeight="1">
      <c r="A506" s="1" t="s">
        <v>1222</v>
      </c>
      <c r="B506" s="1" t="s">
        <v>1223</v>
      </c>
      <c r="C506" s="2" t="str">
        <f>IFERROR(__xludf.DUMMYFUNCTION("GOOGLETRANSLATE(E506, ""en"",""vi"")"),"bánh mỳ")</f>
        <v>bánh mỳ</v>
      </c>
      <c r="D506" s="2" t="str">
        <f t="shared" si="22"/>
        <v>bánh mỳ</v>
      </c>
      <c r="E506" s="3" t="str">
        <f t="shared" si="2"/>
        <v>bread</v>
      </c>
    </row>
    <row r="507" ht="15.75" customHeight="1">
      <c r="A507" s="1" t="s">
        <v>1224</v>
      </c>
      <c r="B507" s="1" t="s">
        <v>1225</v>
      </c>
      <c r="C507" s="2" t="str">
        <f>IFERROR(__xludf.DUMMYFUNCTION("GOOGLETRANSLATE(E507, ""en"",""vi"")"),"cho con bú")</f>
        <v>cho con bú</v>
      </c>
      <c r="D507" s="2" t="str">
        <f t="shared" si="22"/>
        <v>cho con bú</v>
      </c>
      <c r="E507" s="3" t="str">
        <f t="shared" si="2"/>
        <v>breast-feeding</v>
      </c>
    </row>
    <row r="508" ht="15.75" customHeight="1">
      <c r="A508" s="1" t="s">
        <v>1226</v>
      </c>
      <c r="B508" s="1" t="s">
        <v>1227</v>
      </c>
      <c r="C508" s="2" t="s">
        <v>1228</v>
      </c>
      <c r="D508" s="2" t="str">
        <f t="shared" si="22"/>
        <v>cho con bú màu da sẫm </v>
      </c>
      <c r="E508" s="3" t="str">
        <f t="shared" si="2"/>
        <v>breast-feeding dark skin tone</v>
      </c>
    </row>
    <row r="509" ht="15.75" customHeight="1">
      <c r="A509" s="1" t="s">
        <v>1229</v>
      </c>
      <c r="B509" s="1" t="s">
        <v>1230</v>
      </c>
      <c r="C509" s="2" t="s">
        <v>1231</v>
      </c>
      <c r="D509" s="2" t="str">
        <f t="shared" si="22"/>
        <v>cho con bú màu da sáng</v>
      </c>
      <c r="E509" s="3" t="str">
        <f t="shared" si="2"/>
        <v>breast-feeding light skin tone</v>
      </c>
    </row>
    <row r="510" ht="15.75" customHeight="1">
      <c r="A510" s="1" t="s">
        <v>1232</v>
      </c>
      <c r="B510" s="1" t="s">
        <v>1233</v>
      </c>
      <c r="C510" s="2" t="s">
        <v>1234</v>
      </c>
      <c r="D510" s="2" t="str">
        <f t="shared" si="22"/>
        <v>cho con bú màu da sẫm vừa</v>
      </c>
      <c r="E510" s="3" t="str">
        <f t="shared" si="2"/>
        <v>breast-feeding medium-dark skin tone</v>
      </c>
    </row>
    <row r="511" ht="15.75" customHeight="1">
      <c r="A511" s="1" t="s">
        <v>1235</v>
      </c>
      <c r="B511" s="1" t="s">
        <v>1236</v>
      </c>
      <c r="C511" s="2" t="s">
        <v>1237</v>
      </c>
      <c r="D511" s="2" t="str">
        <f t="shared" si="22"/>
        <v>cho con bú màu da sáng vừa</v>
      </c>
      <c r="E511" s="3" t="str">
        <f t="shared" si="2"/>
        <v>breast-feeding medium-light skin tone</v>
      </c>
    </row>
    <row r="512" ht="15.75" customHeight="1">
      <c r="A512" s="1" t="s">
        <v>1238</v>
      </c>
      <c r="B512" s="1" t="s">
        <v>1239</v>
      </c>
      <c r="C512" s="2" t="s">
        <v>1240</v>
      </c>
      <c r="D512" s="2" t="str">
        <f t="shared" si="22"/>
        <v>cho con bú màu da vừa </v>
      </c>
      <c r="E512" s="3" t="str">
        <f t="shared" si="2"/>
        <v>breast-feeding medium skin tone</v>
      </c>
    </row>
    <row r="513" ht="15.75" customHeight="1">
      <c r="A513" s="1" t="s">
        <v>1241</v>
      </c>
      <c r="B513" s="1" t="s">
        <v>1242</v>
      </c>
      <c r="C513" s="2" t="str">
        <f>IFERROR(__xludf.DUMMYFUNCTION("GOOGLETRANSLATE(E513, ""en"",""vi"")"),"gạch")</f>
        <v>gạch</v>
      </c>
      <c r="D513" s="2" t="str">
        <f t="shared" si="22"/>
        <v>gạch</v>
      </c>
      <c r="E513" s="3" t="str">
        <f t="shared" si="2"/>
        <v>brick</v>
      </c>
    </row>
    <row r="514" ht="15.75" customHeight="1">
      <c r="A514" s="1" t="s">
        <v>1243</v>
      </c>
      <c r="B514" s="1" t="s">
        <v>1244</v>
      </c>
      <c r="C514" s="2" t="str">
        <f>IFERROR(__xludf.DUMMYFUNCTION("GOOGLETRANSLATE(E514, ""en"",""vi"")"),"cầu vào ban đêm")</f>
        <v>cầu vào ban đêm</v>
      </c>
      <c r="D514" s="2" t="str">
        <f t="shared" si="22"/>
        <v>cầu vào ban đêm</v>
      </c>
      <c r="E514" s="3" t="str">
        <f t="shared" si="2"/>
        <v>bridge at night</v>
      </c>
    </row>
    <row r="515" ht="15.75" customHeight="1">
      <c r="A515" s="1" t="s">
        <v>1245</v>
      </c>
      <c r="B515" s="1" t="s">
        <v>1246</v>
      </c>
      <c r="C515" s="2" t="str">
        <f>IFERROR(__xludf.DUMMYFUNCTION("GOOGLETRANSLATE(E515, ""en"",""vi"")"),"cặp")</f>
        <v>cặp</v>
      </c>
      <c r="D515" s="2" t="str">
        <f t="shared" si="22"/>
        <v>cặp</v>
      </c>
      <c r="E515" s="3" t="str">
        <f t="shared" si="2"/>
        <v>briefcase</v>
      </c>
    </row>
    <row r="516" ht="15.75" customHeight="1">
      <c r="A516" s="1" t="s">
        <v>1247</v>
      </c>
      <c r="B516" s="1" t="s">
        <v>1248</v>
      </c>
      <c r="C516" s="2" t="s">
        <v>1249</v>
      </c>
      <c r="D516" s="2" t="str">
        <f t="shared" si="22"/>
        <v>quần sịp</v>
      </c>
      <c r="E516" s="3" t="str">
        <f t="shared" si="2"/>
        <v>briefs</v>
      </c>
    </row>
    <row r="517" ht="15.75" customHeight="1">
      <c r="A517" s="1" t="s">
        <v>1250</v>
      </c>
      <c r="B517" s="1" t="s">
        <v>1251</v>
      </c>
      <c r="C517" s="2" t="str">
        <f>IFERROR(__xludf.DUMMYFUNCTION("GOOGLETRANSLATE(E517, ""en"",""vi"")"),"nút sáng")</f>
        <v>nút sáng</v>
      </c>
      <c r="D517" s="2" t="str">
        <f t="shared" si="22"/>
        <v>nút sáng</v>
      </c>
      <c r="E517" s="3" t="str">
        <f t="shared" si="2"/>
        <v>bright button</v>
      </c>
    </row>
    <row r="518" ht="15.75" customHeight="1">
      <c r="A518" s="1" t="s">
        <v>1252</v>
      </c>
      <c r="B518" s="1" t="s">
        <v>1253</v>
      </c>
      <c r="C518" s="2" t="str">
        <f>IFERROR(__xludf.DUMMYFUNCTION("GOOGLETRANSLATE(E518, ""en"",""vi"")"),"bông cải xanh")</f>
        <v>bông cải xanh</v>
      </c>
      <c r="D518" s="2" t="str">
        <f t="shared" si="22"/>
        <v>bông cải xanh</v>
      </c>
      <c r="E518" s="3" t="str">
        <f t="shared" si="2"/>
        <v>broccoli</v>
      </c>
    </row>
    <row r="519" ht="15.75" customHeight="1">
      <c r="A519" s="1" t="s">
        <v>1254</v>
      </c>
      <c r="B519" s="1" t="s">
        <v>1255</v>
      </c>
      <c r="C519" s="2" t="str">
        <f>IFERROR(__xludf.DUMMYFUNCTION("GOOGLETRANSLATE(E519, ""en"",""vi"")"),"trái tim tan vỡ")</f>
        <v>trái tim tan vỡ</v>
      </c>
      <c r="D519" s="2" t="str">
        <f t="shared" si="22"/>
        <v>trái tim tan vỡ</v>
      </c>
      <c r="E519" s="3" t="str">
        <f t="shared" si="2"/>
        <v>broken heart</v>
      </c>
    </row>
    <row r="520" ht="15.75" customHeight="1">
      <c r="A520" s="1" t="s">
        <v>1256</v>
      </c>
      <c r="B520" s="1" t="s">
        <v>1257</v>
      </c>
      <c r="C520" s="2" t="str">
        <f>IFERROR(__xludf.DUMMYFUNCTION("GOOGLETRANSLATE(E520, ""en"",""vi"")"),"cây chổi")</f>
        <v>cây chổi</v>
      </c>
      <c r="D520" s="2" t="s">
        <v>1258</v>
      </c>
      <c r="E520" s="3" t="str">
        <f t="shared" si="2"/>
        <v>broom</v>
      </c>
    </row>
    <row r="521" ht="15.75" customHeight="1">
      <c r="A521" s="1" t="s">
        <v>1259</v>
      </c>
      <c r="B521" s="1" t="s">
        <v>1260</v>
      </c>
      <c r="C521" s="2" t="str">
        <f>IFERROR(__xludf.DUMMYFUNCTION("GOOGLETRANSLATE(E521, ""en"",""vi"")"),"vòng tròn màu nâu")</f>
        <v>vòng tròn màu nâu</v>
      </c>
      <c r="D521" s="2" t="str">
        <f t="shared" ref="D521:D528" si="23">LOWER(C521)</f>
        <v>vòng tròn màu nâu</v>
      </c>
      <c r="E521" s="3" t="str">
        <f t="shared" si="2"/>
        <v>brown circle</v>
      </c>
    </row>
    <row r="522" ht="15.75" customHeight="1">
      <c r="A522" s="1" t="s">
        <v>1261</v>
      </c>
      <c r="B522" s="1" t="s">
        <v>1262</v>
      </c>
      <c r="C522" s="2" t="str">
        <f>IFERROR(__xludf.DUMMYFUNCTION("GOOGLETRANSLATE(E522, ""en"",""vi"")"),"trái tim nâu")</f>
        <v>trái tim nâu</v>
      </c>
      <c r="D522" s="2" t="str">
        <f t="shared" si="23"/>
        <v>trái tim nâu</v>
      </c>
      <c r="E522" s="3" t="str">
        <f t="shared" si="2"/>
        <v>brown heart</v>
      </c>
    </row>
    <row r="523" ht="15.75" customHeight="1">
      <c r="A523" s="1" t="s">
        <v>1263</v>
      </c>
      <c r="B523" s="1" t="s">
        <v>1264</v>
      </c>
      <c r="C523" s="2" t="s">
        <v>1265</v>
      </c>
      <c r="D523" s="2" t="str">
        <f t="shared" si="23"/>
        <v>hình vuông nâu</v>
      </c>
      <c r="E523" s="3" t="str">
        <f t="shared" si="2"/>
        <v>brown square</v>
      </c>
    </row>
    <row r="524" ht="15.75" customHeight="1">
      <c r="A524" s="1" t="s">
        <v>1266</v>
      </c>
      <c r="B524" s="1" t="s">
        <v>1267</v>
      </c>
      <c r="C524" s="2" t="str">
        <f>IFERROR(__xludf.DUMMYFUNCTION("GOOGLETRANSLATE(E524, ""en"",""vi"")"),"trà sữa")</f>
        <v>trà sữa</v>
      </c>
      <c r="D524" s="2" t="str">
        <f t="shared" si="23"/>
        <v>trà sữa</v>
      </c>
      <c r="E524" s="3" t="str">
        <f t="shared" si="2"/>
        <v>bubble tea</v>
      </c>
    </row>
    <row r="525" ht="15.75" customHeight="1">
      <c r="A525" s="1" t="s">
        <v>1268</v>
      </c>
      <c r="B525" s="1" t="s">
        <v>1269</v>
      </c>
      <c r="C525" s="2" t="str">
        <f>IFERROR(__xludf.DUMMYFUNCTION("GOOGLETRANSLATE(E525, ""en"",""vi"")"),"xô")</f>
        <v>xô</v>
      </c>
      <c r="D525" s="2" t="str">
        <f t="shared" si="23"/>
        <v>xô</v>
      </c>
      <c r="E525" s="3" t="str">
        <f t="shared" si="2"/>
        <v>bucket</v>
      </c>
    </row>
    <row r="526" ht="15.75" customHeight="1">
      <c r="A526" s="1" t="s">
        <v>1270</v>
      </c>
      <c r="B526" s="1" t="s">
        <v>1271</v>
      </c>
      <c r="C526" s="2" t="str">
        <f>IFERROR(__xludf.DUMMYFUNCTION("GOOGLETRANSLATE(E526, ""en"",""vi"")"),"sâu bọ")</f>
        <v>sâu bọ</v>
      </c>
      <c r="D526" s="2" t="str">
        <f t="shared" si="23"/>
        <v>sâu bọ</v>
      </c>
      <c r="E526" s="3" t="str">
        <f t="shared" si="2"/>
        <v>bug</v>
      </c>
    </row>
    <row r="527" ht="15.75" customHeight="1">
      <c r="A527" s="1" t="s">
        <v>1272</v>
      </c>
      <c r="B527" s="1" t="s">
        <v>1273</v>
      </c>
      <c r="C527" s="2" t="s">
        <v>1274</v>
      </c>
      <c r="D527" s="2" t="str">
        <f t="shared" si="23"/>
        <v>toà nhà xây dựng</v>
      </c>
      <c r="E527" s="3" t="str">
        <f t="shared" si="2"/>
        <v>building construction</v>
      </c>
    </row>
    <row r="528" ht="15.75" customHeight="1">
      <c r="A528" s="1" t="s">
        <v>1275</v>
      </c>
      <c r="B528" s="1" t="s">
        <v>1276</v>
      </c>
      <c r="C528" s="2" t="str">
        <f>IFERROR(__xludf.DUMMYFUNCTION("GOOGLETRANSLATE(E528, ""en"",""vi"")"),"tàu cao tốc")</f>
        <v>tàu cao tốc</v>
      </c>
      <c r="D528" s="2" t="str">
        <f t="shared" si="23"/>
        <v>tàu cao tốc</v>
      </c>
      <c r="E528" s="3" t="str">
        <f t="shared" si="2"/>
        <v>bullet train</v>
      </c>
    </row>
    <row r="529" ht="15.75" customHeight="1">
      <c r="A529" s="1" t="s">
        <v>1277</v>
      </c>
      <c r="B529" s="1" t="s">
        <v>1278</v>
      </c>
      <c r="C529" s="2" t="str">
        <f>IFERROR(__xludf.DUMMYFUNCTION("GOOGLETRANSLATE(E529, ""en"",""vi"")"),"bia ngắm")</f>
        <v>bia ngắm</v>
      </c>
      <c r="D529" s="2" t="s">
        <v>1279</v>
      </c>
      <c r="E529" s="3" t="str">
        <f t="shared" si="2"/>
        <v>bullseye</v>
      </c>
    </row>
    <row r="530" ht="15.75" customHeight="1">
      <c r="A530" s="1" t="s">
        <v>1280</v>
      </c>
      <c r="B530" s="1" t="s">
        <v>1281</v>
      </c>
      <c r="C530" s="2" t="str">
        <f>IFERROR(__xludf.DUMMYFUNCTION("GOOGLETRANSLATE(E530, ""en"",""vi"")"),"bánh burrito")</f>
        <v>bánh burrito</v>
      </c>
      <c r="D530" s="2" t="str">
        <f t="shared" ref="D530:D843" si="24">LOWER(C530)</f>
        <v>bánh burrito</v>
      </c>
      <c r="E530" s="3" t="str">
        <f t="shared" si="2"/>
        <v>burrito</v>
      </c>
    </row>
    <row r="531" ht="15.75" customHeight="1">
      <c r="A531" s="1" t="s">
        <v>1282</v>
      </c>
      <c r="B531" s="1" t="s">
        <v>1283</v>
      </c>
      <c r="C531" s="2" t="str">
        <f>IFERROR(__xludf.DUMMYFUNCTION("GOOGLETRANSLATE(E531, ""en"",""vi"")"),"xe buýt")</f>
        <v>xe buýt</v>
      </c>
      <c r="D531" s="2" t="str">
        <f t="shared" si="24"/>
        <v>xe buýt</v>
      </c>
      <c r="E531" s="3" t="str">
        <f t="shared" si="2"/>
        <v>bus</v>
      </c>
    </row>
    <row r="532" ht="15.75" customHeight="1">
      <c r="A532" s="1" t="s">
        <v>1284</v>
      </c>
      <c r="B532" s="1" t="s">
        <v>1285</v>
      </c>
      <c r="C532" s="2" t="str">
        <f>IFERROR(__xludf.DUMMYFUNCTION("GOOGLETRANSLATE(E532, ""en"",""vi"")"),"trạm xe buýt")</f>
        <v>trạm xe buýt</v>
      </c>
      <c r="D532" s="2" t="str">
        <f t="shared" si="24"/>
        <v>trạm xe buýt</v>
      </c>
      <c r="E532" s="3" t="str">
        <f t="shared" si="2"/>
        <v>bus stop</v>
      </c>
    </row>
    <row r="533" ht="15.75" customHeight="1">
      <c r="A533" s="1" t="s">
        <v>1286</v>
      </c>
      <c r="B533" s="1" t="s">
        <v>1287</v>
      </c>
      <c r="C533" s="2" t="s">
        <v>1288</v>
      </c>
      <c r="D533" s="2" t="str">
        <f t="shared" si="24"/>
        <v>hình bóng tượng</v>
      </c>
      <c r="E533" s="3" t="str">
        <f t="shared" si="2"/>
        <v>bust in silhouette</v>
      </c>
    </row>
    <row r="534" ht="15.75" customHeight="1">
      <c r="A534" s="1" t="s">
        <v>1289</v>
      </c>
      <c r="B534" s="1" t="s">
        <v>1290</v>
      </c>
      <c r="C534" s="2" t="s">
        <v>1291</v>
      </c>
      <c r="D534" s="2" t="str">
        <f t="shared" si="24"/>
        <v>hình bóng các tượng</v>
      </c>
      <c r="E534" s="3" t="str">
        <f t="shared" si="2"/>
        <v>busts in silhouette</v>
      </c>
    </row>
    <row r="535" ht="15.75" customHeight="1">
      <c r="A535" s="1" t="s">
        <v>1292</v>
      </c>
      <c r="B535" s="1" t="s">
        <v>1293</v>
      </c>
      <c r="C535" s="2" t="str">
        <f>IFERROR(__xludf.DUMMYFUNCTION("GOOGLETRANSLATE(E535, ""en"",""vi"")"),"bơ")</f>
        <v>bơ</v>
      </c>
      <c r="D535" s="2" t="str">
        <f t="shared" si="24"/>
        <v>bơ</v>
      </c>
      <c r="E535" s="3" t="str">
        <f t="shared" si="2"/>
        <v>butter</v>
      </c>
    </row>
    <row r="536" ht="15.75" customHeight="1">
      <c r="A536" s="1" t="s">
        <v>1294</v>
      </c>
      <c r="B536" s="1" t="s">
        <v>1295</v>
      </c>
      <c r="C536" s="2" t="str">
        <f>IFERROR(__xludf.DUMMYFUNCTION("GOOGLETRANSLATE(E536, ""en"",""vi"")"),"bươm bướm")</f>
        <v>bươm bướm</v>
      </c>
      <c r="D536" s="2" t="str">
        <f t="shared" si="24"/>
        <v>bươm bướm</v>
      </c>
      <c r="E536" s="3" t="str">
        <f t="shared" si="2"/>
        <v>butterfly</v>
      </c>
    </row>
    <row r="537" ht="15.75" customHeight="1">
      <c r="A537" s="1" t="s">
        <v>1296</v>
      </c>
      <c r="B537" s="1" t="s">
        <v>1297</v>
      </c>
      <c r="C537" s="2" t="str">
        <f>IFERROR(__xludf.DUMMYFUNCTION("GOOGLETRANSLATE(E537, ""en"",""vi"")"),"cây xương rồng")</f>
        <v>cây xương rồng</v>
      </c>
      <c r="D537" s="2" t="str">
        <f t="shared" si="24"/>
        <v>cây xương rồng</v>
      </c>
      <c r="E537" s="3" t="str">
        <f t="shared" si="2"/>
        <v>cactus</v>
      </c>
    </row>
    <row r="538" ht="15.75" customHeight="1">
      <c r="A538" s="1" t="s">
        <v>1298</v>
      </c>
      <c r="B538" s="1" t="s">
        <v>1299</v>
      </c>
      <c r="C538" s="2" t="str">
        <f>IFERROR(__xludf.DUMMYFUNCTION("GOOGLETRANSLATE(E538, ""en"",""vi"")"),"lịch")</f>
        <v>lịch</v>
      </c>
      <c r="D538" s="2" t="str">
        <f t="shared" si="24"/>
        <v>lịch</v>
      </c>
      <c r="E538" s="3" t="str">
        <f t="shared" si="2"/>
        <v>calendar</v>
      </c>
    </row>
    <row r="539" ht="15.75" customHeight="1">
      <c r="A539" s="1" t="s">
        <v>1300</v>
      </c>
      <c r="B539" s="1" t="s">
        <v>1301</v>
      </c>
      <c r="C539" s="2" t="s">
        <v>1302</v>
      </c>
      <c r="D539" s="2" t="str">
        <f t="shared" si="24"/>
        <v>tay gọi tôi</v>
      </c>
      <c r="E539" s="3" t="str">
        <f t="shared" si="2"/>
        <v>call me hand</v>
      </c>
    </row>
    <row r="540" ht="15.75" customHeight="1">
      <c r="A540" s="1" t="s">
        <v>1303</v>
      </c>
      <c r="B540" s="1" t="s">
        <v>1304</v>
      </c>
      <c r="C540" s="2" t="s">
        <v>1305</v>
      </c>
      <c r="D540" s="2" t="str">
        <f t="shared" si="24"/>
        <v>tay gọi tôi màu da sẫm</v>
      </c>
      <c r="E540" s="3" t="str">
        <f t="shared" si="2"/>
        <v>call me hand dark skin tone</v>
      </c>
    </row>
    <row r="541" ht="15.75" customHeight="1">
      <c r="A541" s="1" t="s">
        <v>1306</v>
      </c>
      <c r="B541" s="1" t="s">
        <v>1307</v>
      </c>
      <c r="C541" s="4" t="s">
        <v>1308</v>
      </c>
      <c r="D541" s="2" t="str">
        <f t="shared" si="24"/>
        <v>tay gọi tôi màu da sáng</v>
      </c>
      <c r="E541" s="3" t="str">
        <f t="shared" si="2"/>
        <v>call me hand light skin tone</v>
      </c>
    </row>
    <row r="542" ht="15.75" customHeight="1">
      <c r="A542" s="1" t="s">
        <v>1309</v>
      </c>
      <c r="B542" s="1" t="s">
        <v>1310</v>
      </c>
      <c r="C542" s="4" t="s">
        <v>1311</v>
      </c>
      <c r="D542" s="2" t="str">
        <f t="shared" si="24"/>
        <v>tay gọi tôi màu da sẫm vừa</v>
      </c>
      <c r="E542" s="3" t="str">
        <f t="shared" si="2"/>
        <v>call me hand medium-dark skin tone</v>
      </c>
    </row>
    <row r="543" ht="15.75" customHeight="1">
      <c r="A543" s="1" t="s">
        <v>1312</v>
      </c>
      <c r="B543" s="1" t="s">
        <v>1313</v>
      </c>
      <c r="C543" s="2" t="s">
        <v>1314</v>
      </c>
      <c r="D543" s="2" t="str">
        <f t="shared" si="24"/>
        <v>tay gọi tôi màu da sáng vừa</v>
      </c>
      <c r="E543" s="3" t="str">
        <f t="shared" si="2"/>
        <v>call me hand medium-light skin tone</v>
      </c>
    </row>
    <row r="544" ht="15.75" customHeight="1">
      <c r="A544" s="1" t="s">
        <v>1315</v>
      </c>
      <c r="B544" s="1" t="s">
        <v>1316</v>
      </c>
      <c r="C544" s="4" t="s">
        <v>1317</v>
      </c>
      <c r="D544" s="2" t="str">
        <f t="shared" si="24"/>
        <v>tay gọi tôi màu da vừa</v>
      </c>
      <c r="E544" s="3" t="str">
        <f t="shared" si="2"/>
        <v>call me hand medium skin tone</v>
      </c>
    </row>
    <row r="545" ht="15.75" customHeight="1">
      <c r="A545" s="1" t="s">
        <v>1318</v>
      </c>
      <c r="B545" s="1" t="s">
        <v>1319</v>
      </c>
      <c r="C545" s="2" t="str">
        <f>IFERROR(__xludf.DUMMYFUNCTION("GOOGLETRANSLATE(E545, ""en"",""vi"")"),"con lạc đà")</f>
        <v>con lạc đà</v>
      </c>
      <c r="D545" s="2" t="str">
        <f t="shared" si="24"/>
        <v>con lạc đà</v>
      </c>
      <c r="E545" s="3" t="str">
        <f t="shared" si="2"/>
        <v>camel</v>
      </c>
    </row>
    <row r="546" ht="15.75" customHeight="1">
      <c r="A546" s="1" t="s">
        <v>1320</v>
      </c>
      <c r="B546" s="1" t="s">
        <v>1321</v>
      </c>
      <c r="C546" s="2" t="str">
        <f>IFERROR(__xludf.DUMMYFUNCTION("GOOGLETRANSLATE(E546, ""en"",""vi"")"),"máy ảnh")</f>
        <v>máy ảnh</v>
      </c>
      <c r="D546" s="2" t="str">
        <f t="shared" si="24"/>
        <v>máy ảnh</v>
      </c>
      <c r="E546" s="3" t="str">
        <f t="shared" si="2"/>
        <v>camera</v>
      </c>
    </row>
    <row r="547" ht="15.75" customHeight="1">
      <c r="A547" s="1" t="s">
        <v>1322</v>
      </c>
      <c r="B547" s="1" t="s">
        <v>1323</v>
      </c>
      <c r="C547" s="2" t="str">
        <f>IFERROR(__xludf.DUMMYFUNCTION("GOOGLETRANSLATE(E547, ""en"",""vi"")"),"máy ảnh có đèn flash")</f>
        <v>máy ảnh có đèn flash</v>
      </c>
      <c r="D547" s="2" t="str">
        <f t="shared" si="24"/>
        <v>máy ảnh có đèn flash</v>
      </c>
      <c r="E547" s="3" t="str">
        <f t="shared" si="2"/>
        <v>camera with flash</v>
      </c>
    </row>
    <row r="548" ht="15.75" customHeight="1">
      <c r="A548" s="1" t="s">
        <v>1324</v>
      </c>
      <c r="B548" s="1" t="s">
        <v>1325</v>
      </c>
      <c r="C548" s="2" t="str">
        <f>IFERROR(__xludf.DUMMYFUNCTION("GOOGLETRANSLATE(E548, ""en"",""vi"")"),"cắm trại")</f>
        <v>cắm trại</v>
      </c>
      <c r="D548" s="2" t="str">
        <f t="shared" si="24"/>
        <v>cắm trại</v>
      </c>
      <c r="E548" s="3" t="str">
        <f t="shared" si="2"/>
        <v>camping</v>
      </c>
    </row>
    <row r="549" ht="15.75" customHeight="1">
      <c r="A549" s="1" t="s">
        <v>1326</v>
      </c>
      <c r="B549" s="1" t="s">
        <v>1327</v>
      </c>
      <c r="C549" s="2" t="str">
        <f>IFERROR(__xludf.DUMMYFUNCTION("GOOGLETRANSLATE(E549, ""en"",""vi"")"),"nến")</f>
        <v>nến</v>
      </c>
      <c r="D549" s="2" t="str">
        <f t="shared" si="24"/>
        <v>nến</v>
      </c>
      <c r="E549" s="3" t="str">
        <f t="shared" si="2"/>
        <v>candle</v>
      </c>
    </row>
    <row r="550" ht="15.75" customHeight="1">
      <c r="A550" s="1" t="s">
        <v>1328</v>
      </c>
      <c r="B550" s="1" t="s">
        <v>1329</v>
      </c>
      <c r="C550" s="2" t="str">
        <f>IFERROR(__xludf.DUMMYFUNCTION("GOOGLETRANSLATE(E550, ""en"",""vi"")"),"kẹo")</f>
        <v>kẹo</v>
      </c>
      <c r="D550" s="2" t="str">
        <f t="shared" si="24"/>
        <v>kẹo</v>
      </c>
      <c r="E550" s="3" t="str">
        <f t="shared" si="2"/>
        <v>candy</v>
      </c>
    </row>
    <row r="551" ht="15.75" customHeight="1">
      <c r="A551" s="1" t="s">
        <v>1330</v>
      </c>
      <c r="B551" s="1" t="s">
        <v>1331</v>
      </c>
      <c r="C551" s="2" t="str">
        <f>IFERROR(__xludf.DUMMYFUNCTION("GOOGLETRANSLATE(E551, ""en"",""vi"")"),"đồ ăn đóng hộp")</f>
        <v>đồ ăn đóng hộp</v>
      </c>
      <c r="D551" s="2" t="str">
        <f t="shared" si="24"/>
        <v>đồ ăn đóng hộp</v>
      </c>
      <c r="E551" s="3" t="str">
        <f t="shared" si="2"/>
        <v>canned food</v>
      </c>
    </row>
    <row r="552" ht="15.75" customHeight="1">
      <c r="A552" s="1" t="s">
        <v>1332</v>
      </c>
      <c r="B552" s="1" t="s">
        <v>1333</v>
      </c>
      <c r="C552" s="2" t="str">
        <f>IFERROR(__xludf.DUMMYFUNCTION("GOOGLETRANSLATE(E552, ""en"",""vi"")"),"xuồng")</f>
        <v>xuồng</v>
      </c>
      <c r="D552" s="2" t="str">
        <f t="shared" si="24"/>
        <v>xuồng</v>
      </c>
      <c r="E552" s="3" t="str">
        <f t="shared" si="2"/>
        <v>canoe</v>
      </c>
    </row>
    <row r="553" ht="15.75" customHeight="1">
      <c r="A553" s="1" t="s">
        <v>1334</v>
      </c>
      <c r="B553" s="1" t="s">
        <v>1335</v>
      </c>
      <c r="C553" s="2" t="s">
        <v>1336</v>
      </c>
      <c r="D553" s="2" t="str">
        <f t="shared" si="24"/>
        <v>hộp thẻ tập tin</v>
      </c>
      <c r="E553" s="3" t="str">
        <f t="shared" si="2"/>
        <v>card file box</v>
      </c>
    </row>
    <row r="554" ht="15.75" customHeight="1">
      <c r="A554" s="1" t="s">
        <v>1337</v>
      </c>
      <c r="B554" s="1" t="s">
        <v>1338</v>
      </c>
      <c r="C554" s="2" t="s">
        <v>1339</v>
      </c>
      <c r="D554" s="2" t="str">
        <f t="shared" si="24"/>
        <v>chỉ mục thẻ</v>
      </c>
      <c r="E554" s="3" t="str">
        <f t="shared" si="2"/>
        <v>card index</v>
      </c>
    </row>
    <row r="555" ht="15.75" customHeight="1">
      <c r="A555" s="1" t="s">
        <v>1340</v>
      </c>
      <c r="B555" s="1" t="s">
        <v>1341</v>
      </c>
      <c r="C555" s="2" t="s">
        <v>1342</v>
      </c>
      <c r="D555" s="2" t="str">
        <f t="shared" si="24"/>
        <v>chia chỉ mục thẻ</v>
      </c>
      <c r="E555" s="3" t="str">
        <f t="shared" si="2"/>
        <v>card index dividers</v>
      </c>
    </row>
    <row r="556" ht="15.75" customHeight="1">
      <c r="A556" s="1" t="s">
        <v>1343</v>
      </c>
      <c r="B556" s="1" t="s">
        <v>1344</v>
      </c>
      <c r="C556" s="2" t="str">
        <f>IFERROR(__xludf.DUMMYFUNCTION("GOOGLETRANSLATE(E556, ""en"",""vi"")"),"ngựa gỗ")</f>
        <v>ngựa gỗ</v>
      </c>
      <c r="D556" s="2" t="str">
        <f t="shared" si="24"/>
        <v>ngựa gỗ</v>
      </c>
      <c r="E556" s="3" t="str">
        <f t="shared" si="2"/>
        <v>carousel horse</v>
      </c>
    </row>
    <row r="557" ht="15.75" customHeight="1">
      <c r="A557" s="1" t="s">
        <v>1345</v>
      </c>
      <c r="B557" s="1" t="s">
        <v>1346</v>
      </c>
      <c r="C557" s="2" t="s">
        <v>1347</v>
      </c>
      <c r="D557" s="2" t="str">
        <f t="shared" si="24"/>
        <v>lồng đèn cá chép</v>
      </c>
      <c r="E557" s="3" t="str">
        <f t="shared" si="2"/>
        <v>carp streamer</v>
      </c>
    </row>
    <row r="558" ht="15.75" customHeight="1">
      <c r="A558" s="1" t="s">
        <v>1348</v>
      </c>
      <c r="B558" s="1" t="s">
        <v>1349</v>
      </c>
      <c r="C558" s="2" t="str">
        <f>IFERROR(__xludf.DUMMYFUNCTION("GOOGLETRANSLATE(E558, ""en"",""vi"")"),"cưa mộc")</f>
        <v>cưa mộc</v>
      </c>
      <c r="D558" s="2" t="str">
        <f t="shared" si="24"/>
        <v>cưa mộc</v>
      </c>
      <c r="E558" s="3" t="str">
        <f t="shared" si="2"/>
        <v>carpentry saw</v>
      </c>
    </row>
    <row r="559" ht="15.75" customHeight="1">
      <c r="A559" s="1" t="s">
        <v>1350</v>
      </c>
      <c r="B559" s="1" t="s">
        <v>1351</v>
      </c>
      <c r="C559" s="2" t="str">
        <f>IFERROR(__xludf.DUMMYFUNCTION("GOOGLETRANSLATE(E559, ""en"",""vi"")"),"cà rốt")</f>
        <v>cà rốt</v>
      </c>
      <c r="D559" s="2" t="str">
        <f t="shared" si="24"/>
        <v>cà rốt</v>
      </c>
      <c r="E559" s="3" t="str">
        <f t="shared" si="2"/>
        <v>carrot</v>
      </c>
    </row>
    <row r="560" ht="15.75" customHeight="1">
      <c r="A560" s="1" t="s">
        <v>1352</v>
      </c>
      <c r="B560" s="1" t="s">
        <v>1353</v>
      </c>
      <c r="C560" s="2" t="str">
        <f>IFERROR(__xludf.DUMMYFUNCTION("GOOGLETRANSLATE(E560, ""en"",""vi"")"),"lâu đài ")</f>
        <v>lâu đài </v>
      </c>
      <c r="D560" s="2" t="str">
        <f t="shared" si="24"/>
        <v>lâu đài </v>
      </c>
      <c r="E560" s="3" t="str">
        <f t="shared" si="2"/>
        <v>castle</v>
      </c>
    </row>
    <row r="561" ht="15.75" customHeight="1">
      <c r="A561" s="1" t="s">
        <v>1354</v>
      </c>
      <c r="B561" s="1" t="s">
        <v>1355</v>
      </c>
      <c r="C561" s="2" t="str">
        <f>IFERROR(__xludf.DUMMYFUNCTION("GOOGLETRANSLATE(E561, ""en"",""vi"")"),"con mèo")</f>
        <v>con mèo</v>
      </c>
      <c r="D561" s="2" t="str">
        <f t="shared" si="24"/>
        <v>con mèo</v>
      </c>
      <c r="E561" s="3" t="str">
        <f t="shared" si="2"/>
        <v>cat</v>
      </c>
    </row>
    <row r="562" ht="15.75" customHeight="1">
      <c r="A562" s="1" t="s">
        <v>1356</v>
      </c>
      <c r="B562" s="1" t="s">
        <v>1357</v>
      </c>
      <c r="C562" s="2" t="str">
        <f>IFERROR(__xludf.DUMMYFUNCTION("GOOGLETRANSLATE(E562, ""en"",""vi"")"),"mặt mèo")</f>
        <v>mặt mèo</v>
      </c>
      <c r="D562" s="2" t="str">
        <f t="shared" si="24"/>
        <v>mặt mèo</v>
      </c>
      <c r="E562" s="3" t="str">
        <f t="shared" si="2"/>
        <v>cat face</v>
      </c>
    </row>
    <row r="563" ht="15.75" customHeight="1">
      <c r="A563" s="1" t="s">
        <v>1358</v>
      </c>
      <c r="B563" s="1" t="s">
        <v>1359</v>
      </c>
      <c r="C563" s="2" t="str">
        <f>IFERROR(__xludf.DUMMYFUNCTION("GOOGLETRANSLATE(E563, ""en"",""vi"")"),"con mèo với những giọt nước mắt vui mừng")</f>
        <v>con mèo với những giọt nước mắt vui mừng</v>
      </c>
      <c r="D563" s="2" t="str">
        <f t="shared" si="24"/>
        <v>con mèo với những giọt nước mắt vui mừng</v>
      </c>
      <c r="E563" s="3" t="str">
        <f t="shared" si="2"/>
        <v>cat with tears of joy</v>
      </c>
    </row>
    <row r="564" ht="15.75" customHeight="1">
      <c r="A564" s="1" t="s">
        <v>1360</v>
      </c>
      <c r="B564" s="1" t="s">
        <v>1361</v>
      </c>
      <c r="C564" s="2" t="str">
        <f>IFERROR(__xludf.DUMMYFUNCTION("GOOGLETRANSLATE(E564, ""en"",""vi"")"),"con mèo với nụ cười gượng gạo")</f>
        <v>con mèo với nụ cười gượng gạo</v>
      </c>
      <c r="D564" s="2" t="str">
        <f t="shared" si="24"/>
        <v>con mèo với nụ cười gượng gạo</v>
      </c>
      <c r="E564" s="3" t="str">
        <f t="shared" si="2"/>
        <v>cat with wry smile</v>
      </c>
    </row>
    <row r="565" ht="15.75" customHeight="1">
      <c r="A565" s="1" t="s">
        <v>1362</v>
      </c>
      <c r="B565" s="1" t="s">
        <v>1363</v>
      </c>
      <c r="C565" s="2" t="s">
        <v>1364</v>
      </c>
      <c r="D565" s="2" t="str">
        <f t="shared" si="24"/>
        <v>các dây xích</v>
      </c>
      <c r="E565" s="3" t="str">
        <f t="shared" si="2"/>
        <v>chains</v>
      </c>
    </row>
    <row r="566" ht="15.75" customHeight="1">
      <c r="A566" s="1" t="s">
        <v>1365</v>
      </c>
      <c r="B566" s="1" t="s">
        <v>1366</v>
      </c>
      <c r="C566" s="2" t="str">
        <f>IFERROR(__xludf.DUMMYFUNCTION("GOOGLETRANSLATE(E566, ""en"",""vi"")"),"cái ghế")</f>
        <v>cái ghế</v>
      </c>
      <c r="D566" s="2" t="str">
        <f t="shared" si="24"/>
        <v>cái ghế</v>
      </c>
      <c r="E566" s="3" t="str">
        <f t="shared" si="2"/>
        <v>chair</v>
      </c>
    </row>
    <row r="567" ht="15.75" customHeight="1">
      <c r="A567" s="1" t="s">
        <v>1367</v>
      </c>
      <c r="B567" s="1" t="s">
        <v>1368</v>
      </c>
      <c r="C567" s="2" t="str">
        <f>IFERROR(__xludf.DUMMYFUNCTION("GOOGLETRANSLATE(E567, ""en"",""vi"")"),"biểu đồ giảm dần")</f>
        <v>biểu đồ giảm dần</v>
      </c>
      <c r="D567" s="2" t="str">
        <f t="shared" si="24"/>
        <v>biểu đồ giảm dần</v>
      </c>
      <c r="E567" s="3" t="str">
        <f t="shared" si="2"/>
        <v>chart decreasing</v>
      </c>
    </row>
    <row r="568" ht="15.75" customHeight="1">
      <c r="A568" s="1" t="s">
        <v>1369</v>
      </c>
      <c r="B568" s="1" t="s">
        <v>1370</v>
      </c>
      <c r="C568" s="2" t="str">
        <f>IFERROR(__xludf.DUMMYFUNCTION("GOOGLETRANSLATE(E568, ""en"",""vi"")"),"biểu đồ tăng dần")</f>
        <v>biểu đồ tăng dần</v>
      </c>
      <c r="D568" s="2" t="str">
        <f t="shared" si="24"/>
        <v>biểu đồ tăng dần</v>
      </c>
      <c r="E568" s="3" t="str">
        <f t="shared" si="2"/>
        <v>chart increasing</v>
      </c>
    </row>
    <row r="569" ht="15.75" customHeight="1">
      <c r="A569" s="1" t="s">
        <v>1371</v>
      </c>
      <c r="B569" s="1" t="s">
        <v>1372</v>
      </c>
      <c r="C569" s="2" t="str">
        <f>IFERROR(__xludf.DUMMYFUNCTION("GOOGLETRANSLATE(E569, ""en"",""vi"")"),"biểu đồ tăng với yên")</f>
        <v>biểu đồ tăng với yên</v>
      </c>
      <c r="D569" s="2" t="str">
        <f t="shared" si="24"/>
        <v>biểu đồ tăng với yên</v>
      </c>
      <c r="E569" s="3" t="str">
        <f t="shared" si="2"/>
        <v>chart increasing with yen</v>
      </c>
    </row>
    <row r="570" ht="15.75" customHeight="1">
      <c r="A570" s="1" t="s">
        <v>1373</v>
      </c>
      <c r="B570" s="1" t="s">
        <v>1374</v>
      </c>
      <c r="C570" s="2" t="s">
        <v>1375</v>
      </c>
      <c r="D570" s="2" t="str">
        <f t="shared" si="24"/>
        <v>hộp kiểm tra với dấu tích</v>
      </c>
      <c r="E570" s="3" t="str">
        <f t="shared" si="2"/>
        <v>check box with check</v>
      </c>
    </row>
    <row r="571" ht="15.75" customHeight="1">
      <c r="A571" s="1" t="s">
        <v>1376</v>
      </c>
      <c r="B571" s="1" t="s">
        <v>1377</v>
      </c>
      <c r="C571" s="2" t="s">
        <v>1378</v>
      </c>
      <c r="D571" s="2" t="str">
        <f t="shared" si="24"/>
        <v>dấu tích</v>
      </c>
      <c r="E571" s="3" t="str">
        <f t="shared" si="2"/>
        <v>check mark</v>
      </c>
    </row>
    <row r="572" ht="15.75" customHeight="1">
      <c r="A572" s="1" t="s">
        <v>1379</v>
      </c>
      <c r="B572" s="1" t="s">
        <v>1380</v>
      </c>
      <c r="C572" s="2" t="s">
        <v>1381</v>
      </c>
      <c r="D572" s="2" t="str">
        <f t="shared" si="24"/>
        <v>nút dấu tích</v>
      </c>
      <c r="E572" s="3" t="str">
        <f t="shared" si="2"/>
        <v>check mark button</v>
      </c>
    </row>
    <row r="573" ht="15.75" customHeight="1">
      <c r="A573" s="1" t="s">
        <v>1382</v>
      </c>
      <c r="B573" s="1" t="s">
        <v>1383</v>
      </c>
      <c r="C573" s="2" t="str">
        <f>IFERROR(__xludf.DUMMYFUNCTION("GOOGLETRANSLATE(E573, ""en"",""vi"")"),"miếng phô mai")</f>
        <v>miếng phô mai</v>
      </c>
      <c r="D573" s="2" t="str">
        <f t="shared" si="24"/>
        <v>miếng phô mai</v>
      </c>
      <c r="E573" s="3" t="str">
        <f t="shared" si="2"/>
        <v>cheese wedge</v>
      </c>
    </row>
    <row r="574" ht="15.75" customHeight="1">
      <c r="A574" s="1" t="s">
        <v>1384</v>
      </c>
      <c r="B574" s="1" t="s">
        <v>1385</v>
      </c>
      <c r="C574" s="2" t="str">
        <f>IFERROR(__xludf.DUMMYFUNCTION("GOOGLETRANSLATE(E574, ""en"",""vi"")"),"cờ ca rô")</f>
        <v>cờ ca rô</v>
      </c>
      <c r="D574" s="2" t="str">
        <f t="shared" si="24"/>
        <v>cờ ca rô</v>
      </c>
      <c r="E574" s="3" t="str">
        <f t="shared" si="2"/>
        <v>chequered flag</v>
      </c>
    </row>
    <row r="575" ht="15.75" customHeight="1">
      <c r="A575" s="1" t="s">
        <v>1386</v>
      </c>
      <c r="B575" s="1" t="s">
        <v>1387</v>
      </c>
      <c r="C575" s="2" t="str">
        <f>IFERROR(__xludf.DUMMYFUNCTION("GOOGLETRANSLATE(E575, ""en"",""vi"")"),"quả anh đào")</f>
        <v>quả anh đào</v>
      </c>
      <c r="D575" s="2" t="str">
        <f t="shared" si="24"/>
        <v>quả anh đào</v>
      </c>
      <c r="E575" s="3" t="str">
        <f t="shared" si="2"/>
        <v>cherries</v>
      </c>
    </row>
    <row r="576" ht="15.75" customHeight="1">
      <c r="A576" s="1" t="s">
        <v>1388</v>
      </c>
      <c r="B576" s="1" t="s">
        <v>1389</v>
      </c>
      <c r="C576" s="2" t="str">
        <f>IFERROR(__xludf.DUMMYFUNCTION("GOOGLETRANSLATE(E576, ""en"",""vi"")"),"hoa anh đào")</f>
        <v>hoa anh đào</v>
      </c>
      <c r="D576" s="2" t="str">
        <f t="shared" si="24"/>
        <v>hoa anh đào</v>
      </c>
      <c r="E576" s="3" t="str">
        <f t="shared" si="2"/>
        <v>cherry blossom</v>
      </c>
    </row>
    <row r="577" ht="15.75" customHeight="1">
      <c r="A577" s="1" t="s">
        <v>1390</v>
      </c>
      <c r="B577" s="1" t="s">
        <v>1391</v>
      </c>
      <c r="C577" s="2" t="s">
        <v>1392</v>
      </c>
      <c r="D577" s="2" t="str">
        <f t="shared" si="24"/>
        <v>con tốt cờ vua</v>
      </c>
      <c r="E577" s="3" t="str">
        <f t="shared" si="2"/>
        <v>chess pawn</v>
      </c>
    </row>
    <row r="578" ht="15.75" customHeight="1">
      <c r="A578" s="1" t="s">
        <v>1393</v>
      </c>
      <c r="B578" s="1" t="s">
        <v>1394</v>
      </c>
      <c r="C578" s="2" t="str">
        <f>IFERROR(__xludf.DUMMYFUNCTION("GOOGLETRANSLATE(E578, ""en"",""vi"")"),"hạt dẻ")</f>
        <v>hạt dẻ</v>
      </c>
      <c r="D578" s="2" t="str">
        <f t="shared" si="24"/>
        <v>hạt dẻ</v>
      </c>
      <c r="E578" s="3" t="str">
        <f t="shared" si="2"/>
        <v>chestnut</v>
      </c>
    </row>
    <row r="579" ht="15.75" customHeight="1">
      <c r="A579" s="1" t="s">
        <v>1395</v>
      </c>
      <c r="B579" s="1" t="s">
        <v>1396</v>
      </c>
      <c r="C579" s="2" t="str">
        <f>IFERROR(__xludf.DUMMYFUNCTION("GOOGLETRANSLATE(E579, ""en"",""vi"")"),"thịt gà")</f>
        <v>thịt gà</v>
      </c>
      <c r="D579" s="2" t="str">
        <f t="shared" si="24"/>
        <v>thịt gà</v>
      </c>
      <c r="E579" s="3" t="str">
        <f t="shared" si="2"/>
        <v>chicken</v>
      </c>
    </row>
    <row r="580" ht="15.75" customHeight="1">
      <c r="A580" s="1" t="s">
        <v>1397</v>
      </c>
      <c r="B580" s="1" t="s">
        <v>1398</v>
      </c>
      <c r="C580" s="2" t="str">
        <f>IFERROR(__xludf.DUMMYFUNCTION("GOOGLETRANSLATE(E580, ""en"",""vi"")"),"đứa trẻ")</f>
        <v>đứa trẻ</v>
      </c>
      <c r="D580" s="2" t="str">
        <f t="shared" si="24"/>
        <v>đứa trẻ</v>
      </c>
      <c r="E580" s="3" t="str">
        <f t="shared" si="2"/>
        <v>child</v>
      </c>
    </row>
    <row r="581" ht="15.75" customHeight="1">
      <c r="A581" s="1" t="s">
        <v>1399</v>
      </c>
      <c r="B581" s="1" t="s">
        <v>1400</v>
      </c>
      <c r="C581" s="2" t="s">
        <v>1401</v>
      </c>
      <c r="D581" s="2" t="str">
        <f t="shared" si="24"/>
        <v>đứa trẻ màu da sẫm</v>
      </c>
      <c r="E581" s="3" t="str">
        <f t="shared" si="2"/>
        <v>child dark skin tone</v>
      </c>
    </row>
    <row r="582" ht="15.75" customHeight="1">
      <c r="A582" s="1" t="s">
        <v>1402</v>
      </c>
      <c r="B582" s="1" t="s">
        <v>1403</v>
      </c>
      <c r="C582" s="2" t="s">
        <v>1404</v>
      </c>
      <c r="D582" s="2" t="str">
        <f t="shared" si="24"/>
        <v>đứa trẻ màu da sáng</v>
      </c>
      <c r="E582" s="3" t="str">
        <f t="shared" si="2"/>
        <v>child light skin tone</v>
      </c>
    </row>
    <row r="583" ht="15.75" customHeight="1">
      <c r="A583" s="1" t="s">
        <v>1405</v>
      </c>
      <c r="B583" s="1" t="s">
        <v>1406</v>
      </c>
      <c r="C583" s="2" t="s">
        <v>1407</v>
      </c>
      <c r="D583" s="2" t="str">
        <f t="shared" si="24"/>
        <v>đứa trẻ màu da sẫm vừa</v>
      </c>
      <c r="E583" s="3" t="str">
        <f t="shared" si="2"/>
        <v>child medium-dark skin tone</v>
      </c>
    </row>
    <row r="584" ht="15.75" customHeight="1">
      <c r="A584" s="1" t="s">
        <v>1408</v>
      </c>
      <c r="B584" s="1" t="s">
        <v>1409</v>
      </c>
      <c r="C584" s="2" t="s">
        <v>1410</v>
      </c>
      <c r="D584" s="2" t="str">
        <f t="shared" si="24"/>
        <v>đứa trẻ màu da sáng vừa</v>
      </c>
      <c r="E584" s="3" t="str">
        <f t="shared" si="2"/>
        <v>child medium-light skin tone</v>
      </c>
    </row>
    <row r="585" ht="15.75" customHeight="1">
      <c r="A585" s="1" t="s">
        <v>1411</v>
      </c>
      <c r="B585" s="1" t="s">
        <v>1412</v>
      </c>
      <c r="C585" s="2" t="s">
        <v>1413</v>
      </c>
      <c r="D585" s="2" t="str">
        <f t="shared" si="24"/>
        <v>đứa trẻ màu da vừa</v>
      </c>
      <c r="E585" s="3" t="str">
        <f t="shared" si="2"/>
        <v>child medium skin tone</v>
      </c>
    </row>
    <row r="586" ht="15.75" customHeight="1">
      <c r="A586" s="1" t="s">
        <v>1414</v>
      </c>
      <c r="B586" s="1" t="s">
        <v>1415</v>
      </c>
      <c r="C586" s="2" t="s">
        <v>1416</v>
      </c>
      <c r="D586" s="2" t="str">
        <f t="shared" si="24"/>
        <v>cho trẻ em qua</v>
      </c>
      <c r="E586" s="3" t="str">
        <f t="shared" si="2"/>
        <v>children crossing</v>
      </c>
    </row>
    <row r="587" ht="15.75" customHeight="1">
      <c r="A587" s="1" t="s">
        <v>1417</v>
      </c>
      <c r="B587" s="1" t="s">
        <v>1418</v>
      </c>
      <c r="C587" s="2" t="str">
        <f>IFERROR(__xludf.DUMMYFUNCTION("GOOGLETRANSLATE(E587, ""en"",""vi"")"),"sóc chuột")</f>
        <v>sóc chuột</v>
      </c>
      <c r="D587" s="2" t="str">
        <f t="shared" si="24"/>
        <v>sóc chuột</v>
      </c>
      <c r="E587" s="3" t="str">
        <f t="shared" si="2"/>
        <v>chipmunk</v>
      </c>
    </row>
    <row r="588" ht="15.75" customHeight="1">
      <c r="A588" s="1" t="s">
        <v>1419</v>
      </c>
      <c r="B588" s="1" t="s">
        <v>1420</v>
      </c>
      <c r="C588" s="2" t="str">
        <f>IFERROR(__xludf.DUMMYFUNCTION("GOOGLETRANSLATE(E588, ""en"",""vi"")"),"thanh sô cô la")</f>
        <v>thanh sô cô la</v>
      </c>
      <c r="D588" s="2" t="str">
        <f t="shared" si="24"/>
        <v>thanh sô cô la</v>
      </c>
      <c r="E588" s="3" t="str">
        <f t="shared" si="2"/>
        <v>chocolate bar</v>
      </c>
    </row>
    <row r="589" ht="15.75" customHeight="1">
      <c r="A589" s="1" t="s">
        <v>1421</v>
      </c>
      <c r="B589" s="1" t="s">
        <v>1422</v>
      </c>
      <c r="C589" s="2" t="str">
        <f>IFERROR(__xludf.DUMMYFUNCTION("GOOGLETRANSLATE(E589, ""en"",""vi"")"),"đũa")</f>
        <v>đũa</v>
      </c>
      <c r="D589" s="2" t="str">
        <f t="shared" si="24"/>
        <v>đũa</v>
      </c>
      <c r="E589" s="3" t="str">
        <f t="shared" si="2"/>
        <v>chopsticks</v>
      </c>
    </row>
    <row r="590" ht="15.75" customHeight="1">
      <c r="A590" s="1" t="s">
        <v>1423</v>
      </c>
      <c r="B590" s="1" t="s">
        <v>1424</v>
      </c>
      <c r="C590" s="2" t="str">
        <f>IFERROR(__xludf.DUMMYFUNCTION("GOOGLETRANSLATE(E590, ""en"",""vi"")"),"nhà thờ")</f>
        <v>nhà thờ</v>
      </c>
      <c r="D590" s="2" t="str">
        <f t="shared" si="24"/>
        <v>nhà thờ</v>
      </c>
      <c r="E590" s="3" t="str">
        <f t="shared" si="2"/>
        <v>church</v>
      </c>
    </row>
    <row r="591" ht="15.75" customHeight="1">
      <c r="A591" s="1" t="s">
        <v>1425</v>
      </c>
      <c r="B591" s="1" t="s">
        <v>1426</v>
      </c>
      <c r="C591" s="2" t="str">
        <f>IFERROR(__xludf.DUMMYFUNCTION("GOOGLETRANSLATE(E591, ""en"",""vi"")"),"thuốc lá")</f>
        <v>thuốc lá</v>
      </c>
      <c r="D591" s="2" t="str">
        <f t="shared" si="24"/>
        <v>thuốc lá</v>
      </c>
      <c r="E591" s="3" t="str">
        <f t="shared" si="2"/>
        <v>cigarette</v>
      </c>
    </row>
    <row r="592" ht="15.75" customHeight="1">
      <c r="A592" s="1" t="s">
        <v>1427</v>
      </c>
      <c r="B592" s="1" t="s">
        <v>1428</v>
      </c>
      <c r="C592" s="2" t="str">
        <f>IFERROR(__xludf.DUMMYFUNCTION("GOOGLETRANSLATE(E592, ""en"",""vi"")"),"rạp chiếu phim")</f>
        <v>rạp chiếu phim</v>
      </c>
      <c r="D592" s="2" t="str">
        <f t="shared" si="24"/>
        <v>rạp chiếu phim</v>
      </c>
      <c r="E592" s="3" t="str">
        <f t="shared" si="2"/>
        <v>cinema</v>
      </c>
    </row>
    <row r="593" ht="15.75" customHeight="1">
      <c r="A593" s="1" t="s">
        <v>1429</v>
      </c>
      <c r="B593" s="1" t="s">
        <v>1430</v>
      </c>
      <c r="C593" s="2" t="s">
        <v>1431</v>
      </c>
      <c r="D593" s="2" t="str">
        <f t="shared" si="24"/>
        <v>m được khoanh tròn</v>
      </c>
      <c r="E593" s="3" t="str">
        <f t="shared" si="2"/>
        <v>circled M</v>
      </c>
    </row>
    <row r="594" ht="15.75" customHeight="1">
      <c r="A594" s="1" t="s">
        <v>1432</v>
      </c>
      <c r="B594" s="1" t="s">
        <v>1433</v>
      </c>
      <c r="C594" s="2" t="s">
        <v>1434</v>
      </c>
      <c r="D594" s="2" t="str">
        <f t="shared" si="24"/>
        <v>lều xiếc</v>
      </c>
      <c r="E594" s="3" t="str">
        <f t="shared" si="2"/>
        <v>circus tent</v>
      </c>
    </row>
    <row r="595" ht="15.75" customHeight="1">
      <c r="A595" s="1" t="s">
        <v>1435</v>
      </c>
      <c r="B595" s="1" t="s">
        <v>1436</v>
      </c>
      <c r="C595" s="2" t="str">
        <f>IFERROR(__xludf.DUMMYFUNCTION("GOOGLETRANSLATE(E595, ""en"",""vi"")"),"cảnh quan thành phố")</f>
        <v>cảnh quan thành phố</v>
      </c>
      <c r="D595" s="2" t="str">
        <f t="shared" si="24"/>
        <v>cảnh quan thành phố</v>
      </c>
      <c r="E595" s="3" t="str">
        <f t="shared" si="2"/>
        <v>cityscape</v>
      </c>
    </row>
    <row r="596" ht="15.75" customHeight="1">
      <c r="A596" s="1" t="s">
        <v>1437</v>
      </c>
      <c r="B596" s="1" t="s">
        <v>1438</v>
      </c>
      <c r="C596" s="2" t="str">
        <f>IFERROR(__xludf.DUMMYFUNCTION("GOOGLETRANSLATE(E596, ""en"",""vi"")"),"cảnh quan thành phố lúc chạng vạng")</f>
        <v>cảnh quan thành phố lúc chạng vạng</v>
      </c>
      <c r="D596" s="2" t="str">
        <f t="shared" si="24"/>
        <v>cảnh quan thành phố lúc chạng vạng</v>
      </c>
      <c r="E596" s="3" t="str">
        <f t="shared" si="2"/>
        <v>cityscape at dusk</v>
      </c>
    </row>
    <row r="597" ht="15.75" customHeight="1">
      <c r="A597" s="1" t="s">
        <v>1439</v>
      </c>
      <c r="B597" s="1" t="s">
        <v>1440</v>
      </c>
      <c r="C597" s="2" t="str">
        <f>IFERROR(__xludf.DUMMYFUNCTION("GOOGLETRANSLATE(E597, ""en"",""vi"")"),"kẹp")</f>
        <v>kẹp</v>
      </c>
      <c r="D597" s="2" t="str">
        <f t="shared" si="24"/>
        <v>kẹp</v>
      </c>
      <c r="E597" s="3" t="str">
        <f t="shared" si="2"/>
        <v>clamp</v>
      </c>
    </row>
    <row r="598" ht="15.75" customHeight="1">
      <c r="A598" s="1" t="s">
        <v>1441</v>
      </c>
      <c r="B598" s="1" t="s">
        <v>1442</v>
      </c>
      <c r="C598" s="2" t="str">
        <f>IFERROR(__xludf.DUMMYFUNCTION("GOOGLETRANSLATE(E598, ""en"",""vi"")"),"bảng vỗ tay")</f>
        <v>bảng vỗ tay</v>
      </c>
      <c r="D598" s="2" t="str">
        <f t="shared" si="24"/>
        <v>bảng vỗ tay</v>
      </c>
      <c r="E598" s="3" t="str">
        <f t="shared" si="2"/>
        <v>clapper board</v>
      </c>
    </row>
    <row r="599" ht="15.75" customHeight="1">
      <c r="A599" s="1" t="s">
        <v>1443</v>
      </c>
      <c r="B599" s="1" t="s">
        <v>1444</v>
      </c>
      <c r="C599" s="2" t="str">
        <f>IFERROR(__xludf.DUMMYFUNCTION("GOOGLETRANSLATE(E599, ""en"",""vi"")"),"vỗ tay")</f>
        <v>vỗ tay</v>
      </c>
      <c r="D599" s="2" t="str">
        <f t="shared" si="24"/>
        <v>vỗ tay</v>
      </c>
      <c r="E599" s="3" t="str">
        <f t="shared" si="2"/>
        <v>clapping hands</v>
      </c>
    </row>
    <row r="600" ht="15.75" customHeight="1">
      <c r="A600" s="1" t="s">
        <v>1445</v>
      </c>
      <c r="B600" s="1" t="s">
        <v>1446</v>
      </c>
      <c r="C600" s="2" t="s">
        <v>1447</v>
      </c>
      <c r="D600" s="2" t="str">
        <f t="shared" si="24"/>
        <v>vỗ tay màu da sẫm</v>
      </c>
      <c r="E600" s="3" t="str">
        <f t="shared" si="2"/>
        <v>clapping hands dark skin tone</v>
      </c>
    </row>
    <row r="601" ht="15.75" customHeight="1">
      <c r="A601" s="1" t="s">
        <v>1448</v>
      </c>
      <c r="B601" s="1" t="s">
        <v>1449</v>
      </c>
      <c r="C601" s="2" t="s">
        <v>1450</v>
      </c>
      <c r="D601" s="2" t="str">
        <f t="shared" si="24"/>
        <v>vỗ tay màu da sáng</v>
      </c>
      <c r="E601" s="3" t="str">
        <f t="shared" si="2"/>
        <v>clapping hands light skin tone</v>
      </c>
    </row>
    <row r="602" ht="15.75" customHeight="1">
      <c r="A602" s="1" t="s">
        <v>1451</v>
      </c>
      <c r="B602" s="1" t="s">
        <v>1452</v>
      </c>
      <c r="C602" s="2" t="s">
        <v>1453</v>
      </c>
      <c r="D602" s="2" t="str">
        <f t="shared" si="24"/>
        <v>vỗ tay màu da sẫm vừa</v>
      </c>
      <c r="E602" s="3" t="str">
        <f t="shared" si="2"/>
        <v>clapping hands medium-dark skin tone</v>
      </c>
    </row>
    <row r="603" ht="15.75" customHeight="1">
      <c r="A603" s="1" t="s">
        <v>1454</v>
      </c>
      <c r="B603" s="1" t="s">
        <v>1455</v>
      </c>
      <c r="C603" s="2" t="s">
        <v>1456</v>
      </c>
      <c r="D603" s="2" t="str">
        <f t="shared" si="24"/>
        <v>vỗ tay màu da sáng vừa</v>
      </c>
      <c r="E603" s="3" t="str">
        <f t="shared" si="2"/>
        <v>clapping hands medium-light skin tone</v>
      </c>
    </row>
    <row r="604" ht="15.75" customHeight="1">
      <c r="A604" s="1" t="s">
        <v>1457</v>
      </c>
      <c r="B604" s="1" t="s">
        <v>1458</v>
      </c>
      <c r="C604" s="2" t="s">
        <v>1459</v>
      </c>
      <c r="D604" s="2" t="str">
        <f t="shared" si="24"/>
        <v>vỗ tay màu da vừa</v>
      </c>
      <c r="E604" s="3" t="str">
        <f t="shared" si="2"/>
        <v>clapping hands medium skin tone</v>
      </c>
    </row>
    <row r="605" ht="15.75" customHeight="1">
      <c r="A605" s="1" t="s">
        <v>1460</v>
      </c>
      <c r="B605" s="1" t="s">
        <v>1461</v>
      </c>
      <c r="C605" s="2" t="str">
        <f>IFERROR(__xludf.DUMMYFUNCTION("GOOGLETRANSLATE(E605, ""en"",""vi"")"),"tòa nhà cổ điển")</f>
        <v>tòa nhà cổ điển</v>
      </c>
      <c r="D605" s="2" t="str">
        <f t="shared" si="24"/>
        <v>tòa nhà cổ điển</v>
      </c>
      <c r="E605" s="3" t="str">
        <f t="shared" si="2"/>
        <v>classical building</v>
      </c>
    </row>
    <row r="606" ht="15.75" customHeight="1">
      <c r="A606" s="1" t="s">
        <v>1462</v>
      </c>
      <c r="B606" s="1" t="s">
        <v>1463</v>
      </c>
      <c r="C606" s="2" t="s">
        <v>1464</v>
      </c>
      <c r="D606" s="2" t="str">
        <f t="shared" si="24"/>
        <v>các cốc bia cụng</v>
      </c>
      <c r="E606" s="3" t="str">
        <f t="shared" si="2"/>
        <v>clinking beer mugs</v>
      </c>
    </row>
    <row r="607" ht="15.75" customHeight="1">
      <c r="A607" s="1" t="s">
        <v>1465</v>
      </c>
      <c r="B607" s="1" t="s">
        <v>1466</v>
      </c>
      <c r="C607" s="2" t="s">
        <v>1467</v>
      </c>
      <c r="D607" s="2" t="str">
        <f t="shared" si="24"/>
        <v>các ly cụng</v>
      </c>
      <c r="E607" s="3" t="str">
        <f t="shared" si="2"/>
        <v>clinking glasses</v>
      </c>
    </row>
    <row r="608" ht="15.75" customHeight="1">
      <c r="A608" s="1" t="s">
        <v>1468</v>
      </c>
      <c r="B608" s="1" t="s">
        <v>1469</v>
      </c>
      <c r="C608" s="2" t="s">
        <v>1470</v>
      </c>
      <c r="D608" s="2" t="str">
        <f t="shared" si="24"/>
        <v>bìa kẹp hồ sơ</v>
      </c>
      <c r="E608" s="3" t="str">
        <f t="shared" si="2"/>
        <v>clipboard</v>
      </c>
    </row>
    <row r="609" ht="15.75" customHeight="1">
      <c r="A609" s="1" t="s">
        <v>1471</v>
      </c>
      <c r="B609" s="1" t="s">
        <v>1472</v>
      </c>
      <c r="C609" s="2" t="str">
        <f>IFERROR(__xludf.DUMMYFUNCTION("GOOGLETRANSLATE(E609, ""en"",""vi"")"),"mũi tên dọc theo chiều kim đồng hồ")</f>
        <v>mũi tên dọc theo chiều kim đồng hồ</v>
      </c>
      <c r="D609" s="2" t="str">
        <f t="shared" si="24"/>
        <v>mũi tên dọc theo chiều kim đồng hồ</v>
      </c>
      <c r="E609" s="3" t="str">
        <f t="shared" si="2"/>
        <v>clockwise vertical arrows</v>
      </c>
    </row>
    <row r="610" ht="15.75" customHeight="1">
      <c r="A610" s="1" t="s">
        <v>1473</v>
      </c>
      <c r="B610" s="1" t="s">
        <v>1474</v>
      </c>
      <c r="C610" s="2" t="s">
        <v>1475</v>
      </c>
      <c r="D610" s="2" t="str">
        <f t="shared" si="24"/>
        <v>cuốn sách gấp lại</v>
      </c>
      <c r="E610" s="3" t="str">
        <f t="shared" si="2"/>
        <v>closed book</v>
      </c>
    </row>
    <row r="611" ht="15.75" customHeight="1">
      <c r="A611" s="1" t="s">
        <v>1476</v>
      </c>
      <c r="B611" s="1" t="s">
        <v>1477</v>
      </c>
      <c r="C611" s="2" t="str">
        <f>IFERROR(__xludf.DUMMYFUNCTION("GOOGLETRANSLATE(E611, ""en"",""vi"")"),"hộp thư đóng với lá cờ hạ xuống")</f>
        <v>hộp thư đóng với lá cờ hạ xuống</v>
      </c>
      <c r="D611" s="2" t="str">
        <f t="shared" si="24"/>
        <v>hộp thư đóng với lá cờ hạ xuống</v>
      </c>
      <c r="E611" s="3" t="str">
        <f t="shared" si="2"/>
        <v>closed mailbox with lowered flag</v>
      </c>
    </row>
    <row r="612" ht="15.75" customHeight="1">
      <c r="A612" s="1" t="s">
        <v>1478</v>
      </c>
      <c r="B612" s="1" t="s">
        <v>1479</v>
      </c>
      <c r="C612" s="2" t="str">
        <f>IFERROR(__xludf.DUMMYFUNCTION("GOOGLETRANSLATE(E612, ""en"",""vi"")"),"hộp thư đóng với lá cờ treo")</f>
        <v>hộp thư đóng với lá cờ treo</v>
      </c>
      <c r="D612" s="2" t="str">
        <f t="shared" si="24"/>
        <v>hộp thư đóng với lá cờ treo</v>
      </c>
      <c r="E612" s="3" t="str">
        <f t="shared" si="2"/>
        <v>closed mailbox with raised flag</v>
      </c>
    </row>
    <row r="613" ht="15.75" customHeight="1">
      <c r="A613" s="1" t="s">
        <v>1480</v>
      </c>
      <c r="B613" s="1" t="s">
        <v>1481</v>
      </c>
      <c r="C613" s="2" t="s">
        <v>1482</v>
      </c>
      <c r="D613" s="2" t="str">
        <f t="shared" si="24"/>
        <v>cái ô gấp lại</v>
      </c>
      <c r="E613" s="3" t="str">
        <f t="shared" si="2"/>
        <v>closed umbrella</v>
      </c>
    </row>
    <row r="614" ht="15.75" customHeight="1">
      <c r="A614" s="1" t="s">
        <v>1483</v>
      </c>
      <c r="B614" s="1" t="s">
        <v>1484</v>
      </c>
      <c r="C614" s="2" t="str">
        <f>IFERROR(__xludf.DUMMYFUNCTION("GOOGLETRANSLATE(E614, ""en"",""vi"")"),"đám mây")</f>
        <v>đám mây</v>
      </c>
      <c r="D614" s="2" t="str">
        <f t="shared" si="24"/>
        <v>đám mây</v>
      </c>
      <c r="E614" s="3" t="str">
        <f t="shared" si="2"/>
        <v>cloud</v>
      </c>
    </row>
    <row r="615" ht="15.75" customHeight="1">
      <c r="A615" s="1" t="s">
        <v>1485</v>
      </c>
      <c r="B615" s="1" t="s">
        <v>1486</v>
      </c>
      <c r="C615" s="2" t="str">
        <f>IFERROR(__xludf.DUMMYFUNCTION("GOOGLETRANSLATE(E615, ""en"",""vi"")"),"đám mây có tia chớp")</f>
        <v>đám mây có tia chớp</v>
      </c>
      <c r="D615" s="2" t="str">
        <f t="shared" si="24"/>
        <v>đám mây có tia chớp</v>
      </c>
      <c r="E615" s="3" t="str">
        <f t="shared" si="2"/>
        <v>cloud with lightning</v>
      </c>
    </row>
    <row r="616" ht="15.75" customHeight="1">
      <c r="A616" s="1" t="s">
        <v>1487</v>
      </c>
      <c r="B616" s="1" t="s">
        <v>1488</v>
      </c>
      <c r="C616" s="2" t="str">
        <f>IFERROR(__xludf.DUMMYFUNCTION("GOOGLETRANSLATE(E616, ""en"",""vi"")"),"mây có sấm sét và mưa")</f>
        <v>mây có sấm sét và mưa</v>
      </c>
      <c r="D616" s="2" t="str">
        <f t="shared" si="24"/>
        <v>mây có sấm sét và mưa</v>
      </c>
      <c r="E616" s="3" t="str">
        <f t="shared" si="2"/>
        <v>cloud with lightning and rain</v>
      </c>
    </row>
    <row r="617" ht="15.75" customHeight="1">
      <c r="A617" s="1" t="s">
        <v>1489</v>
      </c>
      <c r="B617" s="1" t="s">
        <v>1490</v>
      </c>
      <c r="C617" s="2" t="str">
        <f>IFERROR(__xludf.DUMMYFUNCTION("GOOGLETRANSLATE(E617, ""en"",""vi"")"),"mây có mưa")</f>
        <v>mây có mưa</v>
      </c>
      <c r="D617" s="2" t="str">
        <f t="shared" si="24"/>
        <v>mây có mưa</v>
      </c>
      <c r="E617" s="3" t="str">
        <f t="shared" si="2"/>
        <v>cloud with rain</v>
      </c>
    </row>
    <row r="618" ht="15.75" customHeight="1">
      <c r="A618" s="1" t="s">
        <v>1491</v>
      </c>
      <c r="B618" s="1" t="s">
        <v>1492</v>
      </c>
      <c r="C618" s="2" t="s">
        <v>1493</v>
      </c>
      <c r="D618" s="2" t="str">
        <f t="shared" si="24"/>
        <v>đám mây với tuyết</v>
      </c>
      <c r="E618" s="3" t="str">
        <f t="shared" si="2"/>
        <v>cloud with snow</v>
      </c>
    </row>
    <row r="619" ht="15.75" customHeight="1">
      <c r="A619" s="1" t="s">
        <v>1494</v>
      </c>
      <c r="B619" s="1" t="s">
        <v>1495</v>
      </c>
      <c r="C619" s="2" t="str">
        <f>IFERROR(__xludf.DUMMYFUNCTION("GOOGLETRANSLATE(E619, ""en"",""vi"")"),"mặt hề")</f>
        <v>mặt hề</v>
      </c>
      <c r="D619" s="2" t="str">
        <f t="shared" si="24"/>
        <v>mặt hề</v>
      </c>
      <c r="E619" s="3" t="str">
        <f t="shared" si="2"/>
        <v>clown face</v>
      </c>
    </row>
    <row r="620" ht="15.75" customHeight="1">
      <c r="A620" s="1" t="s">
        <v>1496</v>
      </c>
      <c r="B620" s="1" t="s">
        <v>1497</v>
      </c>
      <c r="C620" s="2" t="s">
        <v>1498</v>
      </c>
      <c r="D620" s="2" t="str">
        <f t="shared" si="24"/>
        <v>bài chuồn</v>
      </c>
      <c r="E620" s="3" t="str">
        <f t="shared" si="2"/>
        <v>club suit</v>
      </c>
    </row>
    <row r="621" ht="15.75" customHeight="1">
      <c r="A621" s="1" t="s">
        <v>1499</v>
      </c>
      <c r="B621" s="1" t="s">
        <v>1500</v>
      </c>
      <c r="C621" s="2" t="str">
        <f>IFERROR(__xludf.DUMMYFUNCTION("GOOGLETRANSLATE(E621, ""en"",""vi"")"),"túi cầm tay")</f>
        <v>túi cầm tay</v>
      </c>
      <c r="D621" s="2" t="str">
        <f t="shared" si="24"/>
        <v>túi cầm tay</v>
      </c>
      <c r="E621" s="3" t="str">
        <f t="shared" si="2"/>
        <v>clutch bag</v>
      </c>
    </row>
    <row r="622" ht="15.75" customHeight="1">
      <c r="A622" s="1" t="s">
        <v>1501</v>
      </c>
      <c r="B622" s="1" t="s">
        <v>1502</v>
      </c>
      <c r="C622" s="2" t="str">
        <f>IFERROR(__xludf.DUMMYFUNCTION("GOOGLETRANSLATE(E622, ""en"",""vi"")"),"áo choàng")</f>
        <v>áo choàng</v>
      </c>
      <c r="D622" s="2" t="str">
        <f t="shared" si="24"/>
        <v>áo choàng</v>
      </c>
      <c r="E622" s="3" t="str">
        <f t="shared" si="2"/>
        <v>coat</v>
      </c>
    </row>
    <row r="623" ht="15.75" customHeight="1">
      <c r="A623" s="1" t="s">
        <v>1503</v>
      </c>
      <c r="B623" s="1" t="s">
        <v>1504</v>
      </c>
      <c r="C623" s="2" t="str">
        <f>IFERROR(__xludf.DUMMYFUNCTION("GOOGLETRANSLATE(E623, ""en"",""vi"")"),"con gián")</f>
        <v>con gián</v>
      </c>
      <c r="D623" s="2" t="str">
        <f t="shared" si="24"/>
        <v>con gián</v>
      </c>
      <c r="E623" s="3" t="str">
        <f t="shared" si="2"/>
        <v>cockroach</v>
      </c>
    </row>
    <row r="624" ht="15.75" customHeight="1">
      <c r="A624" s="1" t="s">
        <v>1505</v>
      </c>
      <c r="B624" s="1" t="s">
        <v>1506</v>
      </c>
      <c r="C624" s="2" t="str">
        <f>IFERROR(__xludf.DUMMYFUNCTION("GOOGLETRANSLATE(E624, ""en"",""vi"")"),"ly cocktail")</f>
        <v>ly cocktail</v>
      </c>
      <c r="D624" s="2" t="str">
        <f t="shared" si="24"/>
        <v>ly cocktail</v>
      </c>
      <c r="E624" s="3" t="str">
        <f t="shared" si="2"/>
        <v>cocktail glass</v>
      </c>
    </row>
    <row r="625" ht="15.75" customHeight="1">
      <c r="A625" s="1" t="s">
        <v>1507</v>
      </c>
      <c r="B625" s="1" t="s">
        <v>1508</v>
      </c>
      <c r="C625" s="2" t="str">
        <f>IFERROR(__xludf.DUMMYFUNCTION("GOOGLETRANSLATE(E625, ""en"",""vi"")"),"dừa")</f>
        <v>dừa</v>
      </c>
      <c r="D625" s="2" t="str">
        <f t="shared" si="24"/>
        <v>dừa</v>
      </c>
      <c r="E625" s="3" t="str">
        <f t="shared" si="2"/>
        <v>coconut</v>
      </c>
    </row>
    <row r="626" ht="15.75" customHeight="1">
      <c r="A626" s="1" t="s">
        <v>1509</v>
      </c>
      <c r="B626" s="1" t="s">
        <v>1510</v>
      </c>
      <c r="C626" s="2" t="str">
        <f>IFERROR(__xludf.DUMMYFUNCTION("GOOGLETRANSLATE(E626, ""en"",""vi"")"),"quan tài")</f>
        <v>quan tài</v>
      </c>
      <c r="D626" s="2" t="str">
        <f t="shared" si="24"/>
        <v>quan tài</v>
      </c>
      <c r="E626" s="3" t="str">
        <f t="shared" si="2"/>
        <v>coffin</v>
      </c>
    </row>
    <row r="627" ht="15.75" customHeight="1">
      <c r="A627" s="1" t="s">
        <v>1511</v>
      </c>
      <c r="B627" s="1" t="s">
        <v>1512</v>
      </c>
      <c r="C627" s="2" t="str">
        <f>IFERROR(__xludf.DUMMYFUNCTION("GOOGLETRANSLATE(E627, ""en"",""vi"")"),"đồng xu")</f>
        <v>đồng xu</v>
      </c>
      <c r="D627" s="2" t="str">
        <f t="shared" si="24"/>
        <v>đồng xu</v>
      </c>
      <c r="E627" s="3" t="str">
        <f t="shared" si="2"/>
        <v>coin</v>
      </c>
    </row>
    <row r="628" ht="15.75" customHeight="1">
      <c r="A628" s="1" t="s">
        <v>1513</v>
      </c>
      <c r="B628" s="1" t="s">
        <v>1514</v>
      </c>
      <c r="C628" s="2" t="str">
        <f>IFERROR(__xludf.DUMMYFUNCTION("GOOGLETRANSLATE(E628, ""en"",""vi"")"),"mặt lạnh")</f>
        <v>mặt lạnh</v>
      </c>
      <c r="D628" s="2" t="str">
        <f t="shared" si="24"/>
        <v>mặt lạnh</v>
      </c>
      <c r="E628" s="3" t="str">
        <f t="shared" si="2"/>
        <v>cold face</v>
      </c>
    </row>
    <row r="629" ht="15.75" customHeight="1">
      <c r="A629" s="1" t="s">
        <v>1515</v>
      </c>
      <c r="B629" s="1" t="s">
        <v>1516</v>
      </c>
      <c r="C629" s="2" t="str">
        <f>IFERROR(__xludf.DUMMYFUNCTION("GOOGLETRANSLATE(E629, ""en"",""vi"")"),"va chạm")</f>
        <v>va chạm</v>
      </c>
      <c r="D629" s="2" t="str">
        <f t="shared" si="24"/>
        <v>va chạm</v>
      </c>
      <c r="E629" s="3" t="str">
        <f t="shared" si="2"/>
        <v>collision</v>
      </c>
    </row>
    <row r="630" ht="15.75" customHeight="1">
      <c r="A630" s="1" t="s">
        <v>1517</v>
      </c>
      <c r="B630" s="1" t="s">
        <v>1518</v>
      </c>
      <c r="C630" s="2" t="str">
        <f>IFERROR(__xludf.DUMMYFUNCTION("GOOGLETRANSLATE(E630, ""en"",""vi"")"),"sao chổi")</f>
        <v>sao chổi</v>
      </c>
      <c r="D630" s="2" t="str">
        <f t="shared" si="24"/>
        <v>sao chổi</v>
      </c>
      <c r="E630" s="3" t="str">
        <f t="shared" si="2"/>
        <v>comet</v>
      </c>
    </row>
    <row r="631" ht="15.75" customHeight="1">
      <c r="A631" s="1" t="s">
        <v>1519</v>
      </c>
      <c r="B631" s="1" t="s">
        <v>1520</v>
      </c>
      <c r="C631" s="2" t="str">
        <f>IFERROR(__xludf.DUMMYFUNCTION("GOOGLETRANSLATE(E631, ""en"",""vi"")"),"la bàn")</f>
        <v>la bàn</v>
      </c>
      <c r="D631" s="2" t="str">
        <f t="shared" si="24"/>
        <v>la bàn</v>
      </c>
      <c r="E631" s="3" t="str">
        <f t="shared" si="2"/>
        <v>compass</v>
      </c>
    </row>
    <row r="632" ht="15.75" customHeight="1">
      <c r="A632" s="1" t="s">
        <v>1521</v>
      </c>
      <c r="B632" s="1" t="s">
        <v>1522</v>
      </c>
      <c r="C632" s="2" t="str">
        <f>IFERROR(__xludf.DUMMYFUNCTION("GOOGLETRANSLATE(E632, ""en"",""vi"")"),"đĩa máy tính")</f>
        <v>đĩa máy tính</v>
      </c>
      <c r="D632" s="2" t="str">
        <f t="shared" si="24"/>
        <v>đĩa máy tính</v>
      </c>
      <c r="E632" s="3" t="str">
        <f t="shared" si="2"/>
        <v>computer disk</v>
      </c>
    </row>
    <row r="633" ht="15.75" customHeight="1">
      <c r="A633" s="1" t="s">
        <v>1523</v>
      </c>
      <c r="B633" s="1" t="s">
        <v>1524</v>
      </c>
      <c r="C633" s="2" t="str">
        <f>IFERROR(__xludf.DUMMYFUNCTION("GOOGLETRANSLATE(E633, ""en"",""vi"")"),"chuột máy tính")</f>
        <v>chuột máy tính</v>
      </c>
      <c r="D633" s="2" t="str">
        <f t="shared" si="24"/>
        <v>chuột máy tính</v>
      </c>
      <c r="E633" s="3" t="str">
        <f t="shared" si="2"/>
        <v>computer mouse</v>
      </c>
    </row>
    <row r="634" ht="15.75" customHeight="1">
      <c r="A634" s="1" t="s">
        <v>1525</v>
      </c>
      <c r="B634" s="1" t="s">
        <v>1526</v>
      </c>
      <c r="C634" s="2" t="str">
        <f>IFERROR(__xludf.DUMMYFUNCTION("GOOGLETRANSLATE(E634, ""en"",""vi"")"),"quả cầu giấy vụn")</f>
        <v>quả cầu giấy vụn</v>
      </c>
      <c r="D634" s="2" t="str">
        <f t="shared" si="24"/>
        <v>quả cầu giấy vụn</v>
      </c>
      <c r="E634" s="3" t="str">
        <f t="shared" si="2"/>
        <v>confetti ball</v>
      </c>
    </row>
    <row r="635" ht="15.75" customHeight="1">
      <c r="A635" s="1" t="s">
        <v>1527</v>
      </c>
      <c r="B635" s="1" t="s">
        <v>1528</v>
      </c>
      <c r="C635" s="2" t="str">
        <f>IFERROR(__xludf.DUMMYFUNCTION("GOOGLETRANSLATE(E635, ""en"",""vi"")"),"khuôn mặt bối rối")</f>
        <v>khuôn mặt bối rối</v>
      </c>
      <c r="D635" s="2" t="str">
        <f t="shared" si="24"/>
        <v>khuôn mặt bối rối</v>
      </c>
      <c r="E635" s="3" t="str">
        <f t="shared" si="2"/>
        <v>confounded face</v>
      </c>
    </row>
    <row r="636" ht="15.75" customHeight="1">
      <c r="A636" s="1" t="s">
        <v>1529</v>
      </c>
      <c r="B636" s="1" t="s">
        <v>1530</v>
      </c>
      <c r="C636" s="2" t="str">
        <f>IFERROR(__xludf.DUMMYFUNCTION("GOOGLETRANSLATE(E636, ""en"",""vi"")"),"khuôn mặt bối rối")</f>
        <v>khuôn mặt bối rối</v>
      </c>
      <c r="D636" s="2" t="str">
        <f t="shared" si="24"/>
        <v>khuôn mặt bối rối</v>
      </c>
      <c r="E636" s="3" t="str">
        <f t="shared" si="2"/>
        <v>confused face</v>
      </c>
    </row>
    <row r="637" ht="15.75" customHeight="1">
      <c r="A637" s="1" t="s">
        <v>1531</v>
      </c>
      <c r="B637" s="1" t="s">
        <v>1532</v>
      </c>
      <c r="C637" s="2" t="str">
        <f>IFERROR(__xludf.DUMMYFUNCTION("GOOGLETRANSLATE(E637, ""en"",""vi"")"),"sự thi công")</f>
        <v>sự thi công</v>
      </c>
      <c r="D637" s="2" t="str">
        <f t="shared" si="24"/>
        <v>sự thi công</v>
      </c>
      <c r="E637" s="3" t="str">
        <f t="shared" si="2"/>
        <v>construction</v>
      </c>
    </row>
    <row r="638" ht="15.75" customHeight="1">
      <c r="A638" s="1" t="s">
        <v>1533</v>
      </c>
      <c r="B638" s="1" t="s">
        <v>1534</v>
      </c>
      <c r="C638" s="2" t="str">
        <f>IFERROR(__xludf.DUMMYFUNCTION("GOOGLETRANSLATE(E638, ""en"",""vi"")"),"công nhân xây dựng")</f>
        <v>công nhân xây dựng</v>
      </c>
      <c r="D638" s="2" t="str">
        <f t="shared" si="24"/>
        <v>công nhân xây dựng</v>
      </c>
      <c r="E638" s="3" t="str">
        <f t="shared" si="2"/>
        <v>construction worker</v>
      </c>
    </row>
    <row r="639" ht="15.75" customHeight="1">
      <c r="A639" s="1" t="s">
        <v>1535</v>
      </c>
      <c r="B639" s="1" t="s">
        <v>1536</v>
      </c>
      <c r="C639" s="2" t="s">
        <v>1537</v>
      </c>
      <c r="D639" s="2" t="str">
        <f t="shared" si="24"/>
        <v>công nhân xây dựng màu da sẫm</v>
      </c>
      <c r="E639" s="3" t="str">
        <f t="shared" si="2"/>
        <v>construction worker dark skin tone</v>
      </c>
    </row>
    <row r="640" ht="15.75" customHeight="1">
      <c r="A640" s="1" t="s">
        <v>1538</v>
      </c>
      <c r="B640" s="1" t="s">
        <v>1539</v>
      </c>
      <c r="C640" s="4" t="s">
        <v>1540</v>
      </c>
      <c r="D640" s="2" t="str">
        <f t="shared" si="24"/>
        <v>công nhân xây dựng màu da sáng</v>
      </c>
      <c r="E640" s="3" t="str">
        <f t="shared" si="2"/>
        <v>construction worker light skin tone</v>
      </c>
    </row>
    <row r="641" ht="15.75" customHeight="1">
      <c r="A641" s="1" t="s">
        <v>1541</v>
      </c>
      <c r="B641" s="1" t="s">
        <v>1542</v>
      </c>
      <c r="C641" s="4" t="s">
        <v>1543</v>
      </c>
      <c r="D641" s="2" t="str">
        <f t="shared" si="24"/>
        <v>công nhân xây dựng màu da sẫm vừa</v>
      </c>
      <c r="E641" s="3" t="str">
        <f t="shared" si="2"/>
        <v>construction worker medium-dark skin tone</v>
      </c>
    </row>
    <row r="642" ht="15.75" customHeight="1">
      <c r="A642" s="1" t="s">
        <v>1544</v>
      </c>
      <c r="B642" s="1" t="s">
        <v>1545</v>
      </c>
      <c r="C642" s="2" t="s">
        <v>1546</v>
      </c>
      <c r="D642" s="2" t="str">
        <f t="shared" si="24"/>
        <v>công nhân xây dựng màu da sáng vừa</v>
      </c>
      <c r="E642" s="3" t="str">
        <f t="shared" si="2"/>
        <v>construction worker medium-light skin tone</v>
      </c>
    </row>
    <row r="643" ht="15.75" customHeight="1">
      <c r="A643" s="1" t="s">
        <v>1547</v>
      </c>
      <c r="B643" s="1" t="s">
        <v>1548</v>
      </c>
      <c r="C643" s="2" t="s">
        <v>1549</v>
      </c>
      <c r="D643" s="2" t="str">
        <f t="shared" si="24"/>
        <v>công nhân xây dựng màu da vừa</v>
      </c>
      <c r="E643" s="3" t="str">
        <f t="shared" si="2"/>
        <v>construction worker medium skin tone</v>
      </c>
    </row>
    <row r="644" ht="15.75" customHeight="1">
      <c r="A644" s="1" t="s">
        <v>1550</v>
      </c>
      <c r="B644" s="1" t="s">
        <v>1551</v>
      </c>
      <c r="C644" s="2" t="s">
        <v>1552</v>
      </c>
      <c r="D644" s="2" t="str">
        <f t="shared" si="24"/>
        <v>nút bấm điều khiển</v>
      </c>
      <c r="E644" s="3" t="str">
        <f t="shared" si="2"/>
        <v>control knobs</v>
      </c>
    </row>
    <row r="645" ht="15.75" customHeight="1">
      <c r="A645" s="1" t="s">
        <v>1553</v>
      </c>
      <c r="B645" s="1" t="s">
        <v>1554</v>
      </c>
      <c r="C645" s="2" t="s">
        <v>1555</v>
      </c>
      <c r="D645" s="2" t="str">
        <f t="shared" si="24"/>
        <v>cửa hàng tiện lợi</v>
      </c>
      <c r="E645" s="3" t="str">
        <f t="shared" si="2"/>
        <v>convenience store</v>
      </c>
    </row>
    <row r="646" ht="15.75" customHeight="1">
      <c r="A646" s="1" t="s">
        <v>1556</v>
      </c>
      <c r="B646" s="1" t="s">
        <v>1557</v>
      </c>
      <c r="C646" s="2" t="str">
        <f>IFERROR(__xludf.DUMMYFUNCTION("GOOGLETRANSLATE(E646, ""en"",""vi"")"),"đầu bếp")</f>
        <v>đầu bếp</v>
      </c>
      <c r="D646" s="2" t="str">
        <f t="shared" si="24"/>
        <v>đầu bếp</v>
      </c>
      <c r="E646" s="3" t="str">
        <f t="shared" si="2"/>
        <v>cook</v>
      </c>
    </row>
    <row r="647" ht="15.75" customHeight="1">
      <c r="A647" s="1" t="s">
        <v>1558</v>
      </c>
      <c r="B647" s="1" t="s">
        <v>1559</v>
      </c>
      <c r="C647" s="2" t="s">
        <v>1560</v>
      </c>
      <c r="D647" s="2" t="str">
        <f t="shared" si="24"/>
        <v>đầu bếp màu da sẫm</v>
      </c>
      <c r="E647" s="3" t="str">
        <f t="shared" si="2"/>
        <v>cook dark skin tone</v>
      </c>
    </row>
    <row r="648" ht="15.75" customHeight="1">
      <c r="A648" s="1" t="s">
        <v>1561</v>
      </c>
      <c r="B648" s="1" t="s">
        <v>1562</v>
      </c>
      <c r="C648" s="4" t="s">
        <v>1563</v>
      </c>
      <c r="D648" s="2" t="str">
        <f t="shared" si="24"/>
        <v>đầu bếp màu da sáng</v>
      </c>
      <c r="E648" s="3" t="str">
        <f t="shared" si="2"/>
        <v>cook light skin tone</v>
      </c>
    </row>
    <row r="649" ht="15.75" customHeight="1">
      <c r="A649" s="1" t="s">
        <v>1564</v>
      </c>
      <c r="B649" s="1" t="s">
        <v>1565</v>
      </c>
      <c r="C649" s="4" t="s">
        <v>1566</v>
      </c>
      <c r="D649" s="2" t="str">
        <f t="shared" si="24"/>
        <v>đầu bếp màu da sẫm vừa</v>
      </c>
      <c r="E649" s="3" t="str">
        <f t="shared" si="2"/>
        <v>cook medium-dark skin tone</v>
      </c>
    </row>
    <row r="650" ht="15.75" customHeight="1">
      <c r="A650" s="1" t="s">
        <v>1567</v>
      </c>
      <c r="B650" s="1" t="s">
        <v>1568</v>
      </c>
      <c r="C650" s="4" t="s">
        <v>1569</v>
      </c>
      <c r="D650" s="2" t="str">
        <f t="shared" si="24"/>
        <v>đầu bếp màu da sáng vừa</v>
      </c>
      <c r="E650" s="3" t="str">
        <f t="shared" si="2"/>
        <v>cook medium-light skin tone</v>
      </c>
    </row>
    <row r="651" ht="15.75" customHeight="1">
      <c r="A651" s="1" t="s">
        <v>1570</v>
      </c>
      <c r="B651" s="1" t="s">
        <v>1571</v>
      </c>
      <c r="C651" s="4" t="s">
        <v>1572</v>
      </c>
      <c r="D651" s="2" t="str">
        <f t="shared" si="24"/>
        <v>đầu bếp màu da vừa</v>
      </c>
      <c r="E651" s="3" t="str">
        <f t="shared" si="2"/>
        <v>cook medium skin tone</v>
      </c>
    </row>
    <row r="652" ht="15.75" customHeight="1">
      <c r="A652" s="1" t="s">
        <v>1573</v>
      </c>
      <c r="B652" s="1" t="s">
        <v>1574</v>
      </c>
      <c r="C652" s="2" t="s">
        <v>1575</v>
      </c>
      <c r="D652" s="2" t="str">
        <f t="shared" si="24"/>
        <v>cơm nấu</v>
      </c>
      <c r="E652" s="3" t="str">
        <f t="shared" si="2"/>
        <v>cooked rice</v>
      </c>
    </row>
    <row r="653" ht="15.75" customHeight="1">
      <c r="A653" s="1" t="s">
        <v>1576</v>
      </c>
      <c r="B653" s="1" t="s">
        <v>1577</v>
      </c>
      <c r="C653" s="2" t="str">
        <f>IFERROR(__xludf.DUMMYFUNCTION("GOOGLETRANSLATE(E653, ""en"",""vi"")"),"bánh quy")</f>
        <v>bánh quy</v>
      </c>
      <c r="D653" s="2" t="str">
        <f t="shared" si="24"/>
        <v>bánh quy</v>
      </c>
      <c r="E653" s="3" t="str">
        <f t="shared" si="2"/>
        <v>cookie</v>
      </c>
    </row>
    <row r="654" ht="15.75" customHeight="1">
      <c r="A654" s="1" t="s">
        <v>1578</v>
      </c>
      <c r="B654" s="1" t="s">
        <v>1579</v>
      </c>
      <c r="C654" s="2" t="str">
        <f>IFERROR(__xludf.DUMMYFUNCTION("GOOGLETRANSLATE(E654, ""en"",""vi"")"),"nấu ăn")</f>
        <v>nấu ăn</v>
      </c>
      <c r="D654" s="2" t="str">
        <f t="shared" si="24"/>
        <v>nấu ăn</v>
      </c>
      <c r="E654" s="3" t="str">
        <f t="shared" si="2"/>
        <v>cooking</v>
      </c>
    </row>
    <row r="655" ht="15.75" customHeight="1">
      <c r="A655" s="1" t="s">
        <v>1580</v>
      </c>
      <c r="B655" s="1" t="s">
        <v>1581</v>
      </c>
      <c r="C655" s="2" t="str">
        <f>IFERROR(__xludf.DUMMYFUNCTION("GOOGLETRANSLATE(E655, ""en"",""vi"")"),"bản quyền")</f>
        <v>bản quyền</v>
      </c>
      <c r="D655" s="2" t="str">
        <f t="shared" si="24"/>
        <v>bản quyền</v>
      </c>
      <c r="E655" s="3" t="str">
        <f t="shared" si="2"/>
        <v>copyright</v>
      </c>
    </row>
    <row r="656" ht="15.75" customHeight="1">
      <c r="A656" s="1" t="s">
        <v>1582</v>
      </c>
      <c r="B656" s="1" t="s">
        <v>1583</v>
      </c>
      <c r="C656" s="2" t="str">
        <f>IFERROR(__xludf.DUMMYFUNCTION("GOOGLETRANSLATE(E656, ""en"",""vi"")"),"ghế dài và đèn")</f>
        <v>ghế dài và đèn</v>
      </c>
      <c r="D656" s="2" t="str">
        <f t="shared" si="24"/>
        <v>ghế dài và đèn</v>
      </c>
      <c r="E656" s="3" t="str">
        <f t="shared" si="2"/>
        <v>couch and lamp</v>
      </c>
    </row>
    <row r="657" ht="15.75" customHeight="1">
      <c r="A657" s="1" t="s">
        <v>1584</v>
      </c>
      <c r="B657" s="1" t="s">
        <v>1585</v>
      </c>
      <c r="C657" s="2" t="str">
        <f>IFERROR(__xludf.DUMMYFUNCTION("GOOGLETRANSLATE(E657, ""en"",""vi"")"),"nút mũi tên ngược chiều kim đồng hồ")</f>
        <v>nút mũi tên ngược chiều kim đồng hồ</v>
      </c>
      <c r="D657" s="2" t="str">
        <f t="shared" si="24"/>
        <v>nút mũi tên ngược chiều kim đồng hồ</v>
      </c>
      <c r="E657" s="3" t="str">
        <f t="shared" si="2"/>
        <v>counterclockwise arrows button</v>
      </c>
    </row>
    <row r="658" ht="15.75" customHeight="1">
      <c r="A658" s="1" t="s">
        <v>1586</v>
      </c>
      <c r="B658" s="1" t="s">
        <v>1587</v>
      </c>
      <c r="C658" s="2" t="s">
        <v>1588</v>
      </c>
      <c r="D658" s="2" t="str">
        <f t="shared" si="24"/>
        <v>cặp đôi với trái tim</v>
      </c>
      <c r="E658" s="3" t="str">
        <f t="shared" si="2"/>
        <v>couple with heart</v>
      </c>
    </row>
    <row r="659" ht="15.75" customHeight="1">
      <c r="A659" s="1" t="s">
        <v>1589</v>
      </c>
      <c r="B659" s="1" t="s">
        <v>1590</v>
      </c>
      <c r="C659" s="4" t="s">
        <v>1591</v>
      </c>
      <c r="D659" s="2" t="str">
        <f t="shared" si="24"/>
        <v>cặp đôi màu da sẫm với trái tim </v>
      </c>
      <c r="E659" s="3" t="str">
        <f t="shared" si="2"/>
        <v>couple with heart dark skin tone</v>
      </c>
    </row>
    <row r="660" ht="15.75" customHeight="1">
      <c r="A660" s="1" t="s">
        <v>1592</v>
      </c>
      <c r="B660" s="1" t="s">
        <v>1593</v>
      </c>
      <c r="C660" s="4" t="s">
        <v>1594</v>
      </c>
      <c r="D660" s="2" t="str">
        <f t="shared" si="24"/>
        <v>cặp đôi màu da sáng với trái tim</v>
      </c>
      <c r="E660" s="3" t="str">
        <f t="shared" si="2"/>
        <v>couple with heart light skin tone</v>
      </c>
    </row>
    <row r="661" ht="15.75" customHeight="1">
      <c r="A661" s="1" t="s">
        <v>1595</v>
      </c>
      <c r="B661" s="1" t="s">
        <v>1596</v>
      </c>
      <c r="C661" s="2" t="s">
        <v>1597</v>
      </c>
      <c r="D661" s="2" t="str">
        <f t="shared" si="24"/>
        <v>cặp đôi nam với trái tim</v>
      </c>
      <c r="E661" s="3" t="str">
        <f t="shared" si="2"/>
        <v>couple with heart man man</v>
      </c>
    </row>
    <row r="662" ht="15.75" customHeight="1">
      <c r="A662" s="1" t="s">
        <v>1598</v>
      </c>
      <c r="B662" s="1" t="s">
        <v>1599</v>
      </c>
      <c r="C662" s="4" t="s">
        <v>1600</v>
      </c>
      <c r="D662" s="2" t="str">
        <f t="shared" si="24"/>
        <v>cặp đôi nam màu da sẫm với trái tim</v>
      </c>
      <c r="E662" s="3" t="str">
        <f t="shared" si="2"/>
        <v>couple with heart man man dark skin tone</v>
      </c>
    </row>
    <row r="663" ht="15.75" customHeight="1">
      <c r="A663" s="1" t="s">
        <v>1601</v>
      </c>
      <c r="B663" s="1" t="s">
        <v>1602</v>
      </c>
      <c r="C663" s="4" t="s">
        <v>1603</v>
      </c>
      <c r="D663" s="2" t="str">
        <f t="shared" si="24"/>
        <v>cặp đôi nam màu da sẫm nam màu da sáng với trái tim</v>
      </c>
      <c r="E663" s="3" t="str">
        <f t="shared" si="2"/>
        <v>couple with heart man man dark skin tone light skin tone</v>
      </c>
    </row>
    <row r="664" ht="15.75" customHeight="1">
      <c r="A664" s="1" t="s">
        <v>1604</v>
      </c>
      <c r="B664" s="1" t="s">
        <v>1605</v>
      </c>
      <c r="C664" s="2" t="s">
        <v>1606</v>
      </c>
      <c r="D664" s="2" t="str">
        <f t="shared" si="24"/>
        <v>cặp đôi nam màu da sẫm nam màu da sẫm vừa với trái tim</v>
      </c>
      <c r="E664" s="3" t="str">
        <f t="shared" si="2"/>
        <v>couple with heart man man dark skin tone medium-dark skin tone</v>
      </c>
    </row>
    <row r="665" ht="15.75" customHeight="1">
      <c r="A665" s="1" t="s">
        <v>1607</v>
      </c>
      <c r="B665" s="1" t="s">
        <v>1608</v>
      </c>
      <c r="C665" s="2" t="s">
        <v>1609</v>
      </c>
      <c r="D665" s="2" t="str">
        <f t="shared" si="24"/>
        <v>cặp đôi nam màu da sáng vừa nam màu da sẫm với trái tim</v>
      </c>
      <c r="E665" s="3" t="str">
        <f t="shared" si="2"/>
        <v>couple with heart man man dark skin tone medium-light skin tone</v>
      </c>
    </row>
    <row r="666" ht="15.75" customHeight="1">
      <c r="A666" s="1" t="s">
        <v>1610</v>
      </c>
      <c r="B666" s="1" t="s">
        <v>1611</v>
      </c>
      <c r="C666" s="2" t="s">
        <v>1612</v>
      </c>
      <c r="D666" s="2" t="str">
        <f t="shared" si="24"/>
        <v>cặp đôi nam màu da tối nam màu da vừa với trái tim</v>
      </c>
      <c r="E666" s="3" t="str">
        <f t="shared" si="2"/>
        <v>couple with heart man man dark skin tone medium skin tone</v>
      </c>
    </row>
    <row r="667" ht="15.75" customHeight="1">
      <c r="A667" s="1" t="s">
        <v>1613</v>
      </c>
      <c r="B667" s="1" t="s">
        <v>1614</v>
      </c>
      <c r="C667" s="2" t="s">
        <v>1615</v>
      </c>
      <c r="D667" s="2" t="str">
        <f t="shared" si="24"/>
        <v>cặp đôi nam nam màu da sáng với trái tim</v>
      </c>
      <c r="E667" s="3" t="str">
        <f t="shared" si="2"/>
        <v>couple with heart man man light skin tone</v>
      </c>
    </row>
    <row r="668" ht="15.75" customHeight="1">
      <c r="A668" s="1" t="s">
        <v>1616</v>
      </c>
      <c r="B668" s="1" t="s">
        <v>1617</v>
      </c>
      <c r="C668" s="2" t="s">
        <v>1618</v>
      </c>
      <c r="D668" s="2" t="str">
        <f t="shared" si="24"/>
        <v>cặp đôi nam màu da sáng nam màu da sẫm với trái tim</v>
      </c>
      <c r="E668" s="3" t="str">
        <f t="shared" si="2"/>
        <v>couple with heart man man light skin tone dark skin tone</v>
      </c>
    </row>
    <row r="669" ht="15.75" customHeight="1">
      <c r="A669" s="1" t="s">
        <v>1619</v>
      </c>
      <c r="B669" s="1" t="s">
        <v>1620</v>
      </c>
      <c r="C669" s="2" t="s">
        <v>1621</v>
      </c>
      <c r="D669" s="2" t="str">
        <f t="shared" si="24"/>
        <v>cặp đôi nam màu da sáng nam màu da sẫm vừa với trái tim</v>
      </c>
      <c r="E669" s="3" t="str">
        <f t="shared" si="2"/>
        <v>couple with heart man man light skin tone medium-dark skin tone</v>
      </c>
    </row>
    <row r="670" ht="15.75" customHeight="1">
      <c r="A670" s="1" t="s">
        <v>1622</v>
      </c>
      <c r="B670" s="1" t="s">
        <v>1623</v>
      </c>
      <c r="C670" s="2" t="s">
        <v>1624</v>
      </c>
      <c r="D670" s="2" t="str">
        <f t="shared" si="24"/>
        <v>cặp đôi nam màu da sáng nam màu da sáng vừa với trái tim</v>
      </c>
      <c r="E670" s="3" t="str">
        <f t="shared" si="2"/>
        <v>couple with heart man man light skin tone medium-light skin tone</v>
      </c>
    </row>
    <row r="671" ht="15.75" customHeight="1">
      <c r="A671" s="1" t="s">
        <v>1625</v>
      </c>
      <c r="B671" s="1" t="s">
        <v>1626</v>
      </c>
      <c r="C671" s="2" t="s">
        <v>1627</v>
      </c>
      <c r="D671" s="2" t="str">
        <f t="shared" si="24"/>
        <v>cặp đôi nam màu da sáng nam màu da thường với trái tim</v>
      </c>
      <c r="E671" s="3" t="str">
        <f t="shared" si="2"/>
        <v>couple with heart man man light skin tone medium skin tone</v>
      </c>
    </row>
    <row r="672" ht="15.75" customHeight="1">
      <c r="A672" s="1" t="s">
        <v>1628</v>
      </c>
      <c r="B672" s="1" t="s">
        <v>1629</v>
      </c>
      <c r="C672" s="2" t="s">
        <v>1630</v>
      </c>
      <c r="D672" s="2" t="str">
        <f t="shared" si="24"/>
        <v>cặp đôi nam màu da sẫm vừa với trái tim</v>
      </c>
      <c r="E672" s="3" t="str">
        <f t="shared" si="2"/>
        <v>couple with heart man man medium-dark skin tone</v>
      </c>
    </row>
    <row r="673" ht="15.75" customHeight="1">
      <c r="A673" s="1" t="s">
        <v>1631</v>
      </c>
      <c r="B673" s="1" t="s">
        <v>1632</v>
      </c>
      <c r="C673" s="2" t="s">
        <v>1633</v>
      </c>
      <c r="D673" s="2" t="str">
        <f t="shared" si="24"/>
        <v>cặp đôi nam màu da sẫm vừa nam màu da tối với trái tim</v>
      </c>
      <c r="E673" s="3" t="str">
        <f t="shared" si="2"/>
        <v>couple with heart man man medium-dark skin tone dark skin tone</v>
      </c>
    </row>
    <row r="674" ht="15.75" customHeight="1">
      <c r="A674" s="1" t="s">
        <v>1634</v>
      </c>
      <c r="B674" s="1" t="s">
        <v>1635</v>
      </c>
      <c r="C674" s="2" t="s">
        <v>1636</v>
      </c>
      <c r="D674" s="2" t="str">
        <f t="shared" si="24"/>
        <v>cặp đôi nam màu da sẫm vừa nam màu da sáng với trái tim</v>
      </c>
      <c r="E674" s="3" t="str">
        <f t="shared" si="2"/>
        <v>couple with heart man man medium-dark skin tone light skin tone</v>
      </c>
    </row>
    <row r="675" ht="15.75" customHeight="1">
      <c r="A675" s="1" t="s">
        <v>1637</v>
      </c>
      <c r="B675" s="1" t="s">
        <v>1638</v>
      </c>
      <c r="C675" s="2" t="s">
        <v>1639</v>
      </c>
      <c r="D675" s="2" t="str">
        <f t="shared" si="24"/>
        <v>cặp đôi nam màu da sẫm vừa nam màu da sáng vừa với trái tim</v>
      </c>
      <c r="E675" s="3" t="str">
        <f t="shared" si="2"/>
        <v>couple with heart man man medium-dark skin tone medium-light skin tone</v>
      </c>
    </row>
    <row r="676" ht="15.75" customHeight="1">
      <c r="A676" s="1" t="s">
        <v>1640</v>
      </c>
      <c r="B676" s="1" t="s">
        <v>1641</v>
      </c>
      <c r="C676" s="2" t="s">
        <v>1642</v>
      </c>
      <c r="D676" s="2" t="str">
        <f t="shared" si="24"/>
        <v>cặp đôi nam màu da sẫm vừa nam màu da thường với trái tim</v>
      </c>
      <c r="E676" s="3" t="str">
        <f t="shared" si="2"/>
        <v>couple with heart man man medium-dark skin tone medium skin tone</v>
      </c>
    </row>
    <row r="677" ht="15.75" customHeight="1">
      <c r="A677" s="1" t="s">
        <v>1643</v>
      </c>
      <c r="B677" s="1" t="s">
        <v>1644</v>
      </c>
      <c r="C677" s="2" t="s">
        <v>1645</v>
      </c>
      <c r="D677" s="2" t="str">
        <f t="shared" si="24"/>
        <v>cặp đôi nam màu da sáng vừa với trái tim</v>
      </c>
      <c r="E677" s="3" t="str">
        <f t="shared" si="2"/>
        <v>couple with heart man man medium-light skin tone</v>
      </c>
    </row>
    <row r="678" ht="15.75" customHeight="1">
      <c r="A678" s="1" t="s">
        <v>1646</v>
      </c>
      <c r="B678" s="1" t="s">
        <v>1647</v>
      </c>
      <c r="C678" s="2" t="s">
        <v>1609</v>
      </c>
      <c r="D678" s="2" t="str">
        <f t="shared" si="24"/>
        <v>cặp đôi nam màu da sáng vừa nam màu da sẫm với trái tim</v>
      </c>
      <c r="E678" s="3" t="str">
        <f t="shared" si="2"/>
        <v>couple with heart man man medium-light skin tone dark skin tone</v>
      </c>
    </row>
    <row r="679" ht="15.75" customHeight="1">
      <c r="A679" s="1" t="s">
        <v>1648</v>
      </c>
      <c r="B679" s="1" t="s">
        <v>1649</v>
      </c>
      <c r="C679" s="4" t="s">
        <v>1650</v>
      </c>
      <c r="D679" s="2" t="str">
        <f t="shared" si="24"/>
        <v>cặp đôi nam màu da sáng vừa nam màu da sáng với trái tim</v>
      </c>
      <c r="E679" s="3" t="str">
        <f t="shared" si="2"/>
        <v>couple with heart man man medium-light skin tone light skin tone</v>
      </c>
    </row>
    <row r="680" ht="15.75" customHeight="1">
      <c r="A680" s="1" t="s">
        <v>1651</v>
      </c>
      <c r="B680" s="1" t="s">
        <v>1652</v>
      </c>
      <c r="C680" s="4" t="s">
        <v>1653</v>
      </c>
      <c r="D680" s="2" t="str">
        <f t="shared" si="24"/>
        <v>cặp đôi nam màu da sáng vừa nam màu da sẫm vừa với trái tim</v>
      </c>
      <c r="E680" s="3" t="str">
        <f t="shared" si="2"/>
        <v>couple with heart man man medium-light skin tone medium-dark skin tone</v>
      </c>
    </row>
    <row r="681" ht="15.75" customHeight="1">
      <c r="A681" s="1" t="s">
        <v>1654</v>
      </c>
      <c r="B681" s="1" t="s">
        <v>1655</v>
      </c>
      <c r="C681" s="2" t="s">
        <v>1656</v>
      </c>
      <c r="D681" s="2" t="str">
        <f t="shared" si="24"/>
        <v>cặp đôi nam màu da sáng vừa nam màu da thường với trái tim</v>
      </c>
      <c r="E681" s="3" t="str">
        <f t="shared" si="2"/>
        <v>couple with heart man man medium-light skin tone medium skin tone</v>
      </c>
    </row>
    <row r="682" ht="15.75" customHeight="1">
      <c r="A682" s="1" t="s">
        <v>1657</v>
      </c>
      <c r="B682" s="1" t="s">
        <v>1658</v>
      </c>
      <c r="C682" s="2" t="s">
        <v>1659</v>
      </c>
      <c r="D682" s="2" t="str">
        <f t="shared" si="24"/>
        <v>cặp đôi nam màu da thường với trái tim</v>
      </c>
      <c r="E682" s="3" t="str">
        <f t="shared" si="2"/>
        <v>couple with heart man man medium skin tone</v>
      </c>
    </row>
    <row r="683" ht="15.75" customHeight="1">
      <c r="A683" s="1" t="s">
        <v>1660</v>
      </c>
      <c r="B683" s="1" t="s">
        <v>1661</v>
      </c>
      <c r="C683" s="4" t="s">
        <v>1662</v>
      </c>
      <c r="D683" s="2" t="str">
        <f t="shared" si="24"/>
        <v>cặp đôi nam màu da thường nam màu da sẫm với trái tim</v>
      </c>
      <c r="E683" s="3" t="str">
        <f t="shared" si="2"/>
        <v>couple with heart man man medium skin tone dark skin tone</v>
      </c>
    </row>
    <row r="684" ht="15.75" customHeight="1">
      <c r="A684" s="1" t="s">
        <v>1663</v>
      </c>
      <c r="B684" s="1" t="s">
        <v>1664</v>
      </c>
      <c r="C684" s="4" t="s">
        <v>1665</v>
      </c>
      <c r="D684" s="2" t="str">
        <f t="shared" si="24"/>
        <v>cặp đôi nam màu da thường nam màu da sáng với trái tim</v>
      </c>
      <c r="E684" s="3" t="str">
        <f t="shared" si="2"/>
        <v>couple with heart man man medium skin tone light skin tone</v>
      </c>
    </row>
    <row r="685" ht="15.75" customHeight="1">
      <c r="A685" s="1" t="s">
        <v>1666</v>
      </c>
      <c r="B685" s="1" t="s">
        <v>1667</v>
      </c>
      <c r="C685" s="4" t="s">
        <v>1668</v>
      </c>
      <c r="D685" s="2" t="str">
        <f t="shared" si="24"/>
        <v>cặp đôi nam màu da thường nam màu da sẫm vừa với trái tim</v>
      </c>
      <c r="E685" s="3" t="str">
        <f t="shared" si="2"/>
        <v>couple with heart man man medium skin tone medium-dark skin tone</v>
      </c>
    </row>
    <row r="686" ht="15.75" customHeight="1">
      <c r="A686" s="1" t="s">
        <v>1669</v>
      </c>
      <c r="B686" s="1" t="s">
        <v>1670</v>
      </c>
      <c r="C686" s="4" t="s">
        <v>1671</v>
      </c>
      <c r="D686" s="2" t="str">
        <f t="shared" si="24"/>
        <v>cặp đôi nam màu da thường nam màu da sáng vừa với trái tim</v>
      </c>
      <c r="E686" s="3" t="str">
        <f t="shared" si="2"/>
        <v>couple with heart man man medium skin tone medium-light skin tone</v>
      </c>
    </row>
    <row r="687" ht="15.75" customHeight="1">
      <c r="A687" s="1" t="s">
        <v>1672</v>
      </c>
      <c r="B687" s="1" t="s">
        <v>1673</v>
      </c>
      <c r="C687" s="2" t="s">
        <v>1674</v>
      </c>
      <c r="D687" s="2" t="str">
        <f t="shared" si="24"/>
        <v>cặp đôi màu da sẫm vừa với trái tim</v>
      </c>
      <c r="E687" s="3" t="str">
        <f t="shared" si="2"/>
        <v>couple with heart medium-dark skin tone</v>
      </c>
    </row>
    <row r="688" ht="15.75" customHeight="1">
      <c r="A688" s="1" t="s">
        <v>1675</v>
      </c>
      <c r="B688" s="1" t="s">
        <v>1676</v>
      </c>
      <c r="C688" s="2" t="s">
        <v>1677</v>
      </c>
      <c r="D688" s="2" t="str">
        <f t="shared" si="24"/>
        <v>cặp đôi màu da sáng vừa với trái tim</v>
      </c>
      <c r="E688" s="3" t="str">
        <f t="shared" si="2"/>
        <v>couple with heart medium-light skin tone</v>
      </c>
    </row>
    <row r="689" ht="15.75" customHeight="1">
      <c r="A689" s="1" t="s">
        <v>1678</v>
      </c>
      <c r="B689" s="1" t="s">
        <v>1679</v>
      </c>
      <c r="C689" s="2" t="s">
        <v>1680</v>
      </c>
      <c r="D689" s="2" t="str">
        <f t="shared" si="24"/>
        <v>cặp đôi màu da thường với trái tim</v>
      </c>
      <c r="E689" s="3" t="str">
        <f t="shared" si="2"/>
        <v>couple with heart medium skin tone</v>
      </c>
    </row>
    <row r="690" ht="15.75" customHeight="1">
      <c r="A690" s="1" t="s">
        <v>1681</v>
      </c>
      <c r="B690" s="1" t="s">
        <v>1682</v>
      </c>
      <c r="C690" s="2" t="s">
        <v>1683</v>
      </c>
      <c r="D690" s="2" t="str">
        <f t="shared" si="24"/>
        <v>cặp đôi người màu da sẫm người màu da sáng với trái tim</v>
      </c>
      <c r="E690" s="3" t="str">
        <f t="shared" si="2"/>
        <v>couple with heart person person dark skin tone light skin tone</v>
      </c>
    </row>
    <row r="691" ht="15.75" customHeight="1">
      <c r="A691" s="1" t="s">
        <v>1684</v>
      </c>
      <c r="B691" s="1" t="s">
        <v>1685</v>
      </c>
      <c r="C691" s="2" t="s">
        <v>1686</v>
      </c>
      <c r="D691" s="2" t="str">
        <f t="shared" si="24"/>
        <v>cặp đôi người màu da sẫm người màu da sẫm vừa với trái tim</v>
      </c>
      <c r="E691" s="3" t="str">
        <f t="shared" si="2"/>
        <v>couple with heart person person dark skin tone medium-dark skin tone</v>
      </c>
    </row>
    <row r="692" ht="15.75" customHeight="1">
      <c r="A692" s="1" t="s">
        <v>1687</v>
      </c>
      <c r="B692" s="1" t="s">
        <v>1688</v>
      </c>
      <c r="C692" s="2" t="s">
        <v>1689</v>
      </c>
      <c r="D692" s="2" t="str">
        <f t="shared" si="24"/>
        <v>cặp đôi người màu da sẫm người màu da sáng vừa với trái tim</v>
      </c>
      <c r="E692" s="3" t="str">
        <f t="shared" si="2"/>
        <v>couple with heart person person dark skin tone medium-light skin tone</v>
      </c>
    </row>
    <row r="693" ht="15.75" customHeight="1">
      <c r="A693" s="1" t="s">
        <v>1690</v>
      </c>
      <c r="B693" s="1" t="s">
        <v>1691</v>
      </c>
      <c r="C693" s="2" t="s">
        <v>1692</v>
      </c>
      <c r="D693" s="2" t="str">
        <f t="shared" si="24"/>
        <v>cặp đôi người màu da sẫm người màu da thường với trái tim</v>
      </c>
      <c r="E693" s="3" t="str">
        <f t="shared" si="2"/>
        <v>couple with heart person person dark skin tone medium skin tone</v>
      </c>
    </row>
    <row r="694" ht="15.75" customHeight="1">
      <c r="A694" s="1" t="s">
        <v>1693</v>
      </c>
      <c r="B694" s="1" t="s">
        <v>1694</v>
      </c>
      <c r="C694" s="2" t="s">
        <v>1695</v>
      </c>
      <c r="D694" s="2" t="str">
        <f t="shared" si="24"/>
        <v>cặp đôi người màu da sáng người màu da sẫm với trái tim</v>
      </c>
      <c r="E694" s="3" t="str">
        <f t="shared" si="2"/>
        <v>couple with heart person person light skin tone dark skin tone</v>
      </c>
    </row>
    <row r="695" ht="15.75" customHeight="1">
      <c r="A695" s="1" t="s">
        <v>1696</v>
      </c>
      <c r="B695" s="1" t="s">
        <v>1697</v>
      </c>
      <c r="C695" s="2" t="s">
        <v>1698</v>
      </c>
      <c r="D695" s="2" t="str">
        <f t="shared" si="24"/>
        <v>cặp đôi người màu da sáng người màu da sẫm vừa với trái tim</v>
      </c>
      <c r="E695" s="3" t="str">
        <f t="shared" si="2"/>
        <v>couple with heart person person light skin tone medium-dark skin tone</v>
      </c>
    </row>
    <row r="696" ht="15.75" customHeight="1">
      <c r="A696" s="1" t="s">
        <v>1699</v>
      </c>
      <c r="B696" s="1" t="s">
        <v>1700</v>
      </c>
      <c r="C696" s="2" t="s">
        <v>1701</v>
      </c>
      <c r="D696" s="2" t="str">
        <f t="shared" si="24"/>
        <v>cặp đôi người màu da sáng người màu da sáng vừa với trái tim</v>
      </c>
      <c r="E696" s="3" t="str">
        <f t="shared" si="2"/>
        <v>couple with heart person person light skin tone medium-light skin tone</v>
      </c>
    </row>
    <row r="697" ht="15.75" customHeight="1">
      <c r="A697" s="1" t="s">
        <v>1702</v>
      </c>
      <c r="B697" s="1" t="s">
        <v>1703</v>
      </c>
      <c r="C697" s="2" t="s">
        <v>1704</v>
      </c>
      <c r="D697" s="2" t="str">
        <f t="shared" si="24"/>
        <v>cặp đôi người màu da sáng người màu da thường với trái tim</v>
      </c>
      <c r="E697" s="3" t="str">
        <f t="shared" si="2"/>
        <v>couple with heart person person light skin tone medium skin tone</v>
      </c>
    </row>
    <row r="698" ht="15.75" customHeight="1">
      <c r="A698" s="1" t="s">
        <v>1705</v>
      </c>
      <c r="B698" s="1" t="s">
        <v>1706</v>
      </c>
      <c r="C698" s="2" t="s">
        <v>1707</v>
      </c>
      <c r="D698" s="2" t="str">
        <f t="shared" si="24"/>
        <v>cặp đôi người màu da sẫm vừa người màu da sẫm với trái tim</v>
      </c>
      <c r="E698" s="3" t="str">
        <f t="shared" si="2"/>
        <v>couple with heart person person medium-dark skin tone dark skin tone</v>
      </c>
    </row>
    <row r="699" ht="15.75" customHeight="1">
      <c r="A699" s="1" t="s">
        <v>1708</v>
      </c>
      <c r="B699" s="1" t="s">
        <v>1709</v>
      </c>
      <c r="C699" s="2" t="s">
        <v>1710</v>
      </c>
      <c r="D699" s="2" t="str">
        <f t="shared" si="24"/>
        <v>cặp đôi người màu da sẫm vừa người màu da sáng với trái tim</v>
      </c>
      <c r="E699" s="3" t="str">
        <f t="shared" si="2"/>
        <v>couple with heart person person medium-dark skin tone light skin tone</v>
      </c>
    </row>
    <row r="700" ht="15.75" customHeight="1">
      <c r="A700" s="1" t="s">
        <v>1711</v>
      </c>
      <c r="B700" s="1" t="s">
        <v>1712</v>
      </c>
      <c r="C700" s="2" t="s">
        <v>1713</v>
      </c>
      <c r="D700" s="2" t="str">
        <f t="shared" si="24"/>
        <v>cặp đôi người màu da sẫm vừa người màu da sáng vừa với trái tim</v>
      </c>
      <c r="E700" s="3" t="str">
        <f t="shared" si="2"/>
        <v>couple with heart person person medium-dark skin tone medium-light skin tone</v>
      </c>
    </row>
    <row r="701" ht="15.75" customHeight="1">
      <c r="A701" s="1" t="s">
        <v>1714</v>
      </c>
      <c r="B701" s="1" t="s">
        <v>1715</v>
      </c>
      <c r="C701" s="2" t="s">
        <v>1716</v>
      </c>
      <c r="D701" s="2" t="str">
        <f t="shared" si="24"/>
        <v>cặp đôi người màu da sẫm vừa người màu da thường với trái tim</v>
      </c>
      <c r="E701" s="3" t="str">
        <f t="shared" si="2"/>
        <v>couple with heart person person medium-dark skin tone medium skin tone</v>
      </c>
    </row>
    <row r="702" ht="15.75" customHeight="1">
      <c r="A702" s="1" t="s">
        <v>1717</v>
      </c>
      <c r="B702" s="1" t="s">
        <v>1718</v>
      </c>
      <c r="C702" s="2" t="s">
        <v>1719</v>
      </c>
      <c r="D702" s="2" t="str">
        <f t="shared" si="24"/>
        <v>cặp đôi người màu da sáng vừa người màu da sẫm với trái tim</v>
      </c>
      <c r="E702" s="3" t="str">
        <f t="shared" si="2"/>
        <v>couple with heart person person medium-light skin tone dark skin tone</v>
      </c>
    </row>
    <row r="703" ht="15.75" customHeight="1">
      <c r="A703" s="1" t="s">
        <v>1720</v>
      </c>
      <c r="B703" s="1" t="s">
        <v>1721</v>
      </c>
      <c r="C703" s="2" t="s">
        <v>1722</v>
      </c>
      <c r="D703" s="2" t="str">
        <f t="shared" si="24"/>
        <v>cặp đôi người màu da sáng vừa người màu da sáng với trái tim</v>
      </c>
      <c r="E703" s="3" t="str">
        <f t="shared" si="2"/>
        <v>couple with heart person person medium-light skin tone light skin tone</v>
      </c>
    </row>
    <row r="704" ht="15.75" customHeight="1">
      <c r="A704" s="1" t="s">
        <v>1723</v>
      </c>
      <c r="B704" s="1" t="s">
        <v>1724</v>
      </c>
      <c r="C704" s="2" t="s">
        <v>1725</v>
      </c>
      <c r="D704" s="2" t="str">
        <f t="shared" si="24"/>
        <v>cặp đôi người màu da sáng vừa người màu da sẫm vừa với trái tim</v>
      </c>
      <c r="E704" s="3" t="str">
        <f t="shared" si="2"/>
        <v>couple with heart person person medium-light skin tone medium-dark skin tone</v>
      </c>
    </row>
    <row r="705" ht="15.75" customHeight="1">
      <c r="A705" s="1" t="s">
        <v>1726</v>
      </c>
      <c r="B705" s="1" t="s">
        <v>1727</v>
      </c>
      <c r="C705" s="2" t="s">
        <v>1728</v>
      </c>
      <c r="D705" s="2" t="str">
        <f t="shared" si="24"/>
        <v>cặp đôi người màu da sáng vừa người màu da thường với trái tim</v>
      </c>
      <c r="E705" s="3" t="str">
        <f t="shared" si="2"/>
        <v>couple with heart person person medium-light skin tone medium skin tone</v>
      </c>
    </row>
    <row r="706" ht="15.75" customHeight="1">
      <c r="A706" s="1" t="s">
        <v>1729</v>
      </c>
      <c r="B706" s="1" t="s">
        <v>1730</v>
      </c>
      <c r="C706" s="2" t="s">
        <v>1731</v>
      </c>
      <c r="D706" s="2" t="str">
        <f t="shared" si="24"/>
        <v>cặp đôi người màu da thường người màu da sẫm với trái tim</v>
      </c>
      <c r="E706" s="3" t="str">
        <f t="shared" si="2"/>
        <v>couple with heart person person medium skin tone dark skin tone</v>
      </c>
    </row>
    <row r="707" ht="15.75" customHeight="1">
      <c r="A707" s="1" t="s">
        <v>1732</v>
      </c>
      <c r="B707" s="1" t="s">
        <v>1733</v>
      </c>
      <c r="C707" s="2" t="s">
        <v>1734</v>
      </c>
      <c r="D707" s="2" t="str">
        <f t="shared" si="24"/>
        <v>cặp đôi người màu da thường người màu da sáng với trái tim</v>
      </c>
      <c r="E707" s="3" t="str">
        <f t="shared" si="2"/>
        <v>couple with heart person person medium skin tone light skin tone</v>
      </c>
    </row>
    <row r="708" ht="15.75" customHeight="1">
      <c r="A708" s="1" t="s">
        <v>1735</v>
      </c>
      <c r="B708" s="1" t="s">
        <v>1736</v>
      </c>
      <c r="C708" s="2" t="s">
        <v>1737</v>
      </c>
      <c r="D708" s="2" t="str">
        <f t="shared" si="24"/>
        <v>cặp đôi người màu da thường người màu da sẫm vừa với trái tim</v>
      </c>
      <c r="E708" s="3" t="str">
        <f t="shared" si="2"/>
        <v>couple with heart person person medium skin tone medium-dark skin tone</v>
      </c>
    </row>
    <row r="709" ht="15.75" customHeight="1">
      <c r="A709" s="1" t="s">
        <v>1738</v>
      </c>
      <c r="B709" s="1" t="s">
        <v>1739</v>
      </c>
      <c r="C709" s="2" t="s">
        <v>1740</v>
      </c>
      <c r="D709" s="2" t="str">
        <f t="shared" si="24"/>
        <v>cặp đôi người màu da thường người màu da sáng vừa với trái tim</v>
      </c>
      <c r="E709" s="3" t="str">
        <f t="shared" si="2"/>
        <v>couple with heart person person medium skin tone medium-light skin tone</v>
      </c>
    </row>
    <row r="710" ht="15.75" customHeight="1">
      <c r="A710" s="1" t="s">
        <v>1741</v>
      </c>
      <c r="B710" s="1" t="s">
        <v>1742</v>
      </c>
      <c r="C710" s="2" t="s">
        <v>1743</v>
      </c>
      <c r="D710" s="2" t="str">
        <f t="shared" si="24"/>
        <v>cặp đôi nữ nam với trái tim</v>
      </c>
      <c r="E710" s="3" t="str">
        <f t="shared" si="2"/>
        <v>couple with heart woman man</v>
      </c>
    </row>
    <row r="711" ht="15.75" customHeight="1">
      <c r="A711" s="1" t="s">
        <v>1744</v>
      </c>
      <c r="B711" s="1" t="s">
        <v>1745</v>
      </c>
      <c r="C711" s="2" t="s">
        <v>1746</v>
      </c>
      <c r="D711" s="2" t="str">
        <f t="shared" si="24"/>
        <v>cặp đôi nữ nam màu da sẫm với trái tim</v>
      </c>
      <c r="E711" s="3" t="str">
        <f t="shared" si="2"/>
        <v>couple with heart woman man dark skin tone</v>
      </c>
    </row>
    <row r="712" ht="15.75" customHeight="1">
      <c r="A712" s="1" t="s">
        <v>1747</v>
      </c>
      <c r="B712" s="1" t="s">
        <v>1748</v>
      </c>
      <c r="C712" s="2" t="s">
        <v>1749</v>
      </c>
      <c r="D712" s="2" t="str">
        <f t="shared" si="24"/>
        <v>cặp đôi nữ màu da sẫm nam màu da sáng với trái tim</v>
      </c>
      <c r="E712" s="3" t="str">
        <f t="shared" si="2"/>
        <v>couple with heart woman man dark skin tone light skin tone</v>
      </c>
    </row>
    <row r="713" ht="15.75" customHeight="1">
      <c r="A713" s="1" t="s">
        <v>1750</v>
      </c>
      <c r="B713" s="1" t="s">
        <v>1751</v>
      </c>
      <c r="C713" s="2" t="s">
        <v>1752</v>
      </c>
      <c r="D713" s="2" t="str">
        <f t="shared" si="24"/>
        <v>cặp đôi nữ màu da sẫm nam màu da sẫm vừa với trái tim</v>
      </c>
      <c r="E713" s="3" t="str">
        <f t="shared" si="2"/>
        <v>couple with heart woman man dark skin tone medium-dark skin tone</v>
      </c>
    </row>
    <row r="714" ht="15.75" customHeight="1">
      <c r="A714" s="1" t="s">
        <v>1753</v>
      </c>
      <c r="B714" s="1" t="s">
        <v>1754</v>
      </c>
      <c r="C714" s="2" t="s">
        <v>1755</v>
      </c>
      <c r="D714" s="2" t="str">
        <f t="shared" si="24"/>
        <v>cặp đôi nữ màu da sẫm nam màu da sáng vừa với trái tim</v>
      </c>
      <c r="E714" s="3" t="str">
        <f t="shared" si="2"/>
        <v>couple with heart woman man dark skin tone medium-light skin tone</v>
      </c>
    </row>
    <row r="715" ht="15.75" customHeight="1">
      <c r="A715" s="1" t="s">
        <v>1756</v>
      </c>
      <c r="B715" s="1" t="s">
        <v>1757</v>
      </c>
      <c r="C715" s="2" t="s">
        <v>1758</v>
      </c>
      <c r="D715" s="2" t="str">
        <f t="shared" si="24"/>
        <v>cặp đôi nữ màu da sẫm nam màu da thường với trái tim</v>
      </c>
      <c r="E715" s="3" t="str">
        <f t="shared" si="2"/>
        <v>couple with heart woman man dark skin tone medium skin tone</v>
      </c>
    </row>
    <row r="716" ht="15.75" customHeight="1">
      <c r="A716" s="1" t="s">
        <v>1759</v>
      </c>
      <c r="B716" s="1" t="s">
        <v>1760</v>
      </c>
      <c r="C716" s="2" t="s">
        <v>1761</v>
      </c>
      <c r="D716" s="2" t="str">
        <f t="shared" si="24"/>
        <v>cặp đôi nữ nam màu da sáng với trái tim</v>
      </c>
      <c r="E716" s="3" t="str">
        <f t="shared" si="2"/>
        <v>couple with heart woman man light skin tone</v>
      </c>
    </row>
    <row r="717" ht="15.75" customHeight="1">
      <c r="A717" s="1" t="s">
        <v>1762</v>
      </c>
      <c r="B717" s="1" t="s">
        <v>1763</v>
      </c>
      <c r="C717" s="2" t="s">
        <v>1764</v>
      </c>
      <c r="D717" s="2" t="str">
        <f t="shared" si="24"/>
        <v>cặp đôi nữ màu da sáng nam màu da sẫm với trái tim</v>
      </c>
      <c r="E717" s="3" t="str">
        <f t="shared" si="2"/>
        <v>couple with heart woman man light skin tone dark skin tone</v>
      </c>
    </row>
    <row r="718" ht="15.75" customHeight="1">
      <c r="A718" s="1" t="s">
        <v>1765</v>
      </c>
      <c r="B718" s="1" t="s">
        <v>1766</v>
      </c>
      <c r="C718" s="2" t="s">
        <v>1767</v>
      </c>
      <c r="D718" s="2" t="str">
        <f t="shared" si="24"/>
        <v>cặp đôi nữ màu da sáng nam màu da sẫm vừa với trái tim</v>
      </c>
      <c r="E718" s="3" t="str">
        <f t="shared" si="2"/>
        <v>couple with heart woman man light skin tone medium-dark skin tone</v>
      </c>
    </row>
    <row r="719" ht="15.75" customHeight="1">
      <c r="A719" s="1" t="s">
        <v>1768</v>
      </c>
      <c r="B719" s="1" t="s">
        <v>1769</v>
      </c>
      <c r="C719" s="2" t="s">
        <v>1770</v>
      </c>
      <c r="D719" s="2" t="str">
        <f t="shared" si="24"/>
        <v>cặp đôi nữ màu da sáng nam màu da sáng vừa với trái tim</v>
      </c>
      <c r="E719" s="3" t="str">
        <f t="shared" si="2"/>
        <v>couple with heart woman man light skin tone medium-light skin tone</v>
      </c>
    </row>
    <row r="720" ht="15.75" customHeight="1">
      <c r="A720" s="1" t="s">
        <v>1771</v>
      </c>
      <c r="B720" s="1" t="s">
        <v>1772</v>
      </c>
      <c r="C720" s="2" t="s">
        <v>1773</v>
      </c>
      <c r="D720" s="2" t="str">
        <f t="shared" si="24"/>
        <v>cặp đôi nữ màu da sáng nam màu da thường với trái tim</v>
      </c>
      <c r="E720" s="3" t="str">
        <f t="shared" si="2"/>
        <v>couple with heart woman man light skin tone medium skin tone</v>
      </c>
    </row>
    <row r="721" ht="15.75" customHeight="1">
      <c r="A721" s="1" t="s">
        <v>1774</v>
      </c>
      <c r="B721" s="1" t="s">
        <v>1775</v>
      </c>
      <c r="C721" s="2" t="s">
        <v>1776</v>
      </c>
      <c r="D721" s="2" t="str">
        <f t="shared" si="24"/>
        <v>cặp đôi nữ nam màu da sẫm vừa với trái tim</v>
      </c>
      <c r="E721" s="3" t="str">
        <f t="shared" si="2"/>
        <v>couple with heart woman man medium-dark skin tone</v>
      </c>
    </row>
    <row r="722" ht="15.75" customHeight="1">
      <c r="A722" s="1" t="s">
        <v>1777</v>
      </c>
      <c r="B722" s="1" t="s">
        <v>1778</v>
      </c>
      <c r="C722" s="2" t="s">
        <v>1779</v>
      </c>
      <c r="D722" s="2" t="str">
        <f t="shared" si="24"/>
        <v>cặp đôi nữ màu da sẫm vừa nam màu da sẫm với trái tim</v>
      </c>
      <c r="E722" s="3" t="str">
        <f t="shared" si="2"/>
        <v>couple with heart woman man medium-dark skin tone dark skin tone</v>
      </c>
    </row>
    <row r="723" ht="15.75" customHeight="1">
      <c r="A723" s="1" t="s">
        <v>1780</v>
      </c>
      <c r="B723" s="1" t="s">
        <v>1781</v>
      </c>
      <c r="C723" s="2" t="s">
        <v>1782</v>
      </c>
      <c r="D723" s="2" t="str">
        <f t="shared" si="24"/>
        <v>cặp đôi nữ màu da sẫm vừa nam màu da sáng với trái tim</v>
      </c>
      <c r="E723" s="3" t="str">
        <f t="shared" si="2"/>
        <v>couple with heart woman man medium-dark skin tone light skin tone</v>
      </c>
    </row>
    <row r="724" ht="15.75" customHeight="1">
      <c r="A724" s="1" t="s">
        <v>1783</v>
      </c>
      <c r="B724" s="1" t="s">
        <v>1784</v>
      </c>
      <c r="C724" s="2" t="s">
        <v>1785</v>
      </c>
      <c r="D724" s="2" t="str">
        <f t="shared" si="24"/>
        <v>cặp đôi nữ màu da sẫm vừa nam màu da sáng vừa với trái tim</v>
      </c>
      <c r="E724" s="3" t="str">
        <f t="shared" si="2"/>
        <v>couple with heart woman man medium-dark skin tone medium-light skin tone</v>
      </c>
    </row>
    <row r="725" ht="15.75" customHeight="1">
      <c r="A725" s="1" t="s">
        <v>1786</v>
      </c>
      <c r="B725" s="1" t="s">
        <v>1787</v>
      </c>
      <c r="C725" s="2" t="s">
        <v>1788</v>
      </c>
      <c r="D725" s="2" t="str">
        <f t="shared" si="24"/>
        <v>cặp đôi nữ màu da sẫm vừa nam màu da thường với trái tim</v>
      </c>
      <c r="E725" s="3" t="str">
        <f t="shared" si="2"/>
        <v>couple with heart woman man medium-dark skin tone medium skin tone</v>
      </c>
    </row>
    <row r="726" ht="15.75" customHeight="1">
      <c r="A726" s="1" t="s">
        <v>1789</v>
      </c>
      <c r="B726" s="1" t="s">
        <v>1790</v>
      </c>
      <c r="C726" s="2" t="s">
        <v>1791</v>
      </c>
      <c r="D726" s="2" t="str">
        <f t="shared" si="24"/>
        <v>cặp đôi nữ nam màu da sáng vừa với trái tim</v>
      </c>
      <c r="E726" s="3" t="str">
        <f t="shared" si="2"/>
        <v>couple with heart woman man medium-light skin tone</v>
      </c>
    </row>
    <row r="727" ht="15.75" customHeight="1">
      <c r="A727" s="1" t="s">
        <v>1792</v>
      </c>
      <c r="B727" s="1" t="s">
        <v>1793</v>
      </c>
      <c r="C727" s="2" t="s">
        <v>1794</v>
      </c>
      <c r="D727" s="2" t="str">
        <f t="shared" si="24"/>
        <v>cặp đôi nữ màu da sáng vừa nam màu da sẫm với trái tim</v>
      </c>
      <c r="E727" s="3" t="str">
        <f t="shared" si="2"/>
        <v>couple with heart woman man medium-light skin tone dark skin tone</v>
      </c>
    </row>
    <row r="728" ht="15.75" customHeight="1">
      <c r="A728" s="1" t="s">
        <v>1795</v>
      </c>
      <c r="B728" s="1" t="s">
        <v>1796</v>
      </c>
      <c r="C728" s="2" t="s">
        <v>1797</v>
      </c>
      <c r="D728" s="2" t="str">
        <f t="shared" si="24"/>
        <v>cặp đôi nữ màu da sáng vừa nam màu da sáng với trái tim</v>
      </c>
      <c r="E728" s="3" t="str">
        <f t="shared" si="2"/>
        <v>couple with heart woman man medium-light skin tone light skin tone</v>
      </c>
    </row>
    <row r="729" ht="15.75" customHeight="1">
      <c r="A729" s="1" t="s">
        <v>1798</v>
      </c>
      <c r="B729" s="1" t="s">
        <v>1799</v>
      </c>
      <c r="C729" s="2" t="s">
        <v>1800</v>
      </c>
      <c r="D729" s="2" t="str">
        <f t="shared" si="24"/>
        <v>cặp đôi nữ màu da sáng vừa nam màu da sẫm vừa với trái tim</v>
      </c>
      <c r="E729" s="3" t="str">
        <f t="shared" si="2"/>
        <v>couple with heart woman man medium-light skin tone medium-dark skin tone</v>
      </c>
    </row>
    <row r="730" ht="15.75" customHeight="1">
      <c r="A730" s="1" t="s">
        <v>1801</v>
      </c>
      <c r="B730" s="1" t="s">
        <v>1802</v>
      </c>
      <c r="C730" s="2" t="s">
        <v>1803</v>
      </c>
      <c r="D730" s="2" t="str">
        <f t="shared" si="24"/>
        <v>cặp đôi nữ màu da sáng vừa nam màu da thường với trái tim</v>
      </c>
      <c r="E730" s="3" t="str">
        <f t="shared" si="2"/>
        <v>couple with heart woman man medium-light skin tone medium skin tone</v>
      </c>
    </row>
    <row r="731" ht="15.75" customHeight="1">
      <c r="A731" s="1" t="s">
        <v>1804</v>
      </c>
      <c r="B731" s="1" t="s">
        <v>1805</v>
      </c>
      <c r="C731" s="2" t="s">
        <v>1806</v>
      </c>
      <c r="D731" s="2" t="str">
        <f t="shared" si="24"/>
        <v>cặp đôi nữ nam màu da thường với trái tim</v>
      </c>
      <c r="E731" s="3" t="str">
        <f t="shared" si="2"/>
        <v>couple with heart woman man medium skin tone</v>
      </c>
    </row>
    <row r="732" ht="15.75" customHeight="1">
      <c r="A732" s="1" t="s">
        <v>1807</v>
      </c>
      <c r="B732" s="1" t="s">
        <v>1808</v>
      </c>
      <c r="C732" s="2" t="s">
        <v>1809</v>
      </c>
      <c r="D732" s="2" t="str">
        <f t="shared" si="24"/>
        <v>cặp đôi nữ màu da thường nam màu da sẫm với trái tim</v>
      </c>
      <c r="E732" s="3" t="str">
        <f t="shared" si="2"/>
        <v>couple with heart woman man medium skin tone dark skin tone</v>
      </c>
    </row>
    <row r="733" ht="15.75" customHeight="1">
      <c r="A733" s="1" t="s">
        <v>1810</v>
      </c>
      <c r="B733" s="1" t="s">
        <v>1811</v>
      </c>
      <c r="C733" s="2" t="s">
        <v>1812</v>
      </c>
      <c r="D733" s="2" t="str">
        <f t="shared" si="24"/>
        <v>cặp đôi nữ màu da thường nam màu da sáng với trái tim</v>
      </c>
      <c r="E733" s="3" t="str">
        <f t="shared" si="2"/>
        <v>couple with heart woman man medium skin tone light skin tone</v>
      </c>
    </row>
    <row r="734" ht="15.75" customHeight="1">
      <c r="A734" s="1" t="s">
        <v>1813</v>
      </c>
      <c r="B734" s="1" t="s">
        <v>1814</v>
      </c>
      <c r="C734" s="2" t="s">
        <v>1815</v>
      </c>
      <c r="D734" s="2" t="str">
        <f t="shared" si="24"/>
        <v>cặp đôi nữ màu da thường nam màu da sẫm vừa với trái tim</v>
      </c>
      <c r="E734" s="3" t="str">
        <f t="shared" si="2"/>
        <v>couple with heart woman man medium skin tone medium-dark skin tone</v>
      </c>
    </row>
    <row r="735" ht="15.75" customHeight="1">
      <c r="A735" s="1" t="s">
        <v>1816</v>
      </c>
      <c r="B735" s="1" t="s">
        <v>1817</v>
      </c>
      <c r="C735" s="2" t="s">
        <v>1818</v>
      </c>
      <c r="D735" s="2" t="str">
        <f t="shared" si="24"/>
        <v>cặp đôi nữ màu da thường nam màu da sáng vừa với trái tim</v>
      </c>
      <c r="E735" s="3" t="str">
        <f t="shared" si="2"/>
        <v>couple with heart woman man medium skin tone medium-light skin tone</v>
      </c>
    </row>
    <row r="736" ht="15.75" customHeight="1">
      <c r="A736" s="1" t="s">
        <v>1819</v>
      </c>
      <c r="B736" s="1" t="s">
        <v>1820</v>
      </c>
      <c r="C736" s="2" t="s">
        <v>1821</v>
      </c>
      <c r="D736" s="2" t="str">
        <f t="shared" si="24"/>
        <v>cặp đôi nữ với trái tim</v>
      </c>
      <c r="E736" s="3" t="str">
        <f t="shared" si="2"/>
        <v>couple with heart woman woman</v>
      </c>
    </row>
    <row r="737" ht="15.75" customHeight="1">
      <c r="A737" s="1" t="s">
        <v>1822</v>
      </c>
      <c r="B737" s="1" t="s">
        <v>1823</v>
      </c>
      <c r="C737" s="2" t="s">
        <v>1824</v>
      </c>
      <c r="D737" s="2" t="str">
        <f t="shared" si="24"/>
        <v>cặp đôi nữ màu da sẫm với trái tim</v>
      </c>
      <c r="E737" s="3" t="str">
        <f t="shared" si="2"/>
        <v>couple with heart woman woman dark skin tone</v>
      </c>
    </row>
    <row r="738" ht="15.75" customHeight="1">
      <c r="A738" s="1" t="s">
        <v>1825</v>
      </c>
      <c r="B738" s="1" t="s">
        <v>1826</v>
      </c>
      <c r="C738" s="2" t="s">
        <v>1827</v>
      </c>
      <c r="D738" s="2" t="str">
        <f t="shared" si="24"/>
        <v>cặp đôi nữ màu da sẫm nữ màu da sáng với trái tim</v>
      </c>
      <c r="E738" s="3" t="str">
        <f t="shared" si="2"/>
        <v>couple with heart woman woman dark skin tone light skin tone</v>
      </c>
    </row>
    <row r="739" ht="15.75" customHeight="1">
      <c r="A739" s="1" t="s">
        <v>1828</v>
      </c>
      <c r="B739" s="1" t="s">
        <v>1829</v>
      </c>
      <c r="C739" s="2" t="s">
        <v>1830</v>
      </c>
      <c r="D739" s="2" t="str">
        <f t="shared" si="24"/>
        <v>cặp đôi nữ màu da sẫm nữ màu da sẫm vừa với trái tim</v>
      </c>
      <c r="E739" s="3" t="str">
        <f t="shared" si="2"/>
        <v>couple with heart woman woman dark skin tone medium-dark skin tone</v>
      </c>
    </row>
    <row r="740" ht="15.75" customHeight="1">
      <c r="A740" s="1" t="s">
        <v>1831</v>
      </c>
      <c r="B740" s="1" t="s">
        <v>1832</v>
      </c>
      <c r="C740" s="2" t="s">
        <v>1833</v>
      </c>
      <c r="D740" s="2" t="str">
        <f t="shared" si="24"/>
        <v>cặp đôi nữ màu da sẫm nữ màu da sáng vừa với trái tim</v>
      </c>
      <c r="E740" s="3" t="str">
        <f t="shared" si="2"/>
        <v>couple with heart woman woman dark skin tone medium-light skin tone</v>
      </c>
    </row>
    <row r="741" ht="15.75" customHeight="1">
      <c r="A741" s="1" t="s">
        <v>1834</v>
      </c>
      <c r="B741" s="1" t="s">
        <v>1835</v>
      </c>
      <c r="C741" s="2" t="s">
        <v>1836</v>
      </c>
      <c r="D741" s="2" t="str">
        <f t="shared" si="24"/>
        <v>cặp đôi nữ màu da sẫm nữ màu da thường với trái tim</v>
      </c>
      <c r="E741" s="3" t="str">
        <f t="shared" si="2"/>
        <v>couple with heart woman woman dark skin tone medium skin tone</v>
      </c>
    </row>
    <row r="742" ht="15.75" customHeight="1">
      <c r="A742" s="1" t="s">
        <v>1837</v>
      </c>
      <c r="B742" s="1" t="s">
        <v>1838</v>
      </c>
      <c r="C742" s="2" t="s">
        <v>1839</v>
      </c>
      <c r="D742" s="2" t="str">
        <f t="shared" si="24"/>
        <v>cặp đôi nữ màu da sáng với trái tim</v>
      </c>
      <c r="E742" s="3" t="str">
        <f t="shared" si="2"/>
        <v>couple with heart woman woman light skin tone</v>
      </c>
    </row>
    <row r="743" ht="15.75" customHeight="1">
      <c r="A743" s="1" t="s">
        <v>1840</v>
      </c>
      <c r="B743" s="1" t="s">
        <v>1841</v>
      </c>
      <c r="C743" s="2" t="s">
        <v>1842</v>
      </c>
      <c r="D743" s="2" t="str">
        <f t="shared" si="24"/>
        <v>cặp đôi nữ màu da sáng nữ màu da sẫm với trái tim</v>
      </c>
      <c r="E743" s="3" t="str">
        <f t="shared" si="2"/>
        <v>couple with heart woman woman light skin tone dark skin tone</v>
      </c>
    </row>
    <row r="744" ht="15.75" customHeight="1">
      <c r="A744" s="1" t="s">
        <v>1843</v>
      </c>
      <c r="B744" s="1" t="s">
        <v>1844</v>
      </c>
      <c r="C744" s="2" t="s">
        <v>1845</v>
      </c>
      <c r="D744" s="2" t="str">
        <f t="shared" si="24"/>
        <v>cặp đôi nữ màu da sáng nữ màu da sẫm vừa với trái tim</v>
      </c>
      <c r="E744" s="3" t="str">
        <f t="shared" si="2"/>
        <v>couple with heart woman woman light skin tone medium-dark skin tone</v>
      </c>
    </row>
    <row r="745" ht="15.75" customHeight="1">
      <c r="A745" s="1" t="s">
        <v>1846</v>
      </c>
      <c r="B745" s="1" t="s">
        <v>1847</v>
      </c>
      <c r="C745" s="2" t="s">
        <v>1848</v>
      </c>
      <c r="D745" s="2" t="str">
        <f t="shared" si="24"/>
        <v>cặp đôi nữ màu da sáng nữ màu da sáng vừa với trái tim</v>
      </c>
      <c r="E745" s="3" t="str">
        <f t="shared" si="2"/>
        <v>couple with heart woman woman light skin tone medium-light skin tone</v>
      </c>
    </row>
    <row r="746" ht="15.75" customHeight="1">
      <c r="A746" s="1" t="s">
        <v>1849</v>
      </c>
      <c r="B746" s="1" t="s">
        <v>1850</v>
      </c>
      <c r="C746" s="2" t="s">
        <v>1851</v>
      </c>
      <c r="D746" s="2" t="str">
        <f t="shared" si="24"/>
        <v>cặp đôi nữ màu da sáng nữ màu da thường với trái tim</v>
      </c>
      <c r="E746" s="3" t="str">
        <f t="shared" si="2"/>
        <v>couple with heart woman woman light skin tone medium skin tone</v>
      </c>
    </row>
    <row r="747" ht="15.75" customHeight="1">
      <c r="A747" s="1" t="s">
        <v>1852</v>
      </c>
      <c r="B747" s="1" t="s">
        <v>1853</v>
      </c>
      <c r="C747" s="2" t="s">
        <v>1854</v>
      </c>
      <c r="D747" s="2" t="str">
        <f t="shared" si="24"/>
        <v>cặp đôi nữ màu da sẫm vừa với trái tim</v>
      </c>
      <c r="E747" s="3" t="str">
        <f t="shared" si="2"/>
        <v>couple with heart woman woman medium-dark skin tone</v>
      </c>
    </row>
    <row r="748" ht="15.75" customHeight="1">
      <c r="A748" s="1" t="s">
        <v>1855</v>
      </c>
      <c r="B748" s="1" t="s">
        <v>1856</v>
      </c>
      <c r="C748" s="2" t="s">
        <v>1857</v>
      </c>
      <c r="D748" s="2" t="str">
        <f t="shared" si="24"/>
        <v>cặp đôi nữ màu da sẫm vừa nữ màu da sẫm với trái tim</v>
      </c>
      <c r="E748" s="3" t="str">
        <f t="shared" si="2"/>
        <v>couple with heart woman woman medium-dark skin tone dark skin tone</v>
      </c>
    </row>
    <row r="749" ht="15.75" customHeight="1">
      <c r="A749" s="1" t="s">
        <v>1858</v>
      </c>
      <c r="B749" s="1" t="s">
        <v>1859</v>
      </c>
      <c r="C749" s="2" t="s">
        <v>1860</v>
      </c>
      <c r="D749" s="2" t="str">
        <f t="shared" si="24"/>
        <v>cặp đôi nữ màu da sẫm vừa nữ màu da sáng với trái tim</v>
      </c>
      <c r="E749" s="3" t="str">
        <f t="shared" si="2"/>
        <v>couple with heart woman woman medium-dark skin tone light skin tone</v>
      </c>
    </row>
    <row r="750" ht="15.75" customHeight="1">
      <c r="A750" s="1" t="s">
        <v>1861</v>
      </c>
      <c r="B750" s="1" t="s">
        <v>1862</v>
      </c>
      <c r="C750" s="2" t="s">
        <v>1863</v>
      </c>
      <c r="D750" s="2" t="str">
        <f t="shared" si="24"/>
        <v>cặp đôi nữ màu da sẫm vừa nữ màu da sáng vừa với trái tim</v>
      </c>
      <c r="E750" s="3" t="str">
        <f t="shared" si="2"/>
        <v>couple with heart woman woman medium-dark skin tone medium-light skin tone</v>
      </c>
    </row>
    <row r="751" ht="15.75" customHeight="1">
      <c r="A751" s="1" t="s">
        <v>1864</v>
      </c>
      <c r="B751" s="1" t="s">
        <v>1865</v>
      </c>
      <c r="C751" s="2" t="s">
        <v>1866</v>
      </c>
      <c r="D751" s="2" t="str">
        <f t="shared" si="24"/>
        <v>cặp đôi nữ màu da sẫm vừa nữ màu da thường với trái tim</v>
      </c>
      <c r="E751" s="3" t="str">
        <f t="shared" si="2"/>
        <v>couple with heart woman woman medium-dark skin tone medium skin tone</v>
      </c>
    </row>
    <row r="752" ht="15.75" customHeight="1">
      <c r="A752" s="1" t="s">
        <v>1867</v>
      </c>
      <c r="B752" s="1" t="s">
        <v>1868</v>
      </c>
      <c r="C752" s="2" t="s">
        <v>1869</v>
      </c>
      <c r="D752" s="2" t="str">
        <f t="shared" si="24"/>
        <v>cặp đôi nữ màu da sáng vừa với trái tim</v>
      </c>
      <c r="E752" s="3" t="str">
        <f t="shared" si="2"/>
        <v>couple with heart woman woman medium-light skin tone</v>
      </c>
    </row>
    <row r="753" ht="15.75" customHeight="1">
      <c r="A753" s="1" t="s">
        <v>1870</v>
      </c>
      <c r="B753" s="1" t="s">
        <v>1871</v>
      </c>
      <c r="C753" s="2" t="s">
        <v>1872</v>
      </c>
      <c r="D753" s="2" t="str">
        <f t="shared" si="24"/>
        <v>cặp đôi nữ màu da sáng vừa nữ màu da sẫm với trái tim</v>
      </c>
      <c r="E753" s="3" t="str">
        <f t="shared" si="2"/>
        <v>couple with heart woman woman medium-light skin tone dark skin tone</v>
      </c>
    </row>
    <row r="754" ht="15.75" customHeight="1">
      <c r="A754" s="1" t="s">
        <v>1873</v>
      </c>
      <c r="B754" s="1" t="s">
        <v>1874</v>
      </c>
      <c r="C754" s="2" t="s">
        <v>1875</v>
      </c>
      <c r="D754" s="2" t="str">
        <f t="shared" si="24"/>
        <v>cặp đôi nữ màu da sáng vừa nữ màu da sáng với trái tim</v>
      </c>
      <c r="E754" s="3" t="str">
        <f t="shared" si="2"/>
        <v>couple with heart woman woman medium-light skin tone light skin tone</v>
      </c>
    </row>
    <row r="755" ht="15.75" customHeight="1">
      <c r="A755" s="1" t="s">
        <v>1876</v>
      </c>
      <c r="B755" s="1" t="s">
        <v>1877</v>
      </c>
      <c r="C755" s="2" t="s">
        <v>1878</v>
      </c>
      <c r="D755" s="2" t="str">
        <f t="shared" si="24"/>
        <v>cặp đôi nữ màu da sáng vừa nữ màu da sẫm vừa với trái tim</v>
      </c>
      <c r="E755" s="3" t="str">
        <f t="shared" si="2"/>
        <v>couple with heart woman woman medium-light skin tone medium-dark skin tone</v>
      </c>
    </row>
    <row r="756" ht="15.75" customHeight="1">
      <c r="A756" s="1" t="s">
        <v>1879</v>
      </c>
      <c r="B756" s="1" t="s">
        <v>1880</v>
      </c>
      <c r="C756" s="2" t="s">
        <v>1881</v>
      </c>
      <c r="D756" s="2" t="str">
        <f t="shared" si="24"/>
        <v>cặp đôi nữ màu da sáng vừa nữ màu da thường với trái tim</v>
      </c>
      <c r="E756" s="3" t="str">
        <f t="shared" si="2"/>
        <v>couple with heart woman woman medium-light skin tone medium skin tone</v>
      </c>
    </row>
    <row r="757" ht="15.75" customHeight="1">
      <c r="A757" s="1" t="s">
        <v>1882</v>
      </c>
      <c r="B757" s="1" t="s">
        <v>1883</v>
      </c>
      <c r="C757" s="2" t="s">
        <v>1884</v>
      </c>
      <c r="D757" s="2" t="str">
        <f t="shared" si="24"/>
        <v>cặp đôi nữa màu da thường với trái tim</v>
      </c>
      <c r="E757" s="3" t="str">
        <f t="shared" si="2"/>
        <v>couple with heart woman woman medium skin tone</v>
      </c>
    </row>
    <row r="758" ht="15.75" customHeight="1">
      <c r="A758" s="1" t="s">
        <v>1885</v>
      </c>
      <c r="B758" s="1" t="s">
        <v>1886</v>
      </c>
      <c r="C758" s="2" t="s">
        <v>1887</v>
      </c>
      <c r="D758" s="2" t="str">
        <f t="shared" si="24"/>
        <v>cặp đôi nữ màu da thường nữ màu da sẫm với trái tim</v>
      </c>
      <c r="E758" s="3" t="str">
        <f t="shared" si="2"/>
        <v>couple with heart woman woman medium skin tone dark skin tone</v>
      </c>
    </row>
    <row r="759" ht="15.75" customHeight="1">
      <c r="A759" s="1" t="s">
        <v>1888</v>
      </c>
      <c r="B759" s="1" t="s">
        <v>1889</v>
      </c>
      <c r="C759" s="2" t="s">
        <v>1890</v>
      </c>
      <c r="D759" s="2" t="str">
        <f t="shared" si="24"/>
        <v>cặp đôi nữ màu da thường nữ màu da sáng với trái tim</v>
      </c>
      <c r="E759" s="3" t="str">
        <f t="shared" si="2"/>
        <v>couple with heart woman woman medium skin tone light skin tone</v>
      </c>
    </row>
    <row r="760" ht="15.75" customHeight="1">
      <c r="A760" s="1" t="s">
        <v>1891</v>
      </c>
      <c r="B760" s="1" t="s">
        <v>1892</v>
      </c>
      <c r="C760" s="2" t="s">
        <v>1893</v>
      </c>
      <c r="D760" s="2" t="str">
        <f t="shared" si="24"/>
        <v>cặp đôi nữ màu da thường nữ màu da sẫm vừa với trái tim</v>
      </c>
      <c r="E760" s="3" t="str">
        <f t="shared" si="2"/>
        <v>couple with heart woman woman medium skin tone medium-dark skin tone</v>
      </c>
    </row>
    <row r="761" ht="15.75" customHeight="1">
      <c r="A761" s="1" t="s">
        <v>1894</v>
      </c>
      <c r="B761" s="1" t="s">
        <v>1895</v>
      </c>
      <c r="C761" s="2" t="s">
        <v>1896</v>
      </c>
      <c r="D761" s="2" t="str">
        <f t="shared" si="24"/>
        <v>cặp đôi nữ màu da thường nữ màu da sáng vừa với trái tim</v>
      </c>
      <c r="E761" s="3" t="str">
        <f t="shared" si="2"/>
        <v>couple with heart woman woman medium skin tone medium-light skin tone</v>
      </c>
    </row>
    <row r="762" ht="15.75" customHeight="1">
      <c r="A762" s="1" t="s">
        <v>1897</v>
      </c>
      <c r="B762" s="1" t="s">
        <v>1898</v>
      </c>
      <c r="C762" s="2" t="str">
        <f>IFERROR(__xludf.DUMMYFUNCTION("GOOGLETRANSLATE(E762, ""en"",""vi"")"),"con bò")</f>
        <v>con bò</v>
      </c>
      <c r="D762" s="2" t="str">
        <f t="shared" si="24"/>
        <v>con bò</v>
      </c>
      <c r="E762" s="3" t="str">
        <f t="shared" si="2"/>
        <v>cow</v>
      </c>
    </row>
    <row r="763" ht="15.75" customHeight="1">
      <c r="A763" s="1" t="s">
        <v>1899</v>
      </c>
      <c r="B763" s="1" t="s">
        <v>1900</v>
      </c>
      <c r="C763" s="2" t="str">
        <f>IFERROR(__xludf.DUMMYFUNCTION("GOOGLETRANSLATE(E763, ""en"",""vi"")"),"mặt bò")</f>
        <v>mặt bò</v>
      </c>
      <c r="D763" s="2" t="str">
        <f t="shared" si="24"/>
        <v>mặt bò</v>
      </c>
      <c r="E763" s="3" t="str">
        <f t="shared" si="2"/>
        <v>cow face</v>
      </c>
    </row>
    <row r="764" ht="15.75" customHeight="1">
      <c r="A764" s="1" t="s">
        <v>1901</v>
      </c>
      <c r="B764" s="1" t="s">
        <v>1902</v>
      </c>
      <c r="C764" s="2" t="str">
        <f>IFERROR(__xludf.DUMMYFUNCTION("GOOGLETRANSLATE(E764, ""en"",""vi"")"),"mặt mũ cao bồi")</f>
        <v>mặt mũ cao bồi</v>
      </c>
      <c r="D764" s="2" t="str">
        <f t="shared" si="24"/>
        <v>mặt mũ cao bồi</v>
      </c>
      <c r="E764" s="3" t="str">
        <f t="shared" si="2"/>
        <v>cowboy hat face</v>
      </c>
    </row>
    <row r="765" ht="15.75" customHeight="1">
      <c r="A765" s="1" t="s">
        <v>1903</v>
      </c>
      <c r="B765" s="1" t="s">
        <v>1904</v>
      </c>
      <c r="C765" s="2" t="str">
        <f>IFERROR(__xludf.DUMMYFUNCTION("GOOGLETRANSLATE(E765, ""en"",""vi"")"),"cua")</f>
        <v>cua</v>
      </c>
      <c r="D765" s="2" t="str">
        <f t="shared" si="24"/>
        <v>cua</v>
      </c>
      <c r="E765" s="3" t="str">
        <f t="shared" si="2"/>
        <v>crab</v>
      </c>
    </row>
    <row r="766" ht="15.75" customHeight="1">
      <c r="A766" s="1" t="s">
        <v>1905</v>
      </c>
      <c r="B766" s="1" t="s">
        <v>1906</v>
      </c>
      <c r="C766" s="2" t="str">
        <f>IFERROR(__xludf.DUMMYFUNCTION("GOOGLETRANSLATE(E766, ""en"",""vi"")"),"bút chì màu")</f>
        <v>bút chì màu</v>
      </c>
      <c r="D766" s="2" t="str">
        <f t="shared" si="24"/>
        <v>bút chì màu</v>
      </c>
      <c r="E766" s="3" t="str">
        <f t="shared" si="2"/>
        <v>crayon</v>
      </c>
    </row>
    <row r="767" ht="15.75" customHeight="1">
      <c r="A767" s="1" t="s">
        <v>1907</v>
      </c>
      <c r="B767" s="1" t="s">
        <v>1908</v>
      </c>
      <c r="C767" s="2" t="str">
        <f>IFERROR(__xludf.DUMMYFUNCTION("GOOGLETRANSLATE(E767, ""en"",""vi"")"),"thẻ tín dụng")</f>
        <v>thẻ tín dụng</v>
      </c>
      <c r="D767" s="2" t="str">
        <f t="shared" si="24"/>
        <v>thẻ tín dụng</v>
      </c>
      <c r="E767" s="3" t="str">
        <f t="shared" si="2"/>
        <v>credit card</v>
      </c>
    </row>
    <row r="768" ht="15.75" customHeight="1">
      <c r="A768" s="1" t="s">
        <v>1909</v>
      </c>
      <c r="B768" s="1" t="s">
        <v>1910</v>
      </c>
      <c r="C768" s="2" t="str">
        <f>IFERROR(__xludf.DUMMYFUNCTION("GOOGLETRANSLATE(E768, ""en"",""vi"")"),"trăng lưỡi liềm")</f>
        <v>trăng lưỡi liềm</v>
      </c>
      <c r="D768" s="2" t="str">
        <f t="shared" si="24"/>
        <v>trăng lưỡi liềm</v>
      </c>
      <c r="E768" s="3" t="str">
        <f t="shared" si="2"/>
        <v>crescent moon</v>
      </c>
    </row>
    <row r="769" ht="15.75" customHeight="1">
      <c r="A769" s="1" t="s">
        <v>1911</v>
      </c>
      <c r="B769" s="1" t="s">
        <v>1912</v>
      </c>
      <c r="C769" s="2" t="s">
        <v>1913</v>
      </c>
      <c r="D769" s="2" t="str">
        <f t="shared" si="24"/>
        <v>con dế</v>
      </c>
      <c r="E769" s="3" t="str">
        <f t="shared" si="2"/>
        <v>cricket</v>
      </c>
    </row>
    <row r="770" ht="15.75" customHeight="1">
      <c r="A770" s="1" t="s">
        <v>1914</v>
      </c>
      <c r="B770" s="1" t="s">
        <v>1915</v>
      </c>
      <c r="C770" s="2" t="s">
        <v>1916</v>
      </c>
      <c r="D770" s="2" t="str">
        <f t="shared" si="24"/>
        <v>bóng chày</v>
      </c>
      <c r="E770" s="3" t="str">
        <f t="shared" si="2"/>
        <v>cricket game</v>
      </c>
    </row>
    <row r="771" ht="15.75" customHeight="1">
      <c r="A771" s="1" t="s">
        <v>1917</v>
      </c>
      <c r="B771" s="1" t="s">
        <v>1918</v>
      </c>
      <c r="C771" s="2" t="str">
        <f>IFERROR(__xludf.DUMMYFUNCTION("GOOGLETRANSLATE(E771, ""en"",""vi"")"),"cá sấu")</f>
        <v>cá sấu</v>
      </c>
      <c r="D771" s="2" t="str">
        <f t="shared" si="24"/>
        <v>cá sấu</v>
      </c>
      <c r="E771" s="3" t="str">
        <f t="shared" si="2"/>
        <v>crocodile</v>
      </c>
    </row>
    <row r="772" ht="15.75" customHeight="1">
      <c r="A772" s="1" t="s">
        <v>1919</v>
      </c>
      <c r="B772" s="1" t="s">
        <v>1920</v>
      </c>
      <c r="C772" s="2" t="s">
        <v>1921</v>
      </c>
      <c r="D772" s="2" t="str">
        <f t="shared" si="24"/>
        <v>bánh sừng bò</v>
      </c>
      <c r="E772" s="3" t="str">
        <f t="shared" si="2"/>
        <v>croissant</v>
      </c>
    </row>
    <row r="773" ht="15.75" customHeight="1">
      <c r="A773" s="1" t="s">
        <v>1922</v>
      </c>
      <c r="B773" s="1" t="s">
        <v>1923</v>
      </c>
      <c r="C773" s="2" t="s">
        <v>1378</v>
      </c>
      <c r="D773" s="2" t="str">
        <f t="shared" si="24"/>
        <v>dấu tích</v>
      </c>
      <c r="E773" s="3" t="str">
        <f t="shared" si="2"/>
        <v>cross mark</v>
      </c>
    </row>
    <row r="774" ht="15.75" customHeight="1">
      <c r="A774" s="1" t="s">
        <v>1924</v>
      </c>
      <c r="B774" s="1" t="s">
        <v>1925</v>
      </c>
      <c r="C774" s="2" t="s">
        <v>1926</v>
      </c>
      <c r="D774" s="2" t="str">
        <f t="shared" si="24"/>
        <v>nút dấu chéo</v>
      </c>
      <c r="E774" s="3" t="str">
        <f t="shared" si="2"/>
        <v>cross mark button</v>
      </c>
    </row>
    <row r="775" ht="15.75" customHeight="1">
      <c r="A775" s="1" t="s">
        <v>1927</v>
      </c>
      <c r="B775" s="1" t="s">
        <v>1928</v>
      </c>
      <c r="C775" s="2" t="s">
        <v>1929</v>
      </c>
      <c r="D775" s="2" t="str">
        <f t="shared" si="24"/>
        <v>ngón tay đan chéo</v>
      </c>
      <c r="E775" s="3" t="str">
        <f t="shared" si="2"/>
        <v>crossed fingers</v>
      </c>
    </row>
    <row r="776" ht="15.75" customHeight="1">
      <c r="A776" s="1" t="s">
        <v>1930</v>
      </c>
      <c r="B776" s="1" t="s">
        <v>1931</v>
      </c>
      <c r="C776" s="2" t="s">
        <v>1932</v>
      </c>
      <c r="D776" s="2" t="str">
        <f t="shared" si="24"/>
        <v>ngón tay đan chéo màu da sẫm</v>
      </c>
      <c r="E776" s="3" t="str">
        <f t="shared" si="2"/>
        <v>crossed fingers dark skin tone</v>
      </c>
    </row>
    <row r="777" ht="15.75" customHeight="1">
      <c r="A777" s="1" t="s">
        <v>1933</v>
      </c>
      <c r="B777" s="1" t="s">
        <v>1934</v>
      </c>
      <c r="C777" s="2" t="s">
        <v>1935</v>
      </c>
      <c r="D777" s="2" t="str">
        <f t="shared" si="24"/>
        <v>ngón tay đan chéo màu da sáng</v>
      </c>
      <c r="E777" s="3" t="str">
        <f t="shared" si="2"/>
        <v>crossed fingers light skin tone</v>
      </c>
    </row>
    <row r="778" ht="15.75" customHeight="1">
      <c r="A778" s="1" t="s">
        <v>1936</v>
      </c>
      <c r="B778" s="1" t="s">
        <v>1937</v>
      </c>
      <c r="C778" s="2" t="s">
        <v>1938</v>
      </c>
      <c r="D778" s="2" t="str">
        <f t="shared" si="24"/>
        <v>ngón tay đan chéo màu da sẫm vừa</v>
      </c>
      <c r="E778" s="3" t="str">
        <f t="shared" si="2"/>
        <v>crossed fingers medium-dark skin tone</v>
      </c>
    </row>
    <row r="779" ht="15.75" customHeight="1">
      <c r="A779" s="1" t="s">
        <v>1939</v>
      </c>
      <c r="B779" s="1" t="s">
        <v>1940</v>
      </c>
      <c r="C779" s="2" t="s">
        <v>1941</v>
      </c>
      <c r="D779" s="2" t="str">
        <f t="shared" si="24"/>
        <v>ngón tay đan chéo màu da sáng vừa</v>
      </c>
      <c r="E779" s="3" t="str">
        <f t="shared" si="2"/>
        <v>crossed fingers medium-light skin tone</v>
      </c>
    </row>
    <row r="780" ht="15.75" customHeight="1">
      <c r="A780" s="1" t="s">
        <v>1942</v>
      </c>
      <c r="B780" s="1" t="s">
        <v>1943</v>
      </c>
      <c r="C780" s="2" t="s">
        <v>1944</v>
      </c>
      <c r="D780" s="2" t="str">
        <f t="shared" si="24"/>
        <v>ngón tay đan chéo màu da thường</v>
      </c>
      <c r="E780" s="3" t="str">
        <f t="shared" si="2"/>
        <v>crossed fingers medium skin tone</v>
      </c>
    </row>
    <row r="781" ht="15.75" customHeight="1">
      <c r="A781" s="1" t="s">
        <v>1945</v>
      </c>
      <c r="B781" s="1" t="s">
        <v>1946</v>
      </c>
      <c r="C781" s="2" t="str">
        <f>IFERROR(__xludf.DUMMYFUNCTION("GOOGLETRANSLATE(E781, ""en"",""vi"")"),"cờ chéo")</f>
        <v>cờ chéo</v>
      </c>
      <c r="D781" s="2" t="str">
        <f t="shared" si="24"/>
        <v>cờ chéo</v>
      </c>
      <c r="E781" s="3" t="str">
        <f t="shared" si="2"/>
        <v>crossed flags</v>
      </c>
    </row>
    <row r="782" ht="15.75" customHeight="1">
      <c r="A782" s="1" t="s">
        <v>1947</v>
      </c>
      <c r="B782" s="1" t="s">
        <v>1948</v>
      </c>
      <c r="C782" s="2" t="str">
        <f>IFERROR(__xludf.DUMMYFUNCTION("GOOGLETRANSLATE(E782, ""en"",""vi"")"),"thanh kiếm bắt chéo")</f>
        <v>thanh kiếm bắt chéo</v>
      </c>
      <c r="D782" s="2" t="str">
        <f t="shared" si="24"/>
        <v>thanh kiếm bắt chéo</v>
      </c>
      <c r="E782" s="3" t="str">
        <f t="shared" si="2"/>
        <v>crossed swords</v>
      </c>
    </row>
    <row r="783" ht="15.75" customHeight="1">
      <c r="A783" s="1" t="s">
        <v>1949</v>
      </c>
      <c r="B783" s="1" t="s">
        <v>1950</v>
      </c>
      <c r="C783" s="2" t="str">
        <f>IFERROR(__xludf.DUMMYFUNCTION("GOOGLETRANSLATE(E783, ""en"",""vi"")"),"vương miện")</f>
        <v>vương miện</v>
      </c>
      <c r="D783" s="2" t="str">
        <f t="shared" si="24"/>
        <v>vương miện</v>
      </c>
      <c r="E783" s="3" t="str">
        <f t="shared" si="2"/>
        <v>crown</v>
      </c>
    </row>
    <row r="784" ht="15.75" customHeight="1">
      <c r="A784" s="1" t="s">
        <v>1951</v>
      </c>
      <c r="B784" s="1" t="s">
        <v>1952</v>
      </c>
      <c r="C784" s="2" t="s">
        <v>1953</v>
      </c>
      <c r="D784" s="2" t="str">
        <f t="shared" si="24"/>
        <v>mèo khóc</v>
      </c>
      <c r="E784" s="3" t="str">
        <f t="shared" si="2"/>
        <v>crying cat</v>
      </c>
    </row>
    <row r="785" ht="15.75" customHeight="1">
      <c r="A785" s="1" t="s">
        <v>1954</v>
      </c>
      <c r="B785" s="1" t="s">
        <v>1955</v>
      </c>
      <c r="C785" s="2" t="str">
        <f>IFERROR(__xludf.DUMMYFUNCTION("GOOGLETRANSLATE(E785, ""en"",""vi"")"),"khuôn mặt khóc")</f>
        <v>khuôn mặt khóc</v>
      </c>
      <c r="D785" s="2" t="str">
        <f t="shared" si="24"/>
        <v>khuôn mặt khóc</v>
      </c>
      <c r="E785" s="3" t="str">
        <f t="shared" si="2"/>
        <v>crying face</v>
      </c>
    </row>
    <row r="786" ht="15.75" customHeight="1">
      <c r="A786" s="1" t="s">
        <v>1956</v>
      </c>
      <c r="B786" s="1" t="s">
        <v>1957</v>
      </c>
      <c r="C786" s="2" t="str">
        <f>IFERROR(__xludf.DUMMYFUNCTION("GOOGLETRANSLATE(E786, ""en"",""vi"")"),"quả cầu pha lê")</f>
        <v>quả cầu pha lê</v>
      </c>
      <c r="D786" s="2" t="str">
        <f t="shared" si="24"/>
        <v>quả cầu pha lê</v>
      </c>
      <c r="E786" s="3" t="str">
        <f t="shared" si="2"/>
        <v>crystal ball</v>
      </c>
    </row>
    <row r="787" ht="15.75" customHeight="1">
      <c r="A787" s="1" t="s">
        <v>1958</v>
      </c>
      <c r="B787" s="1" t="s">
        <v>1959</v>
      </c>
      <c r="C787" s="2" t="str">
        <f>IFERROR(__xludf.DUMMYFUNCTION("GOOGLETRANSLATE(E787, ""en"",""vi"")"),"quả dưa chuột")</f>
        <v>quả dưa chuột</v>
      </c>
      <c r="D787" s="2" t="str">
        <f t="shared" si="24"/>
        <v>quả dưa chuột</v>
      </c>
      <c r="E787" s="3" t="str">
        <f t="shared" si="2"/>
        <v>cucumber</v>
      </c>
    </row>
    <row r="788" ht="15.75" customHeight="1">
      <c r="A788" s="1" t="s">
        <v>1960</v>
      </c>
      <c r="B788" s="1" t="s">
        <v>1961</v>
      </c>
      <c r="C788" s="2" t="s">
        <v>1962</v>
      </c>
      <c r="D788" s="2" t="str">
        <f t="shared" si="24"/>
        <v>cốc với ống rơm</v>
      </c>
      <c r="E788" s="3" t="str">
        <f t="shared" si="2"/>
        <v>cup with straw</v>
      </c>
    </row>
    <row r="789" ht="15.75" customHeight="1">
      <c r="A789" s="1" t="s">
        <v>1963</v>
      </c>
      <c r="B789" s="1" t="s">
        <v>1964</v>
      </c>
      <c r="C789" s="2" t="s">
        <v>1965</v>
      </c>
      <c r="D789" s="2" t="str">
        <f t="shared" si="24"/>
        <v>bánh cupcake</v>
      </c>
      <c r="E789" s="3" t="str">
        <f t="shared" si="2"/>
        <v>cupcake</v>
      </c>
    </row>
    <row r="790" ht="15.75" customHeight="1">
      <c r="A790" s="1" t="s">
        <v>1966</v>
      </c>
      <c r="B790" s="1" t="s">
        <v>1967</v>
      </c>
      <c r="C790" s="2" t="str">
        <f>IFERROR(__xludf.DUMMYFUNCTION("GOOGLETRANSLATE(E790, ""en"",""vi"")"),"đá uốn cong")</f>
        <v>đá uốn cong</v>
      </c>
      <c r="D790" s="2" t="str">
        <f t="shared" si="24"/>
        <v>đá uốn cong</v>
      </c>
      <c r="E790" s="3" t="str">
        <f t="shared" si="2"/>
        <v>curling stone</v>
      </c>
    </row>
    <row r="791" ht="15.75" customHeight="1">
      <c r="A791" s="1" t="s">
        <v>1968</v>
      </c>
      <c r="B791" s="1" t="s">
        <v>1969</v>
      </c>
      <c r="C791" s="2" t="str">
        <f>IFERROR(__xludf.DUMMYFUNCTION("GOOGLETRANSLATE(E791, ""en"",""vi"")"),"tóc xoăn")</f>
        <v>tóc xoăn</v>
      </c>
      <c r="D791" s="2" t="str">
        <f t="shared" si="24"/>
        <v>tóc xoăn</v>
      </c>
      <c r="E791" s="3" t="str">
        <f t="shared" si="2"/>
        <v>curly hair</v>
      </c>
    </row>
    <row r="792" ht="15.75" customHeight="1">
      <c r="A792" s="1" t="s">
        <v>1970</v>
      </c>
      <c r="B792" s="1" t="s">
        <v>1971</v>
      </c>
      <c r="C792" s="2" t="str">
        <f>IFERROR(__xludf.DUMMYFUNCTION("GOOGLETRANSLATE(E792, ""en"",""vi"")"),"vòng xoắn")</f>
        <v>vòng xoắn</v>
      </c>
      <c r="D792" s="2" t="str">
        <f t="shared" si="24"/>
        <v>vòng xoắn</v>
      </c>
      <c r="E792" s="3" t="str">
        <f t="shared" si="2"/>
        <v>curly loop</v>
      </c>
    </row>
    <row r="793" ht="15.75" customHeight="1">
      <c r="A793" s="1" t="s">
        <v>1972</v>
      </c>
      <c r="B793" s="1" t="s">
        <v>1973</v>
      </c>
      <c r="C793" s="2" t="str">
        <f>IFERROR(__xludf.DUMMYFUNCTION("GOOGLETRANSLATE(E793, ""en"",""vi"")"),"trao đổi tiền tệ")</f>
        <v>trao đổi tiền tệ</v>
      </c>
      <c r="D793" s="2" t="str">
        <f t="shared" si="24"/>
        <v>trao đổi tiền tệ</v>
      </c>
      <c r="E793" s="3" t="str">
        <f t="shared" si="2"/>
        <v>currency exchange</v>
      </c>
    </row>
    <row r="794" ht="15.75" customHeight="1">
      <c r="A794" s="1" t="s">
        <v>1974</v>
      </c>
      <c r="B794" s="1" t="s">
        <v>1975</v>
      </c>
      <c r="C794" s="2" t="str">
        <f>IFERROR(__xludf.DUMMYFUNCTION("GOOGLETRANSLATE(E794, ""en"",""vi"")"),"cơm cà ri")</f>
        <v>cơm cà ri</v>
      </c>
      <c r="D794" s="2" t="str">
        <f t="shared" si="24"/>
        <v>cơm cà ri</v>
      </c>
      <c r="E794" s="3" t="str">
        <f t="shared" si="2"/>
        <v>curry rice</v>
      </c>
    </row>
    <row r="795" ht="15.75" customHeight="1">
      <c r="A795" s="1" t="s">
        <v>1976</v>
      </c>
      <c r="B795" s="1" t="s">
        <v>1977</v>
      </c>
      <c r="C795" s="2" t="str">
        <f>IFERROR(__xludf.DUMMYFUNCTION("GOOGLETRANSLATE(E795, ""en"",""vi"")"),"sữa trứng")</f>
        <v>sữa trứng</v>
      </c>
      <c r="D795" s="2" t="str">
        <f t="shared" si="24"/>
        <v>sữa trứng</v>
      </c>
      <c r="E795" s="3" t="str">
        <f t="shared" si="2"/>
        <v>custard</v>
      </c>
    </row>
    <row r="796" ht="15.75" customHeight="1">
      <c r="A796" s="1" t="s">
        <v>1978</v>
      </c>
      <c r="B796" s="1" t="s">
        <v>1979</v>
      </c>
      <c r="C796" s="2" t="str">
        <f>IFERROR(__xludf.DUMMYFUNCTION("GOOGLETRANSLATE(E796, ""en"",""vi"")"),"phong tục")</f>
        <v>phong tục</v>
      </c>
      <c r="D796" s="2" t="str">
        <f t="shared" si="24"/>
        <v>phong tục</v>
      </c>
      <c r="E796" s="3" t="str">
        <f t="shared" si="2"/>
        <v>customs</v>
      </c>
    </row>
    <row r="797" ht="15.75" customHeight="1">
      <c r="A797" s="1" t="s">
        <v>1980</v>
      </c>
      <c r="B797" s="1" t="s">
        <v>1981</v>
      </c>
      <c r="C797" s="2" t="s">
        <v>1982</v>
      </c>
      <c r="D797" s="2" t="str">
        <f t="shared" si="24"/>
        <v>miếng thịt</v>
      </c>
      <c r="E797" s="3" t="str">
        <f t="shared" si="2"/>
        <v>cut of meat</v>
      </c>
    </row>
    <row r="798" ht="15.75" customHeight="1">
      <c r="A798" s="1" t="s">
        <v>1983</v>
      </c>
      <c r="B798" s="1" t="s">
        <v>1984</v>
      </c>
      <c r="C798" s="2" t="str">
        <f>IFERROR(__xludf.DUMMYFUNCTION("GOOGLETRANSLATE(E798, ""en"",""vi"")"),"cơn lốc xoáy")</f>
        <v>cơn lốc xoáy</v>
      </c>
      <c r="D798" s="2" t="str">
        <f t="shared" si="24"/>
        <v>cơn lốc xoáy</v>
      </c>
      <c r="E798" s="3" t="str">
        <f t="shared" si="2"/>
        <v>cyclone</v>
      </c>
    </row>
    <row r="799" ht="15.75" customHeight="1">
      <c r="A799" s="1" t="s">
        <v>1985</v>
      </c>
      <c r="B799" s="1" t="s">
        <v>1986</v>
      </c>
      <c r="C799" s="2" t="str">
        <f>IFERROR(__xludf.DUMMYFUNCTION("GOOGLETRANSLATE(E799, ""en"",""vi"")"),"dao găm")</f>
        <v>dao găm</v>
      </c>
      <c r="D799" s="2" t="str">
        <f t="shared" si="24"/>
        <v>dao găm</v>
      </c>
      <c r="E799" s="3" t="str">
        <f t="shared" si="2"/>
        <v>dagger</v>
      </c>
    </row>
    <row r="800" ht="15.75" customHeight="1">
      <c r="A800" s="1" t="s">
        <v>1987</v>
      </c>
      <c r="B800" s="1" t="s">
        <v>1988</v>
      </c>
      <c r="C800" s="2" t="s">
        <v>1989</v>
      </c>
      <c r="D800" s="2" t="str">
        <f t="shared" si="24"/>
        <v>bánh dango</v>
      </c>
      <c r="E800" s="3" t="str">
        <f t="shared" si="2"/>
        <v>dango</v>
      </c>
    </row>
    <row r="801" ht="15.75" customHeight="1">
      <c r="A801" s="1" t="s">
        <v>1990</v>
      </c>
      <c r="B801" s="1" t="s">
        <v>1991</v>
      </c>
      <c r="C801" s="2" t="str">
        <f>IFERROR(__xludf.DUMMYFUNCTION("GOOGLETRANSLATE(E801, ""en"",""vi"")"),"tông màu da tối")</f>
        <v>tông màu da tối</v>
      </c>
      <c r="D801" s="2" t="str">
        <f t="shared" si="24"/>
        <v>tông màu da tối</v>
      </c>
      <c r="E801" s="3" t="str">
        <f t="shared" si="2"/>
        <v>dark skin tone</v>
      </c>
    </row>
    <row r="802" ht="15.75" customHeight="1">
      <c r="A802" s="1" t="s">
        <v>1992</v>
      </c>
      <c r="B802" s="1" t="s">
        <v>1993</v>
      </c>
      <c r="C802" s="2" t="s">
        <v>1994</v>
      </c>
      <c r="D802" s="2" t="str">
        <f t="shared" si="24"/>
        <v>lướt đi</v>
      </c>
      <c r="E802" s="3" t="str">
        <f t="shared" si="2"/>
        <v>dashing away</v>
      </c>
    </row>
    <row r="803" ht="15.75" customHeight="1">
      <c r="A803" s="1" t="s">
        <v>1995</v>
      </c>
      <c r="B803" s="1" t="s">
        <v>1996</v>
      </c>
      <c r="C803" s="2" t="str">
        <f>IFERROR(__xludf.DUMMYFUNCTION("GOOGLETRANSLATE(E803, ""en"",""vi"")"),"người điếc")</f>
        <v>người điếc</v>
      </c>
      <c r="D803" s="2" t="str">
        <f t="shared" si="24"/>
        <v>người điếc</v>
      </c>
      <c r="E803" s="3" t="str">
        <f t="shared" si="2"/>
        <v>deaf man</v>
      </c>
    </row>
    <row r="804" ht="15.75" customHeight="1">
      <c r="A804" s="1" t="s">
        <v>1997</v>
      </c>
      <c r="B804" s="1" t="s">
        <v>1998</v>
      </c>
      <c r="C804" s="2" t="s">
        <v>1999</v>
      </c>
      <c r="D804" s="2" t="str">
        <f t="shared" si="24"/>
        <v>người đàn ông điếc màu da sẫm</v>
      </c>
      <c r="E804" s="3" t="str">
        <f t="shared" si="2"/>
        <v>deaf man dark skin tone</v>
      </c>
    </row>
    <row r="805" ht="15.75" customHeight="1">
      <c r="A805" s="1" t="s">
        <v>2000</v>
      </c>
      <c r="B805" s="1" t="s">
        <v>2001</v>
      </c>
      <c r="C805" s="2" t="s">
        <v>2002</v>
      </c>
      <c r="D805" s="2" t="str">
        <f t="shared" si="24"/>
        <v>người đàn ông điếc màu da sáng</v>
      </c>
      <c r="E805" s="3" t="str">
        <f t="shared" si="2"/>
        <v>deaf man light skin tone</v>
      </c>
    </row>
    <row r="806" ht="15.75" customHeight="1">
      <c r="A806" s="1" t="s">
        <v>2003</v>
      </c>
      <c r="B806" s="1" t="s">
        <v>2004</v>
      </c>
      <c r="C806" s="2" t="s">
        <v>2005</v>
      </c>
      <c r="D806" s="2" t="str">
        <f t="shared" si="24"/>
        <v>người đàn ông điếc màu da sẫm vừa</v>
      </c>
      <c r="E806" s="3" t="str">
        <f t="shared" si="2"/>
        <v>deaf man medium-dark skin tone</v>
      </c>
    </row>
    <row r="807" ht="15.75" customHeight="1">
      <c r="A807" s="1" t="s">
        <v>2006</v>
      </c>
      <c r="B807" s="1" t="s">
        <v>2007</v>
      </c>
      <c r="C807" s="2" t="s">
        <v>2008</v>
      </c>
      <c r="D807" s="2" t="str">
        <f t="shared" si="24"/>
        <v>người đàn ông điếc màu da sáng vừa</v>
      </c>
      <c r="E807" s="3" t="str">
        <f t="shared" si="2"/>
        <v>deaf man medium-light skin tone</v>
      </c>
    </row>
    <row r="808" ht="15.75" customHeight="1">
      <c r="A808" s="1" t="s">
        <v>2009</v>
      </c>
      <c r="B808" s="1" t="s">
        <v>2010</v>
      </c>
      <c r="C808" s="2" t="s">
        <v>2011</v>
      </c>
      <c r="D808" s="2" t="str">
        <f t="shared" si="24"/>
        <v>người đàn ông điếc màu da thường</v>
      </c>
      <c r="E808" s="3" t="str">
        <f t="shared" si="2"/>
        <v>deaf man medium skin tone</v>
      </c>
    </row>
    <row r="809" ht="15.75" customHeight="1">
      <c r="A809" s="1" t="s">
        <v>2012</v>
      </c>
      <c r="B809" s="1" t="s">
        <v>2013</v>
      </c>
      <c r="C809" s="2" t="str">
        <f>IFERROR(__xludf.DUMMYFUNCTION("GOOGLETRANSLATE(E809, ""en"",""vi"")"),"người điếc")</f>
        <v>người điếc</v>
      </c>
      <c r="D809" s="2" t="str">
        <f t="shared" si="24"/>
        <v>người điếc</v>
      </c>
      <c r="E809" s="3" t="str">
        <f t="shared" si="2"/>
        <v>deaf person</v>
      </c>
    </row>
    <row r="810" ht="15.75" customHeight="1">
      <c r="A810" s="1" t="s">
        <v>2014</v>
      </c>
      <c r="B810" s="1" t="s">
        <v>2015</v>
      </c>
      <c r="C810" s="2" t="s">
        <v>2016</v>
      </c>
      <c r="D810" s="2" t="str">
        <f t="shared" si="24"/>
        <v>người điếc màu da sẫm</v>
      </c>
      <c r="E810" s="3" t="str">
        <f t="shared" si="2"/>
        <v>deaf person dark skin tone</v>
      </c>
    </row>
    <row r="811" ht="15.75" customHeight="1">
      <c r="A811" s="1" t="s">
        <v>2017</v>
      </c>
      <c r="B811" s="1" t="s">
        <v>2018</v>
      </c>
      <c r="C811" s="2" t="s">
        <v>2019</v>
      </c>
      <c r="D811" s="2" t="str">
        <f t="shared" si="24"/>
        <v>người điếc màu da sáng</v>
      </c>
      <c r="E811" s="3" t="str">
        <f t="shared" si="2"/>
        <v>deaf person light skin tone</v>
      </c>
    </row>
    <row r="812" ht="15.75" customHeight="1">
      <c r="A812" s="1" t="s">
        <v>2020</v>
      </c>
      <c r="B812" s="1" t="s">
        <v>2021</v>
      </c>
      <c r="C812" s="2" t="s">
        <v>2022</v>
      </c>
      <c r="D812" s="2" t="str">
        <f t="shared" si="24"/>
        <v>người điếc màu da sẫm vừa</v>
      </c>
      <c r="E812" s="3" t="str">
        <f t="shared" si="2"/>
        <v>deaf person medium-dark skin tone</v>
      </c>
    </row>
    <row r="813" ht="15.75" customHeight="1">
      <c r="A813" s="1" t="s">
        <v>2023</v>
      </c>
      <c r="B813" s="1" t="s">
        <v>2024</v>
      </c>
      <c r="C813" s="2" t="s">
        <v>2025</v>
      </c>
      <c r="D813" s="2" t="str">
        <f t="shared" si="24"/>
        <v>người điếc màu da sáng vừa</v>
      </c>
      <c r="E813" s="3" t="str">
        <f t="shared" si="2"/>
        <v>deaf person medium-light skin tone</v>
      </c>
    </row>
    <row r="814" ht="15.75" customHeight="1">
      <c r="A814" s="1" t="s">
        <v>2026</v>
      </c>
      <c r="B814" s="1" t="s">
        <v>2027</v>
      </c>
      <c r="C814" s="2" t="s">
        <v>2028</v>
      </c>
      <c r="D814" s="2" t="str">
        <f t="shared" si="24"/>
        <v>người điếc màu da thường</v>
      </c>
      <c r="E814" s="3" t="str">
        <f t="shared" si="2"/>
        <v>deaf person medium skin tone</v>
      </c>
    </row>
    <row r="815" ht="15.75" customHeight="1">
      <c r="A815" s="1" t="s">
        <v>2029</v>
      </c>
      <c r="B815" s="1" t="s">
        <v>2030</v>
      </c>
      <c r="C815" s="2" t="str">
        <f>IFERROR(__xludf.DUMMYFUNCTION("GOOGLETRANSLATE(E815, ""en"",""vi"")"),"người phụ nữ điếc")</f>
        <v>người phụ nữ điếc</v>
      </c>
      <c r="D815" s="2" t="str">
        <f t="shared" si="24"/>
        <v>người phụ nữ điếc</v>
      </c>
      <c r="E815" s="3" t="str">
        <f t="shared" si="2"/>
        <v>deaf woman</v>
      </c>
    </row>
    <row r="816" ht="15.75" customHeight="1">
      <c r="A816" s="1" t="s">
        <v>2031</v>
      </c>
      <c r="B816" s="1" t="s">
        <v>2032</v>
      </c>
      <c r="C816" s="2" t="s">
        <v>2033</v>
      </c>
      <c r="D816" s="2" t="str">
        <f t="shared" si="24"/>
        <v>người phụ nữ điếc màu da sẫm</v>
      </c>
      <c r="E816" s="3" t="str">
        <f t="shared" si="2"/>
        <v>deaf woman dark skin tone</v>
      </c>
    </row>
    <row r="817" ht="15.75" customHeight="1">
      <c r="A817" s="1" t="s">
        <v>2034</v>
      </c>
      <c r="B817" s="1" t="s">
        <v>2035</v>
      </c>
      <c r="C817" s="2" t="s">
        <v>2036</v>
      </c>
      <c r="D817" s="2" t="str">
        <f t="shared" si="24"/>
        <v>người phụ nữ điếc màu da sáng</v>
      </c>
      <c r="E817" s="3" t="str">
        <f t="shared" si="2"/>
        <v>deaf woman light skin tone</v>
      </c>
    </row>
    <row r="818" ht="15.75" customHeight="1">
      <c r="A818" s="1" t="s">
        <v>2037</v>
      </c>
      <c r="B818" s="1" t="s">
        <v>2038</v>
      </c>
      <c r="C818" s="2" t="s">
        <v>2039</v>
      </c>
      <c r="D818" s="2" t="str">
        <f t="shared" si="24"/>
        <v>người phụ nữ điếc màu da sẫm vừa</v>
      </c>
      <c r="E818" s="3" t="str">
        <f t="shared" si="2"/>
        <v>deaf woman medium-dark skin tone</v>
      </c>
    </row>
    <row r="819" ht="15.75" customHeight="1">
      <c r="A819" s="1" t="s">
        <v>2040</v>
      </c>
      <c r="B819" s="1" t="s">
        <v>2041</v>
      </c>
      <c r="C819" s="2" t="s">
        <v>2042</v>
      </c>
      <c r="D819" s="2" t="str">
        <f t="shared" si="24"/>
        <v>người phụ nữ điếc màu da sáng vừa</v>
      </c>
      <c r="E819" s="3" t="str">
        <f t="shared" si="2"/>
        <v>deaf woman medium-light skin tone</v>
      </c>
    </row>
    <row r="820" ht="15.75" customHeight="1">
      <c r="A820" s="1" t="s">
        <v>2043</v>
      </c>
      <c r="B820" s="1" t="s">
        <v>2044</v>
      </c>
      <c r="C820" s="2" t="s">
        <v>2045</v>
      </c>
      <c r="D820" s="2" t="str">
        <f t="shared" si="24"/>
        <v>người phụ nữ điếc màu da thường</v>
      </c>
      <c r="E820" s="3" t="str">
        <f t="shared" si="2"/>
        <v>deaf woman medium skin tone</v>
      </c>
    </row>
    <row r="821" ht="15.75" customHeight="1">
      <c r="A821" s="1" t="s">
        <v>2046</v>
      </c>
      <c r="B821" s="1" t="s">
        <v>2047</v>
      </c>
      <c r="C821" s="2" t="str">
        <f>IFERROR(__xludf.DUMMYFUNCTION("GOOGLETRANSLATE(E821, ""en"",""vi"")"),"cây rụng lá")</f>
        <v>cây rụng lá</v>
      </c>
      <c r="D821" s="2" t="str">
        <f t="shared" si="24"/>
        <v>cây rụng lá</v>
      </c>
      <c r="E821" s="3" t="str">
        <f t="shared" si="2"/>
        <v>deciduous tree</v>
      </c>
    </row>
    <row r="822" ht="15.75" customHeight="1">
      <c r="A822" s="1" t="s">
        <v>2048</v>
      </c>
      <c r="B822" s="1" t="s">
        <v>2049</v>
      </c>
      <c r="C822" s="2" t="str">
        <f>IFERROR(__xludf.DUMMYFUNCTION("GOOGLETRANSLATE(E822, ""en"",""vi"")"),"con nai")</f>
        <v>con nai</v>
      </c>
      <c r="D822" s="2" t="str">
        <f t="shared" si="24"/>
        <v>con nai</v>
      </c>
      <c r="E822" s="3" t="str">
        <f t="shared" si="2"/>
        <v>deer</v>
      </c>
    </row>
    <row r="823" ht="15.75" customHeight="1">
      <c r="A823" s="1" t="s">
        <v>2050</v>
      </c>
      <c r="B823" s="1" t="s">
        <v>2051</v>
      </c>
      <c r="C823" s="2" t="str">
        <f>IFERROR(__xludf.DUMMYFUNCTION("GOOGLETRANSLATE(E823, ""en"",""vi"")"),"xe tải giao hàng")</f>
        <v>xe tải giao hàng</v>
      </c>
      <c r="D823" s="2" t="str">
        <f t="shared" si="24"/>
        <v>xe tải giao hàng</v>
      </c>
      <c r="E823" s="3" t="str">
        <f t="shared" si="2"/>
        <v>delivery truck</v>
      </c>
    </row>
    <row r="824" ht="15.75" customHeight="1">
      <c r="A824" s="1" t="s">
        <v>2052</v>
      </c>
      <c r="B824" s="1" t="s">
        <v>2053</v>
      </c>
      <c r="C824" s="2" t="str">
        <f>IFERROR(__xludf.DUMMYFUNCTION("GOOGLETRANSLATE(E824, ""en"",""vi"")"),"cửa hàng bách hóa")</f>
        <v>cửa hàng bách hóa</v>
      </c>
      <c r="D824" s="2" t="str">
        <f t="shared" si="24"/>
        <v>cửa hàng bách hóa</v>
      </c>
      <c r="E824" s="3" t="str">
        <f t="shared" si="2"/>
        <v>department store</v>
      </c>
    </row>
    <row r="825" ht="15.75" customHeight="1">
      <c r="A825" s="1" t="s">
        <v>2054</v>
      </c>
      <c r="B825" s="1" t="s">
        <v>2055</v>
      </c>
      <c r="C825" s="2" t="str">
        <f>IFERROR(__xludf.DUMMYFUNCTION("GOOGLETRANSLATE(E825, ""en"",""vi"")"),"ngôi nhà bỏ hoang")</f>
        <v>ngôi nhà bỏ hoang</v>
      </c>
      <c r="D825" s="2" t="str">
        <f t="shared" si="24"/>
        <v>ngôi nhà bỏ hoang</v>
      </c>
      <c r="E825" s="3" t="str">
        <f t="shared" si="2"/>
        <v>derelict house</v>
      </c>
    </row>
    <row r="826" ht="15.75" customHeight="1">
      <c r="A826" s="1" t="s">
        <v>2056</v>
      </c>
      <c r="B826" s="1" t="s">
        <v>2057</v>
      </c>
      <c r="C826" s="2" t="str">
        <f>IFERROR(__xludf.DUMMYFUNCTION("GOOGLETRANSLATE(E826, ""en"",""vi"")"),"sa mạc")</f>
        <v>sa mạc</v>
      </c>
      <c r="D826" s="2" t="str">
        <f t="shared" si="24"/>
        <v>sa mạc</v>
      </c>
      <c r="E826" s="3" t="str">
        <f t="shared" si="2"/>
        <v>desert</v>
      </c>
    </row>
    <row r="827" ht="15.75" customHeight="1">
      <c r="A827" s="1" t="s">
        <v>2058</v>
      </c>
      <c r="B827" s="1" t="s">
        <v>2059</v>
      </c>
      <c r="C827" s="2" t="str">
        <f>IFERROR(__xludf.DUMMYFUNCTION("GOOGLETRANSLATE(E827, ""en"",""vi"")"),"đảo hoang")</f>
        <v>đảo hoang</v>
      </c>
      <c r="D827" s="2" t="str">
        <f t="shared" si="24"/>
        <v>đảo hoang</v>
      </c>
      <c r="E827" s="3" t="str">
        <f t="shared" si="2"/>
        <v>desert island</v>
      </c>
    </row>
    <row r="828" ht="15.75" customHeight="1">
      <c r="A828" s="1" t="s">
        <v>2060</v>
      </c>
      <c r="B828" s="1" t="s">
        <v>2061</v>
      </c>
      <c r="C828" s="2" t="s">
        <v>2062</v>
      </c>
      <c r="D828" s="2" t="str">
        <f t="shared" si="24"/>
        <v>máy tính bàn</v>
      </c>
      <c r="E828" s="3" t="str">
        <f t="shared" si="2"/>
        <v>desktop computer</v>
      </c>
    </row>
    <row r="829" ht="15.75" customHeight="1">
      <c r="A829" s="1" t="s">
        <v>2063</v>
      </c>
      <c r="B829" s="1" t="s">
        <v>2064</v>
      </c>
      <c r="C829" s="2" t="str">
        <f>IFERROR(__xludf.DUMMYFUNCTION("GOOGLETRANSLATE(E829, ""en"",""vi"")"),"thám tử")</f>
        <v>thám tử</v>
      </c>
      <c r="D829" s="2" t="str">
        <f t="shared" si="24"/>
        <v>thám tử</v>
      </c>
      <c r="E829" s="3" t="str">
        <f t="shared" si="2"/>
        <v>detective</v>
      </c>
    </row>
    <row r="830" ht="15.75" customHeight="1">
      <c r="A830" s="1" t="s">
        <v>2065</v>
      </c>
      <c r="B830" s="1" t="s">
        <v>2066</v>
      </c>
      <c r="C830" s="2" t="s">
        <v>2067</v>
      </c>
      <c r="D830" s="2" t="str">
        <f t="shared" si="24"/>
        <v>thám tử màu da sẫm</v>
      </c>
      <c r="E830" s="3" t="str">
        <f t="shared" si="2"/>
        <v>detective dark skin tone</v>
      </c>
    </row>
    <row r="831" ht="15.75" customHeight="1">
      <c r="A831" s="1" t="s">
        <v>2068</v>
      </c>
      <c r="B831" s="1" t="s">
        <v>2069</v>
      </c>
      <c r="C831" s="2" t="s">
        <v>2070</v>
      </c>
      <c r="D831" s="2" t="str">
        <f t="shared" si="24"/>
        <v>thám tử màu da sáng</v>
      </c>
      <c r="E831" s="3" t="str">
        <f t="shared" si="2"/>
        <v>detective light skin tone</v>
      </c>
    </row>
    <row r="832" ht="15.75" customHeight="1">
      <c r="A832" s="1" t="s">
        <v>2071</v>
      </c>
      <c r="B832" s="1" t="s">
        <v>2072</v>
      </c>
      <c r="C832" s="2" t="s">
        <v>2073</v>
      </c>
      <c r="D832" s="2" t="str">
        <f t="shared" si="24"/>
        <v>thám tử màu da sẫm vừa</v>
      </c>
      <c r="E832" s="3" t="str">
        <f t="shared" si="2"/>
        <v>detective medium-dark skin tone</v>
      </c>
    </row>
    <row r="833" ht="15.75" customHeight="1">
      <c r="A833" s="1" t="s">
        <v>2074</v>
      </c>
      <c r="B833" s="1" t="s">
        <v>2075</v>
      </c>
      <c r="C833" s="2" t="s">
        <v>2076</v>
      </c>
      <c r="D833" s="2" t="str">
        <f t="shared" si="24"/>
        <v>thám tử màu da sáng vừa</v>
      </c>
      <c r="E833" s="3" t="str">
        <f t="shared" si="2"/>
        <v>detective medium-light skin tone</v>
      </c>
    </row>
    <row r="834" ht="15.75" customHeight="1">
      <c r="A834" s="1" t="s">
        <v>2077</v>
      </c>
      <c r="B834" s="1" t="s">
        <v>2078</v>
      </c>
      <c r="C834" s="2" t="s">
        <v>2079</v>
      </c>
      <c r="D834" s="2" t="str">
        <f t="shared" si="24"/>
        <v>thám tử màu da thường</v>
      </c>
      <c r="E834" s="3" t="str">
        <f t="shared" si="2"/>
        <v>detective medium skin tone</v>
      </c>
    </row>
    <row r="835" ht="15.75" customHeight="1">
      <c r="A835" s="1" t="s">
        <v>2080</v>
      </c>
      <c r="B835" s="1" t="s">
        <v>2081</v>
      </c>
      <c r="C835" s="2" t="s">
        <v>2082</v>
      </c>
      <c r="D835" s="2" t="str">
        <f t="shared" si="24"/>
        <v>bộ đồ kim cương</v>
      </c>
      <c r="E835" s="3" t="str">
        <f t="shared" si="2"/>
        <v>diamond suit</v>
      </c>
    </row>
    <row r="836" ht="15.75" customHeight="1">
      <c r="A836" s="1" t="s">
        <v>2083</v>
      </c>
      <c r="B836" s="1" t="s">
        <v>2084</v>
      </c>
      <c r="C836" s="2" t="str">
        <f>IFERROR(__xludf.DUMMYFUNCTION("GOOGLETRANSLATE(E836, ""en"",""vi"")"),"kim cương có một chấm")</f>
        <v>kim cương có một chấm</v>
      </c>
      <c r="D836" s="2" t="str">
        <f t="shared" si="24"/>
        <v>kim cương có một chấm</v>
      </c>
      <c r="E836" s="3" t="str">
        <f t="shared" si="2"/>
        <v>diamond with a dot</v>
      </c>
    </row>
    <row r="837" ht="15.75" customHeight="1">
      <c r="A837" s="1" t="s">
        <v>2085</v>
      </c>
      <c r="B837" s="1" t="s">
        <v>2086</v>
      </c>
      <c r="C837" s="2" t="s">
        <v>2087</v>
      </c>
      <c r="D837" s="2" t="str">
        <f t="shared" si="24"/>
        <v>nút lờ mờ</v>
      </c>
      <c r="E837" s="3" t="str">
        <f t="shared" si="2"/>
        <v>dim button</v>
      </c>
    </row>
    <row r="838" ht="15.75" customHeight="1">
      <c r="A838" s="1" t="s">
        <v>2088</v>
      </c>
      <c r="B838" s="1" t="s">
        <v>2089</v>
      </c>
      <c r="C838" s="2" t="str">
        <f>IFERROR(__xludf.DUMMYFUNCTION("GOOGLETRANSLATE(E838, ""en"",""vi"")"),"khuôn mặt thất vọng")</f>
        <v>khuôn mặt thất vọng</v>
      </c>
      <c r="D838" s="2" t="str">
        <f t="shared" si="24"/>
        <v>khuôn mặt thất vọng</v>
      </c>
      <c r="E838" s="3" t="str">
        <f t="shared" si="2"/>
        <v>disappointed face</v>
      </c>
    </row>
    <row r="839" ht="15.75" customHeight="1">
      <c r="A839" s="1" t="s">
        <v>2090</v>
      </c>
      <c r="B839" s="1" t="s">
        <v>2091</v>
      </c>
      <c r="C839" s="2" t="str">
        <f>IFERROR(__xludf.DUMMYFUNCTION("GOOGLETRANSLATE(E839, ""en"",""vi"")"),"khuôn mặt ngụy trang")</f>
        <v>khuôn mặt ngụy trang</v>
      </c>
      <c r="D839" s="2" t="str">
        <f t="shared" si="24"/>
        <v>khuôn mặt ngụy trang</v>
      </c>
      <c r="E839" s="3" t="str">
        <f t="shared" si="2"/>
        <v>disguised face</v>
      </c>
    </row>
    <row r="840" ht="15.75" customHeight="1">
      <c r="A840" s="1" t="s">
        <v>2092</v>
      </c>
      <c r="B840" s="1" t="s">
        <v>2093</v>
      </c>
      <c r="C840" s="2" t="str">
        <f>IFERROR(__xludf.DUMMYFUNCTION("GOOGLETRANSLATE(E840, ""en"",""vi"")"),"chia")</f>
        <v>chia</v>
      </c>
      <c r="D840" s="2" t="str">
        <f t="shared" si="24"/>
        <v>chia</v>
      </c>
      <c r="E840" s="3" t="str">
        <f t="shared" si="2"/>
        <v>divide</v>
      </c>
    </row>
    <row r="841" ht="15.75" customHeight="1">
      <c r="A841" s="1" t="s">
        <v>2094</v>
      </c>
      <c r="B841" s="1" t="s">
        <v>2095</v>
      </c>
      <c r="C841" s="2" t="str">
        <f>IFERROR(__xludf.DUMMYFUNCTION("GOOGLETRANSLATE(E841, ""en"",""vi"")"),"mặt nạ lặn")</f>
        <v>mặt nạ lặn</v>
      </c>
      <c r="D841" s="2" t="str">
        <f t="shared" si="24"/>
        <v>mặt nạ lặn</v>
      </c>
      <c r="E841" s="3" t="str">
        <f t="shared" si="2"/>
        <v>diving mask</v>
      </c>
    </row>
    <row r="842" ht="15.75" customHeight="1">
      <c r="A842" s="1" t="s">
        <v>2096</v>
      </c>
      <c r="B842" s="1" t="s">
        <v>2097</v>
      </c>
      <c r="C842" s="2" t="s">
        <v>2098</v>
      </c>
      <c r="D842" s="2" t="str">
        <f t="shared" si="24"/>
        <v>đèn diya</v>
      </c>
      <c r="E842" s="3" t="str">
        <f t="shared" si="2"/>
        <v>diya lamp</v>
      </c>
    </row>
    <row r="843" ht="15.75" customHeight="1">
      <c r="A843" s="1" t="s">
        <v>2099</v>
      </c>
      <c r="B843" s="1" t="s">
        <v>2100</v>
      </c>
      <c r="C843" s="2" t="str">
        <f>IFERROR(__xludf.DUMMYFUNCTION("GOOGLETRANSLATE(E843, ""en"",""vi"")"),"chóng mặt")</f>
        <v>chóng mặt</v>
      </c>
      <c r="D843" s="2" t="str">
        <f t="shared" si="24"/>
        <v>chóng mặt</v>
      </c>
      <c r="E843" s="3" t="str">
        <f t="shared" si="2"/>
        <v>dizzy</v>
      </c>
    </row>
    <row r="844" ht="15.75" customHeight="1">
      <c r="A844" s="1" t="s">
        <v>2101</v>
      </c>
      <c r="B844" s="1" t="s">
        <v>2102</v>
      </c>
      <c r="C844" s="2" t="s">
        <v>2103</v>
      </c>
      <c r="D844" s="2" t="s">
        <v>2103</v>
      </c>
      <c r="E844" s="3" t="str">
        <f t="shared" si="2"/>
        <v>dna</v>
      </c>
    </row>
    <row r="845" ht="15.75" customHeight="1">
      <c r="A845" s="1" t="s">
        <v>2104</v>
      </c>
      <c r="B845" s="1" t="s">
        <v>2105</v>
      </c>
      <c r="C845" s="2" t="s">
        <v>2106</v>
      </c>
      <c r="D845" s="2" t="s">
        <v>2106</v>
      </c>
      <c r="E845" s="3" t="str">
        <f t="shared" si="2"/>
        <v>dodo</v>
      </c>
    </row>
    <row r="846" ht="15.75" customHeight="1">
      <c r="A846" s="1" t="s">
        <v>2107</v>
      </c>
      <c r="B846" s="1" t="s">
        <v>2108</v>
      </c>
      <c r="C846" s="2" t="str">
        <f>IFERROR(__xludf.DUMMYFUNCTION("GOOGLETRANSLATE(E846, ""en"",""vi"")"),"chó")</f>
        <v>chó</v>
      </c>
      <c r="D846" s="2" t="str">
        <f t="shared" ref="D846:D854" si="25">LOWER(C846)</f>
        <v>chó</v>
      </c>
      <c r="E846" s="3" t="str">
        <f t="shared" si="2"/>
        <v>dog</v>
      </c>
    </row>
    <row r="847" ht="15.75" customHeight="1">
      <c r="A847" s="1" t="s">
        <v>2109</v>
      </c>
      <c r="B847" s="1" t="s">
        <v>2110</v>
      </c>
      <c r="C847" s="2" t="s">
        <v>2111</v>
      </c>
      <c r="D847" s="2" t="str">
        <f t="shared" si="25"/>
        <v>khuôn mặt chó</v>
      </c>
      <c r="E847" s="3" t="str">
        <f t="shared" si="2"/>
        <v>dog face</v>
      </c>
    </row>
    <row r="848" ht="15.75" customHeight="1">
      <c r="A848" s="1" t="s">
        <v>2112</v>
      </c>
      <c r="B848" s="1" t="s">
        <v>2113</v>
      </c>
      <c r="C848" s="2" t="str">
        <f>IFERROR(__xludf.DUMMYFUNCTION("GOOGLETRANSLATE(E848, ""en"",""vi"")"),"tờ tiền đô la")</f>
        <v>tờ tiền đô la</v>
      </c>
      <c r="D848" s="2" t="str">
        <f t="shared" si="25"/>
        <v>tờ tiền đô la</v>
      </c>
      <c r="E848" s="3" t="str">
        <f t="shared" si="2"/>
        <v>dollar banknote</v>
      </c>
    </row>
    <row r="849" ht="15.75" customHeight="1">
      <c r="A849" s="1" t="s">
        <v>2114</v>
      </c>
      <c r="B849" s="1" t="s">
        <v>2115</v>
      </c>
      <c r="C849" s="2" t="str">
        <f>IFERROR(__xludf.DUMMYFUNCTION("GOOGLETRANSLATE(E849, ""en"",""vi"")"),"cá heo")</f>
        <v>cá heo</v>
      </c>
      <c r="D849" s="2" t="str">
        <f t="shared" si="25"/>
        <v>cá heo</v>
      </c>
      <c r="E849" s="3" t="str">
        <f t="shared" si="2"/>
        <v>dolphin</v>
      </c>
    </row>
    <row r="850" ht="15.75" customHeight="1">
      <c r="A850" s="1" t="s">
        <v>2116</v>
      </c>
      <c r="B850" s="1" t="s">
        <v>2117</v>
      </c>
      <c r="C850" s="2" t="str">
        <f>IFERROR(__xludf.DUMMYFUNCTION("GOOGLETRANSLATE(E850, ""en"",""vi"")"),"cửa")</f>
        <v>cửa</v>
      </c>
      <c r="D850" s="2" t="str">
        <f t="shared" si="25"/>
        <v>cửa</v>
      </c>
      <c r="E850" s="3" t="str">
        <f t="shared" si="2"/>
        <v>door</v>
      </c>
    </row>
    <row r="851" ht="15.75" customHeight="1">
      <c r="A851" s="1" t="s">
        <v>2118</v>
      </c>
      <c r="B851" s="1" t="s">
        <v>2119</v>
      </c>
      <c r="C851" s="2" t="str">
        <f>IFERROR(__xludf.DUMMYFUNCTION("GOOGLETRANSLATE(E851, ""en"",""vi"")"),"ngôi sao sáu cánh có chấm")</f>
        <v>ngôi sao sáu cánh có chấm</v>
      </c>
      <c r="D851" s="2" t="str">
        <f t="shared" si="25"/>
        <v>ngôi sao sáu cánh có chấm</v>
      </c>
      <c r="E851" s="3" t="str">
        <f t="shared" si="2"/>
        <v>dotted six-pointed star</v>
      </c>
    </row>
    <row r="852" ht="15.75" customHeight="1">
      <c r="A852" s="1" t="s">
        <v>2120</v>
      </c>
      <c r="B852" s="1" t="s">
        <v>2121</v>
      </c>
      <c r="C852" s="2" t="str">
        <f>IFERROR(__xludf.DUMMYFUNCTION("GOOGLETRANSLATE(E852, ""en"",""vi"")"),"vòng xoắn kép")</f>
        <v>vòng xoắn kép</v>
      </c>
      <c r="D852" s="2" t="str">
        <f t="shared" si="25"/>
        <v>vòng xoắn kép</v>
      </c>
      <c r="E852" s="3" t="str">
        <f t="shared" si="2"/>
        <v>double curly loop</v>
      </c>
    </row>
    <row r="853" ht="15.75" customHeight="1">
      <c r="A853" s="1" t="s">
        <v>2122</v>
      </c>
      <c r="B853" s="1" t="s">
        <v>2123</v>
      </c>
      <c r="C853" s="2" t="str">
        <f>IFERROR(__xludf.DUMMYFUNCTION("GOOGLETRANSLATE(E853, ""en"",""vi"")"),"dấu chấm than kép")</f>
        <v>dấu chấm than kép</v>
      </c>
      <c r="D853" s="2" t="str">
        <f t="shared" si="25"/>
        <v>dấu chấm than kép</v>
      </c>
      <c r="E853" s="3" t="str">
        <f t="shared" si="2"/>
        <v>double exclamation mark</v>
      </c>
    </row>
    <row r="854" ht="15.75" customHeight="1">
      <c r="A854" s="1" t="s">
        <v>2124</v>
      </c>
      <c r="B854" s="1" t="s">
        <v>2125</v>
      </c>
      <c r="C854" s="2" t="str">
        <f>IFERROR(__xludf.DUMMYFUNCTION("GOOGLETRANSLATE(E854, ""en"",""vi"")"),"bánh rán")</f>
        <v>bánh rán</v>
      </c>
      <c r="D854" s="2" t="str">
        <f t="shared" si="25"/>
        <v>bánh rán</v>
      </c>
      <c r="E854" s="3" t="str">
        <f t="shared" si="2"/>
        <v>doughnut</v>
      </c>
    </row>
    <row r="855" ht="15.75" customHeight="1">
      <c r="A855" s="1" t="s">
        <v>2126</v>
      </c>
      <c r="B855" s="1" t="s">
        <v>2127</v>
      </c>
      <c r="C855" s="2" t="s">
        <v>2128</v>
      </c>
      <c r="D855" s="2" t="s">
        <v>2128</v>
      </c>
      <c r="E855" s="3" t="str">
        <f t="shared" si="2"/>
        <v>dove</v>
      </c>
    </row>
    <row r="856" ht="15.75" customHeight="1">
      <c r="A856" s="1" t="s">
        <v>2129</v>
      </c>
      <c r="B856" s="1" t="s">
        <v>2130</v>
      </c>
      <c r="C856" s="2" t="str">
        <f>IFERROR(__xludf.DUMMYFUNCTION("GOOGLETRANSLATE(E856, ""en"",""vi"")"),"mũi tên xuống bên trái")</f>
        <v>mũi tên xuống bên trái</v>
      </c>
      <c r="D856" s="2" t="str">
        <f t="shared" ref="D856:D860" si="26">LOWER(C856)</f>
        <v>mũi tên xuống bên trái</v>
      </c>
      <c r="E856" s="3" t="str">
        <f t="shared" si="2"/>
        <v>down-left arrow</v>
      </c>
    </row>
    <row r="857" ht="15.75" customHeight="1">
      <c r="A857" s="1" t="s">
        <v>2131</v>
      </c>
      <c r="B857" s="1" t="s">
        <v>2132</v>
      </c>
      <c r="C857" s="2" t="s">
        <v>2133</v>
      </c>
      <c r="D857" s="2" t="str">
        <f t="shared" si="26"/>
        <v>mũi tên xuống phải</v>
      </c>
      <c r="E857" s="3" t="str">
        <f t="shared" si="2"/>
        <v>down-right arrow</v>
      </c>
    </row>
    <row r="858" ht="15.75" customHeight="1">
      <c r="A858" s="1" t="s">
        <v>2134</v>
      </c>
      <c r="B858" s="1" t="s">
        <v>2135</v>
      </c>
      <c r="C858" s="2" t="str">
        <f>IFERROR(__xludf.DUMMYFUNCTION("GOOGLETRANSLATE(E858, ""en"",""vi"")"),"mũi tên xuống")</f>
        <v>mũi tên xuống</v>
      </c>
      <c r="D858" s="2" t="str">
        <f t="shared" si="26"/>
        <v>mũi tên xuống</v>
      </c>
      <c r="E858" s="3" t="str">
        <f t="shared" si="2"/>
        <v>down arrow</v>
      </c>
    </row>
    <row r="859" ht="15.75" customHeight="1">
      <c r="A859" s="1" t="s">
        <v>2136</v>
      </c>
      <c r="B859" s="1" t="s">
        <v>2137</v>
      </c>
      <c r="C859" s="2" t="s">
        <v>2138</v>
      </c>
      <c r="D859" s="2" t="str">
        <f t="shared" si="26"/>
        <v>khuôn mặt u ám với mồ hôi</v>
      </c>
      <c r="E859" s="3" t="str">
        <f t="shared" si="2"/>
        <v>downcast face with sweat</v>
      </c>
    </row>
    <row r="860" ht="15.75" customHeight="1">
      <c r="A860" s="1" t="s">
        <v>2139</v>
      </c>
      <c r="B860" s="1" t="s">
        <v>2140</v>
      </c>
      <c r="C860" s="2" t="str">
        <f>IFERROR(__xludf.DUMMYFUNCTION("GOOGLETRANSLATE(E860, ""en"",""vi"")"),"nút xuống dưới")</f>
        <v>nút xuống dưới</v>
      </c>
      <c r="D860" s="2" t="str">
        <f t="shared" si="26"/>
        <v>nút xuống dưới</v>
      </c>
      <c r="E860" s="3" t="str">
        <f t="shared" si="2"/>
        <v>downwards button</v>
      </c>
    </row>
    <row r="861" ht="15.75" customHeight="1">
      <c r="A861" s="1" t="s">
        <v>2141</v>
      </c>
      <c r="B861" s="1" t="s">
        <v>2142</v>
      </c>
      <c r="C861" s="2" t="s">
        <v>2143</v>
      </c>
      <c r="D861" s="2" t="s">
        <v>2143</v>
      </c>
      <c r="E861" s="3" t="str">
        <f t="shared" si="2"/>
        <v>dragon</v>
      </c>
    </row>
    <row r="862" ht="15.75" customHeight="1">
      <c r="A862" s="1" t="s">
        <v>2144</v>
      </c>
      <c r="B862" s="1" t="s">
        <v>2145</v>
      </c>
      <c r="C862" s="2" t="str">
        <f>IFERROR(__xludf.DUMMYFUNCTION("GOOGLETRANSLATE(E862, ""en"",""vi"")"),"mặt rồng")</f>
        <v>mặt rồng</v>
      </c>
      <c r="D862" s="2" t="str">
        <f t="shared" ref="D862:D892" si="27">LOWER(C862)</f>
        <v>mặt rồng</v>
      </c>
      <c r="E862" s="3" t="str">
        <f t="shared" si="2"/>
        <v>dragon face</v>
      </c>
    </row>
    <row r="863" ht="15.75" customHeight="1">
      <c r="A863" s="1" t="s">
        <v>2146</v>
      </c>
      <c r="B863" s="1" t="s">
        <v>2147</v>
      </c>
      <c r="C863" s="2" t="str">
        <f>IFERROR(__xludf.DUMMYFUNCTION("GOOGLETRANSLATE(E863, ""en"",""vi"")"),"đầm")</f>
        <v>đầm</v>
      </c>
      <c r="D863" s="2" t="str">
        <f t="shared" si="27"/>
        <v>đầm</v>
      </c>
      <c r="E863" s="3" t="str">
        <f t="shared" si="2"/>
        <v>dress</v>
      </c>
    </row>
    <row r="864" ht="15.75" customHeight="1">
      <c r="A864" s="1" t="s">
        <v>2148</v>
      </c>
      <c r="B864" s="1" t="s">
        <v>2149</v>
      </c>
      <c r="C864" s="2" t="str">
        <f>IFERROR(__xludf.DUMMYFUNCTION("GOOGLETRANSLATE(E864, ""en"",""vi"")"),"mặt chảy nước dãi")</f>
        <v>mặt chảy nước dãi</v>
      </c>
      <c r="D864" s="2" t="str">
        <f t="shared" si="27"/>
        <v>mặt chảy nước dãi</v>
      </c>
      <c r="E864" s="3" t="str">
        <f t="shared" si="2"/>
        <v>drooling face</v>
      </c>
    </row>
    <row r="865" ht="15.75" customHeight="1">
      <c r="A865" s="1" t="s">
        <v>2150</v>
      </c>
      <c r="B865" s="1" t="s">
        <v>2151</v>
      </c>
      <c r="C865" s="2" t="str">
        <f>IFERROR(__xludf.DUMMYFUNCTION("GOOGLETRANSLATE(E865, ""en"",""vi"")"),"giọt máu")</f>
        <v>giọt máu</v>
      </c>
      <c r="D865" s="2" t="str">
        <f t="shared" si="27"/>
        <v>giọt máu</v>
      </c>
      <c r="E865" s="3" t="str">
        <f t="shared" si="2"/>
        <v>drop of blood</v>
      </c>
    </row>
    <row r="866" ht="15.75" customHeight="1">
      <c r="A866" s="1" t="s">
        <v>2152</v>
      </c>
      <c r="B866" s="1" t="s">
        <v>2153</v>
      </c>
      <c r="C866" s="2" t="str">
        <f>IFERROR(__xludf.DUMMYFUNCTION("GOOGLETRANSLATE(E866, ""en"",""vi"")"),"giọt nước")</f>
        <v>giọt nước</v>
      </c>
      <c r="D866" s="2" t="str">
        <f t="shared" si="27"/>
        <v>giọt nước</v>
      </c>
      <c r="E866" s="3" t="str">
        <f t="shared" si="2"/>
        <v>droplet</v>
      </c>
    </row>
    <row r="867" ht="15.75" customHeight="1">
      <c r="A867" s="1" t="s">
        <v>2154</v>
      </c>
      <c r="B867" s="1" t="s">
        <v>2155</v>
      </c>
      <c r="C867" s="2" t="str">
        <f>IFERROR(__xludf.DUMMYFUNCTION("GOOGLETRANSLATE(E867, ""en"",""vi"")"),"cái trống")</f>
        <v>cái trống</v>
      </c>
      <c r="D867" s="2" t="str">
        <f t="shared" si="27"/>
        <v>cái trống</v>
      </c>
      <c r="E867" s="3" t="str">
        <f t="shared" si="2"/>
        <v>drum</v>
      </c>
    </row>
    <row r="868" ht="15.75" customHeight="1">
      <c r="A868" s="1" t="s">
        <v>2156</v>
      </c>
      <c r="B868" s="1" t="s">
        <v>2157</v>
      </c>
      <c r="C868" s="2" t="str">
        <f>IFERROR(__xludf.DUMMYFUNCTION("GOOGLETRANSLATE(E868, ""en"",""vi"")"),"con vịt")</f>
        <v>con vịt</v>
      </c>
      <c r="D868" s="2" t="str">
        <f t="shared" si="27"/>
        <v>con vịt</v>
      </c>
      <c r="E868" s="3" t="str">
        <f t="shared" si="2"/>
        <v>duck</v>
      </c>
    </row>
    <row r="869" ht="15.75" customHeight="1">
      <c r="A869" s="1" t="s">
        <v>2158</v>
      </c>
      <c r="B869" s="1" t="s">
        <v>2159</v>
      </c>
      <c r="C869" s="2" t="str">
        <f>IFERROR(__xludf.DUMMYFUNCTION("GOOGLETRANSLATE(E869, ""en"",""vi"")"),"bánh bao")</f>
        <v>bánh bao</v>
      </c>
      <c r="D869" s="2" t="str">
        <f t="shared" si="27"/>
        <v>bánh bao</v>
      </c>
      <c r="E869" s="3" t="str">
        <f t="shared" si="2"/>
        <v>dumpling</v>
      </c>
    </row>
    <row r="870" ht="15.75" customHeight="1">
      <c r="A870" s="1" t="s">
        <v>2160</v>
      </c>
      <c r="B870" s="1" t="s">
        <v>2161</v>
      </c>
      <c r="C870" s="2" t="str">
        <f>IFERROR(__xludf.DUMMYFUNCTION("GOOGLETRANSLATE(E870, ""en"",""vi"")"),"DVD")</f>
        <v>DVD</v>
      </c>
      <c r="D870" s="2" t="str">
        <f t="shared" si="27"/>
        <v>dvd</v>
      </c>
      <c r="E870" s="3" t="str">
        <f t="shared" si="2"/>
        <v>dvd</v>
      </c>
    </row>
    <row r="871" ht="15.75" customHeight="1">
      <c r="A871" s="1" t="s">
        <v>2162</v>
      </c>
      <c r="B871" s="1" t="s">
        <v>2163</v>
      </c>
      <c r="C871" s="2" t="str">
        <f>IFERROR(__xludf.DUMMYFUNCTION("GOOGLETRANSLATE(E871, ""en"",""vi"")"),"e-mail")</f>
        <v>e-mail</v>
      </c>
      <c r="D871" s="2" t="str">
        <f t="shared" si="27"/>
        <v>e-mail</v>
      </c>
      <c r="E871" s="3" t="str">
        <f t="shared" si="2"/>
        <v>e-mail</v>
      </c>
    </row>
    <row r="872" ht="15.75" customHeight="1">
      <c r="A872" s="1" t="s">
        <v>2164</v>
      </c>
      <c r="B872" s="1" t="s">
        <v>2165</v>
      </c>
      <c r="C872" s="2" t="str">
        <f>IFERROR(__xludf.DUMMYFUNCTION("GOOGLETRANSLATE(E872, ""en"",""vi"")"),"chim ưng")</f>
        <v>chim ưng</v>
      </c>
      <c r="D872" s="2" t="str">
        <f t="shared" si="27"/>
        <v>chim ưng</v>
      </c>
      <c r="E872" s="3" t="str">
        <f t="shared" si="2"/>
        <v>eagle</v>
      </c>
    </row>
    <row r="873" ht="15.75" customHeight="1">
      <c r="A873" s="1" t="s">
        <v>2166</v>
      </c>
      <c r="B873" s="1" t="s">
        <v>2167</v>
      </c>
      <c r="C873" s="2" t="str">
        <f>IFERROR(__xludf.DUMMYFUNCTION("GOOGLETRANSLATE(E873, ""en"",""vi"")"),"tai")</f>
        <v>tai</v>
      </c>
      <c r="D873" s="2" t="str">
        <f t="shared" si="27"/>
        <v>tai</v>
      </c>
      <c r="E873" s="3" t="str">
        <f t="shared" si="2"/>
        <v>ear</v>
      </c>
    </row>
    <row r="874" ht="15.75" customHeight="1">
      <c r="A874" s="1" t="s">
        <v>2168</v>
      </c>
      <c r="B874" s="1" t="s">
        <v>2169</v>
      </c>
      <c r="C874" s="2" t="s">
        <v>2170</v>
      </c>
      <c r="D874" s="2" t="str">
        <f t="shared" si="27"/>
        <v>tai màu da sẫm</v>
      </c>
      <c r="E874" s="3" t="str">
        <f t="shared" si="2"/>
        <v>ear dark skin tone</v>
      </c>
    </row>
    <row r="875" ht="15.75" customHeight="1">
      <c r="A875" s="1" t="s">
        <v>2171</v>
      </c>
      <c r="B875" s="1" t="s">
        <v>2172</v>
      </c>
      <c r="C875" s="2" t="s">
        <v>2173</v>
      </c>
      <c r="D875" s="2" t="str">
        <f t="shared" si="27"/>
        <v>tai điếc màu da sáng</v>
      </c>
      <c r="E875" s="3" t="str">
        <f t="shared" si="2"/>
        <v>ear light skin tone</v>
      </c>
    </row>
    <row r="876" ht="15.75" customHeight="1">
      <c r="A876" s="1" t="s">
        <v>2174</v>
      </c>
      <c r="B876" s="1" t="s">
        <v>2175</v>
      </c>
      <c r="C876" s="2" t="s">
        <v>2176</v>
      </c>
      <c r="D876" s="2" t="str">
        <f t="shared" si="27"/>
        <v>tai điếc màu da sẫm vừa</v>
      </c>
      <c r="E876" s="3" t="str">
        <f t="shared" si="2"/>
        <v>ear medium-dark skin tone</v>
      </c>
    </row>
    <row r="877" ht="15.75" customHeight="1">
      <c r="A877" s="1" t="s">
        <v>2177</v>
      </c>
      <c r="B877" s="1" t="s">
        <v>2178</v>
      </c>
      <c r="C877" s="2" t="s">
        <v>2179</v>
      </c>
      <c r="D877" s="2" t="str">
        <f t="shared" si="27"/>
        <v>tai điếc màu da sáng vừa</v>
      </c>
      <c r="E877" s="3" t="str">
        <f t="shared" si="2"/>
        <v>ear medium-light skin tone</v>
      </c>
    </row>
    <row r="878" ht="15.75" customHeight="1">
      <c r="A878" s="1" t="s">
        <v>2180</v>
      </c>
      <c r="B878" s="1" t="s">
        <v>2181</v>
      </c>
      <c r="C878" s="2" t="s">
        <v>2182</v>
      </c>
      <c r="D878" s="2" t="str">
        <f t="shared" si="27"/>
        <v>tai điếc màu da thường</v>
      </c>
      <c r="E878" s="3" t="str">
        <f t="shared" si="2"/>
        <v>ear medium skin tone</v>
      </c>
    </row>
    <row r="879" ht="15.75" customHeight="1">
      <c r="A879" s="1" t="s">
        <v>2183</v>
      </c>
      <c r="B879" s="1" t="s">
        <v>2184</v>
      </c>
      <c r="C879" s="2" t="s">
        <v>2185</v>
      </c>
      <c r="D879" s="2" t="str">
        <f t="shared" si="27"/>
        <v>bắp ngô</v>
      </c>
      <c r="E879" s="3" t="str">
        <f t="shared" si="2"/>
        <v>ear of corn</v>
      </c>
    </row>
    <row r="880" ht="15.75" customHeight="1">
      <c r="A880" s="1" t="s">
        <v>2186</v>
      </c>
      <c r="B880" s="1" t="s">
        <v>2187</v>
      </c>
      <c r="C880" s="2" t="str">
        <f>IFERROR(__xludf.DUMMYFUNCTION("GOOGLETRANSLATE(E880, ""en"",""vi"")"),"tai có máy trợ thính")</f>
        <v>tai có máy trợ thính</v>
      </c>
      <c r="D880" s="2" t="str">
        <f t="shared" si="27"/>
        <v>tai có máy trợ thính</v>
      </c>
      <c r="E880" s="3" t="str">
        <f t="shared" si="2"/>
        <v>ear with hearing aid</v>
      </c>
    </row>
    <row r="881" ht="15.75" customHeight="1">
      <c r="A881" s="1" t="s">
        <v>2188</v>
      </c>
      <c r="B881" s="1" t="s">
        <v>2189</v>
      </c>
      <c r="C881" s="2" t="s">
        <v>2190</v>
      </c>
      <c r="D881" s="2" t="str">
        <f t="shared" si="27"/>
        <v>tai màu da sẫm với máy trợ thính</v>
      </c>
      <c r="E881" s="3" t="str">
        <f t="shared" si="2"/>
        <v>ear with hearing aid dark skin tone</v>
      </c>
    </row>
    <row r="882" ht="15.75" customHeight="1">
      <c r="A882" s="1" t="s">
        <v>2191</v>
      </c>
      <c r="B882" s="1" t="s">
        <v>2192</v>
      </c>
      <c r="C882" s="2" t="s">
        <v>2193</v>
      </c>
      <c r="D882" s="2" t="str">
        <f t="shared" si="27"/>
        <v>tai điếc màu da sáng với máy trợ thính</v>
      </c>
      <c r="E882" s="3" t="str">
        <f t="shared" si="2"/>
        <v>ear with hearing aid light skin tone</v>
      </c>
    </row>
    <row r="883" ht="15.75" customHeight="1">
      <c r="A883" s="1" t="s">
        <v>2194</v>
      </c>
      <c r="B883" s="1" t="s">
        <v>2195</v>
      </c>
      <c r="C883" s="2" t="s">
        <v>2196</v>
      </c>
      <c r="D883" s="2" t="str">
        <f t="shared" si="27"/>
        <v>tai điếc màu da sẫm vừa với máy trợ thính</v>
      </c>
      <c r="E883" s="3" t="str">
        <f t="shared" si="2"/>
        <v>ear with hearing aid medium-dark skin tone</v>
      </c>
    </row>
    <row r="884" ht="15.75" customHeight="1">
      <c r="A884" s="1" t="s">
        <v>2197</v>
      </c>
      <c r="B884" s="1" t="s">
        <v>2198</v>
      </c>
      <c r="C884" s="2" t="s">
        <v>2199</v>
      </c>
      <c r="D884" s="2" t="str">
        <f t="shared" si="27"/>
        <v>tai điếc màu da sáng vừa với máy trợ thính</v>
      </c>
      <c r="E884" s="3" t="str">
        <f t="shared" si="2"/>
        <v>ear with hearing aid medium-light skin tone</v>
      </c>
    </row>
    <row r="885" ht="15.75" customHeight="1">
      <c r="A885" s="1" t="s">
        <v>2200</v>
      </c>
      <c r="B885" s="1" t="s">
        <v>2201</v>
      </c>
      <c r="C885" s="2" t="s">
        <v>2202</v>
      </c>
      <c r="D885" s="2" t="str">
        <f t="shared" si="27"/>
        <v>tai điếc màu da thường với máy trợ thính</v>
      </c>
      <c r="E885" s="3" t="str">
        <f t="shared" si="2"/>
        <v>ear with hearing aid medium skin tone</v>
      </c>
    </row>
    <row r="886" ht="15.75" customHeight="1">
      <c r="A886" s="1" t="s">
        <v>2203</v>
      </c>
      <c r="B886" s="1" t="s">
        <v>2204</v>
      </c>
      <c r="C886" s="2" t="str">
        <f>IFERROR(__xludf.DUMMYFUNCTION("GOOGLETRANSLATE(E886, ""en"",""vi"")"),"trứng")</f>
        <v>trứng</v>
      </c>
      <c r="D886" s="2" t="str">
        <f t="shared" si="27"/>
        <v>trứng</v>
      </c>
      <c r="E886" s="3" t="str">
        <f t="shared" si="2"/>
        <v>egg</v>
      </c>
    </row>
    <row r="887" ht="15.75" customHeight="1">
      <c r="A887" s="1" t="s">
        <v>2205</v>
      </c>
      <c r="B887" s="1" t="s">
        <v>2206</v>
      </c>
      <c r="C887" s="2" t="str">
        <f>IFERROR(__xludf.DUMMYFUNCTION("GOOGLETRANSLATE(E887, ""en"",""vi"")"),"cà tím")</f>
        <v>cà tím</v>
      </c>
      <c r="D887" s="2" t="str">
        <f t="shared" si="27"/>
        <v>cà tím</v>
      </c>
      <c r="E887" s="3" t="str">
        <f t="shared" si="2"/>
        <v>eggplant</v>
      </c>
    </row>
    <row r="888" ht="15.75" customHeight="1">
      <c r="A888" s="1" t="s">
        <v>2207</v>
      </c>
      <c r="B888" s="1" t="s">
        <v>2208</v>
      </c>
      <c r="C888" s="2" t="str">
        <f>IFERROR(__xludf.DUMMYFUNCTION("GOOGLETRANSLATE(E888, ""en"",""vi"")"),"ngôi sao tám cánh")</f>
        <v>ngôi sao tám cánh</v>
      </c>
      <c r="D888" s="2" t="str">
        <f t="shared" si="27"/>
        <v>ngôi sao tám cánh</v>
      </c>
      <c r="E888" s="3" t="str">
        <f t="shared" si="2"/>
        <v>eight-pointed star</v>
      </c>
    </row>
    <row r="889" ht="15.75" customHeight="1">
      <c r="A889" s="1" t="s">
        <v>2209</v>
      </c>
      <c r="B889" s="1" t="s">
        <v>2210</v>
      </c>
      <c r="C889" s="2" t="s">
        <v>2211</v>
      </c>
      <c r="D889" s="2" t="str">
        <f t="shared" si="27"/>
        <v>dấu hoa thị tám cánh</v>
      </c>
      <c r="E889" s="3" t="str">
        <f t="shared" si="2"/>
        <v>eight-spoked asterisk</v>
      </c>
    </row>
    <row r="890" ht="15.75" customHeight="1">
      <c r="A890" s="1" t="s">
        <v>2212</v>
      </c>
      <c r="B890" s="1" t="s">
        <v>2213</v>
      </c>
      <c r="C890" s="2" t="str">
        <f>IFERROR(__xludf.DUMMYFUNCTION("GOOGLETRANSLATE(E890, ""en"",""vi"")"),"tám giờ ba mươi")</f>
        <v>tám giờ ba mươi</v>
      </c>
      <c r="D890" s="2" t="str">
        <f t="shared" si="27"/>
        <v>tám giờ ba mươi</v>
      </c>
      <c r="E890" s="3" t="str">
        <f t="shared" si="2"/>
        <v>eight-thirty</v>
      </c>
    </row>
    <row r="891" ht="15.75" customHeight="1">
      <c r="A891" s="1" t="s">
        <v>2214</v>
      </c>
      <c r="B891" s="1" t="s">
        <v>2215</v>
      </c>
      <c r="C891" s="2" t="str">
        <f>IFERROR(__xludf.DUMMYFUNCTION("GOOGLETRANSLATE(E891, ""en"",""vi"")"),"tám giờ")</f>
        <v>tám giờ</v>
      </c>
      <c r="D891" s="2" t="str">
        <f t="shared" si="27"/>
        <v>tám giờ</v>
      </c>
      <c r="E891" s="3" t="str">
        <f t="shared" si="2"/>
        <v>eight o’clock</v>
      </c>
    </row>
    <row r="892" ht="15.75" customHeight="1">
      <c r="A892" s="1" t="s">
        <v>2216</v>
      </c>
      <c r="B892" s="1" t="s">
        <v>2217</v>
      </c>
      <c r="C892" s="2" t="str">
        <f>IFERROR(__xludf.DUMMYFUNCTION("GOOGLETRANSLATE(E892, ""en"",""vi"")"),"nút đẩy ra")</f>
        <v>nút đẩy ra</v>
      </c>
      <c r="D892" s="2" t="str">
        <f t="shared" si="27"/>
        <v>nút đẩy ra</v>
      </c>
      <c r="E892" s="3" t="str">
        <f t="shared" si="2"/>
        <v>eject button</v>
      </c>
    </row>
    <row r="893" ht="15.75" customHeight="1">
      <c r="A893" s="1" t="s">
        <v>2218</v>
      </c>
      <c r="B893" s="1" t="s">
        <v>2219</v>
      </c>
      <c r="C893" s="2" t="s">
        <v>2220</v>
      </c>
      <c r="D893" s="2" t="s">
        <v>2220</v>
      </c>
      <c r="E893" s="3" t="str">
        <f t="shared" si="2"/>
        <v>electric plug</v>
      </c>
    </row>
    <row r="894" ht="15.75" customHeight="1">
      <c r="A894" s="1" t="s">
        <v>2221</v>
      </c>
      <c r="B894" s="1" t="s">
        <v>2222</v>
      </c>
      <c r="C894" s="2" t="str">
        <f>IFERROR(__xludf.DUMMYFUNCTION("GOOGLETRANSLATE(E894, ""en"",""vi"")"),"con voi")</f>
        <v>con voi</v>
      </c>
      <c r="D894" s="2" t="str">
        <f t="shared" ref="D894:D931" si="28">LOWER(C894)</f>
        <v>con voi</v>
      </c>
      <c r="E894" s="3" t="str">
        <f t="shared" si="2"/>
        <v>elephant</v>
      </c>
    </row>
    <row r="895" ht="15.75" customHeight="1">
      <c r="A895" s="1" t="s">
        <v>2223</v>
      </c>
      <c r="B895" s="1" t="s">
        <v>2224</v>
      </c>
      <c r="C895" s="2" t="str">
        <f>IFERROR(__xludf.DUMMYFUNCTION("GOOGLETRANSLATE(E895, ""en"",""vi"")"),"thang máy")</f>
        <v>thang máy</v>
      </c>
      <c r="D895" s="2" t="str">
        <f t="shared" si="28"/>
        <v>thang máy</v>
      </c>
      <c r="E895" s="3" t="str">
        <f t="shared" si="2"/>
        <v>elevator</v>
      </c>
    </row>
    <row r="896" ht="15.75" customHeight="1">
      <c r="A896" s="1" t="s">
        <v>2225</v>
      </c>
      <c r="B896" s="1" t="s">
        <v>2226</v>
      </c>
      <c r="C896" s="2" t="str">
        <f>IFERROR(__xludf.DUMMYFUNCTION("GOOGLETRANSLATE(E896, ""en"",""vi"")"),"mười một giờ ba mươi")</f>
        <v>mười một giờ ba mươi</v>
      </c>
      <c r="D896" s="2" t="str">
        <f t="shared" si="28"/>
        <v>mười một giờ ba mươi</v>
      </c>
      <c r="E896" s="3" t="str">
        <f t="shared" si="2"/>
        <v>eleven-thirty</v>
      </c>
    </row>
    <row r="897" ht="15.75" customHeight="1">
      <c r="A897" s="1" t="s">
        <v>2227</v>
      </c>
      <c r="B897" s="1" t="s">
        <v>2228</v>
      </c>
      <c r="C897" s="2" t="str">
        <f>IFERROR(__xludf.DUMMYFUNCTION("GOOGLETRANSLATE(E897, ""en"",""vi"")"),"mười một giờ")</f>
        <v>mười một giờ</v>
      </c>
      <c r="D897" s="2" t="str">
        <f t="shared" si="28"/>
        <v>mười một giờ</v>
      </c>
      <c r="E897" s="3" t="str">
        <f t="shared" si="2"/>
        <v>eleven o’clock</v>
      </c>
    </row>
    <row r="898" ht="15.75" customHeight="1">
      <c r="A898" s="1" t="s">
        <v>2229</v>
      </c>
      <c r="B898" s="1" t="s">
        <v>2230</v>
      </c>
      <c r="C898" s="2" t="s">
        <v>2231</v>
      </c>
      <c r="D898" s="2" t="str">
        <f t="shared" si="28"/>
        <v>elf</v>
      </c>
      <c r="E898" s="3" t="str">
        <f t="shared" si="2"/>
        <v>elf</v>
      </c>
    </row>
    <row r="899" ht="15.75" customHeight="1">
      <c r="A899" s="1" t="s">
        <v>2232</v>
      </c>
      <c r="B899" s="1" t="s">
        <v>2233</v>
      </c>
      <c r="C899" s="2" t="s">
        <v>2234</v>
      </c>
      <c r="D899" s="2" t="str">
        <f t="shared" si="28"/>
        <v>elf màu da sẫm</v>
      </c>
      <c r="E899" s="3" t="str">
        <f t="shared" si="2"/>
        <v>elf dark skin tone</v>
      </c>
    </row>
    <row r="900" ht="15.75" customHeight="1">
      <c r="A900" s="1" t="s">
        <v>2235</v>
      </c>
      <c r="B900" s="1" t="s">
        <v>2236</v>
      </c>
      <c r="C900" s="2" t="s">
        <v>2237</v>
      </c>
      <c r="D900" s="2" t="str">
        <f t="shared" si="28"/>
        <v>elf màu da sáng</v>
      </c>
      <c r="E900" s="3" t="str">
        <f t="shared" si="2"/>
        <v>elf light skin tone</v>
      </c>
    </row>
    <row r="901" ht="15.75" customHeight="1">
      <c r="A901" s="1" t="s">
        <v>2238</v>
      </c>
      <c r="B901" s="1" t="s">
        <v>2239</v>
      </c>
      <c r="C901" s="2" t="s">
        <v>2240</v>
      </c>
      <c r="D901" s="2" t="str">
        <f t="shared" si="28"/>
        <v>elf màu da sẫm vừa</v>
      </c>
      <c r="E901" s="3" t="str">
        <f t="shared" si="2"/>
        <v>elf medium-dark skin tone</v>
      </c>
    </row>
    <row r="902" ht="15.75" customHeight="1">
      <c r="A902" s="1" t="s">
        <v>2241</v>
      </c>
      <c r="B902" s="1" t="s">
        <v>2242</v>
      </c>
      <c r="C902" s="2" t="s">
        <v>2243</v>
      </c>
      <c r="D902" s="2" t="str">
        <f t="shared" si="28"/>
        <v>elf màu da sáng vừa</v>
      </c>
      <c r="E902" s="3" t="str">
        <f t="shared" si="2"/>
        <v>elf medium-light skin tone</v>
      </c>
    </row>
    <row r="903" ht="15.75" customHeight="1">
      <c r="A903" s="1" t="s">
        <v>2244</v>
      </c>
      <c r="B903" s="1" t="s">
        <v>2245</v>
      </c>
      <c r="C903" s="2" t="s">
        <v>2246</v>
      </c>
      <c r="D903" s="2" t="str">
        <f t="shared" si="28"/>
        <v>elf màu da thường</v>
      </c>
      <c r="E903" s="3" t="str">
        <f t="shared" si="2"/>
        <v>elf medium skin tone</v>
      </c>
    </row>
    <row r="904" ht="15.75" customHeight="1">
      <c r="A904" s="1" t="s">
        <v>2247</v>
      </c>
      <c r="B904" s="1" t="s">
        <v>2248</v>
      </c>
      <c r="C904" s="2" t="str">
        <f>IFERROR(__xludf.DUMMYFUNCTION("GOOGLETRANSLATE(E904, ""en"",""vi"")"),"phong bì")</f>
        <v>phong bì</v>
      </c>
      <c r="D904" s="2" t="str">
        <f t="shared" si="28"/>
        <v>phong bì</v>
      </c>
      <c r="E904" s="3" t="str">
        <f t="shared" si="2"/>
        <v>envelope</v>
      </c>
    </row>
    <row r="905" ht="15.75" customHeight="1">
      <c r="A905" s="1" t="s">
        <v>2249</v>
      </c>
      <c r="B905" s="1" t="s">
        <v>2250</v>
      </c>
      <c r="C905" s="2" t="str">
        <f>IFERROR(__xludf.DUMMYFUNCTION("GOOGLETRANSLATE(E905, ""en"",""vi"")"),"phong bì có mũi tên")</f>
        <v>phong bì có mũi tên</v>
      </c>
      <c r="D905" s="2" t="str">
        <f t="shared" si="28"/>
        <v>phong bì có mũi tên</v>
      </c>
      <c r="E905" s="3" t="str">
        <f t="shared" si="2"/>
        <v>envelope with arrow</v>
      </c>
    </row>
    <row r="906" ht="15.75" customHeight="1">
      <c r="A906" s="1" t="s">
        <v>2251</v>
      </c>
      <c r="B906" s="1" t="s">
        <v>2252</v>
      </c>
      <c r="C906" s="2" t="s">
        <v>2253</v>
      </c>
      <c r="D906" s="2" t="str">
        <f t="shared" si="28"/>
        <v>tiền giấy euro</v>
      </c>
      <c r="E906" s="3" t="str">
        <f t="shared" si="2"/>
        <v>euro banknote</v>
      </c>
    </row>
    <row r="907" ht="15.75" customHeight="1">
      <c r="A907" s="1" t="s">
        <v>2254</v>
      </c>
      <c r="B907" s="1" t="s">
        <v>2255</v>
      </c>
      <c r="C907" s="2" t="str">
        <f>IFERROR(__xludf.DUMMYFUNCTION("GOOGLETRANSLATE(E907, ""en"",""vi"")"),"cây thường xanh")</f>
        <v>cây thường xanh</v>
      </c>
      <c r="D907" s="2" t="str">
        <f t="shared" si="28"/>
        <v>cây thường xanh</v>
      </c>
      <c r="E907" s="3" t="str">
        <f t="shared" si="2"/>
        <v>evergreen tree</v>
      </c>
    </row>
    <row r="908" ht="15.75" customHeight="1">
      <c r="A908" s="1" t="s">
        <v>2256</v>
      </c>
      <c r="B908" s="1" t="s">
        <v>2257</v>
      </c>
      <c r="C908" s="2" t="str">
        <f>IFERROR(__xludf.DUMMYFUNCTION("GOOGLETRANSLATE(E908, ""en"",""vi"")"),"cừu cái")</f>
        <v>cừu cái</v>
      </c>
      <c r="D908" s="2" t="str">
        <f t="shared" si="28"/>
        <v>cừu cái</v>
      </c>
      <c r="E908" s="3" t="str">
        <f t="shared" si="2"/>
        <v>ewe</v>
      </c>
    </row>
    <row r="909" ht="15.75" customHeight="1">
      <c r="A909" s="1" t="s">
        <v>2258</v>
      </c>
      <c r="B909" s="1" t="s">
        <v>2259</v>
      </c>
      <c r="C909" s="2" t="s">
        <v>2260</v>
      </c>
      <c r="D909" s="2" t="str">
        <f t="shared" si="28"/>
        <v>dấu chấm than hỏi</v>
      </c>
      <c r="E909" s="3" t="str">
        <f t="shared" si="2"/>
        <v>exclamation question mark</v>
      </c>
    </row>
    <row r="910" ht="15.75" customHeight="1">
      <c r="A910" s="1" t="s">
        <v>2261</v>
      </c>
      <c r="B910" s="1" t="s">
        <v>2262</v>
      </c>
      <c r="C910" s="2" t="str">
        <f>IFERROR(__xludf.DUMMYFUNCTION("GOOGLETRANSLATE(E910, ""en"",""vi"")"),"đầu nổ tung")</f>
        <v>đầu nổ tung</v>
      </c>
      <c r="D910" s="2" t="str">
        <f t="shared" si="28"/>
        <v>đầu nổ tung</v>
      </c>
      <c r="E910" s="3" t="str">
        <f t="shared" si="2"/>
        <v>exploding head</v>
      </c>
    </row>
    <row r="911" ht="15.75" customHeight="1">
      <c r="A911" s="1" t="s">
        <v>2263</v>
      </c>
      <c r="B911" s="1" t="s">
        <v>2264</v>
      </c>
      <c r="C911" s="2" t="str">
        <f>IFERROR(__xludf.DUMMYFUNCTION("GOOGLETRANSLATE(E911, ""en"",""vi"")"),"khuôn mặt vô cảm")</f>
        <v>khuôn mặt vô cảm</v>
      </c>
      <c r="D911" s="2" t="str">
        <f t="shared" si="28"/>
        <v>khuôn mặt vô cảm</v>
      </c>
      <c r="E911" s="3" t="str">
        <f t="shared" si="2"/>
        <v>expressionless face</v>
      </c>
    </row>
    <row r="912" ht="15.75" customHeight="1">
      <c r="A912" s="1" t="s">
        <v>2265</v>
      </c>
      <c r="B912" s="1" t="s">
        <v>2266</v>
      </c>
      <c r="C912" s="2" t="str">
        <f>IFERROR(__xludf.DUMMYFUNCTION("GOOGLETRANSLATE(E912, ""en"",""vi"")"),"mắt ")</f>
        <v>mắt </v>
      </c>
      <c r="D912" s="2" t="str">
        <f t="shared" si="28"/>
        <v>mắt </v>
      </c>
      <c r="E912" s="3" t="str">
        <f t="shared" si="2"/>
        <v>eye</v>
      </c>
    </row>
    <row r="913" ht="15.75" customHeight="1">
      <c r="A913" s="1" t="s">
        <v>2267</v>
      </c>
      <c r="B913" s="1" t="s">
        <v>2268</v>
      </c>
      <c r="C913" s="2" t="str">
        <f>IFERROR(__xludf.DUMMYFUNCTION("GOOGLETRANSLATE(E913, ""en"",""vi"")"),"mắt trong bong bóng lời thoại")</f>
        <v>mắt trong bong bóng lời thoại</v>
      </c>
      <c r="D913" s="2" t="str">
        <f t="shared" si="28"/>
        <v>mắt trong bong bóng lời thoại</v>
      </c>
      <c r="E913" s="3" t="str">
        <f t="shared" si="2"/>
        <v>eye in speech bubble</v>
      </c>
    </row>
    <row r="914" ht="15.75" customHeight="1">
      <c r="A914" s="1" t="s">
        <v>2269</v>
      </c>
      <c r="B914" s="1" t="s">
        <v>2270</v>
      </c>
      <c r="C914" s="2" t="str">
        <f>IFERROR(__xludf.DUMMYFUNCTION("GOOGLETRANSLATE(E914, ""en"",""vi"")"),"mắt")</f>
        <v>mắt</v>
      </c>
      <c r="D914" s="2" t="str">
        <f t="shared" si="28"/>
        <v>mắt</v>
      </c>
      <c r="E914" s="3" t="str">
        <f t="shared" si="2"/>
        <v>eyes</v>
      </c>
    </row>
    <row r="915" ht="15.75" customHeight="1">
      <c r="A915" s="1" t="s">
        <v>2271</v>
      </c>
      <c r="B915" s="1" t="s">
        <v>2272</v>
      </c>
      <c r="C915" s="2" t="str">
        <f>IFERROR(__xludf.DUMMYFUNCTION("GOOGLETRANSLATE(E915, ""en"",""vi"")"),"khuôn mặt thổi một nụ hôn")</f>
        <v>khuôn mặt thổi một nụ hôn</v>
      </c>
      <c r="D915" s="2" t="str">
        <f t="shared" si="28"/>
        <v>khuôn mặt thổi một nụ hôn</v>
      </c>
      <c r="E915" s="3" t="str">
        <f t="shared" si="2"/>
        <v>face blowing a kiss</v>
      </c>
    </row>
    <row r="916" ht="15.75" customHeight="1">
      <c r="A916" s="1" t="s">
        <v>2273</v>
      </c>
      <c r="B916" s="1" t="s">
        <v>2274</v>
      </c>
      <c r="C916" s="2" t="s">
        <v>2275</v>
      </c>
      <c r="D916" s="2" t="str">
        <f t="shared" si="28"/>
        <v>mặt thở ra</v>
      </c>
      <c r="E916" s="3" t="str">
        <f t="shared" si="2"/>
        <v>face exhaling</v>
      </c>
    </row>
    <row r="917" ht="15.75" customHeight="1">
      <c r="A917" s="1" t="s">
        <v>2276</v>
      </c>
      <c r="B917" s="1" t="s">
        <v>2277</v>
      </c>
      <c r="C917" s="2" t="s">
        <v>2278</v>
      </c>
      <c r="D917" s="2" t="str">
        <f t="shared" si="28"/>
        <v>mặt trong đám mây</v>
      </c>
      <c r="E917" s="3" t="str">
        <f t="shared" si="2"/>
        <v>face in clouds</v>
      </c>
    </row>
    <row r="918" ht="15.75" customHeight="1">
      <c r="A918" s="1" t="s">
        <v>2279</v>
      </c>
      <c r="B918" s="1" t="s">
        <v>2280</v>
      </c>
      <c r="C918" s="2" t="str">
        <f>IFERROR(__xludf.DUMMYFUNCTION("GOOGLETRANSLATE(E918, ""en"",""vi"")"),"mặt thưởng thức đồ ăn")</f>
        <v>mặt thưởng thức đồ ăn</v>
      </c>
      <c r="D918" s="2" t="str">
        <f t="shared" si="28"/>
        <v>mặt thưởng thức đồ ăn</v>
      </c>
      <c r="E918" s="3" t="str">
        <f t="shared" si="2"/>
        <v>face savoring food</v>
      </c>
    </row>
    <row r="919" ht="15.75" customHeight="1">
      <c r="A919" s="1" t="s">
        <v>2281</v>
      </c>
      <c r="B919" s="1" t="s">
        <v>2282</v>
      </c>
      <c r="C919" s="2" t="s">
        <v>2283</v>
      </c>
      <c r="D919" s="2" t="str">
        <f t="shared" si="28"/>
        <v>mặt la hét trong sợ hãi</v>
      </c>
      <c r="E919" s="3" t="str">
        <f t="shared" si="2"/>
        <v>face screaming in fear</v>
      </c>
    </row>
    <row r="920" ht="15.75" customHeight="1">
      <c r="A920" s="1" t="s">
        <v>2284</v>
      </c>
      <c r="B920" s="1" t="s">
        <v>2285</v>
      </c>
      <c r="C920" s="2" t="s">
        <v>2286</v>
      </c>
      <c r="D920" s="2" t="str">
        <f t="shared" si="28"/>
        <v>mặt nôn mửa</v>
      </c>
      <c r="E920" s="3" t="str">
        <f t="shared" si="2"/>
        <v>face vomiting</v>
      </c>
    </row>
    <row r="921" ht="15.75" customHeight="1">
      <c r="A921" s="1" t="s">
        <v>2287</v>
      </c>
      <c r="B921" s="1" t="s">
        <v>2288</v>
      </c>
      <c r="C921" s="2" t="str">
        <f>IFERROR(__xludf.DUMMYFUNCTION("GOOGLETRANSLATE(E921, ""en"",""vi"")"),"mặt với tay che miệng")</f>
        <v>mặt với tay che miệng</v>
      </c>
      <c r="D921" s="2" t="str">
        <f t="shared" si="28"/>
        <v>mặt với tay che miệng</v>
      </c>
      <c r="E921" s="3" t="str">
        <f t="shared" si="2"/>
        <v>face with hand over mouth</v>
      </c>
    </row>
    <row r="922" ht="15.75" customHeight="1">
      <c r="A922" s="1" t="s">
        <v>2289</v>
      </c>
      <c r="B922" s="1" t="s">
        <v>2290</v>
      </c>
      <c r="C922" s="2" t="s">
        <v>2291</v>
      </c>
      <c r="D922" s="2" t="str">
        <f t="shared" si="28"/>
        <v>mặt với băng đầu</v>
      </c>
      <c r="E922" s="3" t="str">
        <f t="shared" si="2"/>
        <v>face with head-bandage</v>
      </c>
    </row>
    <row r="923" ht="15.75" customHeight="1">
      <c r="A923" s="1" t="s">
        <v>2292</v>
      </c>
      <c r="B923" s="1" t="s">
        <v>2293</v>
      </c>
      <c r="C923" s="2" t="str">
        <f>IFERROR(__xludf.DUMMYFUNCTION("GOOGLETRANSLATE(E923, ""en"",""vi"")"),"mặt nạ y tế")</f>
        <v>mặt nạ y tế</v>
      </c>
      <c r="D923" s="2" t="str">
        <f t="shared" si="28"/>
        <v>mặt nạ y tế</v>
      </c>
      <c r="E923" s="3" t="str">
        <f t="shared" si="2"/>
        <v>face with medical mask</v>
      </c>
    </row>
    <row r="924" ht="15.75" customHeight="1">
      <c r="A924" s="1" t="s">
        <v>2294</v>
      </c>
      <c r="B924" s="1" t="s">
        <v>2295</v>
      </c>
      <c r="C924" s="2" t="s">
        <v>2296</v>
      </c>
      <c r="D924" s="2" t="str">
        <f t="shared" si="28"/>
        <v>mặt với kính một mắt</v>
      </c>
      <c r="E924" s="3" t="str">
        <f t="shared" si="2"/>
        <v>face with monocle</v>
      </c>
    </row>
    <row r="925" ht="15.75" customHeight="1">
      <c r="A925" s="1" t="s">
        <v>2297</v>
      </c>
      <c r="B925" s="1" t="s">
        <v>2298</v>
      </c>
      <c r="C925" s="2" t="str">
        <f>IFERROR(__xludf.DUMMYFUNCTION("GOOGLETRANSLATE(E925, ""en"",""vi"")"),"mặt mở miệng")</f>
        <v>mặt mở miệng</v>
      </c>
      <c r="D925" s="2" t="str">
        <f t="shared" si="28"/>
        <v>mặt mở miệng</v>
      </c>
      <c r="E925" s="3" t="str">
        <f t="shared" si="2"/>
        <v>face with open mouth</v>
      </c>
    </row>
    <row r="926" ht="15.75" customHeight="1">
      <c r="A926" s="1" t="s">
        <v>2299</v>
      </c>
      <c r="B926" s="1" t="s">
        <v>2300</v>
      </c>
      <c r="C926" s="2" t="s">
        <v>2301</v>
      </c>
      <c r="D926" s="2" t="str">
        <f t="shared" si="28"/>
        <v>mặt với lông mày nhếch lên</v>
      </c>
      <c r="E926" s="3" t="str">
        <f t="shared" si="2"/>
        <v>face with raised eyebrow</v>
      </c>
    </row>
    <row r="927" ht="15.75" customHeight="1">
      <c r="A927" s="1" t="s">
        <v>2302</v>
      </c>
      <c r="B927" s="1" t="s">
        <v>2303</v>
      </c>
      <c r="C927" s="2" t="str">
        <f>IFERROR(__xludf.DUMMYFUNCTION("GOOGLETRANSLATE(E927, ""en"",""vi"")"),"mặt với đôi mắt đảo tròn")</f>
        <v>mặt với đôi mắt đảo tròn</v>
      </c>
      <c r="D927" s="2" t="str">
        <f t="shared" si="28"/>
        <v>mặt với đôi mắt đảo tròn</v>
      </c>
      <c r="E927" s="3" t="str">
        <f t="shared" si="2"/>
        <v>face with rolling eyes</v>
      </c>
    </row>
    <row r="928" ht="15.75" customHeight="1">
      <c r="A928" s="1" t="s">
        <v>2304</v>
      </c>
      <c r="B928" s="1" t="s">
        <v>2305</v>
      </c>
      <c r="C928" s="2" t="str">
        <f>IFERROR(__xludf.DUMMYFUNCTION("GOOGLETRANSLATE(E928, ""en"",""vi"")"),"khuôn mặt có đôi mắt xoắn ốc")</f>
        <v>khuôn mặt có đôi mắt xoắn ốc</v>
      </c>
      <c r="D928" s="2" t="str">
        <f t="shared" si="28"/>
        <v>khuôn mặt có đôi mắt xoắn ốc</v>
      </c>
      <c r="E928" s="3" t="str">
        <f t="shared" si="2"/>
        <v>face with spiral eyes</v>
      </c>
    </row>
    <row r="929" ht="15.75" customHeight="1">
      <c r="A929" s="1" t="s">
        <v>2306</v>
      </c>
      <c r="B929" s="1" t="s">
        <v>2307</v>
      </c>
      <c r="C929" s="2" t="s">
        <v>2308</v>
      </c>
      <c r="D929" s="2" t="str">
        <f t="shared" si="28"/>
        <v>mặt với hơi nước từ mũi</v>
      </c>
      <c r="E929" s="3" t="str">
        <f t="shared" si="2"/>
        <v>face with steam from nose</v>
      </c>
    </row>
    <row r="930" ht="15.75" customHeight="1">
      <c r="A930" s="1" t="s">
        <v>2309</v>
      </c>
      <c r="B930" s="1" t="s">
        <v>2310</v>
      </c>
      <c r="C930" s="2" t="str">
        <f>IFERROR(__xludf.DUMMYFUNCTION("GOOGLETRANSLATE(E930, ""en"",""vi"")"),"khuôn mặt có biểu tượng trên miệng")</f>
        <v>khuôn mặt có biểu tượng trên miệng</v>
      </c>
      <c r="D930" s="2" t="str">
        <f t="shared" si="28"/>
        <v>khuôn mặt có biểu tượng trên miệng</v>
      </c>
      <c r="E930" s="3" t="str">
        <f t="shared" si="2"/>
        <v>face with symbols on mouth</v>
      </c>
    </row>
    <row r="931" ht="15.75" customHeight="1">
      <c r="A931" s="1" t="s">
        <v>2311</v>
      </c>
      <c r="B931" s="1" t="s">
        <v>2312</v>
      </c>
      <c r="C931" s="2" t="s">
        <v>2313</v>
      </c>
      <c r="D931" s="2" t="str">
        <f t="shared" si="28"/>
        <v>mặt với nước mắt vui sướng</v>
      </c>
      <c r="E931" s="3" t="str">
        <f t="shared" si="2"/>
        <v>face with tears of joy</v>
      </c>
    </row>
    <row r="932" ht="15.75" customHeight="1">
      <c r="A932" s="1" t="s">
        <v>2314</v>
      </c>
      <c r="B932" s="1" t="s">
        <v>2315</v>
      </c>
      <c r="C932" s="2" t="s">
        <v>2316</v>
      </c>
      <c r="D932" s="2" t="s">
        <v>2316</v>
      </c>
      <c r="E932" s="3" t="str">
        <f t="shared" si="2"/>
        <v>face with thermometer</v>
      </c>
    </row>
    <row r="933" ht="15.75" customHeight="1">
      <c r="A933" s="1" t="s">
        <v>2317</v>
      </c>
      <c r="B933" s="1" t="s">
        <v>2318</v>
      </c>
      <c r="C933" s="2" t="s">
        <v>2319</v>
      </c>
      <c r="D933" s="2" t="s">
        <v>2319</v>
      </c>
      <c r="E933" s="3" t="str">
        <f t="shared" si="2"/>
        <v>face with tongue</v>
      </c>
    </row>
    <row r="934" ht="15.75" customHeight="1">
      <c r="A934" s="1" t="s">
        <v>2320</v>
      </c>
      <c r="B934" s="1" t="s">
        <v>2321</v>
      </c>
      <c r="C934" s="2" t="str">
        <f>IFERROR(__xludf.DUMMYFUNCTION("GOOGLETRANSLATE(E934, ""en"",""vi"")"),"khuôn mặt không có miệng")</f>
        <v>khuôn mặt không có miệng</v>
      </c>
      <c r="D934" s="2" t="str">
        <f t="shared" ref="D934:D1088" si="29">LOWER(C934)</f>
        <v>khuôn mặt không có miệng</v>
      </c>
      <c r="E934" s="3" t="str">
        <f t="shared" si="2"/>
        <v>face without mouth</v>
      </c>
    </row>
    <row r="935" ht="15.75" customHeight="1">
      <c r="A935" s="1" t="s">
        <v>2322</v>
      </c>
      <c r="B935" s="1" t="s">
        <v>2323</v>
      </c>
      <c r="C935" s="2" t="str">
        <f>IFERROR(__xludf.DUMMYFUNCTION("GOOGLETRANSLATE(E935, ""en"",""vi"")"),"nhà máy")</f>
        <v>nhà máy</v>
      </c>
      <c r="D935" s="2" t="str">
        <f t="shared" si="29"/>
        <v>nhà máy</v>
      </c>
      <c r="E935" s="3" t="str">
        <f t="shared" si="2"/>
        <v>factory</v>
      </c>
    </row>
    <row r="936" ht="15.75" customHeight="1">
      <c r="A936" s="1" t="s">
        <v>2324</v>
      </c>
      <c r="B936" s="1" t="s">
        <v>2325</v>
      </c>
      <c r="C936" s="2" t="str">
        <f>IFERROR(__xludf.DUMMYFUNCTION("GOOGLETRANSLATE(E936, ""en"",""vi"")"),"công nhân nhà máy")</f>
        <v>công nhân nhà máy</v>
      </c>
      <c r="D936" s="2" t="str">
        <f t="shared" si="29"/>
        <v>công nhân nhà máy</v>
      </c>
      <c r="E936" s="3" t="str">
        <f t="shared" si="2"/>
        <v>factory worker</v>
      </c>
    </row>
    <row r="937" ht="15.75" customHeight="1">
      <c r="A937" s="1" t="s">
        <v>2326</v>
      </c>
      <c r="B937" s="1" t="s">
        <v>2327</v>
      </c>
      <c r="C937" s="2" t="s">
        <v>2328</v>
      </c>
      <c r="D937" s="2" t="str">
        <f t="shared" si="29"/>
        <v>công nhân nhà máy màu da sẫm</v>
      </c>
      <c r="E937" s="3" t="str">
        <f t="shared" si="2"/>
        <v>factory worker dark skin tone</v>
      </c>
    </row>
    <row r="938" ht="15.75" customHeight="1">
      <c r="A938" s="1" t="s">
        <v>2329</v>
      </c>
      <c r="B938" s="1" t="s">
        <v>2330</v>
      </c>
      <c r="C938" s="2" t="s">
        <v>2331</v>
      </c>
      <c r="D938" s="2" t="str">
        <f t="shared" si="29"/>
        <v>công nhân nhà máy màu da sáng</v>
      </c>
      <c r="E938" s="3" t="str">
        <f t="shared" si="2"/>
        <v>factory worker light skin tone</v>
      </c>
    </row>
    <row r="939" ht="15.75" customHeight="1">
      <c r="A939" s="1" t="s">
        <v>2332</v>
      </c>
      <c r="B939" s="1" t="s">
        <v>2333</v>
      </c>
      <c r="C939" s="2" t="s">
        <v>2334</v>
      </c>
      <c r="D939" s="2" t="str">
        <f t="shared" si="29"/>
        <v>công nhân nhà máy màu da sẫm vừa</v>
      </c>
      <c r="E939" s="3" t="str">
        <f t="shared" si="2"/>
        <v>factory worker medium-dark skin tone</v>
      </c>
    </row>
    <row r="940" ht="15.75" customHeight="1">
      <c r="A940" s="1" t="s">
        <v>2335</v>
      </c>
      <c r="B940" s="1" t="s">
        <v>2336</v>
      </c>
      <c r="C940" s="2" t="s">
        <v>2337</v>
      </c>
      <c r="D940" s="2" t="str">
        <f t="shared" si="29"/>
        <v>công nhân nhà máy màu da sáng vừa</v>
      </c>
      <c r="E940" s="3" t="str">
        <f t="shared" si="2"/>
        <v>factory worker medium-light skin tone</v>
      </c>
    </row>
    <row r="941" ht="15.75" customHeight="1">
      <c r="A941" s="1" t="s">
        <v>2338</v>
      </c>
      <c r="B941" s="1" t="s">
        <v>2339</v>
      </c>
      <c r="C941" s="2" t="s">
        <v>2340</v>
      </c>
      <c r="D941" s="2" t="str">
        <f t="shared" si="29"/>
        <v>công nhân nhà máy màu da thường</v>
      </c>
      <c r="E941" s="3" t="str">
        <f t="shared" si="2"/>
        <v>factory worker medium skin tone</v>
      </c>
    </row>
    <row r="942" ht="15.75" customHeight="1">
      <c r="A942" s="1" t="s">
        <v>2341</v>
      </c>
      <c r="B942" s="1" t="s">
        <v>2342</v>
      </c>
      <c r="C942" s="2" t="str">
        <f>IFERROR(__xludf.DUMMYFUNCTION("GOOGLETRANSLATE(E942, ""en"",""vi"")"),"tiên")</f>
        <v>tiên</v>
      </c>
      <c r="D942" s="2" t="str">
        <f t="shared" si="29"/>
        <v>tiên</v>
      </c>
      <c r="E942" s="3" t="str">
        <f t="shared" si="2"/>
        <v>fairy</v>
      </c>
    </row>
    <row r="943" ht="15.75" customHeight="1">
      <c r="A943" s="1" t="s">
        <v>2343</v>
      </c>
      <c r="B943" s="1" t="s">
        <v>2344</v>
      </c>
      <c r="C943" s="2" t="s">
        <v>2345</v>
      </c>
      <c r="D943" s="2" t="str">
        <f t="shared" si="29"/>
        <v>nàng tiên nhà máy màu da sẫm</v>
      </c>
      <c r="E943" s="3" t="str">
        <f t="shared" si="2"/>
        <v>fairy dark skin tone</v>
      </c>
    </row>
    <row r="944" ht="15.75" customHeight="1">
      <c r="A944" s="1" t="s">
        <v>2346</v>
      </c>
      <c r="B944" s="1" t="s">
        <v>2347</v>
      </c>
      <c r="C944" s="2" t="s">
        <v>2348</v>
      </c>
      <c r="D944" s="2" t="str">
        <f t="shared" si="29"/>
        <v>nàng tiên nhà máy màu da sáng</v>
      </c>
      <c r="E944" s="3" t="str">
        <f t="shared" si="2"/>
        <v>fairy light skin tone</v>
      </c>
    </row>
    <row r="945" ht="15.75" customHeight="1">
      <c r="A945" s="1" t="s">
        <v>2349</v>
      </c>
      <c r="B945" s="1" t="s">
        <v>2350</v>
      </c>
      <c r="C945" s="2" t="s">
        <v>2351</v>
      </c>
      <c r="D945" s="2" t="str">
        <f t="shared" si="29"/>
        <v>nàng tiên nhà máy màu da sẫm vừa</v>
      </c>
      <c r="E945" s="3" t="str">
        <f t="shared" si="2"/>
        <v>fairy medium-dark skin tone</v>
      </c>
    </row>
    <row r="946" ht="15.75" customHeight="1">
      <c r="A946" s="1" t="s">
        <v>2352</v>
      </c>
      <c r="B946" s="1" t="s">
        <v>2353</v>
      </c>
      <c r="C946" s="2" t="s">
        <v>2354</v>
      </c>
      <c r="D946" s="2" t="str">
        <f t="shared" si="29"/>
        <v>nàng tiên nhà máy màu da sáng vừa</v>
      </c>
      <c r="E946" s="3" t="str">
        <f t="shared" si="2"/>
        <v>fairy medium-light skin tone</v>
      </c>
    </row>
    <row r="947" ht="15.75" customHeight="1">
      <c r="A947" s="1" t="s">
        <v>2355</v>
      </c>
      <c r="B947" s="1" t="s">
        <v>2356</v>
      </c>
      <c r="C947" s="2" t="s">
        <v>2357</v>
      </c>
      <c r="D947" s="2" t="str">
        <f t="shared" si="29"/>
        <v>nàng tiên nhà máy màu da thường</v>
      </c>
      <c r="E947" s="3" t="str">
        <f t="shared" si="2"/>
        <v>fairy medium skin tone</v>
      </c>
    </row>
    <row r="948" ht="15.75" customHeight="1">
      <c r="A948" s="1" t="s">
        <v>2358</v>
      </c>
      <c r="B948" s="1" t="s">
        <v>2359</v>
      </c>
      <c r="C948" s="2" t="s">
        <v>2360</v>
      </c>
      <c r="D948" s="2" t="str">
        <f t="shared" si="29"/>
        <v>viên bột đậu rán</v>
      </c>
      <c r="E948" s="3" t="str">
        <f t="shared" si="2"/>
        <v>falafel</v>
      </c>
    </row>
    <row r="949" ht="15.75" customHeight="1">
      <c r="A949" s="1" t="s">
        <v>2361</v>
      </c>
      <c r="B949" s="1" t="s">
        <v>2362</v>
      </c>
      <c r="C949" s="2" t="s">
        <v>2363</v>
      </c>
      <c r="D949" s="2" t="str">
        <f t="shared" si="29"/>
        <v>lá rơi</v>
      </c>
      <c r="E949" s="3" t="str">
        <f t="shared" si="2"/>
        <v>fallen leaf</v>
      </c>
    </row>
    <row r="950" ht="15.75" customHeight="1">
      <c r="A950" s="1" t="s">
        <v>2364</v>
      </c>
      <c r="B950" s="1" t="s">
        <v>2365</v>
      </c>
      <c r="C950" s="2" t="str">
        <f>IFERROR(__xludf.DUMMYFUNCTION("GOOGLETRANSLATE(E950, ""en"",""vi"")"),"gia đình")</f>
        <v>gia đình</v>
      </c>
      <c r="D950" s="2" t="str">
        <f t="shared" si="29"/>
        <v>gia đình</v>
      </c>
      <c r="E950" s="3" t="str">
        <f t="shared" si="2"/>
        <v>family</v>
      </c>
    </row>
    <row r="951" ht="15.75" customHeight="1">
      <c r="A951" s="1" t="s">
        <v>2366</v>
      </c>
      <c r="B951" s="1" t="s">
        <v>2367</v>
      </c>
      <c r="C951" s="2" t="s">
        <v>2368</v>
      </c>
      <c r="D951" s="2" t="str">
        <f t="shared" si="29"/>
        <v>gia đình có đàn ông và bé trai</v>
      </c>
      <c r="E951" s="3" t="str">
        <f t="shared" si="2"/>
        <v>family man boy</v>
      </c>
    </row>
    <row r="952" ht="15.75" customHeight="1">
      <c r="A952" s="1" t="s">
        <v>2369</v>
      </c>
      <c r="B952" s="1" t="s">
        <v>2370</v>
      </c>
      <c r="C952" s="2" t="s">
        <v>2371</v>
      </c>
      <c r="D952" s="2" t="str">
        <f t="shared" si="29"/>
        <v>gia đình có đàn ông và hai bé trai</v>
      </c>
      <c r="E952" s="3" t="str">
        <f t="shared" si="2"/>
        <v>family man boy boy</v>
      </c>
    </row>
    <row r="953" ht="15.75" customHeight="1">
      <c r="A953" s="1" t="s">
        <v>2372</v>
      </c>
      <c r="B953" s="1" t="s">
        <v>2373</v>
      </c>
      <c r="C953" s="2" t="s">
        <v>2374</v>
      </c>
      <c r="D953" s="2" t="str">
        <f t="shared" si="29"/>
        <v>gia đình có đàn ông và bé gái</v>
      </c>
      <c r="E953" s="3" t="str">
        <f t="shared" si="2"/>
        <v>family man girl</v>
      </c>
    </row>
    <row r="954" ht="15.75" customHeight="1">
      <c r="A954" s="1" t="s">
        <v>2375</v>
      </c>
      <c r="B954" s="1" t="s">
        <v>2376</v>
      </c>
      <c r="C954" s="2" t="s">
        <v>2377</v>
      </c>
      <c r="D954" s="2" t="str">
        <f t="shared" si="29"/>
        <v>gia định có đàn ông bé gái và bé trai</v>
      </c>
      <c r="E954" s="3" t="str">
        <f t="shared" si="2"/>
        <v>family man girl boy</v>
      </c>
    </row>
    <row r="955" ht="15.75" customHeight="1">
      <c r="A955" s="1" t="s">
        <v>2378</v>
      </c>
      <c r="B955" s="1" t="s">
        <v>2379</v>
      </c>
      <c r="C955" s="2" t="s">
        <v>2380</v>
      </c>
      <c r="D955" s="2" t="str">
        <f t="shared" si="29"/>
        <v>gia đình có đàn ông và hai phụ nữ</v>
      </c>
      <c r="E955" s="3" t="str">
        <f t="shared" si="2"/>
        <v>family man girl girl</v>
      </c>
    </row>
    <row r="956" ht="15.75" customHeight="1">
      <c r="A956" s="1" t="s">
        <v>2381</v>
      </c>
      <c r="B956" s="1" t="s">
        <v>2382</v>
      </c>
      <c r="C956" s="2" t="s">
        <v>2383</v>
      </c>
      <c r="D956" s="2" t="str">
        <f t="shared" si="29"/>
        <v>gia đình có hai đàn ông và bé trai</v>
      </c>
      <c r="E956" s="3" t="str">
        <f t="shared" si="2"/>
        <v>family man man boy</v>
      </c>
    </row>
    <row r="957" ht="15.75" customHeight="1">
      <c r="A957" s="1" t="s">
        <v>2384</v>
      </c>
      <c r="B957" s="1" t="s">
        <v>2385</v>
      </c>
      <c r="C957" s="2" t="s">
        <v>2386</v>
      </c>
      <c r="D957" s="2" t="str">
        <f t="shared" si="29"/>
        <v>gia đình có hai đàn ông và hai bé trai</v>
      </c>
      <c r="E957" s="3" t="str">
        <f t="shared" si="2"/>
        <v>family man man boy boy</v>
      </c>
    </row>
    <row r="958" ht="15.75" customHeight="1">
      <c r="A958" s="1" t="s">
        <v>2387</v>
      </c>
      <c r="B958" s="1" t="s">
        <v>2388</v>
      </c>
      <c r="C958" s="2" t="s">
        <v>2389</v>
      </c>
      <c r="D958" s="2" t="str">
        <f t="shared" si="29"/>
        <v>gia đình có hai đàn ông và bé gái</v>
      </c>
      <c r="E958" s="3" t="str">
        <f t="shared" si="2"/>
        <v>family man man girl</v>
      </c>
    </row>
    <row r="959" ht="15.75" customHeight="1">
      <c r="A959" s="1" t="s">
        <v>2390</v>
      </c>
      <c r="B959" s="1" t="s">
        <v>2391</v>
      </c>
      <c r="C959" s="2" t="s">
        <v>2392</v>
      </c>
      <c r="D959" s="2" t="str">
        <f t="shared" si="29"/>
        <v>gia đình có hai đàn ông bé gái và bé trai</v>
      </c>
      <c r="E959" s="3" t="str">
        <f t="shared" si="2"/>
        <v>family man man girl boy</v>
      </c>
    </row>
    <row r="960" ht="15.75" customHeight="1">
      <c r="A960" s="1" t="s">
        <v>2393</v>
      </c>
      <c r="B960" s="1" t="s">
        <v>2394</v>
      </c>
      <c r="C960" s="2" t="s">
        <v>2395</v>
      </c>
      <c r="D960" s="2" t="str">
        <f t="shared" si="29"/>
        <v>gia đình có hai đàn ông và hai bé gái</v>
      </c>
      <c r="E960" s="3" t="str">
        <f t="shared" si="2"/>
        <v>family man man girl girl</v>
      </c>
    </row>
    <row r="961" ht="15.75" customHeight="1">
      <c r="A961" s="1" t="s">
        <v>2396</v>
      </c>
      <c r="B961" s="1" t="s">
        <v>2397</v>
      </c>
      <c r="C961" s="2" t="s">
        <v>2398</v>
      </c>
      <c r="D961" s="2" t="str">
        <f t="shared" si="29"/>
        <v>gia đình có đàn ông phụ nữ và bé trai</v>
      </c>
      <c r="E961" s="3" t="str">
        <f t="shared" si="2"/>
        <v>family man woman boy</v>
      </c>
    </row>
    <row r="962" ht="15.75" customHeight="1">
      <c r="A962" s="1" t="s">
        <v>2399</v>
      </c>
      <c r="B962" s="1" t="s">
        <v>2400</v>
      </c>
      <c r="C962" s="2" t="s">
        <v>2401</v>
      </c>
      <c r="D962" s="2" t="str">
        <f t="shared" si="29"/>
        <v>gia đình có đàn ông phụ nữ bé trai và bé gái</v>
      </c>
      <c r="E962" s="3" t="str">
        <f t="shared" si="2"/>
        <v>family man woman boy boy</v>
      </c>
    </row>
    <row r="963" ht="15.75" customHeight="1">
      <c r="A963" s="1" t="s">
        <v>2402</v>
      </c>
      <c r="B963" s="1" t="s">
        <v>2403</v>
      </c>
      <c r="C963" s="2" t="s">
        <v>2404</v>
      </c>
      <c r="D963" s="2" t="str">
        <f t="shared" si="29"/>
        <v>gia đình có đàn ông phụ nữ và bé gái</v>
      </c>
      <c r="E963" s="3" t="str">
        <f t="shared" si="2"/>
        <v>family man woman girl</v>
      </c>
    </row>
    <row r="964" ht="15.75" customHeight="1">
      <c r="A964" s="1" t="s">
        <v>2405</v>
      </c>
      <c r="B964" s="1" t="s">
        <v>2406</v>
      </c>
      <c r="C964" s="2" t="s">
        <v>2407</v>
      </c>
      <c r="D964" s="2" t="str">
        <f t="shared" si="29"/>
        <v>gia đình có đàn ông phụ nữ bé gái và bé trai</v>
      </c>
      <c r="E964" s="3" t="str">
        <f t="shared" si="2"/>
        <v>family man woman girl boy</v>
      </c>
    </row>
    <row r="965" ht="15.75" customHeight="1">
      <c r="A965" s="1" t="s">
        <v>2408</v>
      </c>
      <c r="B965" s="1" t="s">
        <v>2409</v>
      </c>
      <c r="C965" s="2" t="s">
        <v>2410</v>
      </c>
      <c r="D965" s="2" t="str">
        <f t="shared" si="29"/>
        <v>gia đình có đàn ông phụ nữ và hai bé gái</v>
      </c>
      <c r="E965" s="3" t="str">
        <f t="shared" si="2"/>
        <v>family man woman girl girl</v>
      </c>
    </row>
    <row r="966" ht="15.75" customHeight="1">
      <c r="A966" s="1" t="s">
        <v>2411</v>
      </c>
      <c r="B966" s="1" t="s">
        <v>2412</v>
      </c>
      <c r="C966" s="2" t="s">
        <v>2413</v>
      </c>
      <c r="D966" s="2" t="str">
        <f t="shared" si="29"/>
        <v>gia đình có phụ nữ và bé trai</v>
      </c>
      <c r="E966" s="3" t="str">
        <f t="shared" si="2"/>
        <v>family woman boy</v>
      </c>
    </row>
    <row r="967" ht="15.75" customHeight="1">
      <c r="A967" s="1" t="s">
        <v>2414</v>
      </c>
      <c r="B967" s="1" t="s">
        <v>2415</v>
      </c>
      <c r="C967" s="2" t="s">
        <v>2416</v>
      </c>
      <c r="D967" s="2" t="str">
        <f t="shared" si="29"/>
        <v>gia đình có phụ nữ và hai bé trai</v>
      </c>
      <c r="E967" s="3" t="str">
        <f t="shared" si="2"/>
        <v>family woman boy boy</v>
      </c>
    </row>
    <row r="968" ht="15.75" customHeight="1">
      <c r="A968" s="1" t="s">
        <v>2417</v>
      </c>
      <c r="B968" s="1" t="s">
        <v>2418</v>
      </c>
      <c r="C968" s="2" t="s">
        <v>2419</v>
      </c>
      <c r="D968" s="2" t="str">
        <f t="shared" si="29"/>
        <v>gia đình có phụ nữ và bé gái</v>
      </c>
      <c r="E968" s="3" t="str">
        <f t="shared" si="2"/>
        <v>family woman girl</v>
      </c>
    </row>
    <row r="969" ht="15.75" customHeight="1">
      <c r="A969" s="1" t="s">
        <v>2420</v>
      </c>
      <c r="B969" s="1" t="s">
        <v>2421</v>
      </c>
      <c r="C969" s="2" t="s">
        <v>2422</v>
      </c>
      <c r="D969" s="2" t="str">
        <f t="shared" si="29"/>
        <v>gia đình có phụ nữ bé gái và bé trai</v>
      </c>
      <c r="E969" s="3" t="str">
        <f t="shared" si="2"/>
        <v>family woman girl boy</v>
      </c>
    </row>
    <row r="970" ht="15.75" customHeight="1">
      <c r="A970" s="1" t="s">
        <v>2423</v>
      </c>
      <c r="B970" s="1" t="s">
        <v>2424</v>
      </c>
      <c r="C970" s="2" t="s">
        <v>2425</v>
      </c>
      <c r="D970" s="2" t="str">
        <f t="shared" si="29"/>
        <v>gia đình có phụ nữ và hai bé gái</v>
      </c>
      <c r="E970" s="3" t="str">
        <f t="shared" si="2"/>
        <v>family woman girl girl</v>
      </c>
    </row>
    <row r="971" ht="15.75" customHeight="1">
      <c r="A971" s="1" t="s">
        <v>2426</v>
      </c>
      <c r="B971" s="1" t="s">
        <v>2427</v>
      </c>
      <c r="C971" s="2" t="s">
        <v>2428</v>
      </c>
      <c r="D971" s="2" t="str">
        <f t="shared" si="29"/>
        <v>gia đình có hai phụ nữ và bé trai</v>
      </c>
      <c r="E971" s="3" t="str">
        <f t="shared" si="2"/>
        <v>family woman woman boy</v>
      </c>
    </row>
    <row r="972" ht="15.75" customHeight="1">
      <c r="A972" s="1" t="s">
        <v>2429</v>
      </c>
      <c r="B972" s="1" t="s">
        <v>2430</v>
      </c>
      <c r="C972" s="2" t="s">
        <v>2431</v>
      </c>
      <c r="D972" s="2" t="str">
        <f t="shared" si="29"/>
        <v>gia đình có hai phụ nữ và hai bé trai</v>
      </c>
      <c r="E972" s="3" t="str">
        <f t="shared" si="2"/>
        <v>family woman woman boy boy</v>
      </c>
    </row>
    <row r="973" ht="15.75" customHeight="1">
      <c r="A973" s="1" t="s">
        <v>2432</v>
      </c>
      <c r="B973" s="1" t="s">
        <v>2433</v>
      </c>
      <c r="C973" s="2" t="s">
        <v>2434</v>
      </c>
      <c r="D973" s="2" t="str">
        <f t="shared" si="29"/>
        <v>gia đình có hai phụ nữ và bé gái</v>
      </c>
      <c r="E973" s="3" t="str">
        <f t="shared" si="2"/>
        <v>family woman woman girl</v>
      </c>
    </row>
    <row r="974" ht="15.75" customHeight="1">
      <c r="A974" s="1" t="s">
        <v>2435</v>
      </c>
      <c r="B974" s="1" t="s">
        <v>2436</v>
      </c>
      <c r="C974" s="2" t="s">
        <v>2437</v>
      </c>
      <c r="D974" s="2" t="str">
        <f t="shared" si="29"/>
        <v>gia đình có hai phụ nữ bé gái và bé trai</v>
      </c>
      <c r="E974" s="3" t="str">
        <f t="shared" si="2"/>
        <v>family woman woman girl boy</v>
      </c>
    </row>
    <row r="975" ht="15.75" customHeight="1">
      <c r="A975" s="1" t="s">
        <v>2438</v>
      </c>
      <c r="B975" s="1" t="s">
        <v>2439</v>
      </c>
      <c r="C975" s="2" t="s">
        <v>2440</v>
      </c>
      <c r="D975" s="2" t="str">
        <f t="shared" si="29"/>
        <v>gia đình có hai phụ nữ và hai bé gái</v>
      </c>
      <c r="E975" s="3" t="str">
        <f t="shared" si="2"/>
        <v>family woman woman girl girl</v>
      </c>
    </row>
    <row r="976" ht="15.75" customHeight="1">
      <c r="A976" s="1" t="s">
        <v>2441</v>
      </c>
      <c r="B976" s="1" t="s">
        <v>2442</v>
      </c>
      <c r="C976" s="2" t="s">
        <v>2443</v>
      </c>
      <c r="D976" s="2" t="str">
        <f t="shared" si="29"/>
        <v>nông dân</v>
      </c>
      <c r="E976" s="3" t="str">
        <f t="shared" si="2"/>
        <v>farmer</v>
      </c>
    </row>
    <row r="977" ht="15.75" customHeight="1">
      <c r="A977" s="1" t="s">
        <v>2444</v>
      </c>
      <c r="B977" s="1" t="s">
        <v>2445</v>
      </c>
      <c r="C977" s="2" t="s">
        <v>2446</v>
      </c>
      <c r="D977" s="2" t="str">
        <f t="shared" si="29"/>
        <v>nông dân màu da sẫm</v>
      </c>
      <c r="E977" s="3" t="str">
        <f t="shared" si="2"/>
        <v>farmer dark skin tone</v>
      </c>
    </row>
    <row r="978" ht="15.75" customHeight="1">
      <c r="A978" s="1" t="s">
        <v>2447</v>
      </c>
      <c r="B978" s="1" t="s">
        <v>2448</v>
      </c>
      <c r="C978" s="2" t="s">
        <v>2449</v>
      </c>
      <c r="D978" s="2" t="str">
        <f t="shared" si="29"/>
        <v>nông dân màu da sáng</v>
      </c>
      <c r="E978" s="3" t="str">
        <f t="shared" si="2"/>
        <v>farmer light skin tone</v>
      </c>
    </row>
    <row r="979" ht="15.75" customHeight="1">
      <c r="A979" s="1" t="s">
        <v>2450</v>
      </c>
      <c r="B979" s="1" t="s">
        <v>2451</v>
      </c>
      <c r="C979" s="2" t="s">
        <v>2452</v>
      </c>
      <c r="D979" s="2" t="str">
        <f t="shared" si="29"/>
        <v>nông dân màu da sẫm vừa</v>
      </c>
      <c r="E979" s="3" t="str">
        <f t="shared" si="2"/>
        <v>farmer medium-dark skin tone</v>
      </c>
    </row>
    <row r="980" ht="15.75" customHeight="1">
      <c r="A980" s="1" t="s">
        <v>2453</v>
      </c>
      <c r="B980" s="1" t="s">
        <v>2454</v>
      </c>
      <c r="C980" s="2" t="s">
        <v>2455</v>
      </c>
      <c r="D980" s="2" t="str">
        <f t="shared" si="29"/>
        <v>nông dân màu da sáng vừa</v>
      </c>
      <c r="E980" s="3" t="str">
        <f t="shared" si="2"/>
        <v>farmer medium-light skin tone</v>
      </c>
    </row>
    <row r="981" ht="15.75" customHeight="1">
      <c r="A981" s="1" t="s">
        <v>2456</v>
      </c>
      <c r="B981" s="1" t="s">
        <v>2457</v>
      </c>
      <c r="C981" s="2" t="s">
        <v>2458</v>
      </c>
      <c r="D981" s="2" t="str">
        <f t="shared" si="29"/>
        <v>nông dân màu da thường</v>
      </c>
      <c r="E981" s="3" t="str">
        <f t="shared" si="2"/>
        <v>farmer medium skin tone</v>
      </c>
    </row>
    <row r="982" ht="15.75" customHeight="1">
      <c r="A982" s="1" t="s">
        <v>2459</v>
      </c>
      <c r="B982" s="1" t="s">
        <v>2460</v>
      </c>
      <c r="C982" s="2" t="str">
        <f>IFERROR(__xludf.DUMMYFUNCTION("GOOGLETRANSLATE(E982, ""en"",""vi"")"),"nút tua nhanh")</f>
        <v>nút tua nhanh</v>
      </c>
      <c r="D982" s="2" t="str">
        <f t="shared" si="29"/>
        <v>nút tua nhanh</v>
      </c>
      <c r="E982" s="3" t="str">
        <f t="shared" si="2"/>
        <v>fast-forward button</v>
      </c>
    </row>
    <row r="983" ht="15.75" customHeight="1">
      <c r="A983" s="1" t="s">
        <v>2461</v>
      </c>
      <c r="B983" s="1" t="s">
        <v>2462</v>
      </c>
      <c r="C983" s="2" t="str">
        <f>IFERROR(__xludf.DUMMYFUNCTION("GOOGLETRANSLATE(E983, ""en"",""vi"")"),"nút xuống nhanh")</f>
        <v>nút xuống nhanh</v>
      </c>
      <c r="D983" s="2" t="str">
        <f t="shared" si="29"/>
        <v>nút xuống nhanh</v>
      </c>
      <c r="E983" s="3" t="str">
        <f t="shared" si="2"/>
        <v>fast down button</v>
      </c>
    </row>
    <row r="984" ht="15.75" customHeight="1">
      <c r="A984" s="1" t="s">
        <v>2463</v>
      </c>
      <c r="B984" s="1" t="s">
        <v>2464</v>
      </c>
      <c r="C984" s="2" t="str">
        <f>IFERROR(__xludf.DUMMYFUNCTION("GOOGLETRANSLATE(E984, ""en"",""vi"")"),"nút đảo ngược nhanh")</f>
        <v>nút đảo ngược nhanh</v>
      </c>
      <c r="D984" s="2" t="str">
        <f t="shared" si="29"/>
        <v>nút đảo ngược nhanh</v>
      </c>
      <c r="E984" s="3" t="str">
        <f t="shared" si="2"/>
        <v>fast reverse button</v>
      </c>
    </row>
    <row r="985" ht="15.75" customHeight="1">
      <c r="A985" s="1" t="s">
        <v>2465</v>
      </c>
      <c r="B985" s="1" t="s">
        <v>2466</v>
      </c>
      <c r="C985" s="2" t="str">
        <f>IFERROR(__xludf.DUMMYFUNCTION("GOOGLETRANSLATE(E985, ""en"",""vi"")"),"nút tăng tốc")</f>
        <v>nút tăng tốc</v>
      </c>
      <c r="D985" s="2" t="str">
        <f t="shared" si="29"/>
        <v>nút tăng tốc</v>
      </c>
      <c r="E985" s="3" t="str">
        <f t="shared" si="2"/>
        <v>fast up button</v>
      </c>
    </row>
    <row r="986" ht="15.75" customHeight="1">
      <c r="A986" s="1" t="s">
        <v>2467</v>
      </c>
      <c r="B986" s="1" t="s">
        <v>2468</v>
      </c>
      <c r="C986" s="2" t="str">
        <f>IFERROR(__xludf.DUMMYFUNCTION("GOOGLETRANSLATE(E986, ""en"",""vi"")"),"máy fax")</f>
        <v>máy fax</v>
      </c>
      <c r="D986" s="2" t="str">
        <f t="shared" si="29"/>
        <v>máy fax</v>
      </c>
      <c r="E986" s="3" t="str">
        <f t="shared" si="2"/>
        <v>fax machine</v>
      </c>
    </row>
    <row r="987" ht="15.75" customHeight="1">
      <c r="A987" s="1" t="s">
        <v>2469</v>
      </c>
      <c r="B987" s="1" t="s">
        <v>2470</v>
      </c>
      <c r="C987" s="2" t="str">
        <f>IFERROR(__xludf.DUMMYFUNCTION("GOOGLETRANSLATE(E987, ""en"",""vi"")"),"khuôn mặt sợ hãi")</f>
        <v>khuôn mặt sợ hãi</v>
      </c>
      <c r="D987" s="2" t="str">
        <f t="shared" si="29"/>
        <v>khuôn mặt sợ hãi</v>
      </c>
      <c r="E987" s="3" t="str">
        <f t="shared" si="2"/>
        <v>fearful face</v>
      </c>
    </row>
    <row r="988" ht="15.75" customHeight="1">
      <c r="A988" s="1" t="s">
        <v>2471</v>
      </c>
      <c r="B988" s="1" t="s">
        <v>2472</v>
      </c>
      <c r="C988" s="2" t="str">
        <f>IFERROR(__xludf.DUMMYFUNCTION("GOOGLETRANSLATE(E988, ""en"",""vi"")"),"lông vũ")</f>
        <v>lông vũ</v>
      </c>
      <c r="D988" s="2" t="str">
        <f t="shared" si="29"/>
        <v>lông vũ</v>
      </c>
      <c r="E988" s="3" t="str">
        <f t="shared" si="2"/>
        <v>feather</v>
      </c>
    </row>
    <row r="989" ht="15.75" customHeight="1">
      <c r="A989" s="1" t="s">
        <v>2473</v>
      </c>
      <c r="B989" s="1" t="s">
        <v>2474</v>
      </c>
      <c r="C989" s="2" t="str">
        <f>IFERROR(__xludf.DUMMYFUNCTION("GOOGLETRANSLATE(E989, ""en"",""vi"")"),"dấu hiệu nữ")</f>
        <v>dấu hiệu nữ</v>
      </c>
      <c r="D989" s="2" t="str">
        <f t="shared" si="29"/>
        <v>dấu hiệu nữ</v>
      </c>
      <c r="E989" s="3" t="str">
        <f t="shared" si="2"/>
        <v>female sign</v>
      </c>
    </row>
    <row r="990" ht="15.75" customHeight="1">
      <c r="A990" s="1" t="s">
        <v>2475</v>
      </c>
      <c r="B990" s="1" t="s">
        <v>2476</v>
      </c>
      <c r="C990" s="2" t="s">
        <v>2477</v>
      </c>
      <c r="D990" s="2" t="str">
        <f t="shared" si="29"/>
        <v>vòng đu quay</v>
      </c>
      <c r="E990" s="3" t="str">
        <f t="shared" si="2"/>
        <v>ferris wheel</v>
      </c>
    </row>
    <row r="991" ht="15.75" customHeight="1">
      <c r="A991" s="1" t="s">
        <v>2478</v>
      </c>
      <c r="B991" s="1" t="s">
        <v>2479</v>
      </c>
      <c r="C991" s="2" t="str">
        <f>IFERROR(__xludf.DUMMYFUNCTION("GOOGLETRANSLATE(E991, ""en"",""vi"")"),"phà")</f>
        <v>phà</v>
      </c>
      <c r="D991" s="2" t="str">
        <f t="shared" si="29"/>
        <v>phà</v>
      </c>
      <c r="E991" s="3" t="str">
        <f t="shared" si="2"/>
        <v>ferry</v>
      </c>
    </row>
    <row r="992" ht="15.75" customHeight="1">
      <c r="A992" s="1" t="s">
        <v>2480</v>
      </c>
      <c r="B992" s="1" t="s">
        <v>2481</v>
      </c>
      <c r="C992" s="2" t="str">
        <f>IFERROR(__xludf.DUMMYFUNCTION("GOOGLETRANSLATE(E992, ""en"",""vi"")"),"khúc côn cầu trên cỏ")</f>
        <v>khúc côn cầu trên cỏ</v>
      </c>
      <c r="D992" s="2" t="str">
        <f t="shared" si="29"/>
        <v>khúc côn cầu trên cỏ</v>
      </c>
      <c r="E992" s="3" t="str">
        <f t="shared" si="2"/>
        <v>field hockey</v>
      </c>
    </row>
    <row r="993" ht="15.75" customHeight="1">
      <c r="A993" s="1" t="s">
        <v>2482</v>
      </c>
      <c r="B993" s="1" t="s">
        <v>2483</v>
      </c>
      <c r="C993" s="2" t="str">
        <f>IFERROR(__xludf.DUMMYFUNCTION("GOOGLETRANSLATE(E993, ""en"",""vi"")"),"tủ hồ sơ")</f>
        <v>tủ hồ sơ</v>
      </c>
      <c r="D993" s="2" t="str">
        <f t="shared" si="29"/>
        <v>tủ hồ sơ</v>
      </c>
      <c r="E993" s="3" t="str">
        <f t="shared" si="2"/>
        <v>file cabinet</v>
      </c>
    </row>
    <row r="994" ht="15.75" customHeight="1">
      <c r="A994" s="1" t="s">
        <v>2484</v>
      </c>
      <c r="B994" s="1" t="s">
        <v>2485</v>
      </c>
      <c r="C994" s="2" t="str">
        <f>IFERROR(__xludf.DUMMYFUNCTION("GOOGLETRANSLATE(E994, ""en"",""vi"")"),"thư mục tập tin")</f>
        <v>thư mục tập tin</v>
      </c>
      <c r="D994" s="2" t="str">
        <f t="shared" si="29"/>
        <v>thư mục tập tin</v>
      </c>
      <c r="E994" s="3" t="str">
        <f t="shared" si="2"/>
        <v>file folder</v>
      </c>
    </row>
    <row r="995" ht="15.75" customHeight="1">
      <c r="A995" s="1" t="s">
        <v>2486</v>
      </c>
      <c r="B995" s="1" t="s">
        <v>2487</v>
      </c>
      <c r="C995" s="2" t="str">
        <f>IFERROR(__xludf.DUMMYFUNCTION("GOOGLETRANSLATE(E995, ""en"",""vi"")"),"khung phim")</f>
        <v>khung phim</v>
      </c>
      <c r="D995" s="2" t="str">
        <f t="shared" si="29"/>
        <v>khung phim</v>
      </c>
      <c r="E995" s="3" t="str">
        <f t="shared" si="2"/>
        <v>film frames</v>
      </c>
    </row>
    <row r="996" ht="15.75" customHeight="1">
      <c r="A996" s="1" t="s">
        <v>2488</v>
      </c>
      <c r="B996" s="1" t="s">
        <v>2489</v>
      </c>
      <c r="C996" s="2" t="str">
        <f>IFERROR(__xludf.DUMMYFUNCTION("GOOGLETRANSLATE(E996, ""en"",""vi"")"),"máy chiếu phim")</f>
        <v>máy chiếu phim</v>
      </c>
      <c r="D996" s="2" t="str">
        <f t="shared" si="29"/>
        <v>máy chiếu phim</v>
      </c>
      <c r="E996" s="3" t="str">
        <f t="shared" si="2"/>
        <v>film projector</v>
      </c>
    </row>
    <row r="997" ht="15.75" customHeight="1">
      <c r="A997" s="1" t="s">
        <v>2490</v>
      </c>
      <c r="B997" s="1" t="s">
        <v>2491</v>
      </c>
      <c r="C997" s="2" t="s">
        <v>2492</v>
      </c>
      <c r="D997" s="2" t="str">
        <f t="shared" si="29"/>
        <v>lửa</v>
      </c>
      <c r="E997" s="3" t="str">
        <f t="shared" si="2"/>
        <v>fire</v>
      </c>
    </row>
    <row r="998" ht="15.75" customHeight="1">
      <c r="A998" s="1" t="s">
        <v>2493</v>
      </c>
      <c r="B998" s="1" t="s">
        <v>2494</v>
      </c>
      <c r="C998" s="2" t="str">
        <f>IFERROR(__xludf.DUMMYFUNCTION("GOOGLETRANSLATE(E998, ""en"",""vi"")"),"xe cứu hỏa")</f>
        <v>xe cứu hỏa</v>
      </c>
      <c r="D998" s="2" t="str">
        <f t="shared" si="29"/>
        <v>xe cứu hỏa</v>
      </c>
      <c r="E998" s="3" t="str">
        <f t="shared" si="2"/>
        <v>fire engine</v>
      </c>
    </row>
    <row r="999" ht="15.75" customHeight="1">
      <c r="A999" s="1" t="s">
        <v>2495</v>
      </c>
      <c r="B999" s="1" t="s">
        <v>2496</v>
      </c>
      <c r="C999" s="2" t="str">
        <f>IFERROR(__xludf.DUMMYFUNCTION("GOOGLETRANSLATE(E999, ""en"",""vi"")"),"bình chữa cháy")</f>
        <v>bình chữa cháy</v>
      </c>
      <c r="D999" s="2" t="str">
        <f t="shared" si="29"/>
        <v>bình chữa cháy</v>
      </c>
      <c r="E999" s="3" t="str">
        <f t="shared" si="2"/>
        <v>fire extinguisher</v>
      </c>
    </row>
    <row r="1000" ht="15.75" customHeight="1">
      <c r="A1000" s="1" t="s">
        <v>2497</v>
      </c>
      <c r="B1000" s="1" t="s">
        <v>2498</v>
      </c>
      <c r="C1000" s="2" t="s">
        <v>2499</v>
      </c>
      <c r="D1000" s="2" t="str">
        <f t="shared" si="29"/>
        <v>pháo nổ</v>
      </c>
      <c r="E1000" s="3" t="str">
        <f t="shared" si="2"/>
        <v>firecracker</v>
      </c>
    </row>
    <row r="1001" ht="15.75" customHeight="1">
      <c r="A1001" s="1" t="s">
        <v>2500</v>
      </c>
      <c r="B1001" s="1" t="s">
        <v>2501</v>
      </c>
      <c r="C1001" s="2" t="str">
        <f>IFERROR(__xludf.DUMMYFUNCTION("GOOGLETRANSLATE(E1001, ""en"",""vi"")"),"lính cứu hỏa")</f>
        <v>lính cứu hỏa</v>
      </c>
      <c r="D1001" s="2" t="str">
        <f t="shared" si="29"/>
        <v>lính cứu hỏa</v>
      </c>
      <c r="E1001" s="3" t="str">
        <f t="shared" si="2"/>
        <v>firefighter</v>
      </c>
    </row>
    <row r="1002" ht="15.75" customHeight="1">
      <c r="A1002" s="1" t="s">
        <v>2502</v>
      </c>
      <c r="B1002" s="1" t="s">
        <v>2503</v>
      </c>
      <c r="C1002" s="2" t="s">
        <v>2504</v>
      </c>
      <c r="D1002" s="2" t="str">
        <f t="shared" si="29"/>
        <v>lính cứu hỏa màu da sẫm</v>
      </c>
      <c r="E1002" s="3" t="str">
        <f t="shared" si="2"/>
        <v>firefighter dark skin tone</v>
      </c>
    </row>
    <row r="1003" ht="15.75" customHeight="1">
      <c r="A1003" s="1" t="s">
        <v>2505</v>
      </c>
      <c r="B1003" s="1" t="s">
        <v>2506</v>
      </c>
      <c r="C1003" s="2" t="s">
        <v>2507</v>
      </c>
      <c r="D1003" s="2" t="str">
        <f t="shared" si="29"/>
        <v>lính cứu hỏa màu da sáng</v>
      </c>
      <c r="E1003" s="3" t="str">
        <f t="shared" si="2"/>
        <v>firefighter light skin tone</v>
      </c>
    </row>
    <row r="1004" ht="15.75" customHeight="1">
      <c r="A1004" s="1" t="s">
        <v>2508</v>
      </c>
      <c r="B1004" s="1" t="s">
        <v>2509</v>
      </c>
      <c r="C1004" s="2" t="s">
        <v>2510</v>
      </c>
      <c r="D1004" s="2" t="str">
        <f t="shared" si="29"/>
        <v>lính cứu hỏa màu da sẫm vừa</v>
      </c>
      <c r="E1004" s="3" t="str">
        <f t="shared" si="2"/>
        <v>firefighter medium-dark skin tone</v>
      </c>
    </row>
    <row r="1005" ht="15.75" customHeight="1">
      <c r="A1005" s="1" t="s">
        <v>2511</v>
      </c>
      <c r="B1005" s="1" t="s">
        <v>2512</v>
      </c>
      <c r="C1005" s="2" t="s">
        <v>2513</v>
      </c>
      <c r="D1005" s="2" t="str">
        <f t="shared" si="29"/>
        <v>lính cứu hỏa màu da sáng vừa</v>
      </c>
      <c r="E1005" s="3" t="str">
        <f t="shared" si="2"/>
        <v>firefighter medium-light skin tone</v>
      </c>
    </row>
    <row r="1006" ht="15.75" customHeight="1">
      <c r="A1006" s="1" t="s">
        <v>2514</v>
      </c>
      <c r="B1006" s="1" t="s">
        <v>2515</v>
      </c>
      <c r="C1006" s="2" t="s">
        <v>2516</v>
      </c>
      <c r="D1006" s="2" t="str">
        <f t="shared" si="29"/>
        <v>lính cứu hỏa màu da thường</v>
      </c>
      <c r="E1006" s="3" t="str">
        <f t="shared" si="2"/>
        <v>firefighter medium skin tone</v>
      </c>
    </row>
    <row r="1007" ht="15.75" customHeight="1">
      <c r="A1007" s="1" t="s">
        <v>2517</v>
      </c>
      <c r="B1007" s="1" t="s">
        <v>2518</v>
      </c>
      <c r="C1007" s="2" t="s">
        <v>2519</v>
      </c>
      <c r="D1007" s="2" t="str">
        <f t="shared" si="29"/>
        <v>pháo hoa</v>
      </c>
      <c r="E1007" s="3" t="str">
        <f t="shared" si="2"/>
        <v>fireworks</v>
      </c>
    </row>
    <row r="1008" ht="15.75" customHeight="1">
      <c r="A1008" s="1" t="s">
        <v>2520</v>
      </c>
      <c r="B1008" s="1" t="s">
        <v>2521</v>
      </c>
      <c r="C1008" s="2" t="str">
        <f>IFERROR(__xludf.DUMMYFUNCTION("GOOGLETRANSLATE(E1008, ""en"",""vi"")"),"trăng thượng tuần")</f>
        <v>trăng thượng tuần</v>
      </c>
      <c r="D1008" s="2" t="str">
        <f t="shared" si="29"/>
        <v>trăng thượng tuần</v>
      </c>
      <c r="E1008" s="3" t="str">
        <f t="shared" si="2"/>
        <v>first quarter moon</v>
      </c>
    </row>
    <row r="1009" ht="15.75" customHeight="1">
      <c r="A1009" s="1" t="s">
        <v>2522</v>
      </c>
      <c r="B1009" s="1" t="s">
        <v>2523</v>
      </c>
      <c r="C1009" s="2" t="s">
        <v>2524</v>
      </c>
      <c r="D1009" s="2" t="str">
        <f t="shared" si="29"/>
        <v>khuôn mặt mặt trăng quí đầu tiên</v>
      </c>
      <c r="E1009" s="3" t="str">
        <f t="shared" si="2"/>
        <v>first quarter moon face</v>
      </c>
    </row>
    <row r="1010" ht="15.75" customHeight="1">
      <c r="A1010" s="1" t="s">
        <v>2525</v>
      </c>
      <c r="B1010" s="1" t="s">
        <v>2526</v>
      </c>
      <c r="C1010" s="2" t="str">
        <f>IFERROR(__xludf.DUMMYFUNCTION("GOOGLETRANSLATE(E1010, ""en"",""vi"")"),"cá")</f>
        <v>cá</v>
      </c>
      <c r="D1010" s="2" t="str">
        <f t="shared" si="29"/>
        <v>cá</v>
      </c>
      <c r="E1010" s="3" t="str">
        <f t="shared" si="2"/>
        <v>fish</v>
      </c>
    </row>
    <row r="1011" ht="15.75" customHeight="1">
      <c r="A1011" s="1" t="s">
        <v>2527</v>
      </c>
      <c r="B1011" s="1" t="s">
        <v>2528</v>
      </c>
      <c r="C1011" s="2" t="str">
        <f>IFERROR(__xludf.DUMMYFUNCTION("GOOGLETRANSLATE(E1011, ""en"",""vi"")"),"bánh cá có xoáy")</f>
        <v>bánh cá có xoáy</v>
      </c>
      <c r="D1011" s="2" t="str">
        <f t="shared" si="29"/>
        <v>bánh cá có xoáy</v>
      </c>
      <c r="E1011" s="3" t="str">
        <f t="shared" si="2"/>
        <v>fish cake with swirl</v>
      </c>
    </row>
    <row r="1012" ht="15.75" customHeight="1">
      <c r="A1012" s="1" t="s">
        <v>2529</v>
      </c>
      <c r="B1012" s="1" t="s">
        <v>2530</v>
      </c>
      <c r="C1012" s="2" t="str">
        <f>IFERROR(__xludf.DUMMYFUNCTION("GOOGLETRANSLATE(E1012, ""en"",""vi"")"),"cần câu cá")</f>
        <v>cần câu cá</v>
      </c>
      <c r="D1012" s="2" t="str">
        <f t="shared" si="29"/>
        <v>cần câu cá</v>
      </c>
      <c r="E1012" s="3" t="str">
        <f t="shared" si="2"/>
        <v>fishing pole</v>
      </c>
    </row>
    <row r="1013" ht="15.75" customHeight="1">
      <c r="A1013" s="1" t="s">
        <v>2531</v>
      </c>
      <c r="B1013" s="1" t="s">
        <v>2532</v>
      </c>
      <c r="C1013" s="2" t="str">
        <f>IFERROR(__xludf.DUMMYFUNCTION("GOOGLETRANSLATE(E1013, ""en"",""vi"")"),"năm giờ ba mươi")</f>
        <v>năm giờ ba mươi</v>
      </c>
      <c r="D1013" s="2" t="str">
        <f t="shared" si="29"/>
        <v>năm giờ ba mươi</v>
      </c>
      <c r="E1013" s="3" t="str">
        <f t="shared" si="2"/>
        <v>five-thirty</v>
      </c>
    </row>
    <row r="1014" ht="15.75" customHeight="1">
      <c r="A1014" s="1" t="s">
        <v>2533</v>
      </c>
      <c r="B1014" s="1" t="s">
        <v>2534</v>
      </c>
      <c r="C1014" s="2" t="str">
        <f>IFERROR(__xludf.DUMMYFUNCTION("GOOGLETRANSLATE(E1014, ""en"",""vi"")"),"năm giờ")</f>
        <v>năm giờ</v>
      </c>
      <c r="D1014" s="2" t="str">
        <f t="shared" si="29"/>
        <v>năm giờ</v>
      </c>
      <c r="E1014" s="3" t="str">
        <f t="shared" si="2"/>
        <v>five o’clock</v>
      </c>
    </row>
    <row r="1015" ht="15.75" customHeight="1">
      <c r="A1015" s="1" t="s">
        <v>2535</v>
      </c>
      <c r="B1015" s="1" t="s">
        <v>2536</v>
      </c>
      <c r="C1015" s="2" t="s">
        <v>2537</v>
      </c>
      <c r="D1015" s="2" t="str">
        <f t="shared" si="29"/>
        <v>cờ trong lỗ</v>
      </c>
      <c r="E1015" s="3" t="str">
        <f t="shared" si="2"/>
        <v>flag in hole</v>
      </c>
    </row>
    <row r="1016" ht="15.75" customHeight="1">
      <c r="A1016" s="1" t="s">
        <v>2538</v>
      </c>
      <c r="B1016" s="1" t="s">
        <v>2539</v>
      </c>
      <c r="C1016" s="2" t="str">
        <f>IFERROR(__xludf.DUMMYFUNCTION("GOOGLETRANSLATE(E1016, ""en"",""vi"")"),"chim hồng hạc")</f>
        <v>chim hồng hạc</v>
      </c>
      <c r="D1016" s="2" t="str">
        <f t="shared" si="29"/>
        <v>chim hồng hạc</v>
      </c>
      <c r="E1016" s="3" t="str">
        <f t="shared" si="2"/>
        <v>flamingo</v>
      </c>
    </row>
    <row r="1017" ht="15.75" customHeight="1">
      <c r="A1017" s="1" t="s">
        <v>2540</v>
      </c>
      <c r="B1017" s="1" t="s">
        <v>2541</v>
      </c>
      <c r="C1017" s="2" t="str">
        <f>IFERROR(__xludf.DUMMYFUNCTION("GOOGLETRANSLATE(E1017, ""en"",""vi"")"),"đèn pin")</f>
        <v>đèn pin</v>
      </c>
      <c r="D1017" s="2" t="str">
        <f t="shared" si="29"/>
        <v>đèn pin</v>
      </c>
      <c r="E1017" s="3" t="str">
        <f t="shared" si="2"/>
        <v>flashlight</v>
      </c>
    </row>
    <row r="1018" ht="15.75" customHeight="1">
      <c r="A1018" s="1" t="s">
        <v>2542</v>
      </c>
      <c r="B1018" s="1" t="s">
        <v>2543</v>
      </c>
      <c r="C1018" s="2" t="str">
        <f>IFERROR(__xludf.DUMMYFUNCTION("GOOGLETRANSLATE(E1018, ""en"",""vi"")"),"giày đế bằng")</f>
        <v>giày đế bằng</v>
      </c>
      <c r="D1018" s="2" t="str">
        <f t="shared" si="29"/>
        <v>giày đế bằng</v>
      </c>
      <c r="E1018" s="3" t="str">
        <f t="shared" si="2"/>
        <v>flat shoe</v>
      </c>
    </row>
    <row r="1019" ht="15.75" customHeight="1">
      <c r="A1019" s="1" t="s">
        <v>2544</v>
      </c>
      <c r="B1019" s="1" t="s">
        <v>2545</v>
      </c>
      <c r="C1019" s="2" t="str">
        <f>IFERROR(__xludf.DUMMYFUNCTION("GOOGLETRANSLATE(E1019, ""en"",""vi"")"),"bánh mì dẹt")</f>
        <v>bánh mì dẹt</v>
      </c>
      <c r="D1019" s="2" t="str">
        <f t="shared" si="29"/>
        <v>bánh mì dẹt</v>
      </c>
      <c r="E1019" s="3" t="str">
        <f t="shared" si="2"/>
        <v>flatbread</v>
      </c>
    </row>
    <row r="1020" ht="15.75" customHeight="1">
      <c r="A1020" s="1" t="s">
        <v>2546</v>
      </c>
      <c r="B1020" s="1" t="s">
        <v>2547</v>
      </c>
      <c r="C1020" s="2" t="str">
        <f>IFERROR(__xludf.DUMMYFUNCTION("GOOGLETRANSLATE(E1020, ""en"",""vi"")"),"hoa bách hợp")</f>
        <v>hoa bách hợp</v>
      </c>
      <c r="D1020" s="2" t="str">
        <f t="shared" si="29"/>
        <v>hoa bách hợp</v>
      </c>
      <c r="E1020" s="3" t="str">
        <f t="shared" si="2"/>
        <v>fleur-de-lis</v>
      </c>
    </row>
    <row r="1021" ht="15.75" customHeight="1">
      <c r="A1021" s="1" t="s">
        <v>2548</v>
      </c>
      <c r="B1021" s="1" t="s">
        <v>2549</v>
      </c>
      <c r="C1021" s="2" t="str">
        <f>IFERROR(__xludf.DUMMYFUNCTION("GOOGLETRANSLATE(E1021, ""en"",""vi"")"),"bắp tay cong")</f>
        <v>bắp tay cong</v>
      </c>
      <c r="D1021" s="2" t="str">
        <f t="shared" si="29"/>
        <v>bắp tay cong</v>
      </c>
      <c r="E1021" s="3" t="str">
        <f t="shared" si="2"/>
        <v>flexed biceps</v>
      </c>
    </row>
    <row r="1022" ht="15.75" customHeight="1">
      <c r="A1022" s="1" t="s">
        <v>2550</v>
      </c>
      <c r="B1022" s="1" t="s">
        <v>2551</v>
      </c>
      <c r="C1022" s="2" t="s">
        <v>2552</v>
      </c>
      <c r="D1022" s="2" t="str">
        <f t="shared" si="29"/>
        <v>bắp tay uốn cong màu da sẫm</v>
      </c>
      <c r="E1022" s="3" t="str">
        <f t="shared" si="2"/>
        <v>flexed biceps dark skin tone</v>
      </c>
    </row>
    <row r="1023" ht="15.75" customHeight="1">
      <c r="A1023" s="1" t="s">
        <v>2553</v>
      </c>
      <c r="B1023" s="1" t="s">
        <v>2554</v>
      </c>
      <c r="C1023" s="2" t="s">
        <v>2555</v>
      </c>
      <c r="D1023" s="2" t="str">
        <f t="shared" si="29"/>
        <v>bắp tay uốn cong màu da sáng</v>
      </c>
      <c r="E1023" s="3" t="str">
        <f t="shared" si="2"/>
        <v>flexed biceps light skin tone</v>
      </c>
    </row>
    <row r="1024" ht="15.75" customHeight="1">
      <c r="A1024" s="1" t="s">
        <v>2556</v>
      </c>
      <c r="B1024" s="1" t="s">
        <v>2557</v>
      </c>
      <c r="C1024" s="2" t="s">
        <v>2558</v>
      </c>
      <c r="D1024" s="2" t="str">
        <f t="shared" si="29"/>
        <v>bắp tay uốn cong màu da sẫm vừa</v>
      </c>
      <c r="E1024" s="3" t="str">
        <f t="shared" si="2"/>
        <v>flexed biceps medium-dark skin tone</v>
      </c>
    </row>
    <row r="1025" ht="15.75" customHeight="1">
      <c r="A1025" s="1" t="s">
        <v>2559</v>
      </c>
      <c r="B1025" s="1" t="s">
        <v>2560</v>
      </c>
      <c r="C1025" s="2" t="s">
        <v>2561</v>
      </c>
      <c r="D1025" s="2" t="str">
        <f t="shared" si="29"/>
        <v>bắp tay uốn cong màu da sáng vừa</v>
      </c>
      <c r="E1025" s="3" t="str">
        <f t="shared" si="2"/>
        <v>flexed biceps medium-light skin tone</v>
      </c>
    </row>
    <row r="1026" ht="15.75" customHeight="1">
      <c r="A1026" s="1" t="s">
        <v>2562</v>
      </c>
      <c r="B1026" s="1" t="s">
        <v>2563</v>
      </c>
      <c r="C1026" s="2" t="s">
        <v>2564</v>
      </c>
      <c r="D1026" s="2" t="str">
        <f t="shared" si="29"/>
        <v>bắp tay uốn cong màu da thường</v>
      </c>
      <c r="E1026" s="3" t="str">
        <f t="shared" si="2"/>
        <v>flexed biceps medium skin tone</v>
      </c>
    </row>
    <row r="1027" ht="15.75" customHeight="1">
      <c r="A1027" s="1" t="s">
        <v>2565</v>
      </c>
      <c r="B1027" s="1" t="s">
        <v>2566</v>
      </c>
      <c r="C1027" s="2" t="str">
        <f>IFERROR(__xludf.DUMMYFUNCTION("GOOGLETRANSLATE(E1027, ""en"",""vi"")"),"đĩa mềm")</f>
        <v>đĩa mềm</v>
      </c>
      <c r="D1027" s="2" t="str">
        <f t="shared" si="29"/>
        <v>đĩa mềm</v>
      </c>
      <c r="E1027" s="3" t="str">
        <f t="shared" si="2"/>
        <v>floppy disk</v>
      </c>
    </row>
    <row r="1028" ht="15.75" customHeight="1">
      <c r="A1028" s="1" t="s">
        <v>2567</v>
      </c>
      <c r="B1028" s="1" t="s">
        <v>2568</v>
      </c>
      <c r="C1028" s="2" t="s">
        <v>2569</v>
      </c>
      <c r="D1028" s="2" t="str">
        <f t="shared" si="29"/>
        <v>lá bài hoa</v>
      </c>
      <c r="E1028" s="3" t="str">
        <f t="shared" si="2"/>
        <v>flower playing cards</v>
      </c>
    </row>
    <row r="1029" ht="15.75" customHeight="1">
      <c r="A1029" s="1" t="s">
        <v>2570</v>
      </c>
      <c r="B1029" s="1" t="s">
        <v>2571</v>
      </c>
      <c r="C1029" s="2" t="str">
        <f>IFERROR(__xludf.DUMMYFUNCTION("GOOGLETRANSLATE(E1029, ""en"",""vi"")"),"mặt đỏ bừng")</f>
        <v>mặt đỏ bừng</v>
      </c>
      <c r="D1029" s="2" t="str">
        <f t="shared" si="29"/>
        <v>mặt đỏ bừng</v>
      </c>
      <c r="E1029" s="3" t="str">
        <f t="shared" si="2"/>
        <v>flushed face</v>
      </c>
    </row>
    <row r="1030" ht="15.75" customHeight="1">
      <c r="A1030" s="1" t="s">
        <v>2572</v>
      </c>
      <c r="B1030" s="1" t="s">
        <v>2573</v>
      </c>
      <c r="C1030" s="2" t="str">
        <f>IFERROR(__xludf.DUMMYFUNCTION("GOOGLETRANSLATE(E1030, ""en"",""vi"")"),"bay")</f>
        <v>bay</v>
      </c>
      <c r="D1030" s="2" t="str">
        <f t="shared" si="29"/>
        <v>bay</v>
      </c>
      <c r="E1030" s="3" t="str">
        <f t="shared" si="2"/>
        <v>fly</v>
      </c>
    </row>
    <row r="1031" ht="15.75" customHeight="1">
      <c r="A1031" s="1" t="s">
        <v>2574</v>
      </c>
      <c r="B1031" s="1" t="s">
        <v>2575</v>
      </c>
      <c r="C1031" s="2" t="str">
        <f>IFERROR(__xludf.DUMMYFUNCTION("GOOGLETRANSLATE(E1031, ""en"",""vi"")"),"đĩa bay")</f>
        <v>đĩa bay</v>
      </c>
      <c r="D1031" s="2" t="str">
        <f t="shared" si="29"/>
        <v>đĩa bay</v>
      </c>
      <c r="E1031" s="3" t="str">
        <f t="shared" si="2"/>
        <v>flying disc</v>
      </c>
    </row>
    <row r="1032" ht="15.75" customHeight="1">
      <c r="A1032" s="1" t="s">
        <v>2576</v>
      </c>
      <c r="B1032" s="1" t="s">
        <v>2577</v>
      </c>
      <c r="C1032" s="2" t="str">
        <f>IFERROR(__xludf.DUMMYFUNCTION("GOOGLETRANSLATE(E1032, ""en"",""vi"")"),"đĩa bay")</f>
        <v>đĩa bay</v>
      </c>
      <c r="D1032" s="2" t="str">
        <f t="shared" si="29"/>
        <v>đĩa bay</v>
      </c>
      <c r="E1032" s="3" t="str">
        <f t="shared" si="2"/>
        <v>flying saucer</v>
      </c>
    </row>
    <row r="1033" ht="15.75" customHeight="1">
      <c r="A1033" s="1" t="s">
        <v>2578</v>
      </c>
      <c r="B1033" s="1" t="s">
        <v>2579</v>
      </c>
      <c r="C1033" s="2" t="str">
        <f>IFERROR(__xludf.DUMMYFUNCTION("GOOGLETRANSLATE(E1033, ""en"",""vi"")"),"sương mù")</f>
        <v>sương mù</v>
      </c>
      <c r="D1033" s="2" t="str">
        <f t="shared" si="29"/>
        <v>sương mù</v>
      </c>
      <c r="E1033" s="3" t="str">
        <f t="shared" si="2"/>
        <v>fog</v>
      </c>
    </row>
    <row r="1034" ht="15.75" customHeight="1">
      <c r="A1034" s="1" t="s">
        <v>2580</v>
      </c>
      <c r="B1034" s="1" t="s">
        <v>2581</v>
      </c>
      <c r="C1034" s="2" t="str">
        <f>IFERROR(__xludf.DUMMYFUNCTION("GOOGLETRANSLATE(E1034, ""en"",""vi"")"),"sương mù")</f>
        <v>sương mù</v>
      </c>
      <c r="D1034" s="2" t="str">
        <f t="shared" si="29"/>
        <v>sương mù</v>
      </c>
      <c r="E1034" s="3" t="str">
        <f t="shared" si="2"/>
        <v>foggy</v>
      </c>
    </row>
    <row r="1035" ht="15.75" customHeight="1">
      <c r="A1035" s="1" t="s">
        <v>2582</v>
      </c>
      <c r="B1035" s="1" t="s">
        <v>2583</v>
      </c>
      <c r="C1035" s="2" t="s">
        <v>2584</v>
      </c>
      <c r="D1035" s="2" t="str">
        <f t="shared" si="29"/>
        <v>chắp tay</v>
      </c>
      <c r="E1035" s="3" t="str">
        <f t="shared" si="2"/>
        <v>folded hands</v>
      </c>
    </row>
    <row r="1036" ht="15.75" customHeight="1">
      <c r="A1036" s="1" t="s">
        <v>2585</v>
      </c>
      <c r="B1036" s="1" t="s">
        <v>2586</v>
      </c>
      <c r="C1036" s="2" t="s">
        <v>2587</v>
      </c>
      <c r="D1036" s="2" t="str">
        <f t="shared" si="29"/>
        <v>chắp tay màu da sẫm</v>
      </c>
      <c r="E1036" s="3" t="str">
        <f t="shared" si="2"/>
        <v>folded hands dark skin tone</v>
      </c>
    </row>
    <row r="1037" ht="15.75" customHeight="1">
      <c r="A1037" s="1" t="s">
        <v>2588</v>
      </c>
      <c r="B1037" s="1" t="s">
        <v>2589</v>
      </c>
      <c r="C1037" s="2" t="s">
        <v>2590</v>
      </c>
      <c r="D1037" s="2" t="str">
        <f t="shared" si="29"/>
        <v>chắp tay màu da sáng</v>
      </c>
      <c r="E1037" s="3" t="str">
        <f t="shared" si="2"/>
        <v>folded hands light skin tone</v>
      </c>
    </row>
    <row r="1038" ht="15.75" customHeight="1">
      <c r="A1038" s="1" t="s">
        <v>2591</v>
      </c>
      <c r="B1038" s="1" t="s">
        <v>2592</v>
      </c>
      <c r="C1038" s="2" t="s">
        <v>2593</v>
      </c>
      <c r="D1038" s="2" t="str">
        <f t="shared" si="29"/>
        <v>chắp tay màu da sẫm vừa</v>
      </c>
      <c r="E1038" s="3" t="str">
        <f t="shared" si="2"/>
        <v>folded hands medium-dark skin tone</v>
      </c>
    </row>
    <row r="1039" ht="15.75" customHeight="1">
      <c r="A1039" s="1" t="s">
        <v>2594</v>
      </c>
      <c r="B1039" s="1" t="s">
        <v>2595</v>
      </c>
      <c r="C1039" s="2" t="s">
        <v>2596</v>
      </c>
      <c r="D1039" s="2" t="str">
        <f t="shared" si="29"/>
        <v>chắp tay màu da sáng vừa</v>
      </c>
      <c r="E1039" s="3" t="str">
        <f t="shared" si="2"/>
        <v>folded hands medium-light skin tone</v>
      </c>
    </row>
    <row r="1040" ht="15.75" customHeight="1">
      <c r="A1040" s="1" t="s">
        <v>2597</v>
      </c>
      <c r="B1040" s="1" t="s">
        <v>2598</v>
      </c>
      <c r="C1040" s="2" t="s">
        <v>2599</v>
      </c>
      <c r="D1040" s="2" t="str">
        <f t="shared" si="29"/>
        <v>chắp tay màu da thường</v>
      </c>
      <c r="E1040" s="3" t="str">
        <f t="shared" si="2"/>
        <v>folded hands medium skin tone</v>
      </c>
    </row>
    <row r="1041" ht="15.75" customHeight="1">
      <c r="A1041" s="1" t="s">
        <v>2600</v>
      </c>
      <c r="B1041" s="1" t="s">
        <v>2601</v>
      </c>
      <c r="C1041" s="2" t="s">
        <v>2602</v>
      </c>
      <c r="D1041" s="2" t="str">
        <f t="shared" si="29"/>
        <v>nước xốt</v>
      </c>
      <c r="E1041" s="3" t="str">
        <f t="shared" si="2"/>
        <v>fondue</v>
      </c>
    </row>
    <row r="1042" ht="15.75" customHeight="1">
      <c r="A1042" s="1" t="s">
        <v>2603</v>
      </c>
      <c r="B1042" s="1" t="s">
        <v>2604</v>
      </c>
      <c r="C1042" s="2" t="str">
        <f>IFERROR(__xludf.DUMMYFUNCTION("GOOGLETRANSLATE(E1042, ""en"",""vi"")"),"chân")</f>
        <v>chân</v>
      </c>
      <c r="D1042" s="2" t="str">
        <f t="shared" si="29"/>
        <v>chân</v>
      </c>
      <c r="E1042" s="3" t="str">
        <f t="shared" si="2"/>
        <v>foot</v>
      </c>
    </row>
    <row r="1043" ht="15.75" customHeight="1">
      <c r="A1043" s="1" t="s">
        <v>2605</v>
      </c>
      <c r="B1043" s="1" t="s">
        <v>2606</v>
      </c>
      <c r="C1043" s="2" t="s">
        <v>2607</v>
      </c>
      <c r="D1043" s="2" t="str">
        <f t="shared" si="29"/>
        <v>bàn chân màu da sẫm</v>
      </c>
      <c r="E1043" s="3" t="str">
        <f t="shared" si="2"/>
        <v>foot dark skin tone</v>
      </c>
    </row>
    <row r="1044" ht="15.75" customHeight="1">
      <c r="A1044" s="1" t="s">
        <v>2608</v>
      </c>
      <c r="B1044" s="1" t="s">
        <v>2609</v>
      </c>
      <c r="C1044" s="2" t="s">
        <v>2610</v>
      </c>
      <c r="D1044" s="2" t="str">
        <f t="shared" si="29"/>
        <v>bàn chân màu da sáng</v>
      </c>
      <c r="E1044" s="3" t="str">
        <f t="shared" si="2"/>
        <v>foot light skin tone</v>
      </c>
    </row>
    <row r="1045" ht="15.75" customHeight="1">
      <c r="A1045" s="1" t="s">
        <v>2611</v>
      </c>
      <c r="B1045" s="1" t="s">
        <v>2612</v>
      </c>
      <c r="C1045" s="2" t="s">
        <v>2613</v>
      </c>
      <c r="D1045" s="2" t="str">
        <f t="shared" si="29"/>
        <v>bàn chân màu da sẫm vừa</v>
      </c>
      <c r="E1045" s="3" t="str">
        <f t="shared" si="2"/>
        <v>foot medium-dark skin tone</v>
      </c>
    </row>
    <row r="1046" ht="15.75" customHeight="1">
      <c r="A1046" s="1" t="s">
        <v>2614</v>
      </c>
      <c r="B1046" s="1" t="s">
        <v>2615</v>
      </c>
      <c r="C1046" s="2" t="s">
        <v>2616</v>
      </c>
      <c r="D1046" s="2" t="str">
        <f t="shared" si="29"/>
        <v>bàn chân màu da sáng vừa</v>
      </c>
      <c r="E1046" s="3" t="str">
        <f t="shared" si="2"/>
        <v>foot medium-light skin tone</v>
      </c>
    </row>
    <row r="1047" ht="15.75" customHeight="1">
      <c r="A1047" s="1" t="s">
        <v>2617</v>
      </c>
      <c r="B1047" s="1" t="s">
        <v>2618</v>
      </c>
      <c r="C1047" s="2" t="s">
        <v>2619</v>
      </c>
      <c r="D1047" s="2" t="str">
        <f t="shared" si="29"/>
        <v>bàn chân màu da thường</v>
      </c>
      <c r="E1047" s="3" t="str">
        <f t="shared" si="2"/>
        <v>foot medium skin tone</v>
      </c>
    </row>
    <row r="1048" ht="15.75" customHeight="1">
      <c r="A1048" s="1" t="s">
        <v>2620</v>
      </c>
      <c r="B1048" s="1" t="s">
        <v>2621</v>
      </c>
      <c r="C1048" s="2" t="s">
        <v>2622</v>
      </c>
      <c r="D1048" s="2" t="str">
        <f t="shared" si="29"/>
        <v>dấu chân</v>
      </c>
      <c r="E1048" s="3" t="str">
        <f t="shared" si="2"/>
        <v>footprints</v>
      </c>
    </row>
    <row r="1049" ht="15.75" customHeight="1">
      <c r="A1049" s="1" t="s">
        <v>2623</v>
      </c>
      <c r="B1049" s="1" t="s">
        <v>2624</v>
      </c>
      <c r="C1049" s="2" t="str">
        <f>IFERROR(__xludf.DUMMYFUNCTION("GOOGLETRANSLATE(E1049, ""en"",""vi"")"),"nĩa và dao")</f>
        <v>nĩa và dao</v>
      </c>
      <c r="D1049" s="2" t="str">
        <f t="shared" si="29"/>
        <v>nĩa và dao</v>
      </c>
      <c r="E1049" s="3" t="str">
        <f t="shared" si="2"/>
        <v>fork and knife</v>
      </c>
    </row>
    <row r="1050" ht="15.75" customHeight="1">
      <c r="A1050" s="1" t="s">
        <v>2625</v>
      </c>
      <c r="B1050" s="1" t="s">
        <v>2626</v>
      </c>
      <c r="C1050" s="2" t="str">
        <f>IFERROR(__xludf.DUMMYFUNCTION("GOOGLETRANSLATE(E1050, ""en"",""vi"")"),"nĩa và dao với đĩa")</f>
        <v>nĩa và dao với đĩa</v>
      </c>
      <c r="D1050" s="2" t="str">
        <f t="shared" si="29"/>
        <v>nĩa và dao với đĩa</v>
      </c>
      <c r="E1050" s="3" t="str">
        <f t="shared" si="2"/>
        <v>fork and knife with plate</v>
      </c>
    </row>
    <row r="1051" ht="15.75" customHeight="1">
      <c r="A1051" s="1" t="s">
        <v>2627</v>
      </c>
      <c r="B1051" s="1" t="s">
        <v>2628</v>
      </c>
      <c r="C1051" s="2" t="s">
        <v>2629</v>
      </c>
      <c r="D1051" s="2" t="str">
        <f t="shared" si="29"/>
        <v>bánh may mắn</v>
      </c>
      <c r="E1051" s="3" t="str">
        <f t="shared" si="2"/>
        <v>fortune cookie</v>
      </c>
    </row>
    <row r="1052" ht="15.75" customHeight="1">
      <c r="A1052" s="1" t="s">
        <v>2630</v>
      </c>
      <c r="B1052" s="1" t="s">
        <v>2631</v>
      </c>
      <c r="C1052" s="2" t="str">
        <f>IFERROR(__xludf.DUMMYFUNCTION("GOOGLETRANSLATE(E1052, ""en"",""vi"")"),"đài phun nước")</f>
        <v>đài phun nước</v>
      </c>
      <c r="D1052" s="2" t="str">
        <f t="shared" si="29"/>
        <v>đài phun nước</v>
      </c>
      <c r="E1052" s="3" t="str">
        <f t="shared" si="2"/>
        <v>fountain</v>
      </c>
    </row>
    <row r="1053" ht="15.75" customHeight="1">
      <c r="A1053" s="1" t="s">
        <v>2632</v>
      </c>
      <c r="B1053" s="1" t="s">
        <v>2633</v>
      </c>
      <c r="C1053" s="2" t="str">
        <f>IFERROR(__xludf.DUMMYFUNCTION("GOOGLETRANSLATE(E1053, ""en"",""vi"")"),"bút máy")</f>
        <v>bút máy</v>
      </c>
      <c r="D1053" s="2" t="str">
        <f t="shared" si="29"/>
        <v>bút máy</v>
      </c>
      <c r="E1053" s="3" t="str">
        <f t="shared" si="2"/>
        <v>fountain pen</v>
      </c>
    </row>
    <row r="1054" ht="15.75" customHeight="1">
      <c r="A1054" s="1" t="s">
        <v>2634</v>
      </c>
      <c r="B1054" s="1" t="s">
        <v>2635</v>
      </c>
      <c r="C1054" s="2" t="s">
        <v>2636</v>
      </c>
      <c r="D1054" s="2" t="str">
        <f t="shared" si="29"/>
        <v>bốn giờ ba mươi</v>
      </c>
      <c r="E1054" s="3" t="str">
        <f t="shared" si="2"/>
        <v>four-thirty</v>
      </c>
    </row>
    <row r="1055" ht="15.75" customHeight="1">
      <c r="A1055" s="1" t="s">
        <v>2637</v>
      </c>
      <c r="B1055" s="1" t="s">
        <v>2638</v>
      </c>
      <c r="C1055" s="2" t="s">
        <v>2639</v>
      </c>
      <c r="D1055" s="2" t="str">
        <f t="shared" si="29"/>
        <v>cỏ ba lá bốn lá</v>
      </c>
      <c r="E1055" s="3" t="str">
        <f t="shared" si="2"/>
        <v>four leaf clover</v>
      </c>
    </row>
    <row r="1056" ht="15.75" customHeight="1">
      <c r="A1056" s="1" t="s">
        <v>2640</v>
      </c>
      <c r="B1056" s="1" t="s">
        <v>2641</v>
      </c>
      <c r="C1056" s="2" t="str">
        <f>IFERROR(__xludf.DUMMYFUNCTION("GOOGLETRANSLATE(E1056, ""en"",""vi"")"),"bốn giờ")</f>
        <v>bốn giờ</v>
      </c>
      <c r="D1056" s="2" t="str">
        <f t="shared" si="29"/>
        <v>bốn giờ</v>
      </c>
      <c r="E1056" s="3" t="str">
        <f t="shared" si="2"/>
        <v>four o’clock</v>
      </c>
    </row>
    <row r="1057" ht="15.75" customHeight="1">
      <c r="A1057" s="1" t="s">
        <v>2642</v>
      </c>
      <c r="B1057" s="1" t="s">
        <v>2643</v>
      </c>
      <c r="C1057" s="2" t="str">
        <f>IFERROR(__xludf.DUMMYFUNCTION("GOOGLETRANSLATE(E1057, ""en"",""vi"")"),"cáo")</f>
        <v>cáo</v>
      </c>
      <c r="D1057" s="2" t="str">
        <f t="shared" si="29"/>
        <v>cáo</v>
      </c>
      <c r="E1057" s="3" t="str">
        <f t="shared" si="2"/>
        <v>fox</v>
      </c>
    </row>
    <row r="1058" ht="15.75" customHeight="1">
      <c r="A1058" s="1" t="s">
        <v>2644</v>
      </c>
      <c r="B1058" s="1" t="s">
        <v>2645</v>
      </c>
      <c r="C1058" s="2" t="str">
        <f>IFERROR(__xludf.DUMMYFUNCTION("GOOGLETRANSLATE(E1058, ""en"",""vi"")"),"bức tranh đóng khung")</f>
        <v>bức tranh đóng khung</v>
      </c>
      <c r="D1058" s="2" t="str">
        <f t="shared" si="29"/>
        <v>bức tranh đóng khung</v>
      </c>
      <c r="E1058" s="3" t="str">
        <f t="shared" si="2"/>
        <v>framed picture</v>
      </c>
    </row>
    <row r="1059" ht="15.75" customHeight="1">
      <c r="A1059" s="1" t="s">
        <v>2646</v>
      </c>
      <c r="B1059" s="1" t="s">
        <v>2647</v>
      </c>
      <c r="C1059" s="2" t="str">
        <f>IFERROR(__xludf.DUMMYFUNCTION("GOOGLETRANSLATE(E1059, ""en"",""vi"")"),"khoai tây chiên")</f>
        <v>khoai tây chiên</v>
      </c>
      <c r="D1059" s="2" t="str">
        <f t="shared" si="29"/>
        <v>khoai tây chiên</v>
      </c>
      <c r="E1059" s="3" t="str">
        <f t="shared" si="2"/>
        <v>french fries</v>
      </c>
    </row>
    <row r="1060" ht="15.75" customHeight="1">
      <c r="A1060" s="1" t="s">
        <v>2648</v>
      </c>
      <c r="B1060" s="1" t="s">
        <v>2649</v>
      </c>
      <c r="C1060" s="2" t="str">
        <f>IFERROR(__xludf.DUMMYFUNCTION("GOOGLETRANSLATE(E1060, ""en"",""vi"")"),"tôm chiên")</f>
        <v>tôm chiên</v>
      </c>
      <c r="D1060" s="2" t="str">
        <f t="shared" si="29"/>
        <v>tôm chiên</v>
      </c>
      <c r="E1060" s="3" t="str">
        <f t="shared" si="2"/>
        <v>fried shrimp</v>
      </c>
    </row>
    <row r="1061" ht="15.75" customHeight="1">
      <c r="A1061" s="1" t="s">
        <v>2650</v>
      </c>
      <c r="B1061" s="1" t="s">
        <v>2651</v>
      </c>
      <c r="C1061" s="2" t="str">
        <f>IFERROR(__xludf.DUMMYFUNCTION("GOOGLETRANSLATE(E1061, ""en"",""vi"")"),"con ếch")</f>
        <v>con ếch</v>
      </c>
      <c r="D1061" s="2" t="str">
        <f t="shared" si="29"/>
        <v>con ếch</v>
      </c>
      <c r="E1061" s="3" t="str">
        <f t="shared" si="2"/>
        <v>frog</v>
      </c>
    </row>
    <row r="1062" ht="15.75" customHeight="1">
      <c r="A1062" s="1" t="s">
        <v>2652</v>
      </c>
      <c r="B1062" s="1" t="s">
        <v>2653</v>
      </c>
      <c r="C1062" s="2" t="str">
        <f>IFERROR(__xludf.DUMMYFUNCTION("GOOGLETRANSLATE(E1062, ""en"",""vi"")"),"gà con quay mặt về phía trước")</f>
        <v>gà con quay mặt về phía trước</v>
      </c>
      <c r="D1062" s="2" t="str">
        <f t="shared" si="29"/>
        <v>gà con quay mặt về phía trước</v>
      </c>
      <c r="E1062" s="3" t="str">
        <f t="shared" si="2"/>
        <v>front-facing baby chick</v>
      </c>
    </row>
    <row r="1063" ht="15.75" customHeight="1">
      <c r="A1063" s="1" t="s">
        <v>2654</v>
      </c>
      <c r="B1063" s="1" t="s">
        <v>2655</v>
      </c>
      <c r="C1063" s="2" t="str">
        <f>IFERROR(__xludf.DUMMYFUNCTION("GOOGLETRANSLATE(E1063, ""en"",""vi"")"),"khuôn mặt cau có")</f>
        <v>khuôn mặt cau có</v>
      </c>
      <c r="D1063" s="2" t="str">
        <f t="shared" si="29"/>
        <v>khuôn mặt cau có</v>
      </c>
      <c r="E1063" s="3" t="str">
        <f t="shared" si="2"/>
        <v>frowning face</v>
      </c>
    </row>
    <row r="1064" ht="15.75" customHeight="1">
      <c r="A1064" s="1" t="s">
        <v>2656</v>
      </c>
      <c r="B1064" s="1" t="s">
        <v>2657</v>
      </c>
      <c r="C1064" s="2" t="str">
        <f>IFERROR(__xludf.DUMMYFUNCTION("GOOGLETRANSLATE(E1064, ""en"",""vi"")"),"mặt cau có với miệng mở")</f>
        <v>mặt cau có với miệng mở</v>
      </c>
      <c r="D1064" s="2" t="str">
        <f t="shared" si="29"/>
        <v>mặt cau có với miệng mở</v>
      </c>
      <c r="E1064" s="3" t="str">
        <f t="shared" si="2"/>
        <v>frowning face with open mouth</v>
      </c>
    </row>
    <row r="1065" ht="15.75" customHeight="1">
      <c r="A1065" s="1" t="s">
        <v>2658</v>
      </c>
      <c r="B1065" s="1" t="s">
        <v>2659</v>
      </c>
      <c r="C1065" s="2" t="str">
        <f>IFERROR(__xludf.DUMMYFUNCTION("GOOGLETRANSLATE(E1065, ""en"",""vi"")"),"bơm nhiên liệu")</f>
        <v>bơm nhiên liệu</v>
      </c>
      <c r="D1065" s="2" t="str">
        <f t="shared" si="29"/>
        <v>bơm nhiên liệu</v>
      </c>
      <c r="E1065" s="3" t="str">
        <f t="shared" si="2"/>
        <v>fuel pump</v>
      </c>
    </row>
    <row r="1066" ht="15.75" customHeight="1">
      <c r="A1066" s="1" t="s">
        <v>2660</v>
      </c>
      <c r="B1066" s="1" t="s">
        <v>2661</v>
      </c>
      <c r="C1066" s="2" t="str">
        <f>IFERROR(__xludf.DUMMYFUNCTION("GOOGLETRANSLATE(E1066, ""en"",""vi"")"),"trăng tròn")</f>
        <v>trăng tròn</v>
      </c>
      <c r="D1066" s="2" t="str">
        <f t="shared" si="29"/>
        <v>trăng tròn</v>
      </c>
      <c r="E1066" s="3" t="str">
        <f t="shared" si="2"/>
        <v>full moon</v>
      </c>
    </row>
    <row r="1067" ht="15.75" customHeight="1">
      <c r="A1067" s="1" t="s">
        <v>2662</v>
      </c>
      <c r="B1067" s="1" t="s">
        <v>2663</v>
      </c>
      <c r="C1067" s="2" t="str">
        <f>IFERROR(__xludf.DUMMYFUNCTION("GOOGLETRANSLATE(E1067, ""en"",""vi"")"),"mặt trăng tròn")</f>
        <v>mặt trăng tròn</v>
      </c>
      <c r="D1067" s="2" t="str">
        <f t="shared" si="29"/>
        <v>mặt trăng tròn</v>
      </c>
      <c r="E1067" s="3" t="str">
        <f t="shared" si="2"/>
        <v>full moon face</v>
      </c>
    </row>
    <row r="1068" ht="15.75" customHeight="1">
      <c r="A1068" s="1" t="s">
        <v>2664</v>
      </c>
      <c r="B1068" s="1" t="s">
        <v>2665</v>
      </c>
      <c r="C1068" s="2" t="s">
        <v>2666</v>
      </c>
      <c r="D1068" s="2" t="str">
        <f t="shared" si="29"/>
        <v>bình tang lễ</v>
      </c>
      <c r="E1068" s="3" t="str">
        <f t="shared" si="2"/>
        <v>funeral urn</v>
      </c>
    </row>
    <row r="1069" ht="15.75" customHeight="1">
      <c r="A1069" s="1" t="s">
        <v>2667</v>
      </c>
      <c r="B1069" s="1" t="s">
        <v>2668</v>
      </c>
      <c r="C1069" s="2" t="s">
        <v>2669</v>
      </c>
      <c r="D1069" s="2" t="str">
        <f t="shared" si="29"/>
        <v>xúc xắc</v>
      </c>
      <c r="E1069" s="3" t="str">
        <f t="shared" si="2"/>
        <v>game die</v>
      </c>
    </row>
    <row r="1070" ht="15.75" customHeight="1">
      <c r="A1070" s="1" t="s">
        <v>2670</v>
      </c>
      <c r="B1070" s="1" t="s">
        <v>2671</v>
      </c>
      <c r="C1070" s="2" t="str">
        <f>IFERROR(__xludf.DUMMYFUNCTION("GOOGLETRANSLATE(E1070, ""en"",""vi"")"),"tỏi")</f>
        <v>tỏi</v>
      </c>
      <c r="D1070" s="2" t="str">
        <f t="shared" si="29"/>
        <v>tỏi</v>
      </c>
      <c r="E1070" s="3" t="str">
        <f t="shared" si="2"/>
        <v>garlic</v>
      </c>
    </row>
    <row r="1071" ht="15.75" customHeight="1">
      <c r="A1071" s="1" t="s">
        <v>2672</v>
      </c>
      <c r="B1071" s="1" t="s">
        <v>2673</v>
      </c>
      <c r="C1071" s="2" t="s">
        <v>2674</v>
      </c>
      <c r="D1071" s="2" t="str">
        <f t="shared" si="29"/>
        <v>bàn đạp</v>
      </c>
      <c r="E1071" s="3" t="str">
        <f t="shared" si="2"/>
        <v>gear</v>
      </c>
    </row>
    <row r="1072" ht="15.75" customHeight="1">
      <c r="A1072" s="1" t="s">
        <v>2675</v>
      </c>
      <c r="B1072" s="1" t="s">
        <v>2676</v>
      </c>
      <c r="C1072" s="2" t="str">
        <f>IFERROR(__xludf.DUMMYFUNCTION("GOOGLETRANSLATE(E1072, ""en"",""vi"")"),"đá quý")</f>
        <v>đá quý</v>
      </c>
      <c r="D1072" s="2" t="str">
        <f t="shared" si="29"/>
        <v>đá quý</v>
      </c>
      <c r="E1072" s="3" t="str">
        <f t="shared" si="2"/>
        <v>gem stone</v>
      </c>
    </row>
    <row r="1073" ht="15.75" customHeight="1">
      <c r="A1073" s="1" t="s">
        <v>2677</v>
      </c>
      <c r="B1073" s="1" t="s">
        <v>2678</v>
      </c>
      <c r="C1073" s="2" t="str">
        <f>IFERROR(__xludf.DUMMYFUNCTION("GOOGLETRANSLATE(E1073, ""en"",""vi"")"),"thần đèn")</f>
        <v>thần đèn</v>
      </c>
      <c r="D1073" s="2" t="str">
        <f t="shared" si="29"/>
        <v>thần đèn</v>
      </c>
      <c r="E1073" s="3" t="str">
        <f t="shared" si="2"/>
        <v>genie</v>
      </c>
    </row>
    <row r="1074" ht="15.75" customHeight="1">
      <c r="A1074" s="1" t="s">
        <v>2679</v>
      </c>
      <c r="B1074" s="1" t="s">
        <v>2680</v>
      </c>
      <c r="C1074" s="2" t="str">
        <f>IFERROR(__xludf.DUMMYFUNCTION("GOOGLETRANSLATE(E1074, ""en"",""vi"")"),"bóng ma")</f>
        <v>bóng ma</v>
      </c>
      <c r="D1074" s="2" t="str">
        <f t="shared" si="29"/>
        <v>bóng ma</v>
      </c>
      <c r="E1074" s="3" t="str">
        <f t="shared" si="2"/>
        <v>ghost</v>
      </c>
    </row>
    <row r="1075" ht="15.75" customHeight="1">
      <c r="A1075" s="1" t="s">
        <v>2681</v>
      </c>
      <c r="B1075" s="1" t="s">
        <v>2682</v>
      </c>
      <c r="C1075" s="2" t="str">
        <f>IFERROR(__xludf.DUMMYFUNCTION("GOOGLETRANSLATE(E1075, ""en"",""vi"")"),"hươu cao cổ")</f>
        <v>hươu cao cổ</v>
      </c>
      <c r="D1075" s="2" t="str">
        <f t="shared" si="29"/>
        <v>hươu cao cổ</v>
      </c>
      <c r="E1075" s="3" t="str">
        <f t="shared" si="2"/>
        <v>giraffe</v>
      </c>
    </row>
    <row r="1076" ht="15.75" customHeight="1">
      <c r="A1076" s="1" t="s">
        <v>2683</v>
      </c>
      <c r="B1076" s="1" t="s">
        <v>2684</v>
      </c>
      <c r="C1076" s="2" t="str">
        <f>IFERROR(__xludf.DUMMYFUNCTION("GOOGLETRANSLATE(E1076, ""en"",""vi"")"),"con gái")</f>
        <v>con gái</v>
      </c>
      <c r="D1076" s="2" t="str">
        <f t="shared" si="29"/>
        <v>con gái</v>
      </c>
      <c r="E1076" s="3" t="str">
        <f t="shared" si="2"/>
        <v>girl</v>
      </c>
    </row>
    <row r="1077" ht="15.75" customHeight="1">
      <c r="A1077" s="1" t="s">
        <v>2685</v>
      </c>
      <c r="B1077" s="1" t="s">
        <v>2686</v>
      </c>
      <c r="C1077" s="2" t="s">
        <v>2687</v>
      </c>
      <c r="D1077" s="2" t="str">
        <f t="shared" si="29"/>
        <v>cô gái màu da sẫm</v>
      </c>
      <c r="E1077" s="3" t="str">
        <f t="shared" si="2"/>
        <v>girl dark skin tone</v>
      </c>
    </row>
    <row r="1078" ht="15.75" customHeight="1">
      <c r="A1078" s="1" t="s">
        <v>2688</v>
      </c>
      <c r="B1078" s="1" t="s">
        <v>2689</v>
      </c>
      <c r="C1078" s="2" t="s">
        <v>2690</v>
      </c>
      <c r="D1078" s="2" t="str">
        <f t="shared" si="29"/>
        <v>cô gái màu da sáng</v>
      </c>
      <c r="E1078" s="3" t="str">
        <f t="shared" si="2"/>
        <v>girl light skin tone</v>
      </c>
    </row>
    <row r="1079" ht="15.75" customHeight="1">
      <c r="A1079" s="1" t="s">
        <v>2691</v>
      </c>
      <c r="B1079" s="1" t="s">
        <v>2692</v>
      </c>
      <c r="C1079" s="2" t="s">
        <v>2693</v>
      </c>
      <c r="D1079" s="2" t="str">
        <f t="shared" si="29"/>
        <v>cô gái màu da sẫm vừa</v>
      </c>
      <c r="E1079" s="3" t="str">
        <f t="shared" si="2"/>
        <v>girl medium-dark skin tone</v>
      </c>
    </row>
    <row r="1080" ht="15.75" customHeight="1">
      <c r="A1080" s="1" t="s">
        <v>2694</v>
      </c>
      <c r="B1080" s="1" t="s">
        <v>2695</v>
      </c>
      <c r="C1080" s="2" t="s">
        <v>2696</v>
      </c>
      <c r="D1080" s="2" t="str">
        <f t="shared" si="29"/>
        <v>cô gái màu da sáng vừa</v>
      </c>
      <c r="E1080" s="3" t="str">
        <f t="shared" si="2"/>
        <v>girl medium-light skin tone</v>
      </c>
    </row>
    <row r="1081" ht="15.75" customHeight="1">
      <c r="A1081" s="1" t="s">
        <v>2697</v>
      </c>
      <c r="B1081" s="1" t="s">
        <v>2698</v>
      </c>
      <c r="C1081" s="2" t="s">
        <v>2699</v>
      </c>
      <c r="D1081" s="2" t="str">
        <f t="shared" si="29"/>
        <v>cô gái màu da thường</v>
      </c>
      <c r="E1081" s="3" t="str">
        <f t="shared" si="2"/>
        <v>girl medium skin tone</v>
      </c>
    </row>
    <row r="1082" ht="15.75" customHeight="1">
      <c r="A1082" s="1" t="s">
        <v>2700</v>
      </c>
      <c r="B1082" s="1" t="s">
        <v>2701</v>
      </c>
      <c r="C1082" s="2" t="str">
        <f>IFERROR(__xludf.DUMMYFUNCTION("GOOGLETRANSLATE(E1082, ""en"",""vi"")"),"ly sữa")</f>
        <v>ly sữa</v>
      </c>
      <c r="D1082" s="2" t="str">
        <f t="shared" si="29"/>
        <v>ly sữa</v>
      </c>
      <c r="E1082" s="3" t="str">
        <f t="shared" si="2"/>
        <v>glass of milk</v>
      </c>
    </row>
    <row r="1083" ht="15.75" customHeight="1">
      <c r="A1083" s="1" t="s">
        <v>2702</v>
      </c>
      <c r="B1083" s="1" t="s">
        <v>2703</v>
      </c>
      <c r="C1083" s="2" t="str">
        <f>IFERROR(__xludf.DUMMYFUNCTION("GOOGLETRANSLATE(E1083, ""en"",""vi"")"),"kính")</f>
        <v>kính</v>
      </c>
      <c r="D1083" s="2" t="str">
        <f t="shared" si="29"/>
        <v>kính</v>
      </c>
      <c r="E1083" s="3" t="str">
        <f t="shared" si="2"/>
        <v>glasses</v>
      </c>
    </row>
    <row r="1084" ht="15.75" customHeight="1">
      <c r="A1084" s="1" t="s">
        <v>2704</v>
      </c>
      <c r="B1084" s="1" t="s">
        <v>2705</v>
      </c>
      <c r="C1084" s="2" t="str">
        <f>IFERROR(__xludf.DUMMYFUNCTION("GOOGLETRANSLATE(E1084, ""en"",""vi"")"),"quả địa cầu cho thấy Châu Mỹ")</f>
        <v>quả địa cầu cho thấy Châu Mỹ</v>
      </c>
      <c r="D1084" s="2" t="str">
        <f t="shared" si="29"/>
        <v>quả địa cầu cho thấy châu mỹ</v>
      </c>
      <c r="E1084" s="3" t="str">
        <f t="shared" si="2"/>
        <v>globe showing Americas</v>
      </c>
    </row>
    <row r="1085" ht="15.75" customHeight="1">
      <c r="A1085" s="1" t="s">
        <v>2706</v>
      </c>
      <c r="B1085" s="1" t="s">
        <v>2707</v>
      </c>
      <c r="C1085" s="2" t="str">
        <f>IFERROR(__xludf.DUMMYFUNCTION("GOOGLETRANSLATE(E1085, ""en"",""vi"")"),"quả địa cầu hiển thị Châu Á-Úc")</f>
        <v>quả địa cầu hiển thị Châu Á-Úc</v>
      </c>
      <c r="D1085" s="2" t="str">
        <f t="shared" si="29"/>
        <v>quả địa cầu hiển thị châu á-úc</v>
      </c>
      <c r="E1085" s="3" t="str">
        <f t="shared" si="2"/>
        <v>globe showing Asia-Australia</v>
      </c>
    </row>
    <row r="1086" ht="15.75" customHeight="1">
      <c r="A1086" s="1" t="s">
        <v>2708</v>
      </c>
      <c r="B1086" s="1" t="s">
        <v>2709</v>
      </c>
      <c r="C1086" s="2" t="str">
        <f>IFERROR(__xludf.DUMMYFUNCTION("GOOGLETRANSLATE(E1086, ""en"",""vi"")"),"quả địa cầu hiển thị Châu Âu-Châu Phi")</f>
        <v>quả địa cầu hiển thị Châu Âu-Châu Phi</v>
      </c>
      <c r="D1086" s="2" t="str">
        <f t="shared" si="29"/>
        <v>quả địa cầu hiển thị châu âu-châu phi</v>
      </c>
      <c r="E1086" s="3" t="str">
        <f t="shared" si="2"/>
        <v>globe showing Europe-Africa</v>
      </c>
    </row>
    <row r="1087" ht="15.75" customHeight="1">
      <c r="A1087" s="1" t="s">
        <v>2710</v>
      </c>
      <c r="B1087" s="1" t="s">
        <v>2711</v>
      </c>
      <c r="C1087" s="2" t="str">
        <f>IFERROR(__xludf.DUMMYFUNCTION("GOOGLETRANSLATE(E1087, ""en"",""vi"")"),"quả địa cầu có kinh tuyến")</f>
        <v>quả địa cầu có kinh tuyến</v>
      </c>
      <c r="D1087" s="2" t="str">
        <f t="shared" si="29"/>
        <v>quả địa cầu có kinh tuyến</v>
      </c>
      <c r="E1087" s="3" t="str">
        <f t="shared" si="2"/>
        <v>globe with meridians</v>
      </c>
    </row>
    <row r="1088" ht="15.75" customHeight="1">
      <c r="A1088" s="1" t="s">
        <v>2712</v>
      </c>
      <c r="B1088" s="1" t="s">
        <v>2713</v>
      </c>
      <c r="C1088" s="2" t="str">
        <f>IFERROR(__xludf.DUMMYFUNCTION("GOOGLETRANSLATE(E1088, ""en"",""vi"")"),"găng tay")</f>
        <v>găng tay</v>
      </c>
      <c r="D1088" s="2" t="str">
        <f t="shared" si="29"/>
        <v>găng tay</v>
      </c>
      <c r="E1088" s="3" t="str">
        <f t="shared" si="2"/>
        <v>gloves</v>
      </c>
    </row>
    <row r="1089" ht="15.75" customHeight="1">
      <c r="A1089" s="1" t="s">
        <v>2714</v>
      </c>
      <c r="B1089" s="1" t="s">
        <v>2715</v>
      </c>
      <c r="C1089" s="2" t="s">
        <v>2716</v>
      </c>
      <c r="D1089" s="2" t="s">
        <v>2716</v>
      </c>
      <c r="E1089" s="3" t="str">
        <f t="shared" si="2"/>
        <v>glowing star</v>
      </c>
    </row>
    <row r="1090" ht="15.75" customHeight="1">
      <c r="A1090" s="1" t="s">
        <v>2717</v>
      </c>
      <c r="B1090" s="1" t="s">
        <v>2718</v>
      </c>
      <c r="C1090" s="2" t="s">
        <v>2719</v>
      </c>
      <c r="D1090" s="2" t="str">
        <f t="shared" ref="D1090:D1160" si="30">LOWER(C1090)</f>
        <v>gôn lưới</v>
      </c>
      <c r="E1090" s="3" t="str">
        <f t="shared" si="2"/>
        <v>goal net</v>
      </c>
    </row>
    <row r="1091" ht="15.75" customHeight="1">
      <c r="A1091" s="1" t="s">
        <v>2720</v>
      </c>
      <c r="B1091" s="1" t="s">
        <v>2721</v>
      </c>
      <c r="C1091" s="2" t="str">
        <f>IFERROR(__xludf.DUMMYFUNCTION("GOOGLETRANSLATE(E1091, ""en"",""vi"")"),"con dê")</f>
        <v>con dê</v>
      </c>
      <c r="D1091" s="2" t="str">
        <f t="shared" si="30"/>
        <v>con dê</v>
      </c>
      <c r="E1091" s="3" t="str">
        <f t="shared" si="2"/>
        <v>goat</v>
      </c>
    </row>
    <row r="1092" ht="15.75" customHeight="1">
      <c r="A1092" s="1" t="s">
        <v>2722</v>
      </c>
      <c r="B1092" s="1" t="s">
        <v>2723</v>
      </c>
      <c r="C1092" s="2" t="str">
        <f>IFERROR(__xludf.DUMMYFUNCTION("GOOGLETRANSLATE(E1092, ""en"",""vi"")"),"yêu tinh")</f>
        <v>yêu tinh</v>
      </c>
      <c r="D1092" s="2" t="str">
        <f t="shared" si="30"/>
        <v>yêu tinh</v>
      </c>
      <c r="E1092" s="3" t="str">
        <f t="shared" si="2"/>
        <v>goblin</v>
      </c>
    </row>
    <row r="1093" ht="15.75" customHeight="1">
      <c r="A1093" s="1" t="s">
        <v>2724</v>
      </c>
      <c r="B1093" s="1" t="s">
        <v>2725</v>
      </c>
      <c r="C1093" s="2" t="str">
        <f>IFERROR(__xludf.DUMMYFUNCTION("GOOGLETRANSLATE(E1093, ""en"",""vi"")"),"kính bảo hộ")</f>
        <v>kính bảo hộ</v>
      </c>
      <c r="D1093" s="2" t="str">
        <f t="shared" si="30"/>
        <v>kính bảo hộ</v>
      </c>
      <c r="E1093" s="3" t="str">
        <f t="shared" si="2"/>
        <v>goggles</v>
      </c>
    </row>
    <row r="1094" ht="15.75" customHeight="1">
      <c r="A1094" s="1" t="s">
        <v>2726</v>
      </c>
      <c r="B1094" s="1" t="s">
        <v>2727</v>
      </c>
      <c r="C1094" s="2" t="str">
        <f>IFERROR(__xludf.DUMMYFUNCTION("GOOGLETRANSLATE(E1094, ""en"",""vi"")"),"khỉ đột")</f>
        <v>khỉ đột</v>
      </c>
      <c r="D1094" s="2" t="str">
        <f t="shared" si="30"/>
        <v>khỉ đột</v>
      </c>
      <c r="E1094" s="3" t="str">
        <f t="shared" si="2"/>
        <v>gorilla</v>
      </c>
    </row>
    <row r="1095" ht="15.75" customHeight="1">
      <c r="A1095" s="1" t="s">
        <v>2728</v>
      </c>
      <c r="B1095" s="1" t="s">
        <v>2729</v>
      </c>
      <c r="C1095" s="2" t="str">
        <f>IFERROR(__xludf.DUMMYFUNCTION("GOOGLETRANSLATE(E1095, ""en"",""vi"")"),"mũ tốt nghiệp")</f>
        <v>mũ tốt nghiệp</v>
      </c>
      <c r="D1095" s="2" t="str">
        <f t="shared" si="30"/>
        <v>mũ tốt nghiệp</v>
      </c>
      <c r="E1095" s="3" t="str">
        <f t="shared" si="2"/>
        <v>graduation cap</v>
      </c>
    </row>
    <row r="1096" ht="15.75" customHeight="1">
      <c r="A1096" s="1" t="s">
        <v>2730</v>
      </c>
      <c r="B1096" s="1" t="s">
        <v>2731</v>
      </c>
      <c r="C1096" s="2" t="str">
        <f>IFERROR(__xludf.DUMMYFUNCTION("GOOGLETRANSLATE(E1096, ""en"",""vi"")"),"quả nho")</f>
        <v>quả nho</v>
      </c>
      <c r="D1096" s="2" t="str">
        <f t="shared" si="30"/>
        <v>quả nho</v>
      </c>
      <c r="E1096" s="3" t="str">
        <f t="shared" si="2"/>
        <v>grapes</v>
      </c>
    </row>
    <row r="1097" ht="15.75" customHeight="1">
      <c r="A1097" s="1" t="s">
        <v>2732</v>
      </c>
      <c r="B1097" s="1" t="s">
        <v>2733</v>
      </c>
      <c r="C1097" s="2" t="str">
        <f>IFERROR(__xludf.DUMMYFUNCTION("GOOGLETRANSLATE(E1097, ""en"",""vi"")"),"táo xanh")</f>
        <v>táo xanh</v>
      </c>
      <c r="D1097" s="2" t="str">
        <f t="shared" si="30"/>
        <v>táo xanh</v>
      </c>
      <c r="E1097" s="3" t="str">
        <f t="shared" si="2"/>
        <v>green apple</v>
      </c>
    </row>
    <row r="1098" ht="15.75" customHeight="1">
      <c r="A1098" s="1" t="s">
        <v>2734</v>
      </c>
      <c r="B1098" s="1" t="s">
        <v>2735</v>
      </c>
      <c r="C1098" s="2" t="str">
        <f>IFERROR(__xludf.DUMMYFUNCTION("GOOGLETRANSLATE(E1098, ""en"",""vi"")"),"sách xanh")</f>
        <v>sách xanh</v>
      </c>
      <c r="D1098" s="2" t="str">
        <f t="shared" si="30"/>
        <v>sách xanh</v>
      </c>
      <c r="E1098" s="3" t="str">
        <f t="shared" si="2"/>
        <v>green book</v>
      </c>
    </row>
    <row r="1099" ht="15.75" customHeight="1">
      <c r="A1099" s="1" t="s">
        <v>2736</v>
      </c>
      <c r="B1099" s="1" t="s">
        <v>2737</v>
      </c>
      <c r="C1099" s="2" t="str">
        <f>IFERROR(__xludf.DUMMYFUNCTION("GOOGLETRANSLATE(E1099, ""en"",""vi"")"),"vòng tròn màu xanh lá cây")</f>
        <v>vòng tròn màu xanh lá cây</v>
      </c>
      <c r="D1099" s="2" t="str">
        <f t="shared" si="30"/>
        <v>vòng tròn màu xanh lá cây</v>
      </c>
      <c r="E1099" s="3" t="str">
        <f t="shared" si="2"/>
        <v>green circle</v>
      </c>
    </row>
    <row r="1100" ht="15.75" customHeight="1">
      <c r="A1100" s="1" t="s">
        <v>2738</v>
      </c>
      <c r="B1100" s="1" t="s">
        <v>2739</v>
      </c>
      <c r="C1100" s="2" t="str">
        <f>IFERROR(__xludf.DUMMYFUNCTION("GOOGLETRANSLATE(E1100, ""en"",""vi"")"),"trái tim xanh")</f>
        <v>trái tim xanh</v>
      </c>
      <c r="D1100" s="2" t="str">
        <f t="shared" si="30"/>
        <v>trái tim xanh</v>
      </c>
      <c r="E1100" s="3" t="str">
        <f t="shared" si="2"/>
        <v>green heart</v>
      </c>
    </row>
    <row r="1101" ht="15.75" customHeight="1">
      <c r="A1101" s="1" t="s">
        <v>2740</v>
      </c>
      <c r="B1101" s="1" t="s">
        <v>2741</v>
      </c>
      <c r="C1101" s="2" t="str">
        <f>IFERROR(__xludf.DUMMYFUNCTION("GOOGLETRANSLATE(E1101, ""en"",""vi"")"),"xà lách xanh")</f>
        <v>xà lách xanh</v>
      </c>
      <c r="D1101" s="2" t="str">
        <f t="shared" si="30"/>
        <v>xà lách xanh</v>
      </c>
      <c r="E1101" s="3" t="str">
        <f t="shared" si="2"/>
        <v>green salad</v>
      </c>
    </row>
    <row r="1102" ht="15.75" customHeight="1">
      <c r="A1102" s="1" t="s">
        <v>2742</v>
      </c>
      <c r="B1102" s="1" t="s">
        <v>2743</v>
      </c>
      <c r="C1102" s="2" t="s">
        <v>2744</v>
      </c>
      <c r="D1102" s="2" t="str">
        <f t="shared" si="30"/>
        <v>hình vuông xanh</v>
      </c>
      <c r="E1102" s="3" t="str">
        <f t="shared" si="2"/>
        <v>green square</v>
      </c>
    </row>
    <row r="1103" ht="15.75" customHeight="1">
      <c r="A1103" s="1" t="s">
        <v>2745</v>
      </c>
      <c r="B1103" s="1" t="s">
        <v>2746</v>
      </c>
      <c r="C1103" s="2" t="str">
        <f>IFERROR(__xludf.DUMMYFUNCTION("GOOGLETRANSLATE(E1103, ""en"",""vi"")"),"khuôn mặt nhăn nhó")</f>
        <v>khuôn mặt nhăn nhó</v>
      </c>
      <c r="D1103" s="2" t="str">
        <f t="shared" si="30"/>
        <v>khuôn mặt nhăn nhó</v>
      </c>
      <c r="E1103" s="3" t="str">
        <f t="shared" si="2"/>
        <v>grimacing face</v>
      </c>
    </row>
    <row r="1104" ht="15.75" customHeight="1">
      <c r="A1104" s="1" t="s">
        <v>2747</v>
      </c>
      <c r="B1104" s="1" t="s">
        <v>2748</v>
      </c>
      <c r="C1104" s="2" t="s">
        <v>2749</v>
      </c>
      <c r="D1104" s="2" t="str">
        <f t="shared" si="30"/>
        <v>mèo cười toa toét</v>
      </c>
      <c r="E1104" s="3" t="str">
        <f t="shared" si="2"/>
        <v>grinning cat</v>
      </c>
    </row>
    <row r="1105" ht="15.75" customHeight="1">
      <c r="A1105" s="1" t="s">
        <v>2750</v>
      </c>
      <c r="B1105" s="1" t="s">
        <v>2751</v>
      </c>
      <c r="C1105" s="2" t="s">
        <v>2752</v>
      </c>
      <c r="D1105" s="2" t="str">
        <f t="shared" si="30"/>
        <v>mèo cười toa toét với đôi mắt mỉm cười</v>
      </c>
      <c r="E1105" s="3" t="str">
        <f t="shared" si="2"/>
        <v>grinning cat with smiling eyes</v>
      </c>
    </row>
    <row r="1106" ht="15.75" customHeight="1">
      <c r="A1106" s="1" t="s">
        <v>2753</v>
      </c>
      <c r="B1106" s="1" t="s">
        <v>2754</v>
      </c>
      <c r="C1106" s="2" t="str">
        <f>IFERROR(__xludf.DUMMYFUNCTION("GOOGLETRANSLATE(E1106, ""en"",""vi"")"),"khuôn mặt cười toe toét")</f>
        <v>khuôn mặt cười toe toét</v>
      </c>
      <c r="D1106" s="2" t="str">
        <f t="shared" si="30"/>
        <v>khuôn mặt cười toe toét</v>
      </c>
      <c r="E1106" s="3" t="str">
        <f t="shared" si="2"/>
        <v>grinning face</v>
      </c>
    </row>
    <row r="1107" ht="15.75" customHeight="1">
      <c r="A1107" s="1" t="s">
        <v>2755</v>
      </c>
      <c r="B1107" s="1" t="s">
        <v>2756</v>
      </c>
      <c r="C1107" s="2" t="str">
        <f>IFERROR(__xludf.DUMMYFUNCTION("GOOGLETRANSLATE(E1107, ""en"",""vi"")"),"khuôn mặt cười toe toét với đôi mắt to")</f>
        <v>khuôn mặt cười toe toét với đôi mắt to</v>
      </c>
      <c r="D1107" s="2" t="str">
        <f t="shared" si="30"/>
        <v>khuôn mặt cười toe toét với đôi mắt to</v>
      </c>
      <c r="E1107" s="3" t="str">
        <f t="shared" si="2"/>
        <v>grinning face with big eyes</v>
      </c>
    </row>
    <row r="1108" ht="15.75" customHeight="1">
      <c r="A1108" s="1" t="s">
        <v>2757</v>
      </c>
      <c r="B1108" s="1" t="s">
        <v>2758</v>
      </c>
      <c r="C1108" s="2" t="s">
        <v>2759</v>
      </c>
      <c r="D1108" s="2" t="str">
        <f t="shared" si="30"/>
        <v>khuôn mặt cười toe toét với đôi mắt mỉm cười</v>
      </c>
      <c r="E1108" s="3" t="str">
        <f t="shared" si="2"/>
        <v>grinning face with smiling eyes</v>
      </c>
    </row>
    <row r="1109" ht="15.75" customHeight="1">
      <c r="A1109" s="1" t="s">
        <v>2760</v>
      </c>
      <c r="B1109" s="1" t="s">
        <v>2761</v>
      </c>
      <c r="C1109" s="2" t="str">
        <f>IFERROR(__xludf.DUMMYFUNCTION("GOOGLETRANSLATE(E1109, ""en"",""vi"")"),"khuôn mặt nhăn nhó vì mồ hôi")</f>
        <v>khuôn mặt nhăn nhó vì mồ hôi</v>
      </c>
      <c r="D1109" s="2" t="str">
        <f t="shared" si="30"/>
        <v>khuôn mặt nhăn nhó vì mồ hôi</v>
      </c>
      <c r="E1109" s="3" t="str">
        <f t="shared" si="2"/>
        <v>grinning face with sweat</v>
      </c>
    </row>
    <row r="1110" ht="15.75" customHeight="1">
      <c r="A1110" s="1" t="s">
        <v>2762</v>
      </c>
      <c r="B1110" s="1" t="s">
        <v>2763</v>
      </c>
      <c r="C1110" s="2" t="s">
        <v>2764</v>
      </c>
      <c r="D1110" s="2" t="str">
        <f t="shared" si="30"/>
        <v>mặt nheo mắt cười toa toét</v>
      </c>
      <c r="E1110" s="3" t="str">
        <f t="shared" si="2"/>
        <v>grinning squinting face</v>
      </c>
    </row>
    <row r="1111" ht="15.75" customHeight="1">
      <c r="A1111" s="1" t="s">
        <v>2765</v>
      </c>
      <c r="B1111" s="1" t="s">
        <v>2766</v>
      </c>
      <c r="C1111" s="2" t="s">
        <v>2767</v>
      </c>
      <c r="D1111" s="2" t="str">
        <f t="shared" si="30"/>
        <v>trái tim bành trướng</v>
      </c>
      <c r="E1111" s="3" t="str">
        <f t="shared" si="2"/>
        <v>growing heart</v>
      </c>
    </row>
    <row r="1112" ht="15.75" customHeight="1">
      <c r="A1112" s="1" t="s">
        <v>2768</v>
      </c>
      <c r="B1112" s="1" t="s">
        <v>2769</v>
      </c>
      <c r="C1112" s="2" t="str">
        <f>IFERROR(__xludf.DUMMYFUNCTION("GOOGLETRANSLATE(E1112, ""en"",""vi"")"),"bảo vệ")</f>
        <v>bảo vệ</v>
      </c>
      <c r="D1112" s="2" t="str">
        <f t="shared" si="30"/>
        <v>bảo vệ</v>
      </c>
      <c r="E1112" s="3" t="str">
        <f t="shared" si="2"/>
        <v>guard</v>
      </c>
    </row>
    <row r="1113" ht="15.75" customHeight="1">
      <c r="A1113" s="1" t="s">
        <v>2770</v>
      </c>
      <c r="B1113" s="1" t="s">
        <v>2771</v>
      </c>
      <c r="C1113" s="2" t="s">
        <v>2772</v>
      </c>
      <c r="D1113" s="2" t="str">
        <f t="shared" si="30"/>
        <v>bảo vệ màu da sẫm</v>
      </c>
      <c r="E1113" s="3" t="str">
        <f t="shared" si="2"/>
        <v>guard dark skin tone</v>
      </c>
    </row>
    <row r="1114" ht="15.75" customHeight="1">
      <c r="A1114" s="1" t="s">
        <v>2773</v>
      </c>
      <c r="B1114" s="1" t="s">
        <v>2774</v>
      </c>
      <c r="C1114" s="2" t="s">
        <v>2775</v>
      </c>
      <c r="D1114" s="2" t="str">
        <f t="shared" si="30"/>
        <v>bảo vệ màu da sáng</v>
      </c>
      <c r="E1114" s="3" t="str">
        <f t="shared" si="2"/>
        <v>guard light skin tone</v>
      </c>
    </row>
    <row r="1115" ht="15.75" customHeight="1">
      <c r="A1115" s="1" t="s">
        <v>2776</v>
      </c>
      <c r="B1115" s="1" t="s">
        <v>2777</v>
      </c>
      <c r="C1115" s="2" t="s">
        <v>2778</v>
      </c>
      <c r="D1115" s="2" t="str">
        <f t="shared" si="30"/>
        <v>bảo vệ màu da sẫm vừa</v>
      </c>
      <c r="E1115" s="3" t="str">
        <f t="shared" si="2"/>
        <v>guard medium-dark skin tone</v>
      </c>
    </row>
    <row r="1116" ht="15.75" customHeight="1">
      <c r="A1116" s="1" t="s">
        <v>2779</v>
      </c>
      <c r="B1116" s="1" t="s">
        <v>2780</v>
      </c>
      <c r="C1116" s="2" t="s">
        <v>2781</v>
      </c>
      <c r="D1116" s="2" t="str">
        <f t="shared" si="30"/>
        <v>bảo vệ màu da sáng vừa</v>
      </c>
      <c r="E1116" s="3" t="str">
        <f t="shared" si="2"/>
        <v>guard medium-light skin tone</v>
      </c>
    </row>
    <row r="1117" ht="15.75" customHeight="1">
      <c r="A1117" s="1" t="s">
        <v>2782</v>
      </c>
      <c r="B1117" s="1" t="s">
        <v>2783</v>
      </c>
      <c r="C1117" s="2" t="s">
        <v>2784</v>
      </c>
      <c r="D1117" s="2" t="str">
        <f t="shared" si="30"/>
        <v>bảo vệ màu da thường</v>
      </c>
      <c r="E1117" s="3" t="str">
        <f t="shared" si="2"/>
        <v>guard medium skin tone</v>
      </c>
    </row>
    <row r="1118" ht="15.75" customHeight="1">
      <c r="A1118" s="1" t="s">
        <v>2785</v>
      </c>
      <c r="B1118" s="1" t="s">
        <v>2786</v>
      </c>
      <c r="C1118" s="2" t="str">
        <f>IFERROR(__xludf.DUMMYFUNCTION("GOOGLETRANSLATE(E1118, ""en"",""vi"")"),"chó dẫn đường")</f>
        <v>chó dẫn đường</v>
      </c>
      <c r="D1118" s="2" t="str">
        <f t="shared" si="30"/>
        <v>chó dẫn đường</v>
      </c>
      <c r="E1118" s="3" t="str">
        <f t="shared" si="2"/>
        <v>guide dog</v>
      </c>
    </row>
    <row r="1119" ht="15.75" customHeight="1">
      <c r="A1119" s="1" t="s">
        <v>2787</v>
      </c>
      <c r="B1119" s="1" t="s">
        <v>2788</v>
      </c>
      <c r="C1119" s="2" t="str">
        <f>IFERROR(__xludf.DUMMYFUNCTION("GOOGLETRANSLATE(E1119, ""en"",""vi"")"),"đàn ghita")</f>
        <v>đàn ghita</v>
      </c>
      <c r="D1119" s="2" t="str">
        <f t="shared" si="30"/>
        <v>đàn ghita</v>
      </c>
      <c r="E1119" s="3" t="str">
        <f t="shared" si="2"/>
        <v>guitar</v>
      </c>
    </row>
    <row r="1120" ht="15.75" customHeight="1">
      <c r="A1120" s="1" t="s">
        <v>2789</v>
      </c>
      <c r="B1120" s="1" t="s">
        <v>2790</v>
      </c>
      <c r="C1120" s="2" t="str">
        <f>IFERROR(__xludf.DUMMYFUNCTION("GOOGLETRANSLATE(E1120, ""en"",""vi"")"),"bánh hamburger")</f>
        <v>bánh hamburger</v>
      </c>
      <c r="D1120" s="2" t="str">
        <f t="shared" si="30"/>
        <v>bánh hamburger</v>
      </c>
      <c r="E1120" s="3" t="str">
        <f t="shared" si="2"/>
        <v>hamburger</v>
      </c>
    </row>
    <row r="1121" ht="15.75" customHeight="1">
      <c r="A1121" s="1" t="s">
        <v>2791</v>
      </c>
      <c r="B1121" s="1" t="s">
        <v>2792</v>
      </c>
      <c r="C1121" s="2" t="str">
        <f>IFERROR(__xludf.DUMMYFUNCTION("GOOGLETRANSLATE(E1121, ""en"",""vi"")"),"búa")</f>
        <v>búa</v>
      </c>
      <c r="D1121" s="2" t="str">
        <f t="shared" si="30"/>
        <v>búa</v>
      </c>
      <c r="E1121" s="3" t="str">
        <f t="shared" si="2"/>
        <v>hammer</v>
      </c>
    </row>
    <row r="1122" ht="15.75" customHeight="1">
      <c r="A1122" s="1" t="s">
        <v>2793</v>
      </c>
      <c r="B1122" s="1" t="s">
        <v>2794</v>
      </c>
      <c r="C1122" s="2" t="s">
        <v>2795</v>
      </c>
      <c r="D1122" s="2" t="str">
        <f t="shared" si="30"/>
        <v>búa và cuốc</v>
      </c>
      <c r="E1122" s="3" t="str">
        <f t="shared" si="2"/>
        <v>hammer and pick</v>
      </c>
    </row>
    <row r="1123" ht="15.75" customHeight="1">
      <c r="A1123" s="1" t="s">
        <v>2796</v>
      </c>
      <c r="B1123" s="1" t="s">
        <v>2797</v>
      </c>
      <c r="C1123" s="2" t="str">
        <f>IFERROR(__xludf.DUMMYFUNCTION("GOOGLETRANSLATE(E1123, ""en"",""vi"")"),"búa và cờ lê")</f>
        <v>búa và cờ lê</v>
      </c>
      <c r="D1123" s="2" t="str">
        <f t="shared" si="30"/>
        <v>búa và cờ lê</v>
      </c>
      <c r="E1123" s="3" t="str">
        <f t="shared" si="2"/>
        <v>hammer and wrench</v>
      </c>
    </row>
    <row r="1124" ht="15.75" customHeight="1">
      <c r="A1124" s="1" t="s">
        <v>2798</v>
      </c>
      <c r="B1124" s="1" t="s">
        <v>2799</v>
      </c>
      <c r="C1124" s="2" t="s">
        <v>2800</v>
      </c>
      <c r="D1124" s="2" t="str">
        <f t="shared" si="30"/>
        <v>chuột hamster</v>
      </c>
      <c r="E1124" s="3" t="str">
        <f t="shared" si="2"/>
        <v>hamster</v>
      </c>
    </row>
    <row r="1125" ht="15.75" customHeight="1">
      <c r="A1125" s="1" t="s">
        <v>2801</v>
      </c>
      <c r="B1125" s="1" t="s">
        <v>2802</v>
      </c>
      <c r="C1125" s="2" t="s">
        <v>2803</v>
      </c>
      <c r="D1125" s="2" t="str">
        <f t="shared" si="30"/>
        <v>bàn tay với ngón tay xoè ra</v>
      </c>
      <c r="E1125" s="3" t="str">
        <f t="shared" si="2"/>
        <v>hand with fingers splayed</v>
      </c>
    </row>
    <row r="1126" ht="15.75" customHeight="1">
      <c r="A1126" s="1" t="s">
        <v>2804</v>
      </c>
      <c r="B1126" s="1" t="s">
        <v>2805</v>
      </c>
      <c r="C1126" s="2" t="s">
        <v>2806</v>
      </c>
      <c r="D1126" s="2" t="str">
        <f t="shared" si="30"/>
        <v>bàn tay với ngón tay xoè ra màu da sẫm</v>
      </c>
      <c r="E1126" s="3" t="str">
        <f t="shared" si="2"/>
        <v>hand with fingers splayed dark skin tone</v>
      </c>
    </row>
    <row r="1127" ht="15.75" customHeight="1">
      <c r="A1127" s="1" t="s">
        <v>2807</v>
      </c>
      <c r="B1127" s="1" t="s">
        <v>2808</v>
      </c>
      <c r="C1127" s="2" t="s">
        <v>2809</v>
      </c>
      <c r="D1127" s="2" t="str">
        <f t="shared" si="30"/>
        <v>bàn tay với ngón tay xoè ra màu da sáng</v>
      </c>
      <c r="E1127" s="3" t="str">
        <f t="shared" si="2"/>
        <v>hand with fingers splayed light skin tone</v>
      </c>
    </row>
    <row r="1128" ht="15.75" customHeight="1">
      <c r="A1128" s="1" t="s">
        <v>2810</v>
      </c>
      <c r="B1128" s="1" t="s">
        <v>2811</v>
      </c>
      <c r="C1128" s="2" t="s">
        <v>2812</v>
      </c>
      <c r="D1128" s="2" t="str">
        <f t="shared" si="30"/>
        <v>bàn tay với ngón tay xoè ra màu da sẫm vừa</v>
      </c>
      <c r="E1128" s="3" t="str">
        <f t="shared" si="2"/>
        <v>hand with fingers splayed medium-dark skin tone</v>
      </c>
    </row>
    <row r="1129" ht="15.75" customHeight="1">
      <c r="A1129" s="1" t="s">
        <v>2813</v>
      </c>
      <c r="B1129" s="1" t="s">
        <v>2814</v>
      </c>
      <c r="C1129" s="2" t="s">
        <v>2815</v>
      </c>
      <c r="D1129" s="2" t="str">
        <f t="shared" si="30"/>
        <v>bàn tay với ngón tay xoè ra màu da sáng vừa</v>
      </c>
      <c r="E1129" s="3" t="str">
        <f t="shared" si="2"/>
        <v>hand with fingers splayed medium-light skin tone</v>
      </c>
    </row>
    <row r="1130" ht="15.75" customHeight="1">
      <c r="A1130" s="1" t="s">
        <v>2816</v>
      </c>
      <c r="B1130" s="1" t="s">
        <v>2817</v>
      </c>
      <c r="C1130" s="2" t="s">
        <v>2818</v>
      </c>
      <c r="D1130" s="2" t="str">
        <f t="shared" si="30"/>
        <v>bàn tay với ngón tay xoè ra màu da thường</v>
      </c>
      <c r="E1130" s="3" t="str">
        <f t="shared" si="2"/>
        <v>hand with fingers splayed medium skin tone</v>
      </c>
    </row>
    <row r="1131" ht="15.75" customHeight="1">
      <c r="A1131" s="1" t="s">
        <v>2819</v>
      </c>
      <c r="B1131" s="1" t="s">
        <v>2820</v>
      </c>
      <c r="C1131" s="2" t="str">
        <f>IFERROR(__xludf.DUMMYFUNCTION("GOOGLETRANSLATE(E1131, ""en"",""vi"")"),"túi xách")</f>
        <v>túi xách</v>
      </c>
      <c r="D1131" s="2" t="str">
        <f t="shared" si="30"/>
        <v>túi xách</v>
      </c>
      <c r="E1131" s="3" t="str">
        <f t="shared" si="2"/>
        <v>handbag</v>
      </c>
    </row>
    <row r="1132" ht="15.75" customHeight="1">
      <c r="A1132" s="1" t="s">
        <v>2821</v>
      </c>
      <c r="B1132" s="1" t="s">
        <v>2822</v>
      </c>
      <c r="C1132" s="2" t="str">
        <f>IFERROR(__xludf.DUMMYFUNCTION("GOOGLETRANSLATE(E1132, ""en"",""vi"")"),"bắt tay")</f>
        <v>bắt tay</v>
      </c>
      <c r="D1132" s="2" t="str">
        <f t="shared" si="30"/>
        <v>bắt tay</v>
      </c>
      <c r="E1132" s="3" t="str">
        <f t="shared" si="2"/>
        <v>handshake</v>
      </c>
    </row>
    <row r="1133" ht="15.75" customHeight="1">
      <c r="A1133" s="1" t="s">
        <v>2823</v>
      </c>
      <c r="B1133" s="1" t="s">
        <v>2824</v>
      </c>
      <c r="C1133" s="2" t="s">
        <v>2825</v>
      </c>
      <c r="D1133" s="2" t="str">
        <f t="shared" si="30"/>
        <v>gà nở</v>
      </c>
      <c r="E1133" s="3" t="str">
        <f t="shared" si="2"/>
        <v>hatching chick</v>
      </c>
    </row>
    <row r="1134" ht="15.75" customHeight="1">
      <c r="A1134" s="1" t="s">
        <v>2826</v>
      </c>
      <c r="B1134" s="1" t="s">
        <v>2827</v>
      </c>
      <c r="C1134" s="2" t="str">
        <f>IFERROR(__xludf.DUMMYFUNCTION("GOOGLETRANSLATE(E1134, ""en"",""vi"")"),"tai nghe")</f>
        <v>tai nghe</v>
      </c>
      <c r="D1134" s="2" t="str">
        <f t="shared" si="30"/>
        <v>tai nghe</v>
      </c>
      <c r="E1134" s="3" t="str">
        <f t="shared" si="2"/>
        <v>headphone</v>
      </c>
    </row>
    <row r="1135" ht="15.75" customHeight="1">
      <c r="A1135" s="1" t="s">
        <v>2828</v>
      </c>
      <c r="B1135" s="1" t="s">
        <v>2829</v>
      </c>
      <c r="C1135" s="2" t="s">
        <v>2830</v>
      </c>
      <c r="D1135" s="2" t="str">
        <f t="shared" si="30"/>
        <v>bia đá</v>
      </c>
      <c r="E1135" s="3" t="str">
        <f t="shared" si="2"/>
        <v>headstone</v>
      </c>
    </row>
    <row r="1136" ht="15.75" customHeight="1">
      <c r="A1136" s="1" t="s">
        <v>2831</v>
      </c>
      <c r="B1136" s="1" t="s">
        <v>2832</v>
      </c>
      <c r="C1136" s="2" t="str">
        <f>IFERROR(__xludf.DUMMYFUNCTION("GOOGLETRANSLATE(E1136, ""en"",""vi"")"),"nhân viên y tế")</f>
        <v>nhân viên y tế</v>
      </c>
      <c r="D1136" s="2" t="str">
        <f t="shared" si="30"/>
        <v>nhân viên y tế</v>
      </c>
      <c r="E1136" s="3" t="str">
        <f t="shared" si="2"/>
        <v>health worker</v>
      </c>
    </row>
    <row r="1137" ht="15.75" customHeight="1">
      <c r="A1137" s="1" t="s">
        <v>2833</v>
      </c>
      <c r="B1137" s="1" t="s">
        <v>2834</v>
      </c>
      <c r="C1137" s="2" t="s">
        <v>2835</v>
      </c>
      <c r="D1137" s="2" t="str">
        <f t="shared" si="30"/>
        <v>nhân viên y tế màu da sẫm</v>
      </c>
      <c r="E1137" s="3" t="str">
        <f t="shared" si="2"/>
        <v>health worker dark skin tone</v>
      </c>
    </row>
    <row r="1138" ht="15.75" customHeight="1">
      <c r="A1138" s="1" t="s">
        <v>2836</v>
      </c>
      <c r="B1138" s="1" t="s">
        <v>2837</v>
      </c>
      <c r="C1138" s="2" t="s">
        <v>2838</v>
      </c>
      <c r="D1138" s="2" t="str">
        <f t="shared" si="30"/>
        <v>nhân viên y tế màu da sáng</v>
      </c>
      <c r="E1138" s="3" t="str">
        <f t="shared" si="2"/>
        <v>health worker light skin tone</v>
      </c>
    </row>
    <row r="1139" ht="15.75" customHeight="1">
      <c r="A1139" s="1" t="s">
        <v>2839</v>
      </c>
      <c r="B1139" s="1" t="s">
        <v>2840</v>
      </c>
      <c r="C1139" s="2" t="s">
        <v>2841</v>
      </c>
      <c r="D1139" s="2" t="str">
        <f t="shared" si="30"/>
        <v>nhân viên y tế màu da sẫm vừa</v>
      </c>
      <c r="E1139" s="3" t="str">
        <f t="shared" si="2"/>
        <v>health worker medium-dark skin tone</v>
      </c>
    </row>
    <row r="1140" ht="15.75" customHeight="1">
      <c r="A1140" s="1" t="s">
        <v>2842</v>
      </c>
      <c r="B1140" s="1" t="s">
        <v>2843</v>
      </c>
      <c r="C1140" s="2" t="s">
        <v>2844</v>
      </c>
      <c r="D1140" s="2" t="str">
        <f t="shared" si="30"/>
        <v>nhân viên y tế màu da sáng vừa</v>
      </c>
      <c r="E1140" s="3" t="str">
        <f t="shared" si="2"/>
        <v>health worker medium-light skin tone</v>
      </c>
    </row>
    <row r="1141" ht="15.75" customHeight="1">
      <c r="A1141" s="1" t="s">
        <v>2845</v>
      </c>
      <c r="B1141" s="1" t="s">
        <v>2846</v>
      </c>
      <c r="C1141" s="2" t="s">
        <v>2847</v>
      </c>
      <c r="D1141" s="2" t="str">
        <f t="shared" si="30"/>
        <v>nhân viên y tế màu da thường</v>
      </c>
      <c r="E1141" s="3" t="str">
        <f t="shared" si="2"/>
        <v>health worker medium skin tone</v>
      </c>
    </row>
    <row r="1142" ht="15.75" customHeight="1">
      <c r="A1142" s="1" t="s">
        <v>2848</v>
      </c>
      <c r="B1142" s="1" t="s">
        <v>2849</v>
      </c>
      <c r="C1142" s="2" t="s">
        <v>2850</v>
      </c>
      <c r="D1142" s="2" t="str">
        <f t="shared" si="30"/>
        <v>khỉ bịt tai</v>
      </c>
      <c r="E1142" s="3" t="str">
        <f t="shared" si="2"/>
        <v>hear-no-evil monkey</v>
      </c>
    </row>
    <row r="1143" ht="15.75" customHeight="1">
      <c r="A1143" s="1" t="s">
        <v>2851</v>
      </c>
      <c r="B1143" s="1" t="s">
        <v>2852</v>
      </c>
      <c r="C1143" s="2" t="str">
        <f>IFERROR(__xludf.DUMMYFUNCTION("GOOGLETRANSLATE(E1143, ""en"",""vi"")"),"trang trí trái tim")</f>
        <v>trang trí trái tim</v>
      </c>
      <c r="D1143" s="2" t="str">
        <f t="shared" si="30"/>
        <v>trang trí trái tim</v>
      </c>
      <c r="E1143" s="3" t="str">
        <f t="shared" si="2"/>
        <v>heart decoration</v>
      </c>
    </row>
    <row r="1144" ht="15.75" customHeight="1">
      <c r="A1144" s="1" t="s">
        <v>2853</v>
      </c>
      <c r="B1144" s="1" t="s">
        <v>2854</v>
      </c>
      <c r="C1144" s="2" t="s">
        <v>2855</v>
      </c>
      <c r="D1144" s="2" t="str">
        <f t="shared" si="30"/>
        <v>chấm than trái tim</v>
      </c>
      <c r="E1144" s="3" t="str">
        <f t="shared" si="2"/>
        <v>heart exclamation</v>
      </c>
    </row>
    <row r="1145" ht="15.75" customHeight="1">
      <c r="A1145" s="1" t="s">
        <v>2856</v>
      </c>
      <c r="B1145" s="1" t="s">
        <v>2857</v>
      </c>
      <c r="C1145" s="2" t="str">
        <f>IFERROR(__xludf.DUMMYFUNCTION("GOOGLETRANSLATE(E1145, ""en"",""vi"")"),"trái tim đang cháy")</f>
        <v>trái tim đang cháy</v>
      </c>
      <c r="D1145" s="2" t="str">
        <f t="shared" si="30"/>
        <v>trái tim đang cháy</v>
      </c>
      <c r="E1145" s="3" t="str">
        <f t="shared" si="2"/>
        <v>heart on fire</v>
      </c>
    </row>
    <row r="1146" ht="15.75" customHeight="1">
      <c r="A1146" s="1" t="s">
        <v>2858</v>
      </c>
      <c r="B1146" s="1" t="s">
        <v>2859</v>
      </c>
      <c r="C1146" s="2" t="str">
        <f>IFERROR(__xludf.DUMMYFUNCTION("GOOGLETRANSLATE(E1146, ""en"",""vi"")"),"bộ đồ trái tim")</f>
        <v>bộ đồ trái tim</v>
      </c>
      <c r="D1146" s="2" t="str">
        <f t="shared" si="30"/>
        <v>bộ đồ trái tim</v>
      </c>
      <c r="E1146" s="3" t="str">
        <f t="shared" si="2"/>
        <v>heart suit</v>
      </c>
    </row>
    <row r="1147" ht="15.75" customHeight="1">
      <c r="A1147" s="1" t="s">
        <v>2860</v>
      </c>
      <c r="B1147" s="1" t="s">
        <v>2861</v>
      </c>
      <c r="C1147" s="2" t="str">
        <f>IFERROR(__xludf.DUMMYFUNCTION("GOOGLETRANSLATE(E1147, ""en"",""vi"")"),"trái tim có mũi tên")</f>
        <v>trái tim có mũi tên</v>
      </c>
      <c r="D1147" s="2" t="str">
        <f t="shared" si="30"/>
        <v>trái tim có mũi tên</v>
      </c>
      <c r="E1147" s="3" t="str">
        <f t="shared" si="2"/>
        <v>heart with arrow</v>
      </c>
    </row>
    <row r="1148" ht="15.75" customHeight="1">
      <c r="A1148" s="1" t="s">
        <v>2862</v>
      </c>
      <c r="B1148" s="1" t="s">
        <v>2863</v>
      </c>
      <c r="C1148" s="2" t="str">
        <f>IFERROR(__xludf.DUMMYFUNCTION("GOOGLETRANSLATE(E1148, ""en"",""vi"")"),"trái tim với ruy băng")</f>
        <v>trái tim với ruy băng</v>
      </c>
      <c r="D1148" s="2" t="str">
        <f t="shared" si="30"/>
        <v>trái tim với ruy băng</v>
      </c>
      <c r="E1148" s="3" t="str">
        <f t="shared" si="2"/>
        <v>heart with ribbon</v>
      </c>
    </row>
    <row r="1149" ht="15.75" customHeight="1">
      <c r="A1149" s="1" t="s">
        <v>2864</v>
      </c>
      <c r="B1149" s="1" t="s">
        <v>2865</v>
      </c>
      <c r="C1149" s="2" t="str">
        <f>IFERROR(__xludf.DUMMYFUNCTION("GOOGLETRANSLATE(E1149, ""en"",""vi"")"),"dấu đô la nặng")</f>
        <v>dấu đô la nặng</v>
      </c>
      <c r="D1149" s="2" t="str">
        <f t="shared" si="30"/>
        <v>dấu đô la nặng</v>
      </c>
      <c r="E1149" s="3" t="str">
        <f t="shared" si="2"/>
        <v>heavy dollar sign</v>
      </c>
    </row>
    <row r="1150" ht="15.75" customHeight="1">
      <c r="A1150" s="1" t="s">
        <v>2866</v>
      </c>
      <c r="B1150" s="1" t="s">
        <v>2867</v>
      </c>
      <c r="C1150" s="2" t="str">
        <f>IFERROR(__xludf.DUMMYFUNCTION("GOOGLETRANSLATE(E1150, ""en"",""vi"")"),"con nhím")</f>
        <v>con nhím</v>
      </c>
      <c r="D1150" s="2" t="str">
        <f t="shared" si="30"/>
        <v>con nhím</v>
      </c>
      <c r="E1150" s="3" t="str">
        <f t="shared" si="2"/>
        <v>hedgehog</v>
      </c>
    </row>
    <row r="1151" ht="15.75" customHeight="1">
      <c r="A1151" s="1" t="s">
        <v>2868</v>
      </c>
      <c r="B1151" s="1" t="s">
        <v>2869</v>
      </c>
      <c r="C1151" s="2" t="str">
        <f>IFERROR(__xludf.DUMMYFUNCTION("GOOGLETRANSLATE(E1151, ""en"",""vi"")"),"trực thăng")</f>
        <v>trực thăng</v>
      </c>
      <c r="D1151" s="2" t="str">
        <f t="shared" si="30"/>
        <v>trực thăng</v>
      </c>
      <c r="E1151" s="3" t="str">
        <f t="shared" si="2"/>
        <v>helicopter</v>
      </c>
    </row>
    <row r="1152" ht="15.75" customHeight="1">
      <c r="A1152" s="1" t="s">
        <v>2870</v>
      </c>
      <c r="B1152" s="1" t="s">
        <v>2871</v>
      </c>
      <c r="C1152" s="2" t="s">
        <v>2872</v>
      </c>
      <c r="D1152" s="2" t="str">
        <f t="shared" si="30"/>
        <v>thảo mộc</v>
      </c>
      <c r="E1152" s="3" t="str">
        <f t="shared" si="2"/>
        <v>herb</v>
      </c>
    </row>
    <row r="1153" ht="15.75" customHeight="1">
      <c r="A1153" s="1" t="s">
        <v>2873</v>
      </c>
      <c r="B1153" s="1" t="s">
        <v>2874</v>
      </c>
      <c r="C1153" s="2" t="s">
        <v>2875</v>
      </c>
      <c r="D1153" s="2" t="str">
        <f t="shared" si="30"/>
        <v>dâm bụt</v>
      </c>
      <c r="E1153" s="3" t="str">
        <f t="shared" si="2"/>
        <v>hibiscus</v>
      </c>
    </row>
    <row r="1154" ht="15.75" customHeight="1">
      <c r="A1154" s="1" t="s">
        <v>2876</v>
      </c>
      <c r="B1154" s="1" t="s">
        <v>2877</v>
      </c>
      <c r="C1154" s="2" t="str">
        <f>IFERROR(__xludf.DUMMYFUNCTION("GOOGLETRANSLATE(E1154, ""en"",""vi"")"),"giày cao gót")</f>
        <v>giày cao gót</v>
      </c>
      <c r="D1154" s="2" t="str">
        <f t="shared" si="30"/>
        <v>giày cao gót</v>
      </c>
      <c r="E1154" s="3" t="str">
        <f t="shared" si="2"/>
        <v>high-heeled shoe</v>
      </c>
    </row>
    <row r="1155" ht="15.75" customHeight="1">
      <c r="A1155" s="1" t="s">
        <v>2878</v>
      </c>
      <c r="B1155" s="1" t="s">
        <v>2879</v>
      </c>
      <c r="C1155" s="2" t="str">
        <f>IFERROR(__xludf.DUMMYFUNCTION("GOOGLETRANSLATE(E1155, ""en"",""vi"")"),"tàu cao tốc")</f>
        <v>tàu cao tốc</v>
      </c>
      <c r="D1155" s="2" t="str">
        <f t="shared" si="30"/>
        <v>tàu cao tốc</v>
      </c>
      <c r="E1155" s="3" t="str">
        <f t="shared" si="2"/>
        <v>high-speed train</v>
      </c>
    </row>
    <row r="1156" ht="15.75" customHeight="1">
      <c r="A1156" s="1" t="s">
        <v>2880</v>
      </c>
      <c r="B1156" s="1" t="s">
        <v>2881</v>
      </c>
      <c r="C1156" s="2" t="str">
        <f>IFERROR(__xludf.DUMMYFUNCTION("GOOGLETRANSLATE(E1156, ""en"",""vi"")"),"điện áp cao")</f>
        <v>điện áp cao</v>
      </c>
      <c r="D1156" s="2" t="str">
        <f t="shared" si="30"/>
        <v>điện áp cao</v>
      </c>
      <c r="E1156" s="3" t="str">
        <f t="shared" si="2"/>
        <v>high voltage</v>
      </c>
    </row>
    <row r="1157" ht="15.75" customHeight="1">
      <c r="A1157" s="1" t="s">
        <v>2882</v>
      </c>
      <c r="B1157" s="1" t="s">
        <v>2883</v>
      </c>
      <c r="C1157" s="2" t="s">
        <v>2884</v>
      </c>
      <c r="D1157" s="2" t="str">
        <f t="shared" si="30"/>
        <v>giày leo núi</v>
      </c>
      <c r="E1157" s="3" t="str">
        <f t="shared" si="2"/>
        <v>hiking boot</v>
      </c>
    </row>
    <row r="1158" ht="15.75" customHeight="1">
      <c r="A1158" s="1" t="s">
        <v>2885</v>
      </c>
      <c r="B1158" s="1" t="s">
        <v>2886</v>
      </c>
      <c r="C1158" s="2" t="str">
        <f>IFERROR(__xludf.DUMMYFUNCTION("GOOGLETRANSLATE(E1158, ""en"",""vi"")"),"đền thờ hindu")</f>
        <v>đền thờ hindu</v>
      </c>
      <c r="D1158" s="2" t="str">
        <f t="shared" si="30"/>
        <v>đền thờ hindu</v>
      </c>
      <c r="E1158" s="3" t="str">
        <f t="shared" si="2"/>
        <v>hindu temple</v>
      </c>
    </row>
    <row r="1159" ht="15.75" customHeight="1">
      <c r="A1159" s="1" t="s">
        <v>2887</v>
      </c>
      <c r="B1159" s="1" t="s">
        <v>2888</v>
      </c>
      <c r="C1159" s="2" t="str">
        <f>IFERROR(__xludf.DUMMYFUNCTION("GOOGLETRANSLATE(E1159, ""en"",""vi"")"),"hà mã")</f>
        <v>hà mã</v>
      </c>
      <c r="D1159" s="2" t="str">
        <f t="shared" si="30"/>
        <v>hà mã</v>
      </c>
      <c r="E1159" s="3" t="str">
        <f t="shared" si="2"/>
        <v>hippopotamus</v>
      </c>
    </row>
    <row r="1160" ht="15.75" customHeight="1">
      <c r="A1160" s="1" t="s">
        <v>2889</v>
      </c>
      <c r="B1160" s="1" t="s">
        <v>2890</v>
      </c>
      <c r="C1160" s="2" t="str">
        <f>IFERROR(__xludf.DUMMYFUNCTION("GOOGLETRANSLATE(E1160, ""en"",""vi"")"),"hố")</f>
        <v>hố</v>
      </c>
      <c r="D1160" s="2" t="str">
        <f t="shared" si="30"/>
        <v>hố</v>
      </c>
      <c r="E1160" s="3" t="str">
        <f t="shared" si="2"/>
        <v>hole</v>
      </c>
    </row>
    <row r="1161" ht="15.75" customHeight="1">
      <c r="A1161" s="1" t="s">
        <v>2891</v>
      </c>
      <c r="B1161" s="1" t="s">
        <v>2892</v>
      </c>
      <c r="C1161" s="2" t="s">
        <v>2893</v>
      </c>
      <c r="D1161" s="2" t="s">
        <v>2893</v>
      </c>
      <c r="E1161" s="3" t="str">
        <f t="shared" si="2"/>
        <v>hollow red circle</v>
      </c>
    </row>
    <row r="1162" ht="15.75" customHeight="1">
      <c r="A1162" s="1" t="s">
        <v>2894</v>
      </c>
      <c r="B1162" s="1" t="s">
        <v>2895</v>
      </c>
      <c r="C1162" s="2" t="str">
        <f>IFERROR(__xludf.DUMMYFUNCTION("GOOGLETRANSLATE(E1162, ""en"",""vi"")"),"lọ mật ong")</f>
        <v>lọ mật ong</v>
      </c>
      <c r="D1162" s="2" t="str">
        <f t="shared" ref="D1162:D1210" si="31">LOWER(C1162)</f>
        <v>lọ mật ong</v>
      </c>
      <c r="E1162" s="3" t="str">
        <f t="shared" si="2"/>
        <v>honey pot</v>
      </c>
    </row>
    <row r="1163" ht="15.75" customHeight="1">
      <c r="A1163" s="1" t="s">
        <v>2896</v>
      </c>
      <c r="B1163" s="1" t="s">
        <v>2897</v>
      </c>
      <c r="C1163" s="2" t="str">
        <f>IFERROR(__xludf.DUMMYFUNCTION("GOOGLETRANSLATE(E1163, ""en"",""vi"")"),"ong mật")</f>
        <v>ong mật</v>
      </c>
      <c r="D1163" s="2" t="str">
        <f t="shared" si="31"/>
        <v>ong mật</v>
      </c>
      <c r="E1163" s="3" t="str">
        <f t="shared" si="2"/>
        <v>honeybee</v>
      </c>
    </row>
    <row r="1164" ht="15.75" customHeight="1">
      <c r="A1164" s="1" t="s">
        <v>2898</v>
      </c>
      <c r="B1164" s="1" t="s">
        <v>2899</v>
      </c>
      <c r="C1164" s="2" t="str">
        <f>IFERROR(__xludf.DUMMYFUNCTION("GOOGLETRANSLATE(E1164, ""en"",""vi"")"),"cái móc")</f>
        <v>cái móc</v>
      </c>
      <c r="D1164" s="2" t="str">
        <f t="shared" si="31"/>
        <v>cái móc</v>
      </c>
      <c r="E1164" s="3" t="str">
        <f t="shared" si="2"/>
        <v>hook</v>
      </c>
    </row>
    <row r="1165" ht="15.75" customHeight="1">
      <c r="A1165" s="1" t="s">
        <v>2900</v>
      </c>
      <c r="B1165" s="1" t="s">
        <v>2901</v>
      </c>
      <c r="C1165" s="2" t="str">
        <f>IFERROR(__xludf.DUMMYFUNCTION("GOOGLETRANSLATE(E1165, ""en"",""vi"")"),"đèn giao thông nằm ngang")</f>
        <v>đèn giao thông nằm ngang</v>
      </c>
      <c r="D1165" s="2" t="str">
        <f t="shared" si="31"/>
        <v>đèn giao thông nằm ngang</v>
      </c>
      <c r="E1165" s="3" t="str">
        <f t="shared" si="2"/>
        <v>horizontal traffic light</v>
      </c>
    </row>
    <row r="1166" ht="15.75" customHeight="1">
      <c r="A1166" s="1" t="s">
        <v>2902</v>
      </c>
      <c r="B1166" s="1" t="s">
        <v>2903</v>
      </c>
      <c r="C1166" s="2" t="str">
        <f>IFERROR(__xludf.DUMMYFUNCTION("GOOGLETRANSLATE(E1166, ""en"",""vi"")"),"ngựa")</f>
        <v>ngựa</v>
      </c>
      <c r="D1166" s="2" t="str">
        <f t="shared" si="31"/>
        <v>ngựa</v>
      </c>
      <c r="E1166" s="3" t="str">
        <f t="shared" si="2"/>
        <v>horse</v>
      </c>
    </row>
    <row r="1167" ht="15.75" customHeight="1">
      <c r="A1167" s="1" t="s">
        <v>2904</v>
      </c>
      <c r="B1167" s="1" t="s">
        <v>2905</v>
      </c>
      <c r="C1167" s="2" t="str">
        <f>IFERROR(__xludf.DUMMYFUNCTION("GOOGLETRANSLATE(E1167, ""en"",""vi"")"),"mặt ngựa")</f>
        <v>mặt ngựa</v>
      </c>
      <c r="D1167" s="2" t="str">
        <f t="shared" si="31"/>
        <v>mặt ngựa</v>
      </c>
      <c r="E1167" s="3" t="str">
        <f t="shared" si="2"/>
        <v>horse face</v>
      </c>
    </row>
    <row r="1168" ht="15.75" customHeight="1">
      <c r="A1168" s="1" t="s">
        <v>2906</v>
      </c>
      <c r="B1168" s="1" t="s">
        <v>2907</v>
      </c>
      <c r="C1168" s="2" t="str">
        <f>IFERROR(__xludf.DUMMYFUNCTION("GOOGLETRANSLATE(E1168, ""en"",""vi"")"),"đua ngựa")</f>
        <v>đua ngựa</v>
      </c>
      <c r="D1168" s="2" t="str">
        <f t="shared" si="31"/>
        <v>đua ngựa</v>
      </c>
      <c r="E1168" s="3" t="str">
        <f t="shared" si="2"/>
        <v>horse racing</v>
      </c>
    </row>
    <row r="1169" ht="15.75" customHeight="1">
      <c r="A1169" s="1" t="s">
        <v>2908</v>
      </c>
      <c r="B1169" s="1" t="s">
        <v>2909</v>
      </c>
      <c r="C1169" s="2" t="s">
        <v>2910</v>
      </c>
      <c r="D1169" s="2" t="str">
        <f t="shared" si="31"/>
        <v>đua ngựa màu da sẫm</v>
      </c>
      <c r="E1169" s="3" t="str">
        <f t="shared" si="2"/>
        <v>horse racing dark skin tone</v>
      </c>
    </row>
    <row r="1170" ht="15.75" customHeight="1">
      <c r="A1170" s="1" t="s">
        <v>2911</v>
      </c>
      <c r="B1170" s="1" t="s">
        <v>2912</v>
      </c>
      <c r="C1170" s="2" t="s">
        <v>2913</v>
      </c>
      <c r="D1170" s="2" t="str">
        <f t="shared" si="31"/>
        <v>đua ngựa màu da sáng</v>
      </c>
      <c r="E1170" s="3" t="str">
        <f t="shared" si="2"/>
        <v>horse racing light skin tone</v>
      </c>
    </row>
    <row r="1171" ht="15.75" customHeight="1">
      <c r="A1171" s="1" t="s">
        <v>2914</v>
      </c>
      <c r="B1171" s="1" t="s">
        <v>2915</v>
      </c>
      <c r="C1171" s="2" t="s">
        <v>2916</v>
      </c>
      <c r="D1171" s="2" t="str">
        <f t="shared" si="31"/>
        <v>đua ngựa màu da sẫm vừa</v>
      </c>
      <c r="E1171" s="3" t="str">
        <f t="shared" si="2"/>
        <v>horse racing medium-dark skin tone</v>
      </c>
    </row>
    <row r="1172" ht="15.75" customHeight="1">
      <c r="A1172" s="1" t="s">
        <v>2917</v>
      </c>
      <c r="B1172" s="1" t="s">
        <v>2918</v>
      </c>
      <c r="C1172" s="2" t="s">
        <v>2919</v>
      </c>
      <c r="D1172" s="2" t="str">
        <f t="shared" si="31"/>
        <v>đua ngựa màu da sáng vừa</v>
      </c>
      <c r="E1172" s="3" t="str">
        <f t="shared" si="2"/>
        <v>horse racing medium-light skin tone</v>
      </c>
    </row>
    <row r="1173" ht="15.75" customHeight="1">
      <c r="A1173" s="1" t="s">
        <v>2920</v>
      </c>
      <c r="B1173" s="1" t="s">
        <v>2921</v>
      </c>
      <c r="C1173" s="2" t="s">
        <v>2922</v>
      </c>
      <c r="D1173" s="2" t="str">
        <f t="shared" si="31"/>
        <v>đua ngựa màu da thường</v>
      </c>
      <c r="E1173" s="3" t="str">
        <f t="shared" si="2"/>
        <v>horse racing medium skin tone</v>
      </c>
    </row>
    <row r="1174" ht="15.75" customHeight="1">
      <c r="A1174" s="1" t="s">
        <v>2923</v>
      </c>
      <c r="B1174" s="1" t="s">
        <v>2924</v>
      </c>
      <c r="C1174" s="2" t="str">
        <f>IFERROR(__xludf.DUMMYFUNCTION("GOOGLETRANSLATE(E1174, ""en"",""vi"")"),"bệnh viện")</f>
        <v>bệnh viện</v>
      </c>
      <c r="D1174" s="2" t="str">
        <f t="shared" si="31"/>
        <v>bệnh viện</v>
      </c>
      <c r="E1174" s="3" t="str">
        <f t="shared" si="2"/>
        <v>hospital</v>
      </c>
    </row>
    <row r="1175" ht="15.75" customHeight="1">
      <c r="A1175" s="1" t="s">
        <v>2925</v>
      </c>
      <c r="B1175" s="1" t="s">
        <v>2926</v>
      </c>
      <c r="C1175" s="2" t="str">
        <f>IFERROR(__xludf.DUMMYFUNCTION("GOOGLETRANSLATE(E1175, ""en"",""vi"")"),"đồ uống nóng")</f>
        <v>đồ uống nóng</v>
      </c>
      <c r="D1175" s="2" t="str">
        <f t="shared" si="31"/>
        <v>đồ uống nóng</v>
      </c>
      <c r="E1175" s="3" t="str">
        <f t="shared" si="2"/>
        <v>hot beverage</v>
      </c>
    </row>
    <row r="1176" ht="15.75" customHeight="1">
      <c r="A1176" s="1" t="s">
        <v>2927</v>
      </c>
      <c r="B1176" s="1" t="s">
        <v>2928</v>
      </c>
      <c r="C1176" s="2" t="str">
        <f>IFERROR(__xludf.DUMMYFUNCTION("GOOGLETRANSLATE(E1176, ""en"",""vi"")"),"xúc xích")</f>
        <v>xúc xích</v>
      </c>
      <c r="D1176" s="2" t="str">
        <f t="shared" si="31"/>
        <v>xúc xích</v>
      </c>
      <c r="E1176" s="3" t="str">
        <f t="shared" si="2"/>
        <v>hot dog</v>
      </c>
    </row>
    <row r="1177" ht="15.75" customHeight="1">
      <c r="A1177" s="1" t="s">
        <v>2929</v>
      </c>
      <c r="B1177" s="1" t="s">
        <v>2930</v>
      </c>
      <c r="C1177" s="2" t="s">
        <v>2931</v>
      </c>
      <c r="D1177" s="2" t="str">
        <f t="shared" si="31"/>
        <v>khuôn mặt nóng</v>
      </c>
      <c r="E1177" s="3" t="str">
        <f t="shared" si="2"/>
        <v>hot face</v>
      </c>
    </row>
    <row r="1178" ht="15.75" customHeight="1">
      <c r="A1178" s="1" t="s">
        <v>2932</v>
      </c>
      <c r="B1178" s="1" t="s">
        <v>2933</v>
      </c>
      <c r="C1178" s="2" t="str">
        <f>IFERROR(__xludf.DUMMYFUNCTION("GOOGLETRANSLATE(E1178, ""en"",""vi"")"),"ớt cay")</f>
        <v>ớt cay</v>
      </c>
      <c r="D1178" s="2" t="str">
        <f t="shared" si="31"/>
        <v>ớt cay</v>
      </c>
      <c r="E1178" s="3" t="str">
        <f t="shared" si="2"/>
        <v>hot pepper</v>
      </c>
    </row>
    <row r="1179" ht="15.75" customHeight="1">
      <c r="A1179" s="1" t="s">
        <v>2934</v>
      </c>
      <c r="B1179" s="1" t="s">
        <v>2935</v>
      </c>
      <c r="C1179" s="2" t="str">
        <f>IFERROR(__xludf.DUMMYFUNCTION("GOOGLETRANSLATE(E1179, ""en"",""vi"")"),"suối nước nóng")</f>
        <v>suối nước nóng</v>
      </c>
      <c r="D1179" s="2" t="str">
        <f t="shared" si="31"/>
        <v>suối nước nóng</v>
      </c>
      <c r="E1179" s="3" t="str">
        <f t="shared" si="2"/>
        <v>hot springs</v>
      </c>
    </row>
    <row r="1180" ht="15.75" customHeight="1">
      <c r="A1180" s="1" t="s">
        <v>2936</v>
      </c>
      <c r="B1180" s="1" t="s">
        <v>2937</v>
      </c>
      <c r="C1180" s="2" t="str">
        <f>IFERROR(__xludf.DUMMYFUNCTION("GOOGLETRANSLATE(E1180, ""en"",""vi"")"),"khách sạn")</f>
        <v>khách sạn</v>
      </c>
      <c r="D1180" s="2" t="str">
        <f t="shared" si="31"/>
        <v>khách sạn</v>
      </c>
      <c r="E1180" s="3" t="str">
        <f t="shared" si="2"/>
        <v>hotel</v>
      </c>
    </row>
    <row r="1181" ht="15.75" customHeight="1">
      <c r="A1181" s="1" t="s">
        <v>2938</v>
      </c>
      <c r="B1181" s="1" t="s">
        <v>2939</v>
      </c>
      <c r="C1181" s="2" t="str">
        <f>IFERROR(__xludf.DUMMYFUNCTION("GOOGLETRANSLATE(E1181, ""en"",""vi"")"),"đồng hồ cát xong")</f>
        <v>đồng hồ cát xong</v>
      </c>
      <c r="D1181" s="2" t="str">
        <f t="shared" si="31"/>
        <v>đồng hồ cát xong</v>
      </c>
      <c r="E1181" s="3" t="str">
        <f t="shared" si="2"/>
        <v>hourglass done</v>
      </c>
    </row>
    <row r="1182" ht="15.75" customHeight="1">
      <c r="A1182" s="1" t="s">
        <v>2940</v>
      </c>
      <c r="B1182" s="1" t="s">
        <v>2941</v>
      </c>
      <c r="C1182" s="2" t="str">
        <f>IFERROR(__xludf.DUMMYFUNCTION("GOOGLETRANSLATE(E1182, ""en"",""vi"")"),"đồng hồ cát chưa xong")</f>
        <v>đồng hồ cát chưa xong</v>
      </c>
      <c r="D1182" s="2" t="str">
        <f t="shared" si="31"/>
        <v>đồng hồ cát chưa xong</v>
      </c>
      <c r="E1182" s="3" t="str">
        <f t="shared" si="2"/>
        <v>hourglass not done</v>
      </c>
    </row>
    <row r="1183" ht="15.75" customHeight="1">
      <c r="A1183" s="1" t="s">
        <v>2942</v>
      </c>
      <c r="B1183" s="1" t="s">
        <v>2943</v>
      </c>
      <c r="C1183" s="2" t="str">
        <f>IFERROR(__xludf.DUMMYFUNCTION("GOOGLETRANSLATE(E1183, ""en"",""vi"")"),"căn nhà")</f>
        <v>căn nhà</v>
      </c>
      <c r="D1183" s="2" t="str">
        <f t="shared" si="31"/>
        <v>căn nhà</v>
      </c>
      <c r="E1183" s="3" t="str">
        <f t="shared" si="2"/>
        <v>house</v>
      </c>
    </row>
    <row r="1184" ht="15.75" customHeight="1">
      <c r="A1184" s="1" t="s">
        <v>2944</v>
      </c>
      <c r="B1184" s="1" t="s">
        <v>2945</v>
      </c>
      <c r="C1184" s="2" t="str">
        <f>IFERROR(__xludf.DUMMYFUNCTION("GOOGLETRANSLATE(E1184, ""en"",""vi"")"),"ngôi nhà có vườn")</f>
        <v>ngôi nhà có vườn</v>
      </c>
      <c r="D1184" s="2" t="str">
        <f t="shared" si="31"/>
        <v>ngôi nhà có vườn</v>
      </c>
      <c r="E1184" s="3" t="str">
        <f t="shared" si="2"/>
        <v>house with garden</v>
      </c>
    </row>
    <row r="1185" ht="15.75" customHeight="1">
      <c r="A1185" s="1" t="s">
        <v>2946</v>
      </c>
      <c r="B1185" s="1" t="s">
        <v>2947</v>
      </c>
      <c r="C1185" s="2" t="str">
        <f>IFERROR(__xludf.DUMMYFUNCTION("GOOGLETRANSLATE(E1185, ""en"",""vi"")"),"nhà cửa")</f>
        <v>nhà cửa</v>
      </c>
      <c r="D1185" s="2" t="str">
        <f t="shared" si="31"/>
        <v>nhà cửa</v>
      </c>
      <c r="E1185" s="3" t="str">
        <f t="shared" si="2"/>
        <v>houses</v>
      </c>
    </row>
    <row r="1186" ht="15.75" customHeight="1">
      <c r="A1186" s="1" t="s">
        <v>2948</v>
      </c>
      <c r="B1186" s="1" t="s">
        <v>2949</v>
      </c>
      <c r="C1186" s="2" t="str">
        <f>IFERROR(__xludf.DUMMYFUNCTION("GOOGLETRANSLATE(E1186, ""en"",""vi"")"),"ôm mặt")</f>
        <v>ôm mặt</v>
      </c>
      <c r="D1186" s="2" t="str">
        <f t="shared" si="31"/>
        <v>ôm mặt</v>
      </c>
      <c r="E1186" s="3" t="str">
        <f t="shared" si="2"/>
        <v>hugging face</v>
      </c>
    </row>
    <row r="1187" ht="15.75" customHeight="1">
      <c r="A1187" s="1" t="s">
        <v>2950</v>
      </c>
      <c r="B1187" s="1" t="s">
        <v>2951</v>
      </c>
      <c r="C1187" s="2" t="s">
        <v>2952</v>
      </c>
      <c r="D1187" s="2" t="str">
        <f t="shared" si="31"/>
        <v>trăm điểm</v>
      </c>
      <c r="E1187" s="3" t="str">
        <f t="shared" si="2"/>
        <v>hundred points</v>
      </c>
    </row>
    <row r="1188" ht="15.75" customHeight="1">
      <c r="A1188" s="1" t="s">
        <v>2953</v>
      </c>
      <c r="B1188" s="1" t="s">
        <v>2954</v>
      </c>
      <c r="C1188" s="2" t="s">
        <v>2955</v>
      </c>
      <c r="D1188" s="2" t="str">
        <f t="shared" si="31"/>
        <v>mặt im lặng</v>
      </c>
      <c r="E1188" s="3" t="str">
        <f t="shared" si="2"/>
        <v>hushed face</v>
      </c>
    </row>
    <row r="1189" ht="15.75" customHeight="1">
      <c r="A1189" s="1" t="s">
        <v>2956</v>
      </c>
      <c r="B1189" s="1" t="s">
        <v>2957</v>
      </c>
      <c r="C1189" s="2" t="str">
        <f>IFERROR(__xludf.DUMMYFUNCTION("GOOGLETRANSLATE(E1189, ""en"",""vi"")"),"túp lều")</f>
        <v>túp lều</v>
      </c>
      <c r="D1189" s="2" t="str">
        <f t="shared" si="31"/>
        <v>túp lều</v>
      </c>
      <c r="E1189" s="3" t="str">
        <f t="shared" si="2"/>
        <v>hut</v>
      </c>
    </row>
    <row r="1190" ht="15.75" customHeight="1">
      <c r="A1190" s="1" t="s">
        <v>2958</v>
      </c>
      <c r="B1190" s="1" t="s">
        <v>2959</v>
      </c>
      <c r="C1190" s="2" t="str">
        <f>IFERROR(__xludf.DUMMYFUNCTION("GOOGLETRANSLATE(E1190, ""en"",""vi"")"),"đá")</f>
        <v>đá</v>
      </c>
      <c r="D1190" s="2" t="str">
        <f t="shared" si="31"/>
        <v>đá</v>
      </c>
      <c r="E1190" s="3" t="str">
        <f t="shared" si="2"/>
        <v>ice</v>
      </c>
    </row>
    <row r="1191" ht="15.75" customHeight="1">
      <c r="A1191" s="1" t="s">
        <v>2960</v>
      </c>
      <c r="B1191" s="1" t="s">
        <v>2961</v>
      </c>
      <c r="C1191" s="2" t="str">
        <f>IFERROR(__xludf.DUMMYFUNCTION("GOOGLETRANSLATE(E1191, ""en"",""vi"")"),"kem")</f>
        <v>kem</v>
      </c>
      <c r="D1191" s="2" t="str">
        <f t="shared" si="31"/>
        <v>kem</v>
      </c>
      <c r="E1191" s="3" t="str">
        <f t="shared" si="2"/>
        <v>ice cream</v>
      </c>
    </row>
    <row r="1192" ht="15.75" customHeight="1">
      <c r="A1192" s="1" t="s">
        <v>2962</v>
      </c>
      <c r="B1192" s="1" t="s">
        <v>2963</v>
      </c>
      <c r="C1192" s="2" t="str">
        <f>IFERROR(__xludf.DUMMYFUNCTION("GOOGLETRANSLATE(E1192, ""en"",""vi"")"),"khúc côn cầu trên băng")</f>
        <v>khúc côn cầu trên băng</v>
      </c>
      <c r="D1192" s="2" t="str">
        <f t="shared" si="31"/>
        <v>khúc côn cầu trên băng</v>
      </c>
      <c r="E1192" s="3" t="str">
        <f t="shared" si="2"/>
        <v>ice hockey</v>
      </c>
    </row>
    <row r="1193" ht="15.75" customHeight="1">
      <c r="A1193" s="1" t="s">
        <v>2964</v>
      </c>
      <c r="B1193" s="1" t="s">
        <v>2965</v>
      </c>
      <c r="C1193" s="2" t="str">
        <f>IFERROR(__xludf.DUMMYFUNCTION("GOOGLETRANSLATE(E1193, ""en"",""vi"")"),"giày trượt băng")</f>
        <v>giày trượt băng</v>
      </c>
      <c r="D1193" s="2" t="str">
        <f t="shared" si="31"/>
        <v>giày trượt băng</v>
      </c>
      <c r="E1193" s="3" t="str">
        <f t="shared" si="2"/>
        <v>ice skate</v>
      </c>
    </row>
    <row r="1194" ht="15.75" customHeight="1">
      <c r="A1194" s="1" t="s">
        <v>2966</v>
      </c>
      <c r="B1194" s="1" t="s">
        <v>2967</v>
      </c>
      <c r="C1194" s="2" t="str">
        <f>IFERROR(__xludf.DUMMYFUNCTION("GOOGLETRANSLATE(E1194, ""en"",""vi"")"),"khay hộp thư đến")</f>
        <v>khay hộp thư đến</v>
      </c>
      <c r="D1194" s="2" t="str">
        <f t="shared" si="31"/>
        <v>khay hộp thư đến</v>
      </c>
      <c r="E1194" s="3" t="str">
        <f t="shared" si="2"/>
        <v>inbox tray</v>
      </c>
    </row>
    <row r="1195" ht="15.75" customHeight="1">
      <c r="A1195" s="1" t="s">
        <v>2968</v>
      </c>
      <c r="B1195" s="1" t="s">
        <v>2969</v>
      </c>
      <c r="C1195" s="2" t="s">
        <v>2970</v>
      </c>
      <c r="D1195" s="2" t="str">
        <f t="shared" si="31"/>
        <v>phong bì tới</v>
      </c>
      <c r="E1195" s="3" t="str">
        <f t="shared" si="2"/>
        <v>incoming envelope</v>
      </c>
    </row>
    <row r="1196" ht="15.75" customHeight="1">
      <c r="A1196" s="1" t="s">
        <v>2971</v>
      </c>
      <c r="B1196" s="1" t="s">
        <v>2972</v>
      </c>
      <c r="C1196" s="2" t="s">
        <v>2973</v>
      </c>
      <c r="D1196" s="2" t="str">
        <f t="shared" si="31"/>
        <v>ngón trỏ chỉ lên</v>
      </c>
      <c r="E1196" s="3" t="str">
        <f t="shared" si="2"/>
        <v>index pointing up</v>
      </c>
    </row>
    <row r="1197" ht="15.75" customHeight="1">
      <c r="A1197" s="1" t="s">
        <v>2974</v>
      </c>
      <c r="B1197" s="1" t="s">
        <v>2975</v>
      </c>
      <c r="C1197" s="2" t="s">
        <v>2976</v>
      </c>
      <c r="D1197" s="2" t="str">
        <f t="shared" si="31"/>
        <v>ngón trỏ chỉ lên màu da sẫm</v>
      </c>
      <c r="E1197" s="3" t="str">
        <f t="shared" si="2"/>
        <v>index pointing up dark skin tone</v>
      </c>
    </row>
    <row r="1198" ht="15.75" customHeight="1">
      <c r="A1198" s="1" t="s">
        <v>2977</v>
      </c>
      <c r="B1198" s="1" t="s">
        <v>2978</v>
      </c>
      <c r="C1198" s="2" t="s">
        <v>2979</v>
      </c>
      <c r="D1198" s="2" t="str">
        <f t="shared" si="31"/>
        <v>ngón trỏ chỉ lên màu da sáng</v>
      </c>
      <c r="E1198" s="3" t="str">
        <f t="shared" si="2"/>
        <v>index pointing up light skin tone</v>
      </c>
    </row>
    <row r="1199" ht="15.75" customHeight="1">
      <c r="A1199" s="1" t="s">
        <v>2980</v>
      </c>
      <c r="B1199" s="1" t="s">
        <v>2981</v>
      </c>
      <c r="C1199" s="2" t="s">
        <v>2982</v>
      </c>
      <c r="D1199" s="2" t="str">
        <f t="shared" si="31"/>
        <v>ngón trỏ chỉ lên màu da sẫm vừa</v>
      </c>
      <c r="E1199" s="3" t="str">
        <f t="shared" si="2"/>
        <v>index pointing up medium-dark skin tone</v>
      </c>
    </row>
    <row r="1200" ht="15.75" customHeight="1">
      <c r="A1200" s="1" t="s">
        <v>2983</v>
      </c>
      <c r="B1200" s="1" t="s">
        <v>2984</v>
      </c>
      <c r="C1200" s="2" t="s">
        <v>2985</v>
      </c>
      <c r="D1200" s="2" t="str">
        <f t="shared" si="31"/>
        <v>ngón trỏ chỉ lên màu da sáng vừa</v>
      </c>
      <c r="E1200" s="3" t="str">
        <f t="shared" si="2"/>
        <v>index pointing up medium-light skin tone</v>
      </c>
    </row>
    <row r="1201" ht="15.75" customHeight="1">
      <c r="A1201" s="1" t="s">
        <v>2986</v>
      </c>
      <c r="B1201" s="1" t="s">
        <v>2987</v>
      </c>
      <c r="C1201" s="2" t="s">
        <v>2988</v>
      </c>
      <c r="D1201" s="2" t="str">
        <f t="shared" si="31"/>
        <v>ngón trỏ chỉ lên màu da thường</v>
      </c>
      <c r="E1201" s="3" t="str">
        <f t="shared" si="2"/>
        <v>index pointing up medium skin tone</v>
      </c>
    </row>
    <row r="1202" ht="15.75" customHeight="1">
      <c r="A1202" s="1" t="s">
        <v>2989</v>
      </c>
      <c r="B1202" s="1" t="s">
        <v>2990</v>
      </c>
      <c r="C1202" s="2" t="str">
        <f>IFERROR(__xludf.DUMMYFUNCTION("GOOGLETRANSLATE(E1202, ""en"",""vi"")"),"vô cực")</f>
        <v>vô cực</v>
      </c>
      <c r="D1202" s="2" t="str">
        <f t="shared" si="31"/>
        <v>vô cực</v>
      </c>
      <c r="E1202" s="3" t="str">
        <f t="shared" si="2"/>
        <v>infinity</v>
      </c>
    </row>
    <row r="1203" ht="15.75" customHeight="1">
      <c r="A1203" s="1" t="s">
        <v>2991</v>
      </c>
      <c r="B1203" s="1" t="s">
        <v>2992</v>
      </c>
      <c r="C1203" s="2" t="str">
        <f>IFERROR(__xludf.DUMMYFUNCTION("GOOGLETRANSLATE(E1203, ""en"",""vi"")"),"thông tin")</f>
        <v>thông tin</v>
      </c>
      <c r="D1203" s="2" t="str">
        <f t="shared" si="31"/>
        <v>thông tin</v>
      </c>
      <c r="E1203" s="3" t="str">
        <f t="shared" si="2"/>
        <v>information</v>
      </c>
    </row>
    <row r="1204" ht="15.75" customHeight="1">
      <c r="A1204" s="1" t="s">
        <v>2993</v>
      </c>
      <c r="B1204" s="1" t="s">
        <v>2994</v>
      </c>
      <c r="C1204" s="2" t="s">
        <v>2995</v>
      </c>
      <c r="D1204" s="2" t="str">
        <f t="shared" si="31"/>
        <v>chữ cái latin đầu vào</v>
      </c>
      <c r="E1204" s="3" t="str">
        <f t="shared" si="2"/>
        <v>input latin letters</v>
      </c>
    </row>
    <row r="1205" ht="15.75" customHeight="1">
      <c r="A1205" s="1" t="s">
        <v>2996</v>
      </c>
      <c r="B1205" s="1" t="s">
        <v>2997</v>
      </c>
      <c r="C1205" s="2" t="s">
        <v>2998</v>
      </c>
      <c r="D1205" s="2" t="str">
        <f t="shared" si="31"/>
        <v>chữ cái thường latin đầu vào</v>
      </c>
      <c r="E1205" s="3" t="str">
        <f t="shared" si="2"/>
        <v>input latin lowercase</v>
      </c>
    </row>
    <row r="1206" ht="15.75" customHeight="1">
      <c r="A1206" s="1" t="s">
        <v>2999</v>
      </c>
      <c r="B1206" s="1" t="s">
        <v>3000</v>
      </c>
      <c r="C1206" s="2" t="s">
        <v>3001</v>
      </c>
      <c r="D1206" s="2" t="str">
        <f t="shared" si="31"/>
        <v>chữ cái hoa latin đầu vào</v>
      </c>
      <c r="E1206" s="3" t="str">
        <f t="shared" si="2"/>
        <v>input latin uppercase</v>
      </c>
    </row>
    <row r="1207" ht="15.75" customHeight="1">
      <c r="A1207" s="1" t="s">
        <v>3002</v>
      </c>
      <c r="B1207" s="1" t="s">
        <v>3003</v>
      </c>
      <c r="C1207" s="2" t="str">
        <f>IFERROR(__xludf.DUMMYFUNCTION("GOOGLETRANSLATE(E1207, ""en"",""vi"")"),"số đầu vào")</f>
        <v>số đầu vào</v>
      </c>
      <c r="D1207" s="2" t="str">
        <f t="shared" si="31"/>
        <v>số đầu vào</v>
      </c>
      <c r="E1207" s="3" t="str">
        <f t="shared" si="2"/>
        <v>input numbers</v>
      </c>
    </row>
    <row r="1208" ht="15.75" customHeight="1">
      <c r="A1208" s="1" t="s">
        <v>3004</v>
      </c>
      <c r="B1208" s="1" t="s">
        <v>3005</v>
      </c>
      <c r="C1208" s="2" t="s">
        <v>3006</v>
      </c>
      <c r="D1208" s="2" t="str">
        <f t="shared" si="31"/>
        <v>ký tự đầu vào</v>
      </c>
      <c r="E1208" s="3" t="str">
        <f t="shared" si="2"/>
        <v>input symbols</v>
      </c>
    </row>
    <row r="1209" ht="15.75" customHeight="1">
      <c r="A1209" s="1" t="s">
        <v>3007</v>
      </c>
      <c r="B1209" s="1" t="s">
        <v>3008</v>
      </c>
      <c r="C1209" s="2" t="str">
        <f>IFERROR(__xludf.DUMMYFUNCTION("GOOGLETRANSLATE(E1209, ""en"",""vi"")"),"đèn lồng bí ngô")</f>
        <v>đèn lồng bí ngô</v>
      </c>
      <c r="D1209" s="2" t="str">
        <f t="shared" si="31"/>
        <v>đèn lồng bí ngô</v>
      </c>
      <c r="E1209" s="3" t="str">
        <f t="shared" si="2"/>
        <v>jack-o-lantern</v>
      </c>
    </row>
    <row r="1210" ht="15.75" customHeight="1">
      <c r="A1210" s="1" t="s">
        <v>3009</v>
      </c>
      <c r="B1210" s="1" t="s">
        <v>3010</v>
      </c>
      <c r="C1210" s="2" t="str">
        <f>IFERROR(__xludf.DUMMYFUNCTION("GOOGLETRANSLATE(E1210, ""en"",""vi"")"),"quần jean")</f>
        <v>quần jean</v>
      </c>
      <c r="D1210" s="2" t="str">
        <f t="shared" si="31"/>
        <v>quần jean</v>
      </c>
      <c r="E1210" s="3" t="str">
        <f t="shared" si="2"/>
        <v>jeans</v>
      </c>
    </row>
    <row r="1211" ht="15.75" customHeight="1">
      <c r="A1211" s="1" t="s">
        <v>3011</v>
      </c>
      <c r="B1211" s="1" t="s">
        <v>3012</v>
      </c>
      <c r="C1211" s="2" t="s">
        <v>3013</v>
      </c>
      <c r="D1211" s="2" t="s">
        <v>3013</v>
      </c>
      <c r="E1211" s="3" t="str">
        <f t="shared" si="2"/>
        <v>joker</v>
      </c>
    </row>
    <row r="1212" ht="15.75" customHeight="1">
      <c r="A1212" s="1" t="s">
        <v>3014</v>
      </c>
      <c r="B1212" s="1" t="s">
        <v>3015</v>
      </c>
      <c r="C1212" s="2" t="s">
        <v>3016</v>
      </c>
      <c r="D1212" s="2" t="s">
        <v>3016</v>
      </c>
      <c r="E1212" s="3" t="str">
        <f t="shared" si="2"/>
        <v>joystick</v>
      </c>
    </row>
    <row r="1213" ht="15.75" customHeight="1">
      <c r="A1213" s="1" t="s">
        <v>3017</v>
      </c>
      <c r="B1213" s="1" t="s">
        <v>3018</v>
      </c>
      <c r="C1213" s="2" t="s">
        <v>3019</v>
      </c>
      <c r="D1213" s="2" t="str">
        <f t="shared" ref="D1213:D1221" si="32">LOWER(C1213)</f>
        <v>thẩm phán</v>
      </c>
      <c r="E1213" s="3" t="str">
        <f t="shared" si="2"/>
        <v>judge</v>
      </c>
    </row>
    <row r="1214" ht="15.75" customHeight="1">
      <c r="A1214" s="1" t="s">
        <v>3020</v>
      </c>
      <c r="B1214" s="1" t="s">
        <v>3021</v>
      </c>
      <c r="C1214" s="2" t="s">
        <v>3022</v>
      </c>
      <c r="D1214" s="2" t="str">
        <f t="shared" si="32"/>
        <v>thẩm phán màu da sẫm</v>
      </c>
      <c r="E1214" s="3" t="str">
        <f t="shared" si="2"/>
        <v>judge dark skin tone</v>
      </c>
    </row>
    <row r="1215" ht="15.75" customHeight="1">
      <c r="A1215" s="1" t="s">
        <v>3023</v>
      </c>
      <c r="B1215" s="1" t="s">
        <v>3024</v>
      </c>
      <c r="C1215" s="2" t="s">
        <v>3025</v>
      </c>
      <c r="D1215" s="2" t="str">
        <f t="shared" si="32"/>
        <v>thẩm phán màu da sáng</v>
      </c>
      <c r="E1215" s="3" t="str">
        <f t="shared" si="2"/>
        <v>judge light skin tone</v>
      </c>
    </row>
    <row r="1216" ht="15.75" customHeight="1">
      <c r="A1216" s="1" t="s">
        <v>3026</v>
      </c>
      <c r="B1216" s="1" t="s">
        <v>3027</v>
      </c>
      <c r="C1216" s="2" t="s">
        <v>3028</v>
      </c>
      <c r="D1216" s="2" t="str">
        <f t="shared" si="32"/>
        <v>thẩm phán màu da sẫm vừa</v>
      </c>
      <c r="E1216" s="3" t="str">
        <f t="shared" si="2"/>
        <v>judge medium-dark skin tone</v>
      </c>
    </row>
    <row r="1217" ht="15.75" customHeight="1">
      <c r="A1217" s="1" t="s">
        <v>3029</v>
      </c>
      <c r="B1217" s="1" t="s">
        <v>3030</v>
      </c>
      <c r="C1217" s="2" t="s">
        <v>3031</v>
      </c>
      <c r="D1217" s="2" t="str">
        <f t="shared" si="32"/>
        <v>thẩm phán màu da sáng vừa</v>
      </c>
      <c r="E1217" s="3" t="str">
        <f t="shared" si="2"/>
        <v>judge medium-light skin tone</v>
      </c>
    </row>
    <row r="1218" ht="15.75" customHeight="1">
      <c r="A1218" s="1" t="s">
        <v>3032</v>
      </c>
      <c r="B1218" s="1" t="s">
        <v>3033</v>
      </c>
      <c r="C1218" s="2" t="s">
        <v>3034</v>
      </c>
      <c r="D1218" s="2" t="str">
        <f t="shared" si="32"/>
        <v>thẩm phán màu da thường</v>
      </c>
      <c r="E1218" s="3" t="str">
        <f t="shared" si="2"/>
        <v>judge medium skin tone</v>
      </c>
    </row>
    <row r="1219" ht="15.75" customHeight="1">
      <c r="A1219" s="1" t="s">
        <v>3035</v>
      </c>
      <c r="B1219" s="1" t="s">
        <v>3036</v>
      </c>
      <c r="C1219" s="2" t="s">
        <v>3037</v>
      </c>
      <c r="D1219" s="2" t="str">
        <f t="shared" si="32"/>
        <v>kaaba</v>
      </c>
      <c r="E1219" s="3" t="str">
        <f t="shared" si="2"/>
        <v>kaaba</v>
      </c>
    </row>
    <row r="1220" ht="15.75" customHeight="1">
      <c r="A1220" s="1" t="s">
        <v>3038</v>
      </c>
      <c r="B1220" s="1" t="s">
        <v>3039</v>
      </c>
      <c r="C1220" s="2" t="str">
        <f>IFERROR(__xludf.DUMMYFUNCTION("GOOGLETRANSLATE(E1220, ""en"",""vi"")"),"chuột túi")</f>
        <v>chuột túi</v>
      </c>
      <c r="D1220" s="2" t="str">
        <f t="shared" si="32"/>
        <v>chuột túi</v>
      </c>
      <c r="E1220" s="3" t="str">
        <f t="shared" si="2"/>
        <v>kangaroo</v>
      </c>
    </row>
    <row r="1221" ht="15.75" customHeight="1">
      <c r="A1221" s="1" t="s">
        <v>3040</v>
      </c>
      <c r="B1221" s="1" t="s">
        <v>3041</v>
      </c>
      <c r="C1221" s="2" t="str">
        <f>IFERROR(__xludf.DUMMYFUNCTION("GOOGLETRANSLATE(E1221, ""en"",""vi"")"),"chìa khóa")</f>
        <v>chìa khóa</v>
      </c>
      <c r="D1221" s="2" t="str">
        <f t="shared" si="32"/>
        <v>chìa khóa</v>
      </c>
      <c r="E1221" s="3" t="str">
        <f t="shared" si="2"/>
        <v>key</v>
      </c>
    </row>
    <row r="1222" ht="15.75" customHeight="1">
      <c r="A1222" s="1" t="s">
        <v>3042</v>
      </c>
      <c r="B1222" s="1" t="s">
        <v>3043</v>
      </c>
      <c r="C1222" s="2" t="s">
        <v>3044</v>
      </c>
      <c r="D1222" s="2" t="s">
        <v>3044</v>
      </c>
      <c r="E1222" s="3" t="str">
        <f t="shared" si="2"/>
        <v>keyboard</v>
      </c>
    </row>
    <row r="1223" ht="15.75" customHeight="1">
      <c r="A1223" s="1" t="s">
        <v>3045</v>
      </c>
      <c r="B1223" s="1" t="s">
        <v>3046</v>
      </c>
      <c r="C1223" s="2" t="s">
        <v>3047</v>
      </c>
      <c r="D1223" s="2" t="str">
        <f t="shared" ref="D1223:D1551" si="33">LOWER(C1223)</f>
        <v>p</v>
      </c>
      <c r="E1223" s="3" t="str">
        <f t="shared" si="2"/>
        <v>keycap #</v>
      </c>
    </row>
    <row r="1224" ht="15.75" customHeight="1">
      <c r="A1224" s="1" t="s">
        <v>3048</v>
      </c>
      <c r="B1224" s="1" t="s">
        <v>3049</v>
      </c>
      <c r="C1224" s="2" t="str">
        <f>IFERROR(__xludf.DUMMYFUNCTION("GOOGLETRANSLATE(E1224, ""en"",""vi"")"),"phím bấm *")</f>
        <v>phím bấm *</v>
      </c>
      <c r="D1224" s="2" t="str">
        <f t="shared" si="33"/>
        <v>phím bấm *</v>
      </c>
      <c r="E1224" s="3" t="str">
        <f t="shared" si="2"/>
        <v>keycap *</v>
      </c>
    </row>
    <row r="1225" ht="15.75" customHeight="1">
      <c r="A1225" s="1" t="s">
        <v>3050</v>
      </c>
      <c r="B1225" s="1" t="s">
        <v>3051</v>
      </c>
      <c r="C1225" s="2" t="s">
        <v>3052</v>
      </c>
      <c r="D1225" s="2" t="str">
        <f t="shared" si="33"/>
        <v>keycap 0</v>
      </c>
      <c r="E1225" s="3" t="str">
        <f t="shared" si="2"/>
        <v>keycap 0</v>
      </c>
    </row>
    <row r="1226" ht="15.75" customHeight="1">
      <c r="A1226" s="1" t="s">
        <v>3053</v>
      </c>
      <c r="B1226" s="1" t="s">
        <v>3054</v>
      </c>
      <c r="C1226" s="2" t="s">
        <v>3055</v>
      </c>
      <c r="D1226" s="2" t="str">
        <f t="shared" si="33"/>
        <v>keycap 1</v>
      </c>
      <c r="E1226" s="3" t="str">
        <f t="shared" si="2"/>
        <v>keycap 1</v>
      </c>
    </row>
    <row r="1227" ht="15.75" customHeight="1">
      <c r="A1227" s="1" t="s">
        <v>3056</v>
      </c>
      <c r="B1227" s="1" t="s">
        <v>3057</v>
      </c>
      <c r="C1227" s="2" t="s">
        <v>3058</v>
      </c>
      <c r="D1227" s="2" t="str">
        <f t="shared" si="33"/>
        <v>keycap 10</v>
      </c>
      <c r="E1227" s="3" t="str">
        <f t="shared" si="2"/>
        <v>keycap 10</v>
      </c>
    </row>
    <row r="1228" ht="15.75" customHeight="1">
      <c r="A1228" s="1" t="s">
        <v>3059</v>
      </c>
      <c r="B1228" s="1" t="s">
        <v>3060</v>
      </c>
      <c r="C1228" s="2" t="s">
        <v>3061</v>
      </c>
      <c r="D1228" s="2" t="str">
        <f t="shared" si="33"/>
        <v>keycap 2</v>
      </c>
      <c r="E1228" s="3" t="str">
        <f t="shared" si="2"/>
        <v>keycap 2</v>
      </c>
    </row>
    <row r="1229" ht="15.75" customHeight="1">
      <c r="A1229" s="1" t="s">
        <v>3062</v>
      </c>
      <c r="B1229" s="1" t="s">
        <v>3063</v>
      </c>
      <c r="C1229" s="2" t="s">
        <v>3064</v>
      </c>
      <c r="D1229" s="2" t="str">
        <f t="shared" si="33"/>
        <v>keycap 3</v>
      </c>
      <c r="E1229" s="3" t="str">
        <f t="shared" si="2"/>
        <v>keycap 3</v>
      </c>
    </row>
    <row r="1230" ht="15.75" customHeight="1">
      <c r="A1230" s="1" t="s">
        <v>3065</v>
      </c>
      <c r="B1230" s="1" t="s">
        <v>3066</v>
      </c>
      <c r="C1230" s="2" t="s">
        <v>3067</v>
      </c>
      <c r="D1230" s="2" t="str">
        <f t="shared" si="33"/>
        <v>keycap 4</v>
      </c>
      <c r="E1230" s="3" t="str">
        <f t="shared" si="2"/>
        <v>keycap 4</v>
      </c>
    </row>
    <row r="1231" ht="15.75" customHeight="1">
      <c r="A1231" s="1" t="s">
        <v>3068</v>
      </c>
      <c r="B1231" s="1" t="s">
        <v>3069</v>
      </c>
      <c r="C1231" s="2" t="s">
        <v>3070</v>
      </c>
      <c r="D1231" s="2" t="str">
        <f t="shared" si="33"/>
        <v>keycap 5</v>
      </c>
      <c r="E1231" s="3" t="str">
        <f t="shared" si="2"/>
        <v>keycap 5</v>
      </c>
    </row>
    <row r="1232" ht="15.75" customHeight="1">
      <c r="A1232" s="1" t="s">
        <v>3071</v>
      </c>
      <c r="B1232" s="1" t="s">
        <v>3072</v>
      </c>
      <c r="C1232" s="2" t="s">
        <v>3073</v>
      </c>
      <c r="D1232" s="2" t="str">
        <f t="shared" si="33"/>
        <v>keycap 6</v>
      </c>
      <c r="E1232" s="3" t="str">
        <f t="shared" si="2"/>
        <v>keycap 6</v>
      </c>
    </row>
    <row r="1233" ht="15.75" customHeight="1">
      <c r="A1233" s="1" t="s">
        <v>3074</v>
      </c>
      <c r="B1233" s="1" t="s">
        <v>3075</v>
      </c>
      <c r="C1233" s="2" t="s">
        <v>3076</v>
      </c>
      <c r="D1233" s="2" t="str">
        <f t="shared" si="33"/>
        <v>keycap 7</v>
      </c>
      <c r="E1233" s="3" t="str">
        <f t="shared" si="2"/>
        <v>keycap 7</v>
      </c>
    </row>
    <row r="1234" ht="15.75" customHeight="1">
      <c r="A1234" s="1" t="s">
        <v>3077</v>
      </c>
      <c r="B1234" s="1" t="s">
        <v>3078</v>
      </c>
      <c r="C1234" s="2" t="s">
        <v>3079</v>
      </c>
      <c r="D1234" s="2" t="str">
        <f t="shared" si="33"/>
        <v>keycap 8</v>
      </c>
      <c r="E1234" s="3" t="str">
        <f t="shared" si="2"/>
        <v>keycap 8</v>
      </c>
    </row>
    <row r="1235" ht="15.75" customHeight="1">
      <c r="A1235" s="1" t="s">
        <v>3080</v>
      </c>
      <c r="B1235" s="1" t="s">
        <v>3081</v>
      </c>
      <c r="C1235" s="2" t="s">
        <v>3082</v>
      </c>
      <c r="D1235" s="2" t="str">
        <f t="shared" si="33"/>
        <v>keycap 9</v>
      </c>
      <c r="E1235" s="3" t="str">
        <f t="shared" si="2"/>
        <v>keycap 9</v>
      </c>
    </row>
    <row r="1236" ht="15.75" customHeight="1">
      <c r="A1236" s="1" t="s">
        <v>3083</v>
      </c>
      <c r="B1236" s="1" t="s">
        <v>3084</v>
      </c>
      <c r="C1236" s="2" t="s">
        <v>3085</v>
      </c>
      <c r="D1236" s="2" t="str">
        <f t="shared" si="33"/>
        <v>xe trượt</v>
      </c>
      <c r="E1236" s="3" t="str">
        <f t="shared" si="2"/>
        <v>kick scooter</v>
      </c>
    </row>
    <row r="1237" ht="15.75" customHeight="1">
      <c r="A1237" s="1" t="s">
        <v>3086</v>
      </c>
      <c r="B1237" s="1" t="s">
        <v>3087</v>
      </c>
      <c r="C1237" s="2" t="s">
        <v>3088</v>
      </c>
      <c r="D1237" s="2" t="str">
        <f t="shared" si="33"/>
        <v>kimono</v>
      </c>
      <c r="E1237" s="3" t="str">
        <f t="shared" si="2"/>
        <v>kimono</v>
      </c>
    </row>
    <row r="1238" ht="15.75" customHeight="1">
      <c r="A1238" s="1" t="s">
        <v>3089</v>
      </c>
      <c r="B1238" s="1" t="s">
        <v>3090</v>
      </c>
      <c r="C1238" s="2" t="str">
        <f>IFERROR(__xludf.DUMMYFUNCTION("GOOGLETRANSLATE(E1238, ""en"",""vi"")"),"hôn")</f>
        <v>hôn</v>
      </c>
      <c r="D1238" s="2" t="str">
        <f t="shared" si="33"/>
        <v>hôn</v>
      </c>
      <c r="E1238" s="3" t="str">
        <f t="shared" si="2"/>
        <v>kiss</v>
      </c>
    </row>
    <row r="1239" ht="15.75" customHeight="1">
      <c r="A1239" s="1" t="s">
        <v>3091</v>
      </c>
      <c r="B1239" s="1" t="s">
        <v>3092</v>
      </c>
      <c r="C1239" s="2" t="s">
        <v>3093</v>
      </c>
      <c r="D1239" s="2" t="str">
        <f t="shared" si="33"/>
        <v>hôn màu da sẫm</v>
      </c>
      <c r="E1239" s="3" t="str">
        <f t="shared" si="2"/>
        <v>kiss dark skin tone</v>
      </c>
    </row>
    <row r="1240" ht="15.75" customHeight="1">
      <c r="A1240" s="1" t="s">
        <v>3094</v>
      </c>
      <c r="B1240" s="1" t="s">
        <v>3095</v>
      </c>
      <c r="C1240" s="2" t="s">
        <v>3096</v>
      </c>
      <c r="D1240" s="2" t="str">
        <f t="shared" si="33"/>
        <v>hôn màu da sáng</v>
      </c>
      <c r="E1240" s="3" t="str">
        <f t="shared" si="2"/>
        <v>kiss light skin tone</v>
      </c>
    </row>
    <row r="1241" ht="15.75" customHeight="1">
      <c r="A1241" s="1" t="s">
        <v>3097</v>
      </c>
      <c r="B1241" s="1" t="s">
        <v>3098</v>
      </c>
      <c r="C1241" s="2" t="s">
        <v>3099</v>
      </c>
      <c r="D1241" s="2" t="str">
        <f t="shared" si="33"/>
        <v>hôn nam nam</v>
      </c>
      <c r="E1241" s="3" t="str">
        <f t="shared" si="2"/>
        <v>kiss man man</v>
      </c>
    </row>
    <row r="1242" ht="15.75" customHeight="1">
      <c r="A1242" s="1" t="s">
        <v>3100</v>
      </c>
      <c r="B1242" s="1" t="s">
        <v>3101</v>
      </c>
      <c r="C1242" s="2" t="s">
        <v>3102</v>
      </c>
      <c r="D1242" s="2" t="str">
        <f t="shared" si="33"/>
        <v>hôn nam nam màu da sẫm</v>
      </c>
      <c r="E1242" s="3" t="str">
        <f t="shared" si="2"/>
        <v>kiss man man dark skin tone</v>
      </c>
    </row>
    <row r="1243" ht="15.75" customHeight="1">
      <c r="A1243" s="1" t="s">
        <v>3103</v>
      </c>
      <c r="B1243" s="1" t="s">
        <v>3104</v>
      </c>
      <c r="C1243" s="2" t="s">
        <v>3105</v>
      </c>
      <c r="D1243" s="2" t="str">
        <f t="shared" si="33"/>
        <v>hôn nam màu da sẫm nam màu da sáng</v>
      </c>
      <c r="E1243" s="3" t="str">
        <f t="shared" si="2"/>
        <v>kiss man man dark skin tone light skin tone</v>
      </c>
    </row>
    <row r="1244" ht="15.75" customHeight="1">
      <c r="A1244" s="1" t="s">
        <v>3106</v>
      </c>
      <c r="B1244" s="1" t="s">
        <v>3107</v>
      </c>
      <c r="C1244" s="2" t="s">
        <v>3108</v>
      </c>
      <c r="D1244" s="2" t="str">
        <f t="shared" si="33"/>
        <v>hôn nam màu da sẫm nam màu da sẫm vừa</v>
      </c>
      <c r="E1244" s="3" t="str">
        <f t="shared" si="2"/>
        <v>kiss man man dark skin tone medium-dark skin tone</v>
      </c>
    </row>
    <row r="1245" ht="15.75" customHeight="1">
      <c r="A1245" s="1" t="s">
        <v>3109</v>
      </c>
      <c r="B1245" s="1" t="s">
        <v>3110</v>
      </c>
      <c r="C1245" s="2" t="s">
        <v>3111</v>
      </c>
      <c r="D1245" s="2" t="str">
        <f t="shared" si="33"/>
        <v>hôn nam màu da sẫm nam màu da sáng vừa</v>
      </c>
      <c r="E1245" s="3" t="str">
        <f t="shared" si="2"/>
        <v>kiss man man dark skin tone medium-light skin tone</v>
      </c>
    </row>
    <row r="1246" ht="15.75" customHeight="1">
      <c r="A1246" s="1" t="s">
        <v>3112</v>
      </c>
      <c r="B1246" s="1" t="s">
        <v>3113</v>
      </c>
      <c r="C1246" s="2" t="s">
        <v>3114</v>
      </c>
      <c r="D1246" s="2" t="str">
        <f t="shared" si="33"/>
        <v>hôn nam màu da sẫm nam màu da thường</v>
      </c>
      <c r="E1246" s="3" t="str">
        <f t="shared" si="2"/>
        <v>kiss man man dark skin tone medium skin tone</v>
      </c>
    </row>
    <row r="1247" ht="15.75" customHeight="1">
      <c r="A1247" s="1" t="s">
        <v>3115</v>
      </c>
      <c r="B1247" s="1" t="s">
        <v>3116</v>
      </c>
      <c r="C1247" s="2" t="s">
        <v>3117</v>
      </c>
      <c r="D1247" s="2" t="str">
        <f t="shared" si="33"/>
        <v>hôn nam nam màu da sáng</v>
      </c>
      <c r="E1247" s="3" t="str">
        <f t="shared" si="2"/>
        <v>kiss man man light skin tone</v>
      </c>
    </row>
    <row r="1248" ht="15.75" customHeight="1">
      <c r="A1248" s="1" t="s">
        <v>3118</v>
      </c>
      <c r="B1248" s="1" t="s">
        <v>3119</v>
      </c>
      <c r="C1248" s="2" t="s">
        <v>3120</v>
      </c>
      <c r="D1248" s="2" t="str">
        <f t="shared" si="33"/>
        <v>hôn nam màu da sáng nam màu da sẫm</v>
      </c>
      <c r="E1248" s="3" t="str">
        <f t="shared" si="2"/>
        <v>kiss man man light skin tone dark skin tone</v>
      </c>
    </row>
    <row r="1249" ht="15.75" customHeight="1">
      <c r="A1249" s="1" t="s">
        <v>3121</v>
      </c>
      <c r="B1249" s="1" t="s">
        <v>3122</v>
      </c>
      <c r="C1249" s="2" t="s">
        <v>3123</v>
      </c>
      <c r="D1249" s="2" t="str">
        <f t="shared" si="33"/>
        <v>hôn nam màu da sáng nam màu da sẫm vừa</v>
      </c>
      <c r="E1249" s="3" t="str">
        <f t="shared" si="2"/>
        <v>kiss man man light skin tone medium-dark skin tone</v>
      </c>
    </row>
    <row r="1250" ht="15.75" customHeight="1">
      <c r="A1250" s="1" t="s">
        <v>3124</v>
      </c>
      <c r="B1250" s="1" t="s">
        <v>3125</v>
      </c>
      <c r="C1250" s="2" t="s">
        <v>3126</v>
      </c>
      <c r="D1250" s="2" t="str">
        <f t="shared" si="33"/>
        <v>hôn nam màu da sáng nam màu da sáng vừa</v>
      </c>
      <c r="E1250" s="3" t="str">
        <f t="shared" si="2"/>
        <v>kiss man man light skin tone medium-light skin tone</v>
      </c>
    </row>
    <row r="1251" ht="15.75" customHeight="1">
      <c r="A1251" s="1" t="s">
        <v>3127</v>
      </c>
      <c r="B1251" s="1" t="s">
        <v>3128</v>
      </c>
      <c r="C1251" s="2" t="s">
        <v>3129</v>
      </c>
      <c r="D1251" s="2" t="str">
        <f t="shared" si="33"/>
        <v>hôn nam màu da sáng nam màu da thường</v>
      </c>
      <c r="E1251" s="3" t="str">
        <f t="shared" si="2"/>
        <v>kiss man man light skin tone medium skin tone</v>
      </c>
    </row>
    <row r="1252" ht="15.75" customHeight="1">
      <c r="A1252" s="1" t="s">
        <v>3130</v>
      </c>
      <c r="B1252" s="1" t="s">
        <v>3131</v>
      </c>
      <c r="C1252" s="2" t="s">
        <v>3132</v>
      </c>
      <c r="D1252" s="2" t="str">
        <f t="shared" si="33"/>
        <v>hôn nam nam màu da sẫm vừa</v>
      </c>
      <c r="E1252" s="3" t="str">
        <f t="shared" si="2"/>
        <v>kiss man man medium-dark skin tone</v>
      </c>
    </row>
    <row r="1253" ht="15.75" customHeight="1">
      <c r="A1253" s="1" t="s">
        <v>3133</v>
      </c>
      <c r="B1253" s="1" t="s">
        <v>3134</v>
      </c>
      <c r="C1253" s="2" t="s">
        <v>3135</v>
      </c>
      <c r="D1253" s="2" t="str">
        <f t="shared" si="33"/>
        <v>hôn nam màu da sẫm vừa nam màu da sẫm</v>
      </c>
      <c r="E1253" s="3" t="str">
        <f t="shared" si="2"/>
        <v>kiss man man medium-dark skin tone dark skin tone</v>
      </c>
    </row>
    <row r="1254" ht="15.75" customHeight="1">
      <c r="A1254" s="1" t="s">
        <v>3136</v>
      </c>
      <c r="B1254" s="1" t="s">
        <v>3137</v>
      </c>
      <c r="C1254" s="2" t="s">
        <v>3138</v>
      </c>
      <c r="D1254" s="2" t="str">
        <f t="shared" si="33"/>
        <v>hôn nam màu da sẫm vừa nam màu da sáng</v>
      </c>
      <c r="E1254" s="3" t="str">
        <f t="shared" si="2"/>
        <v>kiss man man medium-dark skin tone light skin tone</v>
      </c>
    </row>
    <row r="1255" ht="15.75" customHeight="1">
      <c r="A1255" s="1" t="s">
        <v>3139</v>
      </c>
      <c r="B1255" s="1" t="s">
        <v>3140</v>
      </c>
      <c r="C1255" s="2" t="s">
        <v>3141</v>
      </c>
      <c r="D1255" s="2" t="str">
        <f t="shared" si="33"/>
        <v>hôn nam màu da sẫm vừa nam màu da sáng vừa</v>
      </c>
      <c r="E1255" s="3" t="str">
        <f t="shared" si="2"/>
        <v>kiss man man medium-dark skin tone medium-light skin tone</v>
      </c>
    </row>
    <row r="1256" ht="15.75" customHeight="1">
      <c r="A1256" s="1" t="s">
        <v>3142</v>
      </c>
      <c r="B1256" s="1" t="s">
        <v>3143</v>
      </c>
      <c r="C1256" s="2" t="s">
        <v>3144</v>
      </c>
      <c r="D1256" s="2" t="str">
        <f t="shared" si="33"/>
        <v>hôn nam màu da sẫm vừa nam màu da thường</v>
      </c>
      <c r="E1256" s="3" t="str">
        <f t="shared" si="2"/>
        <v>kiss man man medium-dark skin tone medium skin tone</v>
      </c>
    </row>
    <row r="1257" ht="15.75" customHeight="1">
      <c r="A1257" s="1" t="s">
        <v>3145</v>
      </c>
      <c r="B1257" s="1" t="s">
        <v>3146</v>
      </c>
      <c r="C1257" s="2" t="s">
        <v>3147</v>
      </c>
      <c r="D1257" s="2" t="str">
        <f t="shared" si="33"/>
        <v>hôn nam nam màu da sáng vừa</v>
      </c>
      <c r="E1257" s="3" t="str">
        <f t="shared" si="2"/>
        <v>kiss man man medium-light skin tone</v>
      </c>
    </row>
    <row r="1258" ht="15.75" customHeight="1">
      <c r="A1258" s="1" t="s">
        <v>3148</v>
      </c>
      <c r="B1258" s="1" t="s">
        <v>3149</v>
      </c>
      <c r="C1258" s="2" t="s">
        <v>3150</v>
      </c>
      <c r="D1258" s="2" t="str">
        <f t="shared" si="33"/>
        <v>hôn nam màu da sáng vừa nam màu da sẫm</v>
      </c>
      <c r="E1258" s="3" t="str">
        <f t="shared" si="2"/>
        <v>kiss man man medium-light skin tone dark skin tone</v>
      </c>
    </row>
    <row r="1259" ht="15.75" customHeight="1">
      <c r="A1259" s="1" t="s">
        <v>3151</v>
      </c>
      <c r="B1259" s="1" t="s">
        <v>3152</v>
      </c>
      <c r="C1259" s="2" t="s">
        <v>3153</v>
      </c>
      <c r="D1259" s="2" t="str">
        <f t="shared" si="33"/>
        <v>hôn nam màu da sáng vừa nam màu da sáng</v>
      </c>
      <c r="E1259" s="3" t="str">
        <f t="shared" si="2"/>
        <v>kiss man man medium-light skin tone light skin tone</v>
      </c>
    </row>
    <row r="1260" ht="15.75" customHeight="1">
      <c r="A1260" s="1" t="s">
        <v>3154</v>
      </c>
      <c r="B1260" s="1" t="s">
        <v>3155</v>
      </c>
      <c r="C1260" s="2" t="s">
        <v>3156</v>
      </c>
      <c r="D1260" s="2" t="str">
        <f t="shared" si="33"/>
        <v>hôn nam màu da sáng vừa nam màu da sẫm vừa</v>
      </c>
      <c r="E1260" s="3" t="str">
        <f t="shared" si="2"/>
        <v>kiss man man medium-light skin tone medium-dark skin tone</v>
      </c>
    </row>
    <row r="1261" ht="15.75" customHeight="1">
      <c r="A1261" s="1" t="s">
        <v>3157</v>
      </c>
      <c r="B1261" s="1" t="s">
        <v>3158</v>
      </c>
      <c r="C1261" s="2" t="s">
        <v>3159</v>
      </c>
      <c r="D1261" s="2" t="str">
        <f t="shared" si="33"/>
        <v>hôn nam màu da sáng vừa nam màu da thường</v>
      </c>
      <c r="E1261" s="3" t="str">
        <f t="shared" si="2"/>
        <v>kiss man man medium-light skin tone medium skin tone</v>
      </c>
    </row>
    <row r="1262" ht="15.75" customHeight="1">
      <c r="A1262" s="1" t="s">
        <v>3160</v>
      </c>
      <c r="B1262" s="1" t="s">
        <v>3161</v>
      </c>
      <c r="C1262" s="2" t="s">
        <v>3162</v>
      </c>
      <c r="D1262" s="2" t="str">
        <f t="shared" si="33"/>
        <v>hôn nam nam màu da thường</v>
      </c>
      <c r="E1262" s="3" t="str">
        <f t="shared" si="2"/>
        <v>kiss man man medium skin tone</v>
      </c>
    </row>
    <row r="1263" ht="15.75" customHeight="1">
      <c r="A1263" s="1" t="s">
        <v>3163</v>
      </c>
      <c r="B1263" s="1" t="s">
        <v>3164</v>
      </c>
      <c r="C1263" s="2" t="s">
        <v>3165</v>
      </c>
      <c r="D1263" s="2" t="str">
        <f t="shared" si="33"/>
        <v>hôn nam màu da thường nam màu da sẫm</v>
      </c>
      <c r="E1263" s="3" t="str">
        <f t="shared" si="2"/>
        <v>kiss man man medium skin tone dark skin tone</v>
      </c>
    </row>
    <row r="1264" ht="15.75" customHeight="1">
      <c r="A1264" s="1" t="s">
        <v>3166</v>
      </c>
      <c r="B1264" s="1" t="s">
        <v>3167</v>
      </c>
      <c r="C1264" s="2" t="s">
        <v>3168</v>
      </c>
      <c r="D1264" s="2" t="str">
        <f t="shared" si="33"/>
        <v>hôn nam màu da thường nam màu da sáng</v>
      </c>
      <c r="E1264" s="3" t="str">
        <f t="shared" si="2"/>
        <v>kiss man man medium skin tone light skin tone</v>
      </c>
    </row>
    <row r="1265" ht="15.75" customHeight="1">
      <c r="A1265" s="1" t="s">
        <v>3169</v>
      </c>
      <c r="B1265" s="1" t="s">
        <v>3170</v>
      </c>
      <c r="C1265" s="2" t="s">
        <v>3171</v>
      </c>
      <c r="D1265" s="2" t="str">
        <f t="shared" si="33"/>
        <v>hôn nam màu da thường nam màu da sẫm vừa</v>
      </c>
      <c r="E1265" s="3" t="str">
        <f t="shared" si="2"/>
        <v>kiss man man medium skin tone medium-dark skin tone</v>
      </c>
    </row>
    <row r="1266" ht="15.75" customHeight="1">
      <c r="A1266" s="1" t="s">
        <v>3172</v>
      </c>
      <c r="B1266" s="1" t="s">
        <v>3173</v>
      </c>
      <c r="C1266" s="2" t="s">
        <v>3174</v>
      </c>
      <c r="D1266" s="2" t="str">
        <f t="shared" si="33"/>
        <v>hôn nam màu da thường nam màu da sáng vừa</v>
      </c>
      <c r="E1266" s="3" t="str">
        <f t="shared" si="2"/>
        <v>kiss man man medium skin tone medium-light skin tone</v>
      </c>
    </row>
    <row r="1267" ht="15.75" customHeight="1">
      <c r="A1267" s="1" t="s">
        <v>3175</v>
      </c>
      <c r="B1267" s="1" t="s">
        <v>3176</v>
      </c>
      <c r="C1267" s="2" t="s">
        <v>3177</v>
      </c>
      <c r="D1267" s="2" t="str">
        <f t="shared" si="33"/>
        <v>dấu hôn</v>
      </c>
      <c r="E1267" s="3" t="str">
        <f t="shared" si="2"/>
        <v>kiss mark</v>
      </c>
    </row>
    <row r="1268" ht="15.75" customHeight="1">
      <c r="A1268" s="1" t="s">
        <v>3178</v>
      </c>
      <c r="B1268" s="1" t="s">
        <v>3179</v>
      </c>
      <c r="C1268" s="2" t="s">
        <v>3180</v>
      </c>
      <c r="D1268" s="2" t="str">
        <f t="shared" si="33"/>
        <v>hôn màu da sẫm vừa</v>
      </c>
      <c r="E1268" s="3" t="str">
        <f t="shared" si="2"/>
        <v>kiss medium-dark skin tone</v>
      </c>
    </row>
    <row r="1269" ht="15.75" customHeight="1">
      <c r="A1269" s="1" t="s">
        <v>3181</v>
      </c>
      <c r="B1269" s="1" t="s">
        <v>3182</v>
      </c>
      <c r="C1269" s="2" t="s">
        <v>3183</v>
      </c>
      <c r="D1269" s="2" t="str">
        <f t="shared" si="33"/>
        <v>hôn màu da sáng vừa</v>
      </c>
      <c r="E1269" s="3" t="str">
        <f t="shared" si="2"/>
        <v>kiss medium-light skin tone</v>
      </c>
    </row>
    <row r="1270" ht="15.75" customHeight="1">
      <c r="A1270" s="1" t="s">
        <v>3184</v>
      </c>
      <c r="B1270" s="1" t="s">
        <v>3185</v>
      </c>
      <c r="C1270" s="2" t="s">
        <v>3186</v>
      </c>
      <c r="D1270" s="2" t="str">
        <f t="shared" si="33"/>
        <v>hôn màu da thường</v>
      </c>
      <c r="E1270" s="3" t="str">
        <f t="shared" si="2"/>
        <v>kiss medium skin tone</v>
      </c>
    </row>
    <row r="1271" ht="15.75" customHeight="1">
      <c r="A1271" s="1" t="s">
        <v>3187</v>
      </c>
      <c r="B1271" s="1" t="s">
        <v>3188</v>
      </c>
      <c r="C1271" s="2" t="s">
        <v>3189</v>
      </c>
      <c r="D1271" s="2" t="str">
        <f t="shared" si="33"/>
        <v>hôn người màu da sẫm người màu da sáng</v>
      </c>
      <c r="E1271" s="3" t="str">
        <f t="shared" si="2"/>
        <v>kiss person person dark skin tone light skin tone</v>
      </c>
    </row>
    <row r="1272" ht="15.75" customHeight="1">
      <c r="A1272" s="1" t="s">
        <v>3190</v>
      </c>
      <c r="B1272" s="1" t="s">
        <v>3191</v>
      </c>
      <c r="C1272" s="2" t="s">
        <v>3192</v>
      </c>
      <c r="D1272" s="2" t="str">
        <f t="shared" si="33"/>
        <v>hôn người màu da sẫm người màu da sẫm vừa</v>
      </c>
      <c r="E1272" s="3" t="str">
        <f t="shared" si="2"/>
        <v>kiss person person dark skin tone medium-dark skin tone</v>
      </c>
    </row>
    <row r="1273" ht="15.75" customHeight="1">
      <c r="A1273" s="1" t="s">
        <v>3193</v>
      </c>
      <c r="B1273" s="1" t="s">
        <v>3194</v>
      </c>
      <c r="C1273" s="2" t="s">
        <v>3195</v>
      </c>
      <c r="D1273" s="2" t="str">
        <f t="shared" si="33"/>
        <v>hôn người màu da sẫm người màu da sáng vừa</v>
      </c>
      <c r="E1273" s="3" t="str">
        <f t="shared" si="2"/>
        <v>kiss person person dark skin tone medium-light skin tone</v>
      </c>
    </row>
    <row r="1274" ht="15.75" customHeight="1">
      <c r="A1274" s="1" t="s">
        <v>3196</v>
      </c>
      <c r="B1274" s="1" t="s">
        <v>3197</v>
      </c>
      <c r="C1274" s="2" t="s">
        <v>3198</v>
      </c>
      <c r="D1274" s="2" t="str">
        <f t="shared" si="33"/>
        <v>hôn người màu da sẫm người màu da thường</v>
      </c>
      <c r="E1274" s="3" t="str">
        <f t="shared" si="2"/>
        <v>kiss person person dark skin tone medium skin tone</v>
      </c>
    </row>
    <row r="1275" ht="15.75" customHeight="1">
      <c r="A1275" s="1" t="s">
        <v>3199</v>
      </c>
      <c r="B1275" s="1" t="s">
        <v>3200</v>
      </c>
      <c r="C1275" s="2" t="s">
        <v>3201</v>
      </c>
      <c r="D1275" s="2" t="str">
        <f t="shared" si="33"/>
        <v>hôn người màu da sáng vừa người màu da sẫm</v>
      </c>
      <c r="E1275" s="3" t="str">
        <f t="shared" si="2"/>
        <v>kiss person person light skin tone dark skin tone</v>
      </c>
    </row>
    <row r="1276" ht="15.75" customHeight="1">
      <c r="A1276" s="1" t="s">
        <v>3202</v>
      </c>
      <c r="B1276" s="1" t="s">
        <v>3203</v>
      </c>
      <c r="C1276" s="2" t="s">
        <v>3204</v>
      </c>
      <c r="D1276" s="2" t="str">
        <f t="shared" si="33"/>
        <v>hôn người màu da sáng vừa người màu da sáng</v>
      </c>
      <c r="E1276" s="3" t="str">
        <f t="shared" si="2"/>
        <v>kiss person person light skin tone medium-dark skin tone</v>
      </c>
    </row>
    <row r="1277" ht="15.75" customHeight="1">
      <c r="A1277" s="1" t="s">
        <v>3205</v>
      </c>
      <c r="B1277" s="1" t="s">
        <v>3206</v>
      </c>
      <c r="C1277" s="2" t="s">
        <v>3207</v>
      </c>
      <c r="D1277" s="2" t="str">
        <f t="shared" si="33"/>
        <v>hôn người màu da sáng vừa người màu da sẫm vừa</v>
      </c>
      <c r="E1277" s="3" t="str">
        <f t="shared" si="2"/>
        <v>kiss person person light skin tone medium-light skin tone</v>
      </c>
    </row>
    <row r="1278" ht="15.75" customHeight="1">
      <c r="A1278" s="1" t="s">
        <v>3208</v>
      </c>
      <c r="B1278" s="1" t="s">
        <v>3209</v>
      </c>
      <c r="C1278" s="2" t="s">
        <v>3210</v>
      </c>
      <c r="D1278" s="2" t="str">
        <f t="shared" si="33"/>
        <v>hôn người màu da sáng vừa người màu da thường</v>
      </c>
      <c r="E1278" s="3" t="str">
        <f t="shared" si="2"/>
        <v>kiss person person light skin tone medium skin tone</v>
      </c>
    </row>
    <row r="1279" ht="15.75" customHeight="1">
      <c r="A1279" s="1" t="s">
        <v>3211</v>
      </c>
      <c r="B1279" s="1" t="s">
        <v>3212</v>
      </c>
      <c r="C1279" s="2" t="s">
        <v>3213</v>
      </c>
      <c r="D1279" s="2" t="str">
        <f t="shared" si="33"/>
        <v>hôn người màu da sẫm vừa người màu da sẫm</v>
      </c>
      <c r="E1279" s="3" t="str">
        <f t="shared" si="2"/>
        <v>kiss person person medium-dark skin tone dark skin tone</v>
      </c>
    </row>
    <row r="1280" ht="15.75" customHeight="1">
      <c r="A1280" s="1" t="s">
        <v>3214</v>
      </c>
      <c r="B1280" s="1" t="s">
        <v>3215</v>
      </c>
      <c r="C1280" s="2" t="s">
        <v>3216</v>
      </c>
      <c r="D1280" s="2" t="str">
        <f t="shared" si="33"/>
        <v>hôn người màu da sẫm vừa người màu da sáng</v>
      </c>
      <c r="E1280" s="3" t="str">
        <f t="shared" si="2"/>
        <v>kiss person person medium-dark skin tone light skin tone</v>
      </c>
    </row>
    <row r="1281" ht="15.75" customHeight="1">
      <c r="A1281" s="1" t="s">
        <v>3217</v>
      </c>
      <c r="B1281" s="1" t="s">
        <v>3218</v>
      </c>
      <c r="C1281" s="2" t="s">
        <v>3219</v>
      </c>
      <c r="D1281" s="2" t="str">
        <f t="shared" si="33"/>
        <v>hôn người màu da sẫm vừa người màu da sáng vừa</v>
      </c>
      <c r="E1281" s="3" t="str">
        <f t="shared" si="2"/>
        <v>kiss person person medium-dark skin tone medium-light skin tone</v>
      </c>
    </row>
    <row r="1282" ht="15.75" customHeight="1">
      <c r="A1282" s="1" t="s">
        <v>3220</v>
      </c>
      <c r="B1282" s="1" t="s">
        <v>3221</v>
      </c>
      <c r="C1282" s="2" t="s">
        <v>3222</v>
      </c>
      <c r="D1282" s="2" t="str">
        <f t="shared" si="33"/>
        <v>hôn người màu da sẫm vừa người màu da thường</v>
      </c>
      <c r="E1282" s="3" t="str">
        <f t="shared" si="2"/>
        <v>kiss person person medium-dark skin tone medium skin tone</v>
      </c>
    </row>
    <row r="1283" ht="15.75" customHeight="1">
      <c r="A1283" s="1" t="s">
        <v>3223</v>
      </c>
      <c r="B1283" s="1" t="s">
        <v>3224</v>
      </c>
      <c r="C1283" s="2" t="s">
        <v>3201</v>
      </c>
      <c r="D1283" s="2" t="str">
        <f t="shared" si="33"/>
        <v>hôn người màu da sáng vừa người màu da sẫm</v>
      </c>
      <c r="E1283" s="3" t="str">
        <f t="shared" si="2"/>
        <v>kiss person person medium-light skin tone dark skin tone</v>
      </c>
    </row>
    <row r="1284" ht="15.75" customHeight="1">
      <c r="A1284" s="1" t="s">
        <v>3225</v>
      </c>
      <c r="B1284" s="1" t="s">
        <v>3226</v>
      </c>
      <c r="C1284" s="2" t="s">
        <v>3204</v>
      </c>
      <c r="D1284" s="2" t="str">
        <f t="shared" si="33"/>
        <v>hôn người màu da sáng vừa người màu da sáng</v>
      </c>
      <c r="E1284" s="3" t="str">
        <f t="shared" si="2"/>
        <v>kiss person person medium-light skin tone light skin tone</v>
      </c>
    </row>
    <row r="1285" ht="15.75" customHeight="1">
      <c r="A1285" s="1" t="s">
        <v>3227</v>
      </c>
      <c r="B1285" s="1" t="s">
        <v>3228</v>
      </c>
      <c r="C1285" s="2" t="s">
        <v>3207</v>
      </c>
      <c r="D1285" s="2" t="str">
        <f t="shared" si="33"/>
        <v>hôn người màu da sáng vừa người màu da sẫm vừa</v>
      </c>
      <c r="E1285" s="3" t="str">
        <f t="shared" si="2"/>
        <v>kiss person person medium-light skin tone medium-dark skin tone</v>
      </c>
    </row>
    <row r="1286" ht="15.75" customHeight="1">
      <c r="A1286" s="1" t="s">
        <v>3229</v>
      </c>
      <c r="B1286" s="1" t="s">
        <v>3230</v>
      </c>
      <c r="C1286" s="2" t="s">
        <v>3210</v>
      </c>
      <c r="D1286" s="2" t="str">
        <f t="shared" si="33"/>
        <v>hôn người màu da sáng vừa người màu da thường</v>
      </c>
      <c r="E1286" s="3" t="str">
        <f t="shared" si="2"/>
        <v>kiss person person medium-light skin tone medium skin tone</v>
      </c>
    </row>
    <row r="1287" ht="15.75" customHeight="1">
      <c r="A1287" s="1" t="s">
        <v>3231</v>
      </c>
      <c r="B1287" s="1" t="s">
        <v>3232</v>
      </c>
      <c r="C1287" s="2" t="s">
        <v>3233</v>
      </c>
      <c r="D1287" s="2" t="str">
        <f t="shared" si="33"/>
        <v>hôn người màu da thường người màu da sẫm</v>
      </c>
      <c r="E1287" s="3" t="str">
        <f t="shared" si="2"/>
        <v>kiss person person medium skin tone dark skin tone</v>
      </c>
    </row>
    <row r="1288" ht="15.75" customHeight="1">
      <c r="A1288" s="1" t="s">
        <v>3234</v>
      </c>
      <c r="B1288" s="1" t="s">
        <v>3235</v>
      </c>
      <c r="C1288" s="2" t="s">
        <v>3236</v>
      </c>
      <c r="D1288" s="2" t="str">
        <f t="shared" si="33"/>
        <v>hôn người màu da thường người màu da sáng</v>
      </c>
      <c r="E1288" s="3" t="str">
        <f t="shared" si="2"/>
        <v>kiss person person medium skin tone light skin tone</v>
      </c>
    </row>
    <row r="1289" ht="15.75" customHeight="1">
      <c r="A1289" s="1" t="s">
        <v>3237</v>
      </c>
      <c r="B1289" s="1" t="s">
        <v>3238</v>
      </c>
      <c r="C1289" s="2" t="s">
        <v>3239</v>
      </c>
      <c r="D1289" s="2" t="str">
        <f t="shared" si="33"/>
        <v>hôn người màu da thường người màu da sẫm vừa</v>
      </c>
      <c r="E1289" s="3" t="str">
        <f t="shared" si="2"/>
        <v>kiss person person medium skin tone medium-dark skin tone</v>
      </c>
    </row>
    <row r="1290" ht="15.75" customHeight="1">
      <c r="A1290" s="1" t="s">
        <v>3240</v>
      </c>
      <c r="B1290" s="1" t="s">
        <v>3241</v>
      </c>
      <c r="C1290" s="2" t="s">
        <v>3242</v>
      </c>
      <c r="D1290" s="2" t="str">
        <f t="shared" si="33"/>
        <v>hôn người màu da thường người màu da sáng vừa</v>
      </c>
      <c r="E1290" s="3" t="str">
        <f t="shared" si="2"/>
        <v>kiss person person medium skin tone medium-light skin tone</v>
      </c>
    </row>
    <row r="1291" ht="15.75" customHeight="1">
      <c r="A1291" s="1" t="s">
        <v>3243</v>
      </c>
      <c r="B1291" s="1" t="s">
        <v>3244</v>
      </c>
      <c r="C1291" s="2" t="s">
        <v>3245</v>
      </c>
      <c r="D1291" s="2" t="str">
        <f t="shared" si="33"/>
        <v>hôn nữ nam</v>
      </c>
      <c r="E1291" s="3" t="str">
        <f t="shared" si="2"/>
        <v>kiss woman man</v>
      </c>
    </row>
    <row r="1292" ht="15.75" customHeight="1">
      <c r="A1292" s="1" t="s">
        <v>3246</v>
      </c>
      <c r="B1292" s="1" t="s">
        <v>3247</v>
      </c>
      <c r="C1292" s="2" t="s">
        <v>3248</v>
      </c>
      <c r="D1292" s="2" t="str">
        <f t="shared" si="33"/>
        <v>hôn nữ nam màu da sẫm</v>
      </c>
      <c r="E1292" s="3" t="str">
        <f t="shared" si="2"/>
        <v>kiss woman man dark skin tone</v>
      </c>
    </row>
    <row r="1293" ht="15.75" customHeight="1">
      <c r="A1293" s="1" t="s">
        <v>3249</v>
      </c>
      <c r="B1293" s="1" t="s">
        <v>3250</v>
      </c>
      <c r="C1293" s="2" t="s">
        <v>3251</v>
      </c>
      <c r="D1293" s="2" t="str">
        <f t="shared" si="33"/>
        <v>hôn nữ màu da sẫm nam màu da sáng</v>
      </c>
      <c r="E1293" s="3" t="str">
        <f t="shared" si="2"/>
        <v>kiss woman man dark skin tone light skin tone</v>
      </c>
    </row>
    <row r="1294" ht="15.75" customHeight="1">
      <c r="A1294" s="1" t="s">
        <v>3252</v>
      </c>
      <c r="B1294" s="1" t="s">
        <v>3253</v>
      </c>
      <c r="C1294" s="2" t="s">
        <v>3254</v>
      </c>
      <c r="D1294" s="2" t="str">
        <f t="shared" si="33"/>
        <v>hôn nữ màu da sẫm nam màu da sẫm vừa</v>
      </c>
      <c r="E1294" s="3" t="str">
        <f t="shared" si="2"/>
        <v>kiss woman man dark skin tone medium-dark skin tone</v>
      </c>
    </row>
    <row r="1295" ht="15.75" customHeight="1">
      <c r="A1295" s="1" t="s">
        <v>3255</v>
      </c>
      <c r="B1295" s="1" t="s">
        <v>3256</v>
      </c>
      <c r="C1295" s="2" t="s">
        <v>3257</v>
      </c>
      <c r="D1295" s="2" t="str">
        <f t="shared" si="33"/>
        <v>hôn nữ màu da sẫm nam màu da sáng vừa</v>
      </c>
      <c r="E1295" s="3" t="str">
        <f t="shared" si="2"/>
        <v>kiss woman man dark skin tone medium-light skin tone</v>
      </c>
    </row>
    <row r="1296" ht="15.75" customHeight="1">
      <c r="A1296" s="1" t="s">
        <v>3258</v>
      </c>
      <c r="B1296" s="1" t="s">
        <v>3259</v>
      </c>
      <c r="C1296" s="2" t="s">
        <v>3260</v>
      </c>
      <c r="D1296" s="2" t="str">
        <f t="shared" si="33"/>
        <v>hôn nữ màu da sẫm nam màu da thường</v>
      </c>
      <c r="E1296" s="3" t="str">
        <f t="shared" si="2"/>
        <v>kiss woman man dark skin tone medium skin tone</v>
      </c>
    </row>
    <row r="1297" ht="15.75" customHeight="1">
      <c r="A1297" s="1" t="s">
        <v>3261</v>
      </c>
      <c r="B1297" s="1" t="s">
        <v>3262</v>
      </c>
      <c r="C1297" s="2" t="s">
        <v>3263</v>
      </c>
      <c r="D1297" s="2" t="str">
        <f t="shared" si="33"/>
        <v>hôn nữ nam màu da sáng</v>
      </c>
      <c r="E1297" s="3" t="str">
        <f t="shared" si="2"/>
        <v>kiss woman man light skin tone</v>
      </c>
    </row>
    <row r="1298" ht="15.75" customHeight="1">
      <c r="A1298" s="1" t="s">
        <v>3264</v>
      </c>
      <c r="B1298" s="1" t="s">
        <v>3265</v>
      </c>
      <c r="C1298" s="2" t="s">
        <v>3266</v>
      </c>
      <c r="D1298" s="2" t="str">
        <f t="shared" si="33"/>
        <v>hôn nữ màu da sáng nam màu da sẫm</v>
      </c>
      <c r="E1298" s="3" t="str">
        <f t="shared" si="2"/>
        <v>kiss woman man light skin tone dark skin tone</v>
      </c>
    </row>
    <row r="1299" ht="15.75" customHeight="1">
      <c r="A1299" s="1" t="s">
        <v>3267</v>
      </c>
      <c r="B1299" s="1" t="s">
        <v>3268</v>
      </c>
      <c r="C1299" s="2" t="s">
        <v>3269</v>
      </c>
      <c r="D1299" s="2" t="str">
        <f t="shared" si="33"/>
        <v>hôn nữ màu da sáng nam màu da sẫm vừa</v>
      </c>
      <c r="E1299" s="3" t="str">
        <f t="shared" si="2"/>
        <v>kiss woman man light skin tone medium-dark skin tone</v>
      </c>
    </row>
    <row r="1300" ht="15.75" customHeight="1">
      <c r="A1300" s="1" t="s">
        <v>3270</v>
      </c>
      <c r="B1300" s="1" t="s">
        <v>3271</v>
      </c>
      <c r="C1300" s="2" t="s">
        <v>3272</v>
      </c>
      <c r="D1300" s="2" t="str">
        <f t="shared" si="33"/>
        <v>hôn nữ màu da sáng nam màu da sáng vừa</v>
      </c>
      <c r="E1300" s="3" t="str">
        <f t="shared" si="2"/>
        <v>kiss woman man light skin tone medium-light skin tone</v>
      </c>
    </row>
    <row r="1301" ht="15.75" customHeight="1">
      <c r="A1301" s="1" t="s">
        <v>3273</v>
      </c>
      <c r="B1301" s="1" t="s">
        <v>3274</v>
      </c>
      <c r="C1301" s="2" t="s">
        <v>3275</v>
      </c>
      <c r="D1301" s="2" t="str">
        <f t="shared" si="33"/>
        <v>hôn nữ màu da sáng nam màu da thường</v>
      </c>
      <c r="E1301" s="3" t="str">
        <f t="shared" si="2"/>
        <v>kiss woman man light skin tone medium skin tone</v>
      </c>
    </row>
    <row r="1302" ht="15.75" customHeight="1">
      <c r="A1302" s="1" t="s">
        <v>3276</v>
      </c>
      <c r="B1302" s="1" t="s">
        <v>3277</v>
      </c>
      <c r="C1302" s="2" t="s">
        <v>3278</v>
      </c>
      <c r="D1302" s="2" t="str">
        <f t="shared" si="33"/>
        <v>hôn nữ nam màu da sẫm vừa</v>
      </c>
      <c r="E1302" s="3" t="str">
        <f t="shared" si="2"/>
        <v>kiss woman man medium-dark skin tone</v>
      </c>
    </row>
    <row r="1303" ht="15.75" customHeight="1">
      <c r="A1303" s="1" t="s">
        <v>3279</v>
      </c>
      <c r="B1303" s="1" t="s">
        <v>3280</v>
      </c>
      <c r="C1303" s="2" t="s">
        <v>3281</v>
      </c>
      <c r="D1303" s="2" t="str">
        <f t="shared" si="33"/>
        <v>hôn nữ màu da sẫm vừa nam màu da sẫm</v>
      </c>
      <c r="E1303" s="3" t="str">
        <f t="shared" si="2"/>
        <v>kiss woman man medium-dark skin tone dark skin tone</v>
      </c>
    </row>
    <row r="1304" ht="15.75" customHeight="1">
      <c r="A1304" s="1" t="s">
        <v>3282</v>
      </c>
      <c r="B1304" s="1" t="s">
        <v>3283</v>
      </c>
      <c r="C1304" s="2" t="s">
        <v>3284</v>
      </c>
      <c r="D1304" s="2" t="str">
        <f t="shared" si="33"/>
        <v>hôn nữ màu da sẫm vừa nam màu da sáng</v>
      </c>
      <c r="E1304" s="3" t="str">
        <f t="shared" si="2"/>
        <v>kiss woman man medium-dark skin tone light skin tone</v>
      </c>
    </row>
    <row r="1305" ht="15.75" customHeight="1">
      <c r="A1305" s="1" t="s">
        <v>3285</v>
      </c>
      <c r="B1305" s="1" t="s">
        <v>3286</v>
      </c>
      <c r="C1305" s="2" t="s">
        <v>3287</v>
      </c>
      <c r="D1305" s="2" t="str">
        <f t="shared" si="33"/>
        <v>hôn nữ màu da sẫm vừa nam màu da sáng vừa</v>
      </c>
      <c r="E1305" s="3" t="str">
        <f t="shared" si="2"/>
        <v>kiss woman man medium-dark skin tone medium-light skin tone</v>
      </c>
    </row>
    <row r="1306" ht="15.75" customHeight="1">
      <c r="A1306" s="1" t="s">
        <v>3288</v>
      </c>
      <c r="B1306" s="1" t="s">
        <v>3289</v>
      </c>
      <c r="C1306" s="2" t="s">
        <v>3290</v>
      </c>
      <c r="D1306" s="2" t="str">
        <f t="shared" si="33"/>
        <v>hôn nữ màu da sẫm vừa nam màu da thường</v>
      </c>
      <c r="E1306" s="3" t="str">
        <f t="shared" si="2"/>
        <v>kiss woman man medium-dark skin tone medium skin tone</v>
      </c>
    </row>
    <row r="1307" ht="15.75" customHeight="1">
      <c r="A1307" s="1" t="s">
        <v>3291</v>
      </c>
      <c r="B1307" s="1" t="s">
        <v>3292</v>
      </c>
      <c r="C1307" s="2" t="s">
        <v>3293</v>
      </c>
      <c r="D1307" s="2" t="str">
        <f t="shared" si="33"/>
        <v>hôn nữ nam màu da sáng vừa</v>
      </c>
      <c r="E1307" s="3" t="str">
        <f t="shared" si="2"/>
        <v>kiss woman man medium-light skin tone</v>
      </c>
    </row>
    <row r="1308" ht="15.75" customHeight="1">
      <c r="A1308" s="1" t="s">
        <v>3294</v>
      </c>
      <c r="B1308" s="1" t="s">
        <v>3295</v>
      </c>
      <c r="C1308" s="2" t="s">
        <v>3296</v>
      </c>
      <c r="D1308" s="2" t="str">
        <f t="shared" si="33"/>
        <v>hôn nữ màu da sáng vừa nam màu da sẫm</v>
      </c>
      <c r="E1308" s="3" t="str">
        <f t="shared" si="2"/>
        <v>kiss woman man medium-light skin tone dark skin tone</v>
      </c>
    </row>
    <row r="1309" ht="15.75" customHeight="1">
      <c r="A1309" s="1" t="s">
        <v>3297</v>
      </c>
      <c r="B1309" s="1" t="s">
        <v>3298</v>
      </c>
      <c r="C1309" s="2" t="s">
        <v>3299</v>
      </c>
      <c r="D1309" s="2" t="str">
        <f t="shared" si="33"/>
        <v>hôn nữ màu da sáng vừa nam màu da sáng</v>
      </c>
      <c r="E1309" s="3" t="str">
        <f t="shared" si="2"/>
        <v>kiss woman man medium-light skin tone light skin tone</v>
      </c>
    </row>
    <row r="1310" ht="15.75" customHeight="1">
      <c r="A1310" s="1" t="s">
        <v>3300</v>
      </c>
      <c r="B1310" s="1" t="s">
        <v>3301</v>
      </c>
      <c r="C1310" s="2" t="s">
        <v>3302</v>
      </c>
      <c r="D1310" s="2" t="str">
        <f t="shared" si="33"/>
        <v>hôn nữ màu da sáng vừa nam màu da sẫm vừa</v>
      </c>
      <c r="E1310" s="3" t="str">
        <f t="shared" si="2"/>
        <v>kiss woman man medium-light skin tone medium-dark skin tone</v>
      </c>
    </row>
    <row r="1311" ht="15.75" customHeight="1">
      <c r="A1311" s="1" t="s">
        <v>3303</v>
      </c>
      <c r="B1311" s="1" t="s">
        <v>3304</v>
      </c>
      <c r="C1311" s="2" t="s">
        <v>3305</v>
      </c>
      <c r="D1311" s="2" t="str">
        <f t="shared" si="33"/>
        <v>hôn nữ màu da sáng vừa nam màu da thường</v>
      </c>
      <c r="E1311" s="3" t="str">
        <f t="shared" si="2"/>
        <v>kiss woman man medium-light skin tone medium skin tone</v>
      </c>
    </row>
    <row r="1312" ht="15.75" customHeight="1">
      <c r="A1312" s="1" t="s">
        <v>3306</v>
      </c>
      <c r="B1312" s="1" t="s">
        <v>3307</v>
      </c>
      <c r="C1312" s="2" t="s">
        <v>3308</v>
      </c>
      <c r="D1312" s="2" t="str">
        <f t="shared" si="33"/>
        <v>hôn nữ nam màu da thường</v>
      </c>
      <c r="E1312" s="3" t="str">
        <f t="shared" si="2"/>
        <v>kiss woman man medium skin tone</v>
      </c>
    </row>
    <row r="1313" ht="15.75" customHeight="1">
      <c r="A1313" s="1" t="s">
        <v>3309</v>
      </c>
      <c r="B1313" s="1" t="s">
        <v>3310</v>
      </c>
      <c r="C1313" s="2" t="s">
        <v>3311</v>
      </c>
      <c r="D1313" s="2" t="str">
        <f t="shared" si="33"/>
        <v>hôn nữ màu da thường nam màu da sẫm</v>
      </c>
      <c r="E1313" s="3" t="str">
        <f t="shared" si="2"/>
        <v>kiss woman man medium skin tone dark skin tone</v>
      </c>
    </row>
    <row r="1314" ht="15.75" customHeight="1">
      <c r="A1314" s="1" t="s">
        <v>3312</v>
      </c>
      <c r="B1314" s="1" t="s">
        <v>3313</v>
      </c>
      <c r="C1314" s="2" t="s">
        <v>3314</v>
      </c>
      <c r="D1314" s="2" t="str">
        <f t="shared" si="33"/>
        <v>hôn nữ màu da thường nam màu da sáng</v>
      </c>
      <c r="E1314" s="3" t="str">
        <f t="shared" si="2"/>
        <v>kiss woman man medium skin tone light skin tone</v>
      </c>
    </row>
    <row r="1315" ht="15.75" customHeight="1">
      <c r="A1315" s="1" t="s">
        <v>3315</v>
      </c>
      <c r="B1315" s="1" t="s">
        <v>3316</v>
      </c>
      <c r="C1315" s="2" t="s">
        <v>3317</v>
      </c>
      <c r="D1315" s="2" t="str">
        <f t="shared" si="33"/>
        <v>hôn nữ màu da thường nam màu da sẫm vừa</v>
      </c>
      <c r="E1315" s="3" t="str">
        <f t="shared" si="2"/>
        <v>kiss woman man medium skin tone medium-dark skin tone</v>
      </c>
    </row>
    <row r="1316" ht="15.75" customHeight="1">
      <c r="A1316" s="1" t="s">
        <v>3318</v>
      </c>
      <c r="B1316" s="1" t="s">
        <v>3319</v>
      </c>
      <c r="C1316" s="2" t="s">
        <v>3320</v>
      </c>
      <c r="D1316" s="2" t="str">
        <f t="shared" si="33"/>
        <v>hôn nữ màu da thường nam màu da sáng vừa</v>
      </c>
      <c r="E1316" s="3" t="str">
        <f t="shared" si="2"/>
        <v>kiss woman man medium skin tone medium-light skin tone</v>
      </c>
    </row>
    <row r="1317" ht="15.75" customHeight="1">
      <c r="A1317" s="1" t="s">
        <v>3321</v>
      </c>
      <c r="B1317" s="1" t="s">
        <v>3322</v>
      </c>
      <c r="C1317" s="2" t="s">
        <v>3323</v>
      </c>
      <c r="D1317" s="2" t="str">
        <f t="shared" si="33"/>
        <v>hôn nữ nữ</v>
      </c>
      <c r="E1317" s="3" t="str">
        <f t="shared" si="2"/>
        <v>kiss woman woman</v>
      </c>
    </row>
    <row r="1318" ht="15.75" customHeight="1">
      <c r="A1318" s="1" t="s">
        <v>3324</v>
      </c>
      <c r="B1318" s="1" t="s">
        <v>3325</v>
      </c>
      <c r="C1318" s="2" t="s">
        <v>3326</v>
      </c>
      <c r="D1318" s="2" t="str">
        <f t="shared" si="33"/>
        <v>hôn nữ nữ màu da sẫm</v>
      </c>
      <c r="E1318" s="3" t="str">
        <f t="shared" si="2"/>
        <v>kiss woman woman dark skin tone</v>
      </c>
    </row>
    <row r="1319" ht="15.75" customHeight="1">
      <c r="A1319" s="1" t="s">
        <v>3327</v>
      </c>
      <c r="B1319" s="1" t="s">
        <v>3328</v>
      </c>
      <c r="C1319" s="2" t="s">
        <v>3329</v>
      </c>
      <c r="D1319" s="2" t="str">
        <f t="shared" si="33"/>
        <v>hôn nữ màu da sẫm nữ màu da sáng</v>
      </c>
      <c r="E1319" s="3" t="str">
        <f t="shared" si="2"/>
        <v>kiss woman woman dark skin tone light skin tone</v>
      </c>
    </row>
    <row r="1320" ht="15.75" customHeight="1">
      <c r="A1320" s="1" t="s">
        <v>3330</v>
      </c>
      <c r="B1320" s="1" t="s">
        <v>3331</v>
      </c>
      <c r="C1320" s="2" t="s">
        <v>3332</v>
      </c>
      <c r="D1320" s="2" t="str">
        <f t="shared" si="33"/>
        <v>hôn nữ màu da sẫm nữ màu da sẫm vừa</v>
      </c>
      <c r="E1320" s="3" t="str">
        <f t="shared" si="2"/>
        <v>kiss woman woman dark skin tone medium-dark skin tone</v>
      </c>
    </row>
    <row r="1321" ht="15.75" customHeight="1">
      <c r="A1321" s="1" t="s">
        <v>3333</v>
      </c>
      <c r="B1321" s="1" t="s">
        <v>3334</v>
      </c>
      <c r="C1321" s="2" t="s">
        <v>3335</v>
      </c>
      <c r="D1321" s="2" t="str">
        <f t="shared" si="33"/>
        <v>hôn nữ màu da sẫm nữ màu da sáng vừa</v>
      </c>
      <c r="E1321" s="3" t="str">
        <f t="shared" si="2"/>
        <v>kiss woman woman dark skin tone medium-light skin tone</v>
      </c>
    </row>
    <row r="1322" ht="15.75" customHeight="1">
      <c r="A1322" s="1" t="s">
        <v>3336</v>
      </c>
      <c r="B1322" s="1" t="s">
        <v>3337</v>
      </c>
      <c r="C1322" s="2" t="s">
        <v>3338</v>
      </c>
      <c r="D1322" s="2" t="str">
        <f t="shared" si="33"/>
        <v>hôn nữ màu da sẫm nữ màu da thường</v>
      </c>
      <c r="E1322" s="3" t="str">
        <f t="shared" si="2"/>
        <v>kiss woman woman dark skin tone medium skin tone</v>
      </c>
    </row>
    <row r="1323" ht="15.75" customHeight="1">
      <c r="A1323" s="1" t="s">
        <v>3339</v>
      </c>
      <c r="B1323" s="1" t="s">
        <v>3340</v>
      </c>
      <c r="C1323" s="2" t="s">
        <v>3341</v>
      </c>
      <c r="D1323" s="2" t="str">
        <f t="shared" si="33"/>
        <v>hôn nữ nữ màu da sáng</v>
      </c>
      <c r="E1323" s="3" t="str">
        <f t="shared" si="2"/>
        <v>kiss woman woman light skin tone</v>
      </c>
    </row>
    <row r="1324" ht="15.75" customHeight="1">
      <c r="A1324" s="1" t="s">
        <v>3342</v>
      </c>
      <c r="B1324" s="1" t="s">
        <v>3343</v>
      </c>
      <c r="C1324" s="2" t="s">
        <v>3344</v>
      </c>
      <c r="D1324" s="2" t="str">
        <f t="shared" si="33"/>
        <v>hôn nữ màu da sáng nữ màu da sẫm</v>
      </c>
      <c r="E1324" s="3" t="str">
        <f t="shared" si="2"/>
        <v>kiss woman woman light skin tone dark skin tone</v>
      </c>
    </row>
    <row r="1325" ht="15.75" customHeight="1">
      <c r="A1325" s="1" t="s">
        <v>3345</v>
      </c>
      <c r="B1325" s="1" t="s">
        <v>3346</v>
      </c>
      <c r="C1325" s="2" t="s">
        <v>3347</v>
      </c>
      <c r="D1325" s="2" t="str">
        <f t="shared" si="33"/>
        <v>hôn nữ màu da sáng nữ màu da sẫm vừa</v>
      </c>
      <c r="E1325" s="3" t="str">
        <f t="shared" si="2"/>
        <v>kiss woman woman light skin tone medium-dark skin tone</v>
      </c>
    </row>
    <row r="1326" ht="15.75" customHeight="1">
      <c r="A1326" s="1" t="s">
        <v>3348</v>
      </c>
      <c r="B1326" s="1" t="s">
        <v>3349</v>
      </c>
      <c r="C1326" s="2" t="s">
        <v>3350</v>
      </c>
      <c r="D1326" s="2" t="str">
        <f t="shared" si="33"/>
        <v>hôn nữ màu da sáng nữ màu da sáng vừa</v>
      </c>
      <c r="E1326" s="3" t="str">
        <f t="shared" si="2"/>
        <v>kiss woman woman light skin tone medium-light skin tone</v>
      </c>
    </row>
    <row r="1327" ht="15.75" customHeight="1">
      <c r="A1327" s="1" t="s">
        <v>3351</v>
      </c>
      <c r="B1327" s="1" t="s">
        <v>3352</v>
      </c>
      <c r="C1327" s="2" t="s">
        <v>3353</v>
      </c>
      <c r="D1327" s="2" t="str">
        <f t="shared" si="33"/>
        <v>hôn nữ màu da sáng nữ màu da thường</v>
      </c>
      <c r="E1327" s="3" t="str">
        <f t="shared" si="2"/>
        <v>kiss woman woman light skin tone medium skin tone</v>
      </c>
    </row>
    <row r="1328" ht="15.75" customHeight="1">
      <c r="A1328" s="1" t="s">
        <v>3354</v>
      </c>
      <c r="B1328" s="1" t="s">
        <v>3355</v>
      </c>
      <c r="C1328" s="2" t="s">
        <v>3356</v>
      </c>
      <c r="D1328" s="2" t="str">
        <f t="shared" si="33"/>
        <v>hôn nữ nữ màu da sẫm vừa</v>
      </c>
      <c r="E1328" s="3" t="str">
        <f t="shared" si="2"/>
        <v>kiss woman woman medium-dark skin tone</v>
      </c>
    </row>
    <row r="1329" ht="15.75" customHeight="1">
      <c r="A1329" s="1" t="s">
        <v>3357</v>
      </c>
      <c r="B1329" s="1" t="s">
        <v>3358</v>
      </c>
      <c r="C1329" s="2" t="s">
        <v>3359</v>
      </c>
      <c r="D1329" s="2" t="str">
        <f t="shared" si="33"/>
        <v>hôn nữ màu da sẫm vừa nữ màu da sẫm</v>
      </c>
      <c r="E1329" s="3" t="str">
        <f t="shared" si="2"/>
        <v>kiss woman woman medium-dark skin tone dark skin tone</v>
      </c>
    </row>
    <row r="1330" ht="15.75" customHeight="1">
      <c r="A1330" s="1" t="s">
        <v>3360</v>
      </c>
      <c r="B1330" s="1" t="s">
        <v>3361</v>
      </c>
      <c r="C1330" s="2" t="s">
        <v>3362</v>
      </c>
      <c r="D1330" s="2" t="str">
        <f t="shared" si="33"/>
        <v>hôn nữ màu da sẫm vừa nữ màu da sáng</v>
      </c>
      <c r="E1330" s="3" t="str">
        <f t="shared" si="2"/>
        <v>kiss woman woman medium-dark skin tone light skin tone</v>
      </c>
    </row>
    <row r="1331" ht="15.75" customHeight="1">
      <c r="A1331" s="1" t="s">
        <v>3363</v>
      </c>
      <c r="B1331" s="1" t="s">
        <v>3364</v>
      </c>
      <c r="C1331" s="2" t="s">
        <v>3365</v>
      </c>
      <c r="D1331" s="2" t="str">
        <f t="shared" si="33"/>
        <v>hôn nữ màu da sẫm vừa nữ màu da sáng vừa</v>
      </c>
      <c r="E1331" s="3" t="str">
        <f t="shared" si="2"/>
        <v>kiss woman woman medium-dark skin tone medium-light skin tone</v>
      </c>
    </row>
    <row r="1332" ht="15.75" customHeight="1">
      <c r="A1332" s="1" t="s">
        <v>3366</v>
      </c>
      <c r="B1332" s="1" t="s">
        <v>3367</v>
      </c>
      <c r="C1332" s="2" t="s">
        <v>3368</v>
      </c>
      <c r="D1332" s="2" t="str">
        <f t="shared" si="33"/>
        <v>hôn nữ màu da sẫm vừa nữ màu da thường</v>
      </c>
      <c r="E1332" s="3" t="str">
        <f t="shared" si="2"/>
        <v>kiss woman woman medium-dark skin tone medium skin tone</v>
      </c>
    </row>
    <row r="1333" ht="15.75" customHeight="1">
      <c r="A1333" s="1" t="s">
        <v>3369</v>
      </c>
      <c r="B1333" s="1" t="s">
        <v>3370</v>
      </c>
      <c r="C1333" s="2" t="s">
        <v>3371</v>
      </c>
      <c r="D1333" s="2" t="str">
        <f t="shared" si="33"/>
        <v>hôn nữ nữ màu da sáng vừa</v>
      </c>
      <c r="E1333" s="3" t="str">
        <f t="shared" si="2"/>
        <v>kiss woman woman medium-light skin tone</v>
      </c>
    </row>
    <row r="1334" ht="15.75" customHeight="1">
      <c r="A1334" s="1" t="s">
        <v>3372</v>
      </c>
      <c r="B1334" s="1" t="s">
        <v>3373</v>
      </c>
      <c r="C1334" s="2" t="s">
        <v>3374</v>
      </c>
      <c r="D1334" s="2" t="str">
        <f t="shared" si="33"/>
        <v>hôn nữ màu da sáng vừa nữ màu da sẫm</v>
      </c>
      <c r="E1334" s="3" t="str">
        <f t="shared" si="2"/>
        <v>kiss woman woman medium-light skin tone dark skin tone</v>
      </c>
    </row>
    <row r="1335" ht="15.75" customHeight="1">
      <c r="A1335" s="1" t="s">
        <v>3375</v>
      </c>
      <c r="B1335" s="1" t="s">
        <v>3376</v>
      </c>
      <c r="C1335" s="2" t="s">
        <v>3377</v>
      </c>
      <c r="D1335" s="2" t="str">
        <f t="shared" si="33"/>
        <v>hôn nữ màu da sáng vừa nữ màu da sáng</v>
      </c>
      <c r="E1335" s="3" t="str">
        <f t="shared" si="2"/>
        <v>kiss woman woman medium-light skin tone light skin tone</v>
      </c>
    </row>
    <row r="1336" ht="15.75" customHeight="1">
      <c r="A1336" s="1" t="s">
        <v>3378</v>
      </c>
      <c r="B1336" s="1" t="s">
        <v>3379</v>
      </c>
      <c r="C1336" s="2" t="s">
        <v>3380</v>
      </c>
      <c r="D1336" s="2" t="str">
        <f t="shared" si="33"/>
        <v>hôn nữ màu da sáng vừa nữ màu da sẫm vừa</v>
      </c>
      <c r="E1336" s="3" t="str">
        <f t="shared" si="2"/>
        <v>kiss woman woman medium-light skin tone medium-dark skin tone</v>
      </c>
    </row>
    <row r="1337" ht="15.75" customHeight="1">
      <c r="A1337" s="1" t="s">
        <v>3381</v>
      </c>
      <c r="B1337" s="1" t="s">
        <v>3382</v>
      </c>
      <c r="C1337" s="2" t="s">
        <v>3383</v>
      </c>
      <c r="D1337" s="2" t="str">
        <f t="shared" si="33"/>
        <v>hôn nữ màu da sáng vừa nữ màu da thường</v>
      </c>
      <c r="E1337" s="3" t="str">
        <f t="shared" si="2"/>
        <v>kiss woman woman medium-light skin tone medium skin tone</v>
      </c>
    </row>
    <row r="1338" ht="15.75" customHeight="1">
      <c r="A1338" s="1" t="s">
        <v>3384</v>
      </c>
      <c r="B1338" s="1" t="s">
        <v>3385</v>
      </c>
      <c r="C1338" s="2" t="s">
        <v>3386</v>
      </c>
      <c r="D1338" s="2" t="str">
        <f t="shared" si="33"/>
        <v>hôn nữ nữ màu da thường</v>
      </c>
      <c r="E1338" s="3" t="str">
        <f t="shared" si="2"/>
        <v>kiss woman woman medium skin tone</v>
      </c>
    </row>
    <row r="1339" ht="15.75" customHeight="1">
      <c r="A1339" s="1" t="s">
        <v>3387</v>
      </c>
      <c r="B1339" s="1" t="s">
        <v>3388</v>
      </c>
      <c r="C1339" s="2" t="s">
        <v>3389</v>
      </c>
      <c r="D1339" s="2" t="str">
        <f t="shared" si="33"/>
        <v>hôn nữ màu da thường nữ màu da sẫm</v>
      </c>
      <c r="E1339" s="3" t="str">
        <f t="shared" si="2"/>
        <v>kiss woman woman medium skin tone dark skin tone</v>
      </c>
    </row>
    <row r="1340" ht="15.75" customHeight="1">
      <c r="A1340" s="1" t="s">
        <v>3390</v>
      </c>
      <c r="B1340" s="1" t="s">
        <v>3391</v>
      </c>
      <c r="C1340" s="2" t="s">
        <v>3392</v>
      </c>
      <c r="D1340" s="2" t="str">
        <f t="shared" si="33"/>
        <v>hôn nữ màu da thường nữ màu da sáng</v>
      </c>
      <c r="E1340" s="3" t="str">
        <f t="shared" si="2"/>
        <v>kiss woman woman medium skin tone light skin tone</v>
      </c>
    </row>
    <row r="1341" ht="15.75" customHeight="1">
      <c r="A1341" s="1" t="s">
        <v>3393</v>
      </c>
      <c r="B1341" s="1" t="s">
        <v>3394</v>
      </c>
      <c r="C1341" s="2" t="s">
        <v>3395</v>
      </c>
      <c r="D1341" s="2" t="str">
        <f t="shared" si="33"/>
        <v>hôn nữ màu da thường nữ màu da sẫm vừa</v>
      </c>
      <c r="E1341" s="3" t="str">
        <f t="shared" si="2"/>
        <v>kiss woman woman medium skin tone medium-dark skin tone</v>
      </c>
    </row>
    <row r="1342" ht="15.75" customHeight="1">
      <c r="A1342" s="1" t="s">
        <v>3396</v>
      </c>
      <c r="B1342" s="1" t="s">
        <v>3397</v>
      </c>
      <c r="C1342" s="2" t="s">
        <v>3398</v>
      </c>
      <c r="D1342" s="2" t="str">
        <f t="shared" si="33"/>
        <v>hôn nữ màu da thường nữ màu da sáng vừa</v>
      </c>
      <c r="E1342" s="3" t="str">
        <f t="shared" si="2"/>
        <v>kiss woman woman medium skin tone medium-light skin tone</v>
      </c>
    </row>
    <row r="1343" ht="15.75" customHeight="1">
      <c r="A1343" s="1" t="s">
        <v>3399</v>
      </c>
      <c r="B1343" s="1" t="s">
        <v>3400</v>
      </c>
      <c r="C1343" s="2" t="s">
        <v>3401</v>
      </c>
      <c r="D1343" s="2" t="str">
        <f t="shared" si="33"/>
        <v>mèo hôn</v>
      </c>
      <c r="E1343" s="3" t="str">
        <f t="shared" si="2"/>
        <v>kissing cat</v>
      </c>
    </row>
    <row r="1344" ht="15.75" customHeight="1">
      <c r="A1344" s="1" t="s">
        <v>3402</v>
      </c>
      <c r="B1344" s="1" t="s">
        <v>3403</v>
      </c>
      <c r="C1344" s="2" t="s">
        <v>3404</v>
      </c>
      <c r="D1344" s="2" t="str">
        <f t="shared" si="33"/>
        <v>mặt hôn</v>
      </c>
      <c r="E1344" s="3" t="str">
        <f t="shared" si="2"/>
        <v>kissing face</v>
      </c>
    </row>
    <row r="1345" ht="15.75" customHeight="1">
      <c r="A1345" s="1" t="s">
        <v>3405</v>
      </c>
      <c r="B1345" s="1" t="s">
        <v>3406</v>
      </c>
      <c r="C1345" s="2" t="s">
        <v>3407</v>
      </c>
      <c r="D1345" s="2" t="str">
        <f t="shared" si="33"/>
        <v>mặt hôn với mắt nhắm</v>
      </c>
      <c r="E1345" s="3" t="str">
        <f t="shared" si="2"/>
        <v>kissing face with closed eyes</v>
      </c>
    </row>
    <row r="1346" ht="15.75" customHeight="1">
      <c r="A1346" s="1" t="s">
        <v>3408</v>
      </c>
      <c r="B1346" s="1" t="s">
        <v>3409</v>
      </c>
      <c r="C1346" s="2" t="s">
        <v>3410</v>
      </c>
      <c r="D1346" s="2" t="str">
        <f t="shared" si="33"/>
        <v>mặt hôn với mắt mỉm cười</v>
      </c>
      <c r="E1346" s="3" t="str">
        <f t="shared" si="2"/>
        <v>kissing face with smiling eyes</v>
      </c>
    </row>
    <row r="1347" ht="15.75" customHeight="1">
      <c r="A1347" s="1" t="s">
        <v>3411</v>
      </c>
      <c r="B1347" s="1" t="s">
        <v>3412</v>
      </c>
      <c r="C1347" s="2" t="str">
        <f>IFERROR(__xludf.DUMMYFUNCTION("GOOGLETRANSLATE(E1347, ""en"",""vi"")"),"dao nhà bếp")</f>
        <v>dao nhà bếp</v>
      </c>
      <c r="D1347" s="2" t="str">
        <f t="shared" si="33"/>
        <v>dao nhà bếp</v>
      </c>
      <c r="E1347" s="3" t="str">
        <f t="shared" si="2"/>
        <v>kitchen knife</v>
      </c>
    </row>
    <row r="1348" ht="15.75" customHeight="1">
      <c r="A1348" s="1" t="s">
        <v>3413</v>
      </c>
      <c r="B1348" s="1" t="s">
        <v>3414</v>
      </c>
      <c r="C1348" s="2" t="str">
        <f>IFERROR(__xludf.DUMMYFUNCTION("GOOGLETRANSLATE(E1348, ""en"",""vi"")"),"diều")</f>
        <v>diều</v>
      </c>
      <c r="D1348" s="2" t="str">
        <f t="shared" si="33"/>
        <v>diều</v>
      </c>
      <c r="E1348" s="3" t="str">
        <f t="shared" si="2"/>
        <v>kite</v>
      </c>
    </row>
    <row r="1349" ht="15.75" customHeight="1">
      <c r="A1349" s="1" t="s">
        <v>3415</v>
      </c>
      <c r="B1349" s="1" t="s">
        <v>3416</v>
      </c>
      <c r="C1349" s="2" t="str">
        <f>IFERROR(__xludf.DUMMYFUNCTION("GOOGLETRANSLATE(E1349, ""en"",""vi"")"),"quả kiwi")</f>
        <v>quả kiwi</v>
      </c>
      <c r="D1349" s="2" t="str">
        <f t="shared" si="33"/>
        <v>quả kiwi</v>
      </c>
      <c r="E1349" s="3" t="str">
        <f t="shared" si="2"/>
        <v>kiwi fruit</v>
      </c>
    </row>
    <row r="1350" ht="15.75" customHeight="1">
      <c r="A1350" s="1" t="s">
        <v>3417</v>
      </c>
      <c r="B1350" s="1" t="s">
        <v>3418</v>
      </c>
      <c r="C1350" s="2" t="s">
        <v>3419</v>
      </c>
      <c r="D1350" s="2" t="str">
        <f t="shared" si="33"/>
        <v>mặt bị hạ gục</v>
      </c>
      <c r="E1350" s="3" t="str">
        <f t="shared" si="2"/>
        <v>knocked-out face</v>
      </c>
    </row>
    <row r="1351" ht="15.75" customHeight="1">
      <c r="A1351" s="1" t="s">
        <v>3420</v>
      </c>
      <c r="B1351" s="1" t="s">
        <v>3421</v>
      </c>
      <c r="C1351" s="2" t="s">
        <v>3422</v>
      </c>
      <c r="D1351" s="2" t="str">
        <f t="shared" si="33"/>
        <v>nút thắt</v>
      </c>
      <c r="E1351" s="3" t="str">
        <f t="shared" si="2"/>
        <v>knot</v>
      </c>
    </row>
    <row r="1352" ht="15.75" customHeight="1">
      <c r="A1352" s="1" t="s">
        <v>3423</v>
      </c>
      <c r="B1352" s="1" t="s">
        <v>3424</v>
      </c>
      <c r="C1352" s="2" t="s">
        <v>3425</v>
      </c>
      <c r="D1352" s="2" t="str">
        <f t="shared" si="33"/>
        <v>koala</v>
      </c>
      <c r="E1352" s="3" t="str">
        <f t="shared" si="2"/>
        <v>koala</v>
      </c>
    </row>
    <row r="1353" ht="15.75" customHeight="1">
      <c r="A1353" s="1" t="s">
        <v>3426</v>
      </c>
      <c r="B1353" s="1" t="s">
        <v>3427</v>
      </c>
      <c r="C1353" s="2" t="str">
        <f>IFERROR(__xludf.DUMMYFUNCTION("GOOGLETRANSLATE(E1353, ""en"",""vi"")"),"áo khoác phòng thí nghiệm")</f>
        <v>áo khoác phòng thí nghiệm</v>
      </c>
      <c r="D1353" s="2" t="str">
        <f t="shared" si="33"/>
        <v>áo khoác phòng thí nghiệm</v>
      </c>
      <c r="E1353" s="3" t="str">
        <f t="shared" si="2"/>
        <v>lab coat</v>
      </c>
    </row>
    <row r="1354" ht="15.75" customHeight="1">
      <c r="A1354" s="1" t="s">
        <v>3428</v>
      </c>
      <c r="B1354" s="1" t="s">
        <v>3429</v>
      </c>
      <c r="C1354" s="2" t="str">
        <f>IFERROR(__xludf.DUMMYFUNCTION("GOOGLETRANSLATE(E1354, ""en"",""vi"")"),"nhãn")</f>
        <v>nhãn</v>
      </c>
      <c r="D1354" s="2" t="str">
        <f t="shared" si="33"/>
        <v>nhãn</v>
      </c>
      <c r="E1354" s="3" t="str">
        <f t="shared" si="2"/>
        <v>label</v>
      </c>
    </row>
    <row r="1355" ht="15.75" customHeight="1">
      <c r="A1355" s="1" t="s">
        <v>3430</v>
      </c>
      <c r="B1355" s="1" t="s">
        <v>3431</v>
      </c>
      <c r="C1355" s="2" t="s">
        <v>3432</v>
      </c>
      <c r="D1355" s="2" t="str">
        <f t="shared" si="33"/>
        <v>bóng vợt</v>
      </c>
      <c r="E1355" s="3" t="str">
        <f t="shared" si="2"/>
        <v>lacrosse</v>
      </c>
    </row>
    <row r="1356" ht="15.75" customHeight="1">
      <c r="A1356" s="1" t="s">
        <v>3433</v>
      </c>
      <c r="B1356" s="1" t="s">
        <v>3434</v>
      </c>
      <c r="C1356" s="2" t="str">
        <f>IFERROR(__xludf.DUMMYFUNCTION("GOOGLETRANSLATE(E1356, ""en"",""vi"")"),"thang")</f>
        <v>thang</v>
      </c>
      <c r="D1356" s="2" t="str">
        <f t="shared" si="33"/>
        <v>thang</v>
      </c>
      <c r="E1356" s="3" t="str">
        <f t="shared" si="2"/>
        <v>ladder</v>
      </c>
    </row>
    <row r="1357" ht="15.75" customHeight="1">
      <c r="A1357" s="1" t="s">
        <v>3435</v>
      </c>
      <c r="B1357" s="1" t="s">
        <v>3436</v>
      </c>
      <c r="C1357" s="2" t="str">
        <f>IFERROR(__xludf.DUMMYFUNCTION("GOOGLETRANSLATE(E1357, ""en"",""vi"")"),"bọ rùa")</f>
        <v>bọ rùa</v>
      </c>
      <c r="D1357" s="2" t="str">
        <f t="shared" si="33"/>
        <v>bọ rùa</v>
      </c>
      <c r="E1357" s="3" t="str">
        <f t="shared" si="2"/>
        <v>lady beetle</v>
      </c>
    </row>
    <row r="1358" ht="15.75" customHeight="1">
      <c r="A1358" s="1" t="s">
        <v>3437</v>
      </c>
      <c r="B1358" s="1" t="s">
        <v>3438</v>
      </c>
      <c r="C1358" s="2" t="str">
        <f>IFERROR(__xludf.DUMMYFUNCTION("GOOGLETRANSLATE(E1358, ""en"",""vi"")"),"máy tính xách tay")</f>
        <v>máy tính xách tay</v>
      </c>
      <c r="D1358" s="2" t="str">
        <f t="shared" si="33"/>
        <v>máy tính xách tay</v>
      </c>
      <c r="E1358" s="3" t="str">
        <f t="shared" si="2"/>
        <v>laptop</v>
      </c>
    </row>
    <row r="1359" ht="15.75" customHeight="1">
      <c r="A1359" s="1" t="s">
        <v>3439</v>
      </c>
      <c r="B1359" s="1" t="s">
        <v>3440</v>
      </c>
      <c r="C1359" s="2" t="str">
        <f>IFERROR(__xludf.DUMMYFUNCTION("GOOGLETRANSLATE(E1359, ""en"",""vi"")"),"viên kim cương xanh lớn")</f>
        <v>viên kim cương xanh lớn</v>
      </c>
      <c r="D1359" s="2" t="str">
        <f t="shared" si="33"/>
        <v>viên kim cương xanh lớn</v>
      </c>
      <c r="E1359" s="3" t="str">
        <f t="shared" si="2"/>
        <v>large blue diamond</v>
      </c>
    </row>
    <row r="1360" ht="15.75" customHeight="1">
      <c r="A1360" s="1" t="s">
        <v>3441</v>
      </c>
      <c r="B1360" s="1" t="s">
        <v>3442</v>
      </c>
      <c r="C1360" s="2" t="str">
        <f>IFERROR(__xludf.DUMMYFUNCTION("GOOGLETRANSLATE(E1360, ""en"",""vi"")"),"viên kim cương màu cam lớn")</f>
        <v>viên kim cương màu cam lớn</v>
      </c>
      <c r="D1360" s="2" t="str">
        <f t="shared" si="33"/>
        <v>viên kim cương màu cam lớn</v>
      </c>
      <c r="E1360" s="3" t="str">
        <f t="shared" si="2"/>
        <v>large orange diamond</v>
      </c>
    </row>
    <row r="1361" ht="15.75" customHeight="1">
      <c r="A1361" s="1" t="s">
        <v>3443</v>
      </c>
      <c r="B1361" s="1" t="s">
        <v>3444</v>
      </c>
      <c r="C1361" s="2" t="s">
        <v>3445</v>
      </c>
      <c r="D1361" s="2" t="str">
        <f t="shared" si="33"/>
        <v>mặt trăng quí cuối</v>
      </c>
      <c r="E1361" s="3" t="str">
        <f t="shared" si="2"/>
        <v>last quarter moon</v>
      </c>
    </row>
    <row r="1362" ht="15.75" customHeight="1">
      <c r="A1362" s="1" t="s">
        <v>3446</v>
      </c>
      <c r="B1362" s="1" t="s">
        <v>3447</v>
      </c>
      <c r="C1362" s="2" t="s">
        <v>3448</v>
      </c>
      <c r="D1362" s="2" t="str">
        <f t="shared" si="33"/>
        <v>khuôn mặt mặt trăng quí cuối</v>
      </c>
      <c r="E1362" s="3" t="str">
        <f t="shared" si="2"/>
        <v>last quarter moon face</v>
      </c>
    </row>
    <row r="1363" ht="15.75" customHeight="1">
      <c r="A1363" s="1" t="s">
        <v>3449</v>
      </c>
      <c r="B1363" s="1" t="s">
        <v>3450</v>
      </c>
      <c r="C1363" s="2" t="s">
        <v>3451</v>
      </c>
      <c r="D1363" s="2" t="str">
        <f t="shared" si="33"/>
        <v>nút bài hát cuối cùng</v>
      </c>
      <c r="E1363" s="3" t="str">
        <f t="shared" si="2"/>
        <v>last track button</v>
      </c>
    </row>
    <row r="1364" ht="15.75" customHeight="1">
      <c r="A1364" s="1" t="s">
        <v>3452</v>
      </c>
      <c r="B1364" s="1" t="s">
        <v>3453</v>
      </c>
      <c r="C1364" s="2" t="str">
        <f>IFERROR(__xludf.DUMMYFUNCTION("GOOGLETRANSLATE(E1364, ""en"",""vi"")"),"chữ thập latinh")</f>
        <v>chữ thập latinh</v>
      </c>
      <c r="D1364" s="2" t="str">
        <f t="shared" si="33"/>
        <v>chữ thập latinh</v>
      </c>
      <c r="E1364" s="3" t="str">
        <f t="shared" si="2"/>
        <v>latin cross</v>
      </c>
    </row>
    <row r="1365" ht="15.75" customHeight="1">
      <c r="A1365" s="1" t="s">
        <v>3454</v>
      </c>
      <c r="B1365" s="1" t="s">
        <v>3455</v>
      </c>
      <c r="C1365" s="2" t="str">
        <f>IFERROR(__xludf.DUMMYFUNCTION("GOOGLETRANSLATE(E1365, ""en"",""vi"")"),"lá rung rinh trong gió")</f>
        <v>lá rung rinh trong gió</v>
      </c>
      <c r="D1365" s="2" t="str">
        <f t="shared" si="33"/>
        <v>lá rung rinh trong gió</v>
      </c>
      <c r="E1365" s="3" t="str">
        <f t="shared" si="2"/>
        <v>leaf fluttering in wind</v>
      </c>
    </row>
    <row r="1366" ht="15.75" customHeight="1">
      <c r="A1366" s="1" t="s">
        <v>3456</v>
      </c>
      <c r="B1366" s="1" t="s">
        <v>3457</v>
      </c>
      <c r="C1366" s="2" t="str">
        <f>IFERROR(__xludf.DUMMYFUNCTION("GOOGLETRANSLATE(E1366, ""en"",""vi"")"),"xanh lá cây")</f>
        <v>xanh lá cây</v>
      </c>
      <c r="D1366" s="2" t="str">
        <f t="shared" si="33"/>
        <v>xanh lá cây</v>
      </c>
      <c r="E1366" s="3" t="str">
        <f t="shared" si="2"/>
        <v>leafy green</v>
      </c>
    </row>
    <row r="1367" ht="15.75" customHeight="1">
      <c r="A1367" s="1" t="s">
        <v>3458</v>
      </c>
      <c r="B1367" s="1" t="s">
        <v>3459</v>
      </c>
      <c r="C1367" s="2" t="str">
        <f>IFERROR(__xludf.DUMMYFUNCTION("GOOGLETRANSLATE(E1367, ""en"",""vi"")"),"sổ cái")</f>
        <v>sổ cái</v>
      </c>
      <c r="D1367" s="2" t="str">
        <f t="shared" si="33"/>
        <v>sổ cái</v>
      </c>
      <c r="E1367" s="3" t="str">
        <f t="shared" si="2"/>
        <v>ledger</v>
      </c>
    </row>
    <row r="1368" ht="15.75" customHeight="1">
      <c r="A1368" s="1" t="s">
        <v>3460</v>
      </c>
      <c r="B1368" s="1" t="s">
        <v>3461</v>
      </c>
      <c r="C1368" s="2" t="s">
        <v>3462</v>
      </c>
      <c r="D1368" s="2" t="str">
        <f t="shared" si="33"/>
        <v>nắm tay hướng bên trái</v>
      </c>
      <c r="E1368" s="3" t="str">
        <f t="shared" si="2"/>
        <v>left-facing fist</v>
      </c>
    </row>
    <row r="1369" ht="15.75" customHeight="1">
      <c r="A1369" s="1" t="s">
        <v>3463</v>
      </c>
      <c r="B1369" s="1" t="s">
        <v>3464</v>
      </c>
      <c r="C1369" s="2" t="s">
        <v>3465</v>
      </c>
      <c r="D1369" s="2" t="str">
        <f t="shared" si="33"/>
        <v>nắm tay hướng bên trái màu da sẫm</v>
      </c>
      <c r="E1369" s="3" t="str">
        <f t="shared" si="2"/>
        <v>left-facing fist dark skin tone</v>
      </c>
    </row>
    <row r="1370" ht="15.75" customHeight="1">
      <c r="A1370" s="1" t="s">
        <v>3466</v>
      </c>
      <c r="B1370" s="1" t="s">
        <v>3467</v>
      </c>
      <c r="C1370" s="2" t="s">
        <v>3468</v>
      </c>
      <c r="D1370" s="2" t="str">
        <f t="shared" si="33"/>
        <v>nắm tay hướng bên trái màu da sáng</v>
      </c>
      <c r="E1370" s="3" t="str">
        <f t="shared" si="2"/>
        <v>left-facing fist light skin tone</v>
      </c>
    </row>
    <row r="1371" ht="15.75" customHeight="1">
      <c r="A1371" s="1" t="s">
        <v>3469</v>
      </c>
      <c r="B1371" s="1" t="s">
        <v>3470</v>
      </c>
      <c r="C1371" s="2" t="s">
        <v>3471</v>
      </c>
      <c r="D1371" s="2" t="str">
        <f t="shared" si="33"/>
        <v>nắm tay hướng bên trái màu da sẫm vừa</v>
      </c>
      <c r="E1371" s="3" t="str">
        <f t="shared" si="2"/>
        <v>left-facing fist medium-dark skin tone</v>
      </c>
    </row>
    <row r="1372" ht="15.75" customHeight="1">
      <c r="A1372" s="1" t="s">
        <v>3472</v>
      </c>
      <c r="B1372" s="1" t="s">
        <v>3473</v>
      </c>
      <c r="C1372" s="2" t="s">
        <v>3474</v>
      </c>
      <c r="D1372" s="2" t="str">
        <f t="shared" si="33"/>
        <v>nắm tay hướng bên trái màu da sáng vừa</v>
      </c>
      <c r="E1372" s="3" t="str">
        <f t="shared" si="2"/>
        <v>left-facing fist medium-light skin tone</v>
      </c>
    </row>
    <row r="1373" ht="15.75" customHeight="1">
      <c r="A1373" s="1" t="s">
        <v>3475</v>
      </c>
      <c r="B1373" s="1" t="s">
        <v>3476</v>
      </c>
      <c r="C1373" s="2" t="s">
        <v>3477</v>
      </c>
      <c r="D1373" s="2" t="str">
        <f t="shared" si="33"/>
        <v>nắm tay hướng bên trái màu da thường</v>
      </c>
      <c r="E1373" s="3" t="str">
        <f t="shared" si="2"/>
        <v>left-facing fist medium skin tone</v>
      </c>
    </row>
    <row r="1374" ht="15.75" customHeight="1">
      <c r="A1374" s="1" t="s">
        <v>3478</v>
      </c>
      <c r="B1374" s="1" t="s">
        <v>3479</v>
      </c>
      <c r="C1374" s="2" t="str">
        <f>IFERROR(__xludf.DUMMYFUNCTION("GOOGLETRANSLATE(E1374, ""en"",""vi"")"),"mũi tên trái-phải")</f>
        <v>mũi tên trái-phải</v>
      </c>
      <c r="D1374" s="2" t="str">
        <f t="shared" si="33"/>
        <v>mũi tên trái-phải</v>
      </c>
      <c r="E1374" s="3" t="str">
        <f t="shared" si="2"/>
        <v>left-right arrow</v>
      </c>
    </row>
    <row r="1375" ht="15.75" customHeight="1">
      <c r="A1375" s="1" t="s">
        <v>3480</v>
      </c>
      <c r="B1375" s="1" t="s">
        <v>3481</v>
      </c>
      <c r="C1375" s="2" t="str">
        <f>IFERROR(__xludf.DUMMYFUNCTION("GOOGLETRANSLATE(E1375, ""en"",""vi"")"),"mũi tên trái")</f>
        <v>mũi tên trái</v>
      </c>
      <c r="D1375" s="2" t="str">
        <f t="shared" si="33"/>
        <v>mũi tên trái</v>
      </c>
      <c r="E1375" s="3" t="str">
        <f t="shared" si="2"/>
        <v>left arrow</v>
      </c>
    </row>
    <row r="1376" ht="15.75" customHeight="1">
      <c r="A1376" s="1" t="s">
        <v>3482</v>
      </c>
      <c r="B1376" s="1" t="s">
        <v>3483</v>
      </c>
      <c r="C1376" s="2" t="str">
        <f>IFERROR(__xludf.DUMMYFUNCTION("GOOGLETRANSLATE(E1376, ""en"",""vi"")"),"mũi tên trái cong sang phải")</f>
        <v>mũi tên trái cong sang phải</v>
      </c>
      <c r="D1376" s="2" t="str">
        <f t="shared" si="33"/>
        <v>mũi tên trái cong sang phải</v>
      </c>
      <c r="E1376" s="3" t="str">
        <f t="shared" si="2"/>
        <v>left arrow curving right</v>
      </c>
    </row>
    <row r="1377" ht="15.75" customHeight="1">
      <c r="A1377" s="1" t="s">
        <v>3484</v>
      </c>
      <c r="B1377" s="1" t="s">
        <v>3485</v>
      </c>
      <c r="C1377" s="2" t="str">
        <f>IFERROR(__xludf.DUMMYFUNCTION("GOOGLETRANSLATE(E1377, ""en"",""vi"")"),"hành lý để lại")</f>
        <v>hành lý để lại</v>
      </c>
      <c r="D1377" s="2" t="str">
        <f t="shared" si="33"/>
        <v>hành lý để lại</v>
      </c>
      <c r="E1377" s="3" t="str">
        <f t="shared" si="2"/>
        <v>left luggage</v>
      </c>
    </row>
    <row r="1378" ht="15.75" customHeight="1">
      <c r="A1378" s="1" t="s">
        <v>3486</v>
      </c>
      <c r="B1378" s="1" t="s">
        <v>3487</v>
      </c>
      <c r="C1378" s="2" t="str">
        <f>IFERROR(__xludf.DUMMYFUNCTION("GOOGLETRANSLATE(E1378, ""en"",""vi"")"),"bong bóng lời thoại bên trái")</f>
        <v>bong bóng lời thoại bên trái</v>
      </c>
      <c r="D1378" s="2" t="str">
        <f t="shared" si="33"/>
        <v>bong bóng lời thoại bên trái</v>
      </c>
      <c r="E1378" s="3" t="str">
        <f t="shared" si="2"/>
        <v>left speech bubble</v>
      </c>
    </row>
    <row r="1379" ht="15.75" customHeight="1">
      <c r="A1379" s="1" t="s">
        <v>3488</v>
      </c>
      <c r="B1379" s="1" t="s">
        <v>3489</v>
      </c>
      <c r="C1379" s="2" t="str">
        <f>IFERROR(__xludf.DUMMYFUNCTION("GOOGLETRANSLATE(E1379, ""en"",""vi"")"),"chân")</f>
        <v>chân</v>
      </c>
      <c r="D1379" s="2" t="str">
        <f t="shared" si="33"/>
        <v>chân</v>
      </c>
      <c r="E1379" s="3" t="str">
        <f t="shared" si="2"/>
        <v>leg</v>
      </c>
    </row>
    <row r="1380" ht="15.75" customHeight="1">
      <c r="A1380" s="1" t="s">
        <v>3490</v>
      </c>
      <c r="B1380" s="1" t="s">
        <v>3491</v>
      </c>
      <c r="C1380" s="2" t="s">
        <v>3492</v>
      </c>
      <c r="D1380" s="2" t="str">
        <f t="shared" si="33"/>
        <v>chân màu da sẫm</v>
      </c>
      <c r="E1380" s="3" t="str">
        <f t="shared" si="2"/>
        <v>leg dark skin tone</v>
      </c>
    </row>
    <row r="1381" ht="15.75" customHeight="1">
      <c r="A1381" s="1" t="s">
        <v>3493</v>
      </c>
      <c r="B1381" s="1" t="s">
        <v>3494</v>
      </c>
      <c r="C1381" s="2" t="s">
        <v>3495</v>
      </c>
      <c r="D1381" s="2" t="str">
        <f t="shared" si="33"/>
        <v>chân màu da sáng</v>
      </c>
      <c r="E1381" s="3" t="str">
        <f t="shared" si="2"/>
        <v>leg light skin tone</v>
      </c>
    </row>
    <row r="1382" ht="15.75" customHeight="1">
      <c r="A1382" s="1" t="s">
        <v>3496</v>
      </c>
      <c r="B1382" s="1" t="s">
        <v>3497</v>
      </c>
      <c r="C1382" s="2" t="s">
        <v>3498</v>
      </c>
      <c r="D1382" s="2" t="str">
        <f t="shared" si="33"/>
        <v>chân màu da sẫm vừa</v>
      </c>
      <c r="E1382" s="3" t="str">
        <f t="shared" si="2"/>
        <v>leg medium-dark skin tone</v>
      </c>
    </row>
    <row r="1383" ht="15.75" customHeight="1">
      <c r="A1383" s="1" t="s">
        <v>3499</v>
      </c>
      <c r="B1383" s="1" t="s">
        <v>3500</v>
      </c>
      <c r="C1383" s="2" t="s">
        <v>3501</v>
      </c>
      <c r="D1383" s="2" t="str">
        <f t="shared" si="33"/>
        <v>chân màu da sáng vừa</v>
      </c>
      <c r="E1383" s="3" t="str">
        <f t="shared" si="2"/>
        <v>leg medium-light skin tone</v>
      </c>
    </row>
    <row r="1384" ht="15.75" customHeight="1">
      <c r="A1384" s="1" t="s">
        <v>3502</v>
      </c>
      <c r="B1384" s="1" t="s">
        <v>3503</v>
      </c>
      <c r="C1384" s="2" t="s">
        <v>3504</v>
      </c>
      <c r="D1384" s="2" t="str">
        <f t="shared" si="33"/>
        <v>chân màu da thường</v>
      </c>
      <c r="E1384" s="3" t="str">
        <f t="shared" si="2"/>
        <v>leg medium skin tone</v>
      </c>
    </row>
    <row r="1385" ht="15.75" customHeight="1">
      <c r="A1385" s="1" t="s">
        <v>3505</v>
      </c>
      <c r="B1385" s="1" t="s">
        <v>3506</v>
      </c>
      <c r="C1385" s="2" t="str">
        <f>IFERROR(__xludf.DUMMYFUNCTION("GOOGLETRANSLATE(E1385, ""en"",""vi"")"),"chanh vàng")</f>
        <v>chanh vàng</v>
      </c>
      <c r="D1385" s="2" t="str">
        <f t="shared" si="33"/>
        <v>chanh vàng</v>
      </c>
      <c r="E1385" s="3" t="str">
        <f t="shared" si="2"/>
        <v>lemon</v>
      </c>
    </row>
    <row r="1386" ht="15.75" customHeight="1">
      <c r="A1386" s="1" t="s">
        <v>3507</v>
      </c>
      <c r="B1386" s="1" t="s">
        <v>3508</v>
      </c>
      <c r="C1386" s="2" t="str">
        <f>IFERROR(__xludf.DUMMYFUNCTION("GOOGLETRANSLATE(E1386, ""en"",""vi"")"),"beo")</f>
        <v>beo</v>
      </c>
      <c r="D1386" s="2" t="str">
        <f t="shared" si="33"/>
        <v>beo</v>
      </c>
      <c r="E1386" s="3" t="str">
        <f t="shared" si="2"/>
        <v>leopard</v>
      </c>
    </row>
    <row r="1387" ht="15.75" customHeight="1">
      <c r="A1387" s="1" t="s">
        <v>3509</v>
      </c>
      <c r="B1387" s="1" t="s">
        <v>3510</v>
      </c>
      <c r="C1387" s="2" t="s">
        <v>3511</v>
      </c>
      <c r="D1387" s="2" t="str">
        <f t="shared" si="33"/>
        <v>thanh trượt cấp</v>
      </c>
      <c r="E1387" s="3" t="str">
        <f t="shared" si="2"/>
        <v>level slider</v>
      </c>
    </row>
    <row r="1388" ht="15.75" customHeight="1">
      <c r="A1388" s="1" t="s">
        <v>3512</v>
      </c>
      <c r="B1388" s="1" t="s">
        <v>3513</v>
      </c>
      <c r="C1388" s="2" t="str">
        <f>IFERROR(__xludf.DUMMYFUNCTION("GOOGLETRANSLATE(E1388, ""en"",""vi"")"),"bóng đèn")</f>
        <v>bóng đèn</v>
      </c>
      <c r="D1388" s="2" t="str">
        <f t="shared" si="33"/>
        <v>bóng đèn</v>
      </c>
      <c r="E1388" s="3" t="str">
        <f t="shared" si="2"/>
        <v>light bulb</v>
      </c>
    </row>
    <row r="1389" ht="15.75" customHeight="1">
      <c r="A1389" s="1" t="s">
        <v>3514</v>
      </c>
      <c r="B1389" s="1" t="s">
        <v>3515</v>
      </c>
      <c r="C1389" s="2" t="str">
        <f>IFERROR(__xludf.DUMMYFUNCTION("GOOGLETRANSLATE(E1389, ""en"",""vi"")"),"đường sắt nhẹ")</f>
        <v>đường sắt nhẹ</v>
      </c>
      <c r="D1389" s="2" t="str">
        <f t="shared" si="33"/>
        <v>đường sắt nhẹ</v>
      </c>
      <c r="E1389" s="3" t="str">
        <f t="shared" si="2"/>
        <v>light rail</v>
      </c>
    </row>
    <row r="1390" ht="15.75" customHeight="1">
      <c r="A1390" s="1" t="s">
        <v>3516</v>
      </c>
      <c r="B1390" s="1" t="s">
        <v>3517</v>
      </c>
      <c r="C1390" s="2" t="str">
        <f>IFERROR(__xludf.DUMMYFUNCTION("GOOGLETRANSLATE(E1390, ""en"",""vi"")"),"tông màu da sáng")</f>
        <v>tông màu da sáng</v>
      </c>
      <c r="D1390" s="2" t="str">
        <f t="shared" si="33"/>
        <v>tông màu da sáng</v>
      </c>
      <c r="E1390" s="3" t="str">
        <f t="shared" si="2"/>
        <v>light skin tone</v>
      </c>
    </row>
    <row r="1391" ht="15.75" customHeight="1">
      <c r="A1391" s="1" t="s">
        <v>3518</v>
      </c>
      <c r="B1391" s="1" t="s">
        <v>3519</v>
      </c>
      <c r="C1391" s="2" t="str">
        <f>IFERROR(__xludf.DUMMYFUNCTION("GOOGLETRANSLATE(E1391, ""en"",""vi"")"),"liên kết")</f>
        <v>liên kết</v>
      </c>
      <c r="D1391" s="2" t="str">
        <f t="shared" si="33"/>
        <v>liên kết</v>
      </c>
      <c r="E1391" s="3" t="str">
        <f t="shared" si="2"/>
        <v>link</v>
      </c>
    </row>
    <row r="1392" ht="15.75" customHeight="1">
      <c r="A1392" s="1" t="s">
        <v>3520</v>
      </c>
      <c r="B1392" s="1" t="s">
        <v>3521</v>
      </c>
      <c r="C1392" s="2" t="s">
        <v>3522</v>
      </c>
      <c r="D1392" s="2" t="str">
        <f t="shared" si="33"/>
        <v>liên kết kẹp giấy</v>
      </c>
      <c r="E1392" s="3" t="str">
        <f t="shared" si="2"/>
        <v>linked paperclips</v>
      </c>
    </row>
    <row r="1393" ht="15.75" customHeight="1">
      <c r="A1393" s="1" t="s">
        <v>3523</v>
      </c>
      <c r="B1393" s="1" t="s">
        <v>3524</v>
      </c>
      <c r="C1393" s="2" t="str">
        <f>IFERROR(__xludf.DUMMYFUNCTION("GOOGLETRANSLATE(E1393, ""en"",""vi"")"),"con sư tử")</f>
        <v>con sư tử</v>
      </c>
      <c r="D1393" s="2" t="str">
        <f t="shared" si="33"/>
        <v>con sư tử</v>
      </c>
      <c r="E1393" s="3" t="str">
        <f t="shared" si="2"/>
        <v>lion</v>
      </c>
    </row>
    <row r="1394" ht="15.75" customHeight="1">
      <c r="A1394" s="1" t="s">
        <v>3525</v>
      </c>
      <c r="B1394" s="1" t="s">
        <v>3526</v>
      </c>
      <c r="C1394" s="2" t="str">
        <f>IFERROR(__xludf.DUMMYFUNCTION("GOOGLETRANSLATE(E1394, ""en"",""vi"")"),"cây son")</f>
        <v>cây son</v>
      </c>
      <c r="D1394" s="2" t="str">
        <f t="shared" si="33"/>
        <v>cây son</v>
      </c>
      <c r="E1394" s="3" t="str">
        <f t="shared" si="2"/>
        <v>lipstick</v>
      </c>
    </row>
    <row r="1395" ht="15.75" customHeight="1">
      <c r="A1395" s="1" t="s">
        <v>3527</v>
      </c>
      <c r="B1395" s="1" t="s">
        <v>3528</v>
      </c>
      <c r="C1395" s="2" t="s">
        <v>3529</v>
      </c>
      <c r="D1395" s="2" t="str">
        <f t="shared" si="33"/>
        <v>biển vứt rác vào sọt</v>
      </c>
      <c r="E1395" s="3" t="str">
        <f t="shared" si="2"/>
        <v>litter in bin sign</v>
      </c>
    </row>
    <row r="1396" ht="15.75" customHeight="1">
      <c r="A1396" s="1" t="s">
        <v>3530</v>
      </c>
      <c r="B1396" s="1" t="s">
        <v>3531</v>
      </c>
      <c r="C1396" s="2" t="str">
        <f>IFERROR(__xludf.DUMMYFUNCTION("GOOGLETRANSLATE(E1396, ""en"",""vi"")"),"thằn lằn")</f>
        <v>thằn lằn</v>
      </c>
      <c r="D1396" s="2" t="str">
        <f t="shared" si="33"/>
        <v>thằn lằn</v>
      </c>
      <c r="E1396" s="3" t="str">
        <f t="shared" si="2"/>
        <v>lizard</v>
      </c>
    </row>
    <row r="1397" ht="15.75" customHeight="1">
      <c r="A1397" s="1" t="s">
        <v>3532</v>
      </c>
      <c r="B1397" s="1" t="s">
        <v>3533</v>
      </c>
      <c r="C1397" s="2" t="s">
        <v>3534</v>
      </c>
      <c r="D1397" s="2" t="str">
        <f t="shared" si="33"/>
        <v>lạc đà không bướu</v>
      </c>
      <c r="E1397" s="3" t="str">
        <f t="shared" si="2"/>
        <v>llama</v>
      </c>
    </row>
    <row r="1398" ht="15.75" customHeight="1">
      <c r="A1398" s="1" t="s">
        <v>3535</v>
      </c>
      <c r="B1398" s="1" t="s">
        <v>3536</v>
      </c>
      <c r="C1398" s="2" t="str">
        <f>IFERROR(__xludf.DUMMYFUNCTION("GOOGLETRANSLATE(E1398, ""en"",""vi"")"),"tôm")</f>
        <v>tôm</v>
      </c>
      <c r="D1398" s="2" t="str">
        <f t="shared" si="33"/>
        <v>tôm</v>
      </c>
      <c r="E1398" s="3" t="str">
        <f t="shared" si="2"/>
        <v>lobster</v>
      </c>
    </row>
    <row r="1399" ht="15.75" customHeight="1">
      <c r="A1399" s="1" t="s">
        <v>3537</v>
      </c>
      <c r="B1399" s="1" t="s">
        <v>3538</v>
      </c>
      <c r="C1399" s="2" t="str">
        <f>IFERROR(__xludf.DUMMYFUNCTION("GOOGLETRANSLATE(E1399, ""en"",""vi"")"),"đã khóa")</f>
        <v>đã khóa</v>
      </c>
      <c r="D1399" s="2" t="str">
        <f t="shared" si="33"/>
        <v>đã khóa</v>
      </c>
      <c r="E1399" s="3" t="str">
        <f t="shared" si="2"/>
        <v>locked</v>
      </c>
    </row>
    <row r="1400" ht="15.75" customHeight="1">
      <c r="A1400" s="1" t="s">
        <v>3539</v>
      </c>
      <c r="B1400" s="1" t="s">
        <v>3540</v>
      </c>
      <c r="C1400" s="2" t="str">
        <f>IFERROR(__xludf.DUMMYFUNCTION("GOOGLETRANSLATE(E1400, ""en"",""vi"")"),"khóa bằng chìa khóa")</f>
        <v>khóa bằng chìa khóa</v>
      </c>
      <c r="D1400" s="2" t="str">
        <f t="shared" si="33"/>
        <v>khóa bằng chìa khóa</v>
      </c>
      <c r="E1400" s="3" t="str">
        <f t="shared" si="2"/>
        <v>locked with key</v>
      </c>
    </row>
    <row r="1401" ht="15.75" customHeight="1">
      <c r="A1401" s="1" t="s">
        <v>3541</v>
      </c>
      <c r="B1401" s="1" t="s">
        <v>3542</v>
      </c>
      <c r="C1401" s="2" t="s">
        <v>3543</v>
      </c>
      <c r="D1401" s="2" t="str">
        <f t="shared" si="33"/>
        <v>bị khoá với bút</v>
      </c>
      <c r="E1401" s="3" t="str">
        <f t="shared" si="2"/>
        <v>locked with pen</v>
      </c>
    </row>
    <row r="1402" ht="15.75" customHeight="1">
      <c r="A1402" s="1" t="s">
        <v>3544</v>
      </c>
      <c r="B1402" s="1" t="s">
        <v>3545</v>
      </c>
      <c r="C1402" s="2" t="str">
        <f>IFERROR(__xludf.DUMMYFUNCTION("GOOGLETRANSLATE(E1402, ""en"",""vi"")"),"đầu máy xe lửa")</f>
        <v>đầu máy xe lửa</v>
      </c>
      <c r="D1402" s="2" t="str">
        <f t="shared" si="33"/>
        <v>đầu máy xe lửa</v>
      </c>
      <c r="E1402" s="3" t="str">
        <f t="shared" si="2"/>
        <v>locomotive</v>
      </c>
    </row>
    <row r="1403" ht="15.75" customHeight="1">
      <c r="A1403" s="1" t="s">
        <v>3546</v>
      </c>
      <c r="B1403" s="1" t="s">
        <v>3547</v>
      </c>
      <c r="C1403" s="2" t="s">
        <v>3548</v>
      </c>
      <c r="D1403" s="2" t="str">
        <f t="shared" si="33"/>
        <v>kẹo mút</v>
      </c>
      <c r="E1403" s="3" t="str">
        <f t="shared" si="2"/>
        <v>lollipop</v>
      </c>
    </row>
    <row r="1404" ht="15.75" customHeight="1">
      <c r="A1404" s="1" t="s">
        <v>3549</v>
      </c>
      <c r="B1404" s="1" t="s">
        <v>3550</v>
      </c>
      <c r="C1404" s="2" t="s">
        <v>3551</v>
      </c>
      <c r="D1404" s="2" t="str">
        <f t="shared" si="33"/>
        <v>trống dài</v>
      </c>
      <c r="E1404" s="3" t="str">
        <f t="shared" si="2"/>
        <v>long drum</v>
      </c>
    </row>
    <row r="1405" ht="15.75" customHeight="1">
      <c r="A1405" s="1" t="s">
        <v>3552</v>
      </c>
      <c r="B1405" s="1" t="s">
        <v>3553</v>
      </c>
      <c r="C1405" s="2" t="s">
        <v>3554</v>
      </c>
      <c r="D1405" s="2" t="str">
        <f t="shared" si="33"/>
        <v>lọ nước thơm</v>
      </c>
      <c r="E1405" s="3" t="str">
        <f t="shared" si="2"/>
        <v>lotion bottle</v>
      </c>
    </row>
    <row r="1406" ht="15.75" customHeight="1">
      <c r="A1406" s="1" t="s">
        <v>3555</v>
      </c>
      <c r="B1406" s="1" t="s">
        <v>3556</v>
      </c>
      <c r="C1406" s="2" t="str">
        <f>IFERROR(__xludf.DUMMYFUNCTION("GOOGLETRANSLATE(E1406, ""en"",""vi"")"),"khuôn mặt khóc lóc thảm thiết")</f>
        <v>khuôn mặt khóc lóc thảm thiết</v>
      </c>
      <c r="D1406" s="2" t="str">
        <f t="shared" si="33"/>
        <v>khuôn mặt khóc lóc thảm thiết</v>
      </c>
      <c r="E1406" s="3" t="str">
        <f t="shared" si="2"/>
        <v>loudly crying face</v>
      </c>
    </row>
    <row r="1407" ht="15.75" customHeight="1">
      <c r="A1407" s="1" t="s">
        <v>3557</v>
      </c>
      <c r="B1407" s="1" t="s">
        <v>3558</v>
      </c>
      <c r="C1407" s="2" t="s">
        <v>3559</v>
      </c>
      <c r="D1407" s="2" t="str">
        <f t="shared" si="33"/>
        <v>loa</v>
      </c>
      <c r="E1407" s="3" t="str">
        <f t="shared" si="2"/>
        <v>loudspeaker</v>
      </c>
    </row>
    <row r="1408" ht="15.75" customHeight="1">
      <c r="A1408" s="1" t="s">
        <v>3560</v>
      </c>
      <c r="B1408" s="1" t="s">
        <v>3561</v>
      </c>
      <c r="C1408" s="2" t="s">
        <v>3562</v>
      </c>
      <c r="D1408" s="2" t="str">
        <f t="shared" si="33"/>
        <v>cử chỉ yêu bạn</v>
      </c>
      <c r="E1408" s="3" t="str">
        <f t="shared" si="2"/>
        <v>love-you gesture</v>
      </c>
    </row>
    <row r="1409" ht="15.75" customHeight="1">
      <c r="A1409" s="1" t="s">
        <v>3563</v>
      </c>
      <c r="B1409" s="1" t="s">
        <v>3564</v>
      </c>
      <c r="C1409" s="2" t="s">
        <v>3565</v>
      </c>
      <c r="D1409" s="2" t="str">
        <f t="shared" si="33"/>
        <v>cử chỉ yêu bạn màu da sẫm</v>
      </c>
      <c r="E1409" s="3" t="str">
        <f t="shared" si="2"/>
        <v>love-you gesture dark skin tone</v>
      </c>
    </row>
    <row r="1410" ht="15.75" customHeight="1">
      <c r="A1410" s="1" t="s">
        <v>3566</v>
      </c>
      <c r="B1410" s="1" t="s">
        <v>3567</v>
      </c>
      <c r="C1410" s="2" t="s">
        <v>3568</v>
      </c>
      <c r="D1410" s="2" t="str">
        <f t="shared" si="33"/>
        <v>cử chỉ yêu bạn màu da sáng</v>
      </c>
      <c r="E1410" s="3" t="str">
        <f t="shared" si="2"/>
        <v>love-you gesture light skin tone</v>
      </c>
    </row>
    <row r="1411" ht="15.75" customHeight="1">
      <c r="A1411" s="1" t="s">
        <v>3569</v>
      </c>
      <c r="B1411" s="1" t="s">
        <v>3570</v>
      </c>
      <c r="C1411" s="2" t="s">
        <v>3571</v>
      </c>
      <c r="D1411" s="2" t="str">
        <f t="shared" si="33"/>
        <v>cử chỉ yêu bạn màu da sẫm vừa</v>
      </c>
      <c r="E1411" s="3" t="str">
        <f t="shared" si="2"/>
        <v>love-you gesture medium-dark skin tone</v>
      </c>
    </row>
    <row r="1412" ht="15.75" customHeight="1">
      <c r="A1412" s="1" t="s">
        <v>3572</v>
      </c>
      <c r="B1412" s="1" t="s">
        <v>3573</v>
      </c>
      <c r="C1412" s="2" t="s">
        <v>3574</v>
      </c>
      <c r="D1412" s="2" t="str">
        <f t="shared" si="33"/>
        <v>cử chỉ yêu bạn màu da sáng vừa</v>
      </c>
      <c r="E1412" s="3" t="str">
        <f t="shared" si="2"/>
        <v>love-you gesture medium-light skin tone</v>
      </c>
    </row>
    <row r="1413" ht="15.75" customHeight="1">
      <c r="A1413" s="1" t="s">
        <v>3575</v>
      </c>
      <c r="B1413" s="1" t="s">
        <v>3576</v>
      </c>
      <c r="C1413" s="2" t="s">
        <v>3577</v>
      </c>
      <c r="D1413" s="2" t="str">
        <f t="shared" si="33"/>
        <v>cử chỉ yêu bạn màu da thường</v>
      </c>
      <c r="E1413" s="3" t="str">
        <f t="shared" si="2"/>
        <v>love-you gesture medium skin tone</v>
      </c>
    </row>
    <row r="1414" ht="15.75" customHeight="1">
      <c r="A1414" s="1" t="s">
        <v>3578</v>
      </c>
      <c r="B1414" s="1" t="s">
        <v>3579</v>
      </c>
      <c r="C1414" s="2" t="str">
        <f>IFERROR(__xludf.DUMMYFUNCTION("GOOGLETRANSLATE(E1414, ""en"",""vi"")"),"khách sạn tình yêu")</f>
        <v>khách sạn tình yêu</v>
      </c>
      <c r="D1414" s="2" t="str">
        <f t="shared" si="33"/>
        <v>khách sạn tình yêu</v>
      </c>
      <c r="E1414" s="3" t="str">
        <f t="shared" si="2"/>
        <v>love hotel</v>
      </c>
    </row>
    <row r="1415" ht="15.75" customHeight="1">
      <c r="A1415" s="1" t="s">
        <v>3580</v>
      </c>
      <c r="B1415" s="1" t="s">
        <v>3581</v>
      </c>
      <c r="C1415" s="2" t="str">
        <f>IFERROR(__xludf.DUMMYFUNCTION("GOOGLETRANSLATE(E1415, ""en"",""vi"")"),"bức thư tình")</f>
        <v>bức thư tình</v>
      </c>
      <c r="D1415" s="2" t="str">
        <f t="shared" si="33"/>
        <v>bức thư tình</v>
      </c>
      <c r="E1415" s="3" t="str">
        <f t="shared" si="2"/>
        <v>love letter</v>
      </c>
    </row>
    <row r="1416" ht="15.75" customHeight="1">
      <c r="A1416" s="1" t="s">
        <v>3582</v>
      </c>
      <c r="B1416" s="1" t="s">
        <v>3583</v>
      </c>
      <c r="C1416" s="2" t="str">
        <f>IFERROR(__xludf.DUMMYFUNCTION("GOOGLETRANSLATE(E1416, ""en"",""vi"")"),"hành lý")</f>
        <v>hành lý</v>
      </c>
      <c r="D1416" s="2" t="str">
        <f t="shared" si="33"/>
        <v>hành lý</v>
      </c>
      <c r="E1416" s="3" t="str">
        <f t="shared" si="2"/>
        <v>luggage</v>
      </c>
    </row>
    <row r="1417" ht="15.75" customHeight="1">
      <c r="A1417" s="1" t="s">
        <v>3584</v>
      </c>
      <c r="B1417" s="1" t="s">
        <v>3585</v>
      </c>
      <c r="C1417" s="2" t="s">
        <v>3586</v>
      </c>
      <c r="D1417" s="2" t="str">
        <f t="shared" si="33"/>
        <v>phổi</v>
      </c>
      <c r="E1417" s="3" t="str">
        <f t="shared" si="2"/>
        <v>lungs</v>
      </c>
    </row>
    <row r="1418" ht="15.75" customHeight="1">
      <c r="A1418" s="1" t="s">
        <v>3587</v>
      </c>
      <c r="B1418" s="1" t="s">
        <v>3588</v>
      </c>
      <c r="C1418" s="2" t="str">
        <f>IFERROR(__xludf.DUMMYFUNCTION("GOOGLETRANSLATE(E1418, ""en"",""vi"")"),"mặt nói dối")</f>
        <v>mặt nói dối</v>
      </c>
      <c r="D1418" s="2" t="str">
        <f t="shared" si="33"/>
        <v>mặt nói dối</v>
      </c>
      <c r="E1418" s="3" t="str">
        <f t="shared" si="2"/>
        <v>lying face</v>
      </c>
    </row>
    <row r="1419" ht="15.75" customHeight="1">
      <c r="A1419" s="1" t="s">
        <v>3589</v>
      </c>
      <c r="B1419" s="1" t="s">
        <v>3590</v>
      </c>
      <c r="C1419" s="2" t="s">
        <v>3591</v>
      </c>
      <c r="D1419" s="2" t="str">
        <f t="shared" si="33"/>
        <v>pháp sư</v>
      </c>
      <c r="E1419" s="3" t="str">
        <f t="shared" si="2"/>
        <v>mage</v>
      </c>
    </row>
    <row r="1420" ht="15.75" customHeight="1">
      <c r="A1420" s="1" t="s">
        <v>3592</v>
      </c>
      <c r="B1420" s="1" t="s">
        <v>3593</v>
      </c>
      <c r="C1420" s="2" t="s">
        <v>3594</v>
      </c>
      <c r="D1420" s="2" t="str">
        <f t="shared" si="33"/>
        <v>pháp sư màu da sẫm</v>
      </c>
      <c r="E1420" s="3" t="str">
        <f t="shared" si="2"/>
        <v>mage dark skin tone</v>
      </c>
    </row>
    <row r="1421" ht="15.75" customHeight="1">
      <c r="A1421" s="1" t="s">
        <v>3595</v>
      </c>
      <c r="B1421" s="1" t="s">
        <v>3596</v>
      </c>
      <c r="C1421" s="2" t="s">
        <v>3597</v>
      </c>
      <c r="D1421" s="2" t="str">
        <f t="shared" si="33"/>
        <v>pháp sư màu da sáng</v>
      </c>
      <c r="E1421" s="3" t="str">
        <f t="shared" si="2"/>
        <v>mage light skin tone</v>
      </c>
    </row>
    <row r="1422" ht="15.75" customHeight="1">
      <c r="A1422" s="1" t="s">
        <v>3598</v>
      </c>
      <c r="B1422" s="1" t="s">
        <v>3599</v>
      </c>
      <c r="C1422" s="2" t="s">
        <v>3600</v>
      </c>
      <c r="D1422" s="2" t="str">
        <f t="shared" si="33"/>
        <v>pháp sư màu da sẫm vừa</v>
      </c>
      <c r="E1422" s="3" t="str">
        <f t="shared" si="2"/>
        <v>mage medium-dark skin tone</v>
      </c>
    </row>
    <row r="1423" ht="15.75" customHeight="1">
      <c r="A1423" s="1" t="s">
        <v>3601</v>
      </c>
      <c r="B1423" s="1" t="s">
        <v>3602</v>
      </c>
      <c r="C1423" s="2" t="s">
        <v>3603</v>
      </c>
      <c r="D1423" s="2" t="str">
        <f t="shared" si="33"/>
        <v>pháp sư màu da sáng vừa</v>
      </c>
      <c r="E1423" s="3" t="str">
        <f t="shared" si="2"/>
        <v>mage medium-light skin tone</v>
      </c>
    </row>
    <row r="1424" ht="15.75" customHeight="1">
      <c r="A1424" s="1" t="s">
        <v>3604</v>
      </c>
      <c r="B1424" s="1" t="s">
        <v>3605</v>
      </c>
      <c r="C1424" s="2" t="s">
        <v>3606</v>
      </c>
      <c r="D1424" s="2" t="str">
        <f t="shared" si="33"/>
        <v>pháp sư màu da thường</v>
      </c>
      <c r="E1424" s="3" t="str">
        <f t="shared" si="2"/>
        <v>mage medium skin tone</v>
      </c>
    </row>
    <row r="1425" ht="15.75" customHeight="1">
      <c r="A1425" s="1" t="s">
        <v>3607</v>
      </c>
      <c r="B1425" s="1" t="s">
        <v>3608</v>
      </c>
      <c r="C1425" s="2" t="str">
        <f>IFERROR(__xludf.DUMMYFUNCTION("GOOGLETRANSLATE(E1425, ""en"",""vi"")"),"cây đũa thần")</f>
        <v>cây đũa thần</v>
      </c>
      <c r="D1425" s="2" t="str">
        <f t="shared" si="33"/>
        <v>cây đũa thần</v>
      </c>
      <c r="E1425" s="3" t="str">
        <f t="shared" si="2"/>
        <v>magic wand</v>
      </c>
    </row>
    <row r="1426" ht="15.75" customHeight="1">
      <c r="A1426" s="1" t="s">
        <v>3609</v>
      </c>
      <c r="B1426" s="1" t="s">
        <v>3610</v>
      </c>
      <c r="C1426" s="2" t="str">
        <f>IFERROR(__xludf.DUMMYFUNCTION("GOOGLETRANSLATE(E1426, ""en"",""vi"")"),"nam châm")</f>
        <v>nam châm</v>
      </c>
      <c r="D1426" s="2" t="str">
        <f t="shared" si="33"/>
        <v>nam châm</v>
      </c>
      <c r="E1426" s="3" t="str">
        <f t="shared" si="2"/>
        <v>magnet</v>
      </c>
    </row>
    <row r="1427" ht="15.75" customHeight="1">
      <c r="A1427" s="1" t="s">
        <v>3611</v>
      </c>
      <c r="B1427" s="1" t="s">
        <v>3612</v>
      </c>
      <c r="C1427" s="2" t="str">
        <f>IFERROR(__xludf.DUMMYFUNCTION("GOOGLETRANSLATE(E1427, ""en"",""vi"")"),"kính lúp nghiêng sang trái")</f>
        <v>kính lúp nghiêng sang trái</v>
      </c>
      <c r="D1427" s="2" t="str">
        <f t="shared" si="33"/>
        <v>kính lúp nghiêng sang trái</v>
      </c>
      <c r="E1427" s="3" t="str">
        <f t="shared" si="2"/>
        <v>magnifying glass tilted left</v>
      </c>
    </row>
    <row r="1428" ht="15.75" customHeight="1">
      <c r="A1428" s="1" t="s">
        <v>3613</v>
      </c>
      <c r="B1428" s="1" t="s">
        <v>3614</v>
      </c>
      <c r="C1428" s="2" t="str">
        <f>IFERROR(__xludf.DUMMYFUNCTION("GOOGLETRANSLATE(E1428, ""en"",""vi"")"),"kính lúp nghiêng sang phải")</f>
        <v>kính lúp nghiêng sang phải</v>
      </c>
      <c r="D1428" s="2" t="str">
        <f t="shared" si="33"/>
        <v>kính lúp nghiêng sang phải</v>
      </c>
      <c r="E1428" s="3" t="str">
        <f t="shared" si="2"/>
        <v>magnifying glass tilted right</v>
      </c>
    </row>
    <row r="1429" ht="15.75" customHeight="1">
      <c r="A1429" s="1" t="s">
        <v>3615</v>
      </c>
      <c r="B1429" s="1" t="s">
        <v>3616</v>
      </c>
      <c r="C1429" s="2" t="s">
        <v>3617</v>
      </c>
      <c r="D1429" s="2" t="str">
        <f t="shared" si="33"/>
        <v>mạt chược rồng đỏ</v>
      </c>
      <c r="E1429" s="3" t="str">
        <f t="shared" si="2"/>
        <v>mahjong red dragon</v>
      </c>
    </row>
    <row r="1430" ht="15.75" customHeight="1">
      <c r="A1430" s="1" t="s">
        <v>3618</v>
      </c>
      <c r="B1430" s="1" t="s">
        <v>3619</v>
      </c>
      <c r="C1430" s="2" t="s">
        <v>3620</v>
      </c>
      <c r="D1430" s="2" t="str">
        <f t="shared" si="33"/>
        <v>dấu nam</v>
      </c>
      <c r="E1430" s="3" t="str">
        <f t="shared" si="2"/>
        <v>male sign</v>
      </c>
    </row>
    <row r="1431" ht="15.75" customHeight="1">
      <c r="A1431" s="1" t="s">
        <v>3621</v>
      </c>
      <c r="B1431" s="1" t="s">
        <v>3622</v>
      </c>
      <c r="C1431" s="2" t="s">
        <v>3623</v>
      </c>
      <c r="D1431" s="2" t="str">
        <f t="shared" si="33"/>
        <v>voi ma mút</v>
      </c>
      <c r="E1431" s="3" t="str">
        <f t="shared" si="2"/>
        <v>mammoth</v>
      </c>
    </row>
    <row r="1432" ht="15.75" customHeight="1">
      <c r="A1432" s="1" t="s">
        <v>3624</v>
      </c>
      <c r="B1432" s="1" t="s">
        <v>3625</v>
      </c>
      <c r="C1432" s="2" t="str">
        <f>IFERROR(__xludf.DUMMYFUNCTION("GOOGLETRANSLATE(E1432, ""en"",""vi"")"),"người đàn ông")</f>
        <v>người đàn ông</v>
      </c>
      <c r="D1432" s="2" t="str">
        <f t="shared" si="33"/>
        <v>người đàn ông</v>
      </c>
      <c r="E1432" s="3" t="str">
        <f t="shared" si="2"/>
        <v>man</v>
      </c>
    </row>
    <row r="1433" ht="15.75" customHeight="1">
      <c r="A1433" s="1" t="s">
        <v>3626</v>
      </c>
      <c r="B1433" s="1" t="s">
        <v>3627</v>
      </c>
      <c r="C1433" s="2" t="s">
        <v>3628</v>
      </c>
      <c r="D1433" s="2" t="str">
        <f t="shared" si="33"/>
        <v>nghệ sĩ nam</v>
      </c>
      <c r="E1433" s="3" t="str">
        <f t="shared" si="2"/>
        <v>man artist</v>
      </c>
    </row>
    <row r="1434" ht="15.75" customHeight="1">
      <c r="A1434" s="1" t="s">
        <v>3629</v>
      </c>
      <c r="B1434" s="1" t="s">
        <v>3630</v>
      </c>
      <c r="C1434" s="2" t="s">
        <v>3631</v>
      </c>
      <c r="D1434" s="2" t="str">
        <f t="shared" si="33"/>
        <v>nghệ sĩ nam màu da sẫm</v>
      </c>
      <c r="E1434" s="3" t="str">
        <f t="shared" si="2"/>
        <v>man artist dark skin tone</v>
      </c>
    </row>
    <row r="1435" ht="15.75" customHeight="1">
      <c r="A1435" s="1" t="s">
        <v>3632</v>
      </c>
      <c r="B1435" s="1" t="s">
        <v>3633</v>
      </c>
      <c r="C1435" s="2" t="s">
        <v>3634</v>
      </c>
      <c r="D1435" s="2" t="str">
        <f t="shared" si="33"/>
        <v>nghệ sĩ nam màu da sáng</v>
      </c>
      <c r="E1435" s="3" t="str">
        <f t="shared" si="2"/>
        <v>man artist light skin tone</v>
      </c>
    </row>
    <row r="1436" ht="15.75" customHeight="1">
      <c r="A1436" s="1" t="s">
        <v>3635</v>
      </c>
      <c r="B1436" s="1" t="s">
        <v>3636</v>
      </c>
      <c r="C1436" s="2" t="s">
        <v>3637</v>
      </c>
      <c r="D1436" s="2" t="str">
        <f t="shared" si="33"/>
        <v>nghệ sĩ nam màu da sẫm vừa</v>
      </c>
      <c r="E1436" s="3" t="str">
        <f t="shared" si="2"/>
        <v>man artist medium-dark skin tone</v>
      </c>
    </row>
    <row r="1437" ht="15.75" customHeight="1">
      <c r="A1437" s="1" t="s">
        <v>3638</v>
      </c>
      <c r="B1437" s="1" t="s">
        <v>3639</v>
      </c>
      <c r="C1437" s="2" t="s">
        <v>3640</v>
      </c>
      <c r="D1437" s="2" t="str">
        <f t="shared" si="33"/>
        <v>nghệ sĩ nam màu da sáng vừa</v>
      </c>
      <c r="E1437" s="3" t="str">
        <f t="shared" si="2"/>
        <v>man artist medium-light skin tone</v>
      </c>
    </row>
    <row r="1438" ht="15.75" customHeight="1">
      <c r="A1438" s="1" t="s">
        <v>3641</v>
      </c>
      <c r="B1438" s="1" t="s">
        <v>3642</v>
      </c>
      <c r="C1438" s="2" t="s">
        <v>3643</v>
      </c>
      <c r="D1438" s="2" t="str">
        <f t="shared" si="33"/>
        <v>nghệ sĩ nam màu da thường</v>
      </c>
      <c r="E1438" s="3" t="str">
        <f t="shared" si="2"/>
        <v>man artist medium skin tone</v>
      </c>
    </row>
    <row r="1439" ht="15.75" customHeight="1">
      <c r="A1439" s="1" t="s">
        <v>3644</v>
      </c>
      <c r="B1439" s="1" t="s">
        <v>3645</v>
      </c>
      <c r="C1439" s="2" t="s">
        <v>3646</v>
      </c>
      <c r="D1439" s="2" t="str">
        <f t="shared" si="33"/>
        <v>phi hành gia nam</v>
      </c>
      <c r="E1439" s="3" t="str">
        <f t="shared" si="2"/>
        <v>man astronaut</v>
      </c>
    </row>
    <row r="1440" ht="15.75" customHeight="1">
      <c r="A1440" s="1" t="s">
        <v>3647</v>
      </c>
      <c r="B1440" s="1" t="s">
        <v>3648</v>
      </c>
      <c r="C1440" s="2" t="s">
        <v>3649</v>
      </c>
      <c r="D1440" s="2" t="str">
        <f t="shared" si="33"/>
        <v>phi hành gia nam màu da sẫm</v>
      </c>
      <c r="E1440" s="3" t="str">
        <f t="shared" si="2"/>
        <v>man astronaut dark skin tone</v>
      </c>
    </row>
    <row r="1441" ht="15.75" customHeight="1">
      <c r="A1441" s="1" t="s">
        <v>3650</v>
      </c>
      <c r="B1441" s="1" t="s">
        <v>3651</v>
      </c>
      <c r="C1441" s="2" t="s">
        <v>3652</v>
      </c>
      <c r="D1441" s="2" t="str">
        <f t="shared" si="33"/>
        <v>phi hành gia nam màu da sáng</v>
      </c>
      <c r="E1441" s="3" t="str">
        <f t="shared" si="2"/>
        <v>man astronaut light skin tone</v>
      </c>
    </row>
    <row r="1442" ht="15.75" customHeight="1">
      <c r="A1442" s="1" t="s">
        <v>3653</v>
      </c>
      <c r="B1442" s="1" t="s">
        <v>3654</v>
      </c>
      <c r="C1442" s="2" t="s">
        <v>3655</v>
      </c>
      <c r="D1442" s="2" t="str">
        <f t="shared" si="33"/>
        <v>phi hành gia nam màu da sẫm vừa</v>
      </c>
      <c r="E1442" s="3" t="str">
        <f t="shared" si="2"/>
        <v>man astronaut medium-dark skin tone</v>
      </c>
    </row>
    <row r="1443" ht="15.75" customHeight="1">
      <c r="A1443" s="1" t="s">
        <v>3656</v>
      </c>
      <c r="B1443" s="1" t="s">
        <v>3657</v>
      </c>
      <c r="C1443" s="2" t="s">
        <v>3658</v>
      </c>
      <c r="D1443" s="2" t="str">
        <f t="shared" si="33"/>
        <v>phi hành gia nam màu da sáng vừa</v>
      </c>
      <c r="E1443" s="3" t="str">
        <f t="shared" si="2"/>
        <v>man astronaut medium-light skin tone</v>
      </c>
    </row>
    <row r="1444" ht="15.75" customHeight="1">
      <c r="A1444" s="1" t="s">
        <v>3659</v>
      </c>
      <c r="B1444" s="1" t="s">
        <v>3660</v>
      </c>
      <c r="C1444" s="2" t="s">
        <v>3661</v>
      </c>
      <c r="D1444" s="2" t="str">
        <f t="shared" si="33"/>
        <v>phi hành gia nam màu da thường</v>
      </c>
      <c r="E1444" s="3" t="str">
        <f t="shared" si="2"/>
        <v>man astronaut medium skin tone</v>
      </c>
    </row>
    <row r="1445" ht="15.75" customHeight="1">
      <c r="A1445" s="1" t="s">
        <v>3662</v>
      </c>
      <c r="B1445" s="1" t="s">
        <v>3663</v>
      </c>
      <c r="C1445" s="2" t="str">
        <f>IFERROR(__xludf.DUMMYFUNCTION("GOOGLETRANSLATE(E1445, ""en"",""vi"")"),"người đàn ông hói")</f>
        <v>người đàn ông hói</v>
      </c>
      <c r="D1445" s="2" t="str">
        <f t="shared" si="33"/>
        <v>người đàn ông hói</v>
      </c>
      <c r="E1445" s="3" t="str">
        <f t="shared" si="2"/>
        <v>man bald</v>
      </c>
    </row>
    <row r="1446" ht="15.75" customHeight="1">
      <c r="A1446" s="1" t="s">
        <v>3664</v>
      </c>
      <c r="B1446" s="1" t="s">
        <v>3665</v>
      </c>
      <c r="C1446" s="2" t="s">
        <v>3666</v>
      </c>
      <c r="D1446" s="2" t="str">
        <f t="shared" si="33"/>
        <v>người đàn ông có râu</v>
      </c>
      <c r="E1446" s="3" t="str">
        <f t="shared" si="2"/>
        <v>man beard</v>
      </c>
    </row>
    <row r="1447" ht="15.75" customHeight="1">
      <c r="A1447" s="1" t="s">
        <v>3667</v>
      </c>
      <c r="B1447" s="1" t="s">
        <v>3668</v>
      </c>
      <c r="C1447" s="2" t="str">
        <f>IFERROR(__xludf.DUMMYFUNCTION("GOOGLETRANSLATE(E1447, ""en"",""vi"")"),"người đàn ông đi xe đạp")</f>
        <v>người đàn ông đi xe đạp</v>
      </c>
      <c r="D1447" s="2" t="str">
        <f t="shared" si="33"/>
        <v>người đàn ông đi xe đạp</v>
      </c>
      <c r="E1447" s="3" t="str">
        <f t="shared" si="2"/>
        <v>man biking</v>
      </c>
    </row>
    <row r="1448" ht="15.75" customHeight="1">
      <c r="A1448" s="1" t="s">
        <v>3669</v>
      </c>
      <c r="B1448" s="1" t="s">
        <v>3670</v>
      </c>
      <c r="C1448" s="2" t="s">
        <v>3671</v>
      </c>
      <c r="D1448" s="2" t="str">
        <f t="shared" si="33"/>
        <v>người đàn ông đi xe đạp màu da sẫm</v>
      </c>
      <c r="E1448" s="3" t="str">
        <f t="shared" si="2"/>
        <v>man biking dark skin tone</v>
      </c>
    </row>
    <row r="1449" ht="15.75" customHeight="1">
      <c r="A1449" s="1" t="s">
        <v>3672</v>
      </c>
      <c r="B1449" s="1" t="s">
        <v>3673</v>
      </c>
      <c r="C1449" s="2" t="s">
        <v>3674</v>
      </c>
      <c r="D1449" s="2" t="str">
        <f t="shared" si="33"/>
        <v>người đàn ông đi xe đạp màu da sáng</v>
      </c>
      <c r="E1449" s="3" t="str">
        <f t="shared" si="2"/>
        <v>man biking light skin tone</v>
      </c>
    </row>
    <row r="1450" ht="15.75" customHeight="1">
      <c r="A1450" s="1" t="s">
        <v>3675</v>
      </c>
      <c r="B1450" s="1" t="s">
        <v>3676</v>
      </c>
      <c r="C1450" s="2" t="s">
        <v>3677</v>
      </c>
      <c r="D1450" s="2" t="str">
        <f t="shared" si="33"/>
        <v>người đàn ông đi xe đạp màu da sẫm vừa</v>
      </c>
      <c r="E1450" s="3" t="str">
        <f t="shared" si="2"/>
        <v>man biking medium-dark skin tone</v>
      </c>
    </row>
    <row r="1451" ht="15.75" customHeight="1">
      <c r="A1451" s="1" t="s">
        <v>3678</v>
      </c>
      <c r="B1451" s="1" t="s">
        <v>3679</v>
      </c>
      <c r="C1451" s="2" t="s">
        <v>3680</v>
      </c>
      <c r="D1451" s="2" t="str">
        <f t="shared" si="33"/>
        <v>người đàn ông đi xe đạp màu da sáng vừa</v>
      </c>
      <c r="E1451" s="3" t="str">
        <f t="shared" si="2"/>
        <v>man biking medium-light skin tone</v>
      </c>
    </row>
    <row r="1452" ht="15.75" customHeight="1">
      <c r="A1452" s="1" t="s">
        <v>3681</v>
      </c>
      <c r="B1452" s="1" t="s">
        <v>3682</v>
      </c>
      <c r="C1452" s="2" t="s">
        <v>3683</v>
      </c>
      <c r="D1452" s="2" t="str">
        <f t="shared" si="33"/>
        <v>người đàn ông đi xe đạp màu da thường</v>
      </c>
      <c r="E1452" s="3" t="str">
        <f t="shared" si="2"/>
        <v>man biking medium skin tone</v>
      </c>
    </row>
    <row r="1453" ht="15.75" customHeight="1">
      <c r="A1453" s="1" t="s">
        <v>3684</v>
      </c>
      <c r="B1453" s="1" t="s">
        <v>3685</v>
      </c>
      <c r="C1453" s="2" t="str">
        <f>IFERROR(__xludf.DUMMYFUNCTION("GOOGLETRANSLATE(E1453, ""en"",""vi"")"),"người đàn ông tóc vàng")</f>
        <v>người đàn ông tóc vàng</v>
      </c>
      <c r="D1453" s="2" t="str">
        <f t="shared" si="33"/>
        <v>người đàn ông tóc vàng</v>
      </c>
      <c r="E1453" s="3" t="str">
        <f t="shared" si="2"/>
        <v>man blond hair</v>
      </c>
    </row>
    <row r="1454" ht="15.75" customHeight="1">
      <c r="A1454" s="1" t="s">
        <v>3686</v>
      </c>
      <c r="B1454" s="1" t="s">
        <v>3687</v>
      </c>
      <c r="C1454" s="2" t="s">
        <v>3688</v>
      </c>
      <c r="D1454" s="2" t="str">
        <f t="shared" si="33"/>
        <v>người đàn ông và bóng nảy</v>
      </c>
      <c r="E1454" s="3" t="str">
        <f t="shared" si="2"/>
        <v>man bouncing ball</v>
      </c>
    </row>
    <row r="1455" ht="15.75" customHeight="1">
      <c r="A1455" s="1" t="s">
        <v>3689</v>
      </c>
      <c r="B1455" s="1" t="s">
        <v>3690</v>
      </c>
      <c r="C1455" s="2" t="s">
        <v>3691</v>
      </c>
      <c r="D1455" s="2" t="str">
        <f t="shared" si="33"/>
        <v>người đàn ông và bóng nảy màu da sẫm</v>
      </c>
      <c r="E1455" s="3" t="str">
        <f t="shared" si="2"/>
        <v>man bouncing ball dark skin tone</v>
      </c>
    </row>
    <row r="1456" ht="15.75" customHeight="1">
      <c r="A1456" s="1" t="s">
        <v>3692</v>
      </c>
      <c r="B1456" s="1" t="s">
        <v>3693</v>
      </c>
      <c r="C1456" s="2" t="s">
        <v>3694</v>
      </c>
      <c r="D1456" s="2" t="str">
        <f t="shared" si="33"/>
        <v>người đàn ông và bóng nảy màu da sáng</v>
      </c>
      <c r="E1456" s="3" t="str">
        <f t="shared" si="2"/>
        <v>man bouncing ball light skin tone</v>
      </c>
    </row>
    <row r="1457" ht="15.75" customHeight="1">
      <c r="A1457" s="1" t="s">
        <v>3695</v>
      </c>
      <c r="B1457" s="1" t="s">
        <v>3696</v>
      </c>
      <c r="C1457" s="2" t="s">
        <v>3697</v>
      </c>
      <c r="D1457" s="2" t="str">
        <f t="shared" si="33"/>
        <v>người đàn ông và bóng nảy màu da sẫm vừa</v>
      </c>
      <c r="E1457" s="3" t="str">
        <f t="shared" si="2"/>
        <v>man bouncing ball medium-dark skin tone</v>
      </c>
    </row>
    <row r="1458" ht="15.75" customHeight="1">
      <c r="A1458" s="1" t="s">
        <v>3698</v>
      </c>
      <c r="B1458" s="1" t="s">
        <v>3699</v>
      </c>
      <c r="C1458" s="2" t="s">
        <v>3700</v>
      </c>
      <c r="D1458" s="2" t="str">
        <f t="shared" si="33"/>
        <v>người đàn ông và bóng nảy màu da sáng vừa</v>
      </c>
      <c r="E1458" s="3" t="str">
        <f t="shared" si="2"/>
        <v>man bouncing ball medium-light skin tone</v>
      </c>
    </row>
    <row r="1459" ht="15.75" customHeight="1">
      <c r="A1459" s="1" t="s">
        <v>3701</v>
      </c>
      <c r="B1459" s="1" t="s">
        <v>3702</v>
      </c>
      <c r="C1459" s="2" t="s">
        <v>3703</v>
      </c>
      <c r="D1459" s="2" t="str">
        <f t="shared" si="33"/>
        <v>người đàn ông và bóng nảy màu da thường</v>
      </c>
      <c r="E1459" s="3" t="str">
        <f t="shared" si="2"/>
        <v>man bouncing ball medium skin tone</v>
      </c>
    </row>
    <row r="1460" ht="15.75" customHeight="1">
      <c r="A1460" s="1" t="s">
        <v>3704</v>
      </c>
      <c r="B1460" s="1" t="s">
        <v>3705</v>
      </c>
      <c r="C1460" s="5" t="s">
        <v>3706</v>
      </c>
      <c r="D1460" s="2" t="str">
        <f t="shared" si="33"/>
        <v>người đàn ông cúi đầu</v>
      </c>
      <c r="E1460" s="3" t="str">
        <f t="shared" si="2"/>
        <v>man bowing</v>
      </c>
    </row>
    <row r="1461" ht="15.75" customHeight="1">
      <c r="A1461" s="1" t="s">
        <v>3707</v>
      </c>
      <c r="B1461" s="1" t="s">
        <v>3708</v>
      </c>
      <c r="C1461" s="5" t="s">
        <v>3709</v>
      </c>
      <c r="D1461" s="2" t="str">
        <f t="shared" si="33"/>
        <v>người đàn ông màu da sẫm cúi đầu</v>
      </c>
      <c r="E1461" s="3" t="str">
        <f t="shared" si="2"/>
        <v>man bowing dark skin tone</v>
      </c>
    </row>
    <row r="1462" ht="15.75" customHeight="1">
      <c r="A1462" s="1" t="s">
        <v>3710</v>
      </c>
      <c r="B1462" s="1" t="s">
        <v>3711</v>
      </c>
      <c r="C1462" s="5" t="s">
        <v>3712</v>
      </c>
      <c r="D1462" s="2" t="str">
        <f t="shared" si="33"/>
        <v>người đàn ông màu da sáng cúi đầu</v>
      </c>
      <c r="E1462" s="3" t="str">
        <f t="shared" si="2"/>
        <v>man bowing light skin tone</v>
      </c>
    </row>
    <row r="1463" ht="15.75" customHeight="1">
      <c r="A1463" s="1" t="s">
        <v>3713</v>
      </c>
      <c r="B1463" s="1" t="s">
        <v>3714</v>
      </c>
      <c r="C1463" s="5" t="s">
        <v>3715</v>
      </c>
      <c r="D1463" s="2" t="str">
        <f t="shared" si="33"/>
        <v>người đàn ông màu da sẫm vừa cúi đầu</v>
      </c>
      <c r="E1463" s="3" t="str">
        <f t="shared" si="2"/>
        <v>man bowing medium-dark skin tone</v>
      </c>
    </row>
    <row r="1464" ht="15.75" customHeight="1">
      <c r="A1464" s="1" t="s">
        <v>3716</v>
      </c>
      <c r="B1464" s="1" t="s">
        <v>3717</v>
      </c>
      <c r="C1464" s="5" t="s">
        <v>3718</v>
      </c>
      <c r="D1464" s="2" t="str">
        <f t="shared" si="33"/>
        <v>người đàn ông màu da sáng vừa cúi đầu</v>
      </c>
      <c r="E1464" s="3" t="str">
        <f t="shared" si="2"/>
        <v>man bowing medium-light skin tone</v>
      </c>
    </row>
    <row r="1465" ht="15.75" customHeight="1">
      <c r="A1465" s="1" t="s">
        <v>3719</v>
      </c>
      <c r="B1465" s="1" t="s">
        <v>3720</v>
      </c>
      <c r="C1465" s="5" t="s">
        <v>3721</v>
      </c>
      <c r="D1465" s="2" t="str">
        <f t="shared" si="33"/>
        <v>người đàn ông màu da thường cúi đầu</v>
      </c>
      <c r="E1465" s="3" t="str">
        <f t="shared" si="2"/>
        <v>man bowing medium skin tone</v>
      </c>
    </row>
    <row r="1466" ht="15.75" customHeight="1">
      <c r="A1466" s="1" t="s">
        <v>3722</v>
      </c>
      <c r="B1466" s="1" t="s">
        <v>3723</v>
      </c>
      <c r="C1466" s="5" t="s">
        <v>3724</v>
      </c>
      <c r="D1466" s="2" t="str">
        <f t="shared" si="33"/>
        <v>người đàn ông nhào lộn</v>
      </c>
      <c r="E1466" s="3" t="str">
        <f t="shared" si="2"/>
        <v>man cartwheeling</v>
      </c>
    </row>
    <row r="1467" ht="15.75" customHeight="1">
      <c r="A1467" s="1" t="s">
        <v>3725</v>
      </c>
      <c r="B1467" s="1" t="s">
        <v>3726</v>
      </c>
      <c r="C1467" s="5" t="s">
        <v>3727</v>
      </c>
      <c r="D1467" s="2" t="str">
        <f t="shared" si="33"/>
        <v>người đàn ông màu da sẫm nhào lộn</v>
      </c>
      <c r="E1467" s="3" t="str">
        <f t="shared" si="2"/>
        <v>man cartwheeling dark skin tone</v>
      </c>
    </row>
    <row r="1468" ht="15.75" customHeight="1">
      <c r="A1468" s="1" t="s">
        <v>3728</v>
      </c>
      <c r="B1468" s="1" t="s">
        <v>3729</v>
      </c>
      <c r="C1468" s="5" t="s">
        <v>3730</v>
      </c>
      <c r="D1468" s="2" t="str">
        <f t="shared" si="33"/>
        <v>người đàn ông màu da sáng nhào lộn</v>
      </c>
      <c r="E1468" s="3" t="str">
        <f t="shared" si="2"/>
        <v>man cartwheeling light skin tone</v>
      </c>
    </row>
    <row r="1469" ht="15.75" customHeight="1">
      <c r="A1469" s="1" t="s">
        <v>3731</v>
      </c>
      <c r="B1469" s="1" t="s">
        <v>3732</v>
      </c>
      <c r="C1469" s="5" t="s">
        <v>3733</v>
      </c>
      <c r="D1469" s="2" t="str">
        <f t="shared" si="33"/>
        <v>người đàn ông màu da sẫm vừa nhào lộn</v>
      </c>
      <c r="E1469" s="3" t="str">
        <f t="shared" si="2"/>
        <v>man cartwheeling medium-dark skin tone</v>
      </c>
    </row>
    <row r="1470" ht="15.75" customHeight="1">
      <c r="A1470" s="1" t="s">
        <v>3734</v>
      </c>
      <c r="B1470" s="1" t="s">
        <v>3735</v>
      </c>
      <c r="C1470" s="5" t="s">
        <v>3736</v>
      </c>
      <c r="D1470" s="2" t="str">
        <f t="shared" si="33"/>
        <v>người đàn ông màu da sáng vừa nhào lộn</v>
      </c>
      <c r="E1470" s="3" t="str">
        <f t="shared" si="2"/>
        <v>man cartwheeling medium-light skin tone</v>
      </c>
    </row>
    <row r="1471" ht="15.75" customHeight="1">
      <c r="A1471" s="1" t="s">
        <v>3737</v>
      </c>
      <c r="B1471" s="1" t="s">
        <v>3738</v>
      </c>
      <c r="C1471" s="5" t="s">
        <v>3739</v>
      </c>
      <c r="D1471" s="2" t="str">
        <f t="shared" si="33"/>
        <v>người đàn ông màu da thường nhào lộn</v>
      </c>
      <c r="E1471" s="3" t="str">
        <f t="shared" si="2"/>
        <v>man cartwheeling medium skin tone</v>
      </c>
    </row>
    <row r="1472" ht="15.75" customHeight="1">
      <c r="A1472" s="1" t="s">
        <v>3740</v>
      </c>
      <c r="B1472" s="1" t="s">
        <v>3741</v>
      </c>
      <c r="C1472" s="5" t="s">
        <v>3742</v>
      </c>
      <c r="D1472" s="2" t="str">
        <f t="shared" si="33"/>
        <v>người đàn ông leo núi</v>
      </c>
      <c r="E1472" s="3" t="str">
        <f t="shared" si="2"/>
        <v>man climbing</v>
      </c>
    </row>
    <row r="1473" ht="15.75" customHeight="1">
      <c r="A1473" s="1" t="s">
        <v>3743</v>
      </c>
      <c r="B1473" s="1" t="s">
        <v>3744</v>
      </c>
      <c r="C1473" s="5" t="s">
        <v>3745</v>
      </c>
      <c r="D1473" s="2" t="str">
        <f t="shared" si="33"/>
        <v>người đàn ông màu da sẫm leo núi</v>
      </c>
      <c r="E1473" s="3" t="str">
        <f t="shared" si="2"/>
        <v>man climbing dark skin tone</v>
      </c>
    </row>
    <row r="1474" ht="15.75" customHeight="1">
      <c r="A1474" s="1" t="s">
        <v>3746</v>
      </c>
      <c r="B1474" s="1" t="s">
        <v>3747</v>
      </c>
      <c r="C1474" s="5" t="s">
        <v>3748</v>
      </c>
      <c r="D1474" s="2" t="str">
        <f t="shared" si="33"/>
        <v>người đàn ông màu da sáng leo núi</v>
      </c>
      <c r="E1474" s="3" t="str">
        <f t="shared" si="2"/>
        <v>man climbing light skin tone</v>
      </c>
    </row>
    <row r="1475" ht="15.75" customHeight="1">
      <c r="A1475" s="1" t="s">
        <v>3749</v>
      </c>
      <c r="B1475" s="1" t="s">
        <v>3750</v>
      </c>
      <c r="C1475" s="5" t="s">
        <v>3751</v>
      </c>
      <c r="D1475" s="2" t="str">
        <f t="shared" si="33"/>
        <v>người đàn ông màu da sẫm vừa leo núi</v>
      </c>
      <c r="E1475" s="3" t="str">
        <f t="shared" si="2"/>
        <v>man climbing medium-dark skin tone</v>
      </c>
    </row>
    <row r="1476" ht="15.75" customHeight="1">
      <c r="A1476" s="1" t="s">
        <v>3752</v>
      </c>
      <c r="B1476" s="1" t="s">
        <v>3753</v>
      </c>
      <c r="C1476" s="5" t="s">
        <v>3754</v>
      </c>
      <c r="D1476" s="2" t="str">
        <f t="shared" si="33"/>
        <v>người đàn ông màu da sáng vừa leo núi</v>
      </c>
      <c r="E1476" s="3" t="str">
        <f t="shared" si="2"/>
        <v>man climbing medium-light skin tone</v>
      </c>
    </row>
    <row r="1477" ht="15.75" customHeight="1">
      <c r="A1477" s="1" t="s">
        <v>3755</v>
      </c>
      <c r="B1477" s="1" t="s">
        <v>3756</v>
      </c>
      <c r="C1477" s="5" t="s">
        <v>3757</v>
      </c>
      <c r="D1477" s="2" t="str">
        <f t="shared" si="33"/>
        <v>người đàn ông màu da thường leo núi</v>
      </c>
      <c r="E1477" s="3" t="str">
        <f t="shared" si="2"/>
        <v>man climbing medium skin tone</v>
      </c>
    </row>
    <row r="1478" ht="15.75" customHeight="1">
      <c r="A1478" s="1" t="s">
        <v>3758</v>
      </c>
      <c r="B1478" s="1" t="s">
        <v>3759</v>
      </c>
      <c r="C1478" s="2" t="s">
        <v>3760</v>
      </c>
      <c r="D1478" s="2" t="str">
        <f t="shared" si="33"/>
        <v>công nhân xây dựng nam</v>
      </c>
      <c r="E1478" s="3" t="str">
        <f t="shared" si="2"/>
        <v>man construction worker</v>
      </c>
    </row>
    <row r="1479" ht="15.75" customHeight="1">
      <c r="A1479" s="1" t="s">
        <v>3761</v>
      </c>
      <c r="B1479" s="1" t="s">
        <v>3762</v>
      </c>
      <c r="C1479" s="2" t="s">
        <v>3763</v>
      </c>
      <c r="D1479" s="2" t="str">
        <f t="shared" si="33"/>
        <v>công nhân xây dựng nam màu da sẫm</v>
      </c>
      <c r="E1479" s="3" t="str">
        <f t="shared" si="2"/>
        <v>man construction worker dark skin tone</v>
      </c>
    </row>
    <row r="1480" ht="15.75" customHeight="1">
      <c r="A1480" s="1" t="s">
        <v>3764</v>
      </c>
      <c r="B1480" s="1" t="s">
        <v>3765</v>
      </c>
      <c r="C1480" s="2" t="s">
        <v>3766</v>
      </c>
      <c r="D1480" s="2" t="str">
        <f t="shared" si="33"/>
        <v>công nhân xây dựng nam màu da sáng</v>
      </c>
      <c r="E1480" s="3" t="str">
        <f t="shared" si="2"/>
        <v>man construction worker light skin tone</v>
      </c>
    </row>
    <row r="1481" ht="15.75" customHeight="1">
      <c r="A1481" s="1" t="s">
        <v>3767</v>
      </c>
      <c r="B1481" s="1" t="s">
        <v>3768</v>
      </c>
      <c r="C1481" s="2" t="s">
        <v>3769</v>
      </c>
      <c r="D1481" s="2" t="str">
        <f t="shared" si="33"/>
        <v>công nhân xây dựng nam màu da sẫm vừa</v>
      </c>
      <c r="E1481" s="3" t="str">
        <f t="shared" si="2"/>
        <v>man construction worker medium-dark skin tone</v>
      </c>
    </row>
    <row r="1482" ht="15.75" customHeight="1">
      <c r="A1482" s="1" t="s">
        <v>3770</v>
      </c>
      <c r="B1482" s="1" t="s">
        <v>3771</v>
      </c>
      <c r="C1482" s="2" t="s">
        <v>3772</v>
      </c>
      <c r="D1482" s="2" t="str">
        <f t="shared" si="33"/>
        <v>công nhân xây dựng nam màu da sáng vừa</v>
      </c>
      <c r="E1482" s="3" t="str">
        <f t="shared" si="2"/>
        <v>man construction worker medium-light skin tone</v>
      </c>
    </row>
    <row r="1483" ht="15.75" customHeight="1">
      <c r="A1483" s="1" t="s">
        <v>3773</v>
      </c>
      <c r="B1483" s="1" t="s">
        <v>3774</v>
      </c>
      <c r="C1483" s="2" t="s">
        <v>3775</v>
      </c>
      <c r="D1483" s="2" t="str">
        <f t="shared" si="33"/>
        <v>công nhân xây dựng nam màu da thường</v>
      </c>
      <c r="E1483" s="3" t="str">
        <f t="shared" si="2"/>
        <v>man construction worker medium skin tone</v>
      </c>
    </row>
    <row r="1484" ht="15.75" customHeight="1">
      <c r="A1484" s="1" t="s">
        <v>3776</v>
      </c>
      <c r="B1484" s="1" t="s">
        <v>3777</v>
      </c>
      <c r="C1484" s="2" t="s">
        <v>3778</v>
      </c>
      <c r="D1484" s="2" t="str">
        <f t="shared" si="33"/>
        <v>đầu bếp nam</v>
      </c>
      <c r="E1484" s="3" t="str">
        <f t="shared" si="2"/>
        <v>man cook</v>
      </c>
    </row>
    <row r="1485" ht="15.75" customHeight="1">
      <c r="A1485" s="1" t="s">
        <v>3779</v>
      </c>
      <c r="B1485" s="1" t="s">
        <v>3780</v>
      </c>
      <c r="C1485" s="2" t="s">
        <v>3781</v>
      </c>
      <c r="D1485" s="2" t="str">
        <f t="shared" si="33"/>
        <v>đầu bếp nam màu da sẫm</v>
      </c>
      <c r="E1485" s="3" t="str">
        <f t="shared" si="2"/>
        <v>man cook dark skin tone</v>
      </c>
    </row>
    <row r="1486" ht="15.75" customHeight="1">
      <c r="A1486" s="1" t="s">
        <v>3782</v>
      </c>
      <c r="B1486" s="1" t="s">
        <v>3783</v>
      </c>
      <c r="C1486" s="2" t="s">
        <v>3784</v>
      </c>
      <c r="D1486" s="2" t="str">
        <f t="shared" si="33"/>
        <v>đầu bếp nam màu da sáng</v>
      </c>
      <c r="E1486" s="3" t="str">
        <f t="shared" si="2"/>
        <v>man cook light skin tone</v>
      </c>
    </row>
    <row r="1487" ht="15.75" customHeight="1">
      <c r="A1487" s="1" t="s">
        <v>3785</v>
      </c>
      <c r="B1487" s="1" t="s">
        <v>3786</v>
      </c>
      <c r="C1487" s="2" t="s">
        <v>3787</v>
      </c>
      <c r="D1487" s="2" t="str">
        <f t="shared" si="33"/>
        <v>đầu bếp nam màu da sẫm vừa</v>
      </c>
      <c r="E1487" s="3" t="str">
        <f t="shared" si="2"/>
        <v>man cook medium-dark skin tone</v>
      </c>
    </row>
    <row r="1488" ht="15.75" customHeight="1">
      <c r="A1488" s="1" t="s">
        <v>3788</v>
      </c>
      <c r="B1488" s="1" t="s">
        <v>3789</v>
      </c>
      <c r="C1488" s="2" t="s">
        <v>3790</v>
      </c>
      <c r="D1488" s="2" t="str">
        <f t="shared" si="33"/>
        <v>đầu bếp nam màu da sáng vừa</v>
      </c>
      <c r="E1488" s="3" t="str">
        <f t="shared" si="2"/>
        <v>man cook medium-light skin tone</v>
      </c>
    </row>
    <row r="1489" ht="15.75" customHeight="1">
      <c r="A1489" s="1" t="s">
        <v>3791</v>
      </c>
      <c r="B1489" s="1" t="s">
        <v>3792</v>
      </c>
      <c r="C1489" s="2" t="s">
        <v>3793</v>
      </c>
      <c r="D1489" s="2" t="str">
        <f t="shared" si="33"/>
        <v>đầu bếp nam màu da thường</v>
      </c>
      <c r="E1489" s="3" t="str">
        <f t="shared" si="2"/>
        <v>man cook medium skin tone</v>
      </c>
    </row>
    <row r="1490" ht="15.75" customHeight="1">
      <c r="A1490" s="1" t="s">
        <v>3794</v>
      </c>
      <c r="B1490" s="1" t="s">
        <v>3795</v>
      </c>
      <c r="C1490" s="2" t="s">
        <v>3796</v>
      </c>
      <c r="D1490" s="2" t="str">
        <f t="shared" si="33"/>
        <v>người đàn ông tóc xoăn</v>
      </c>
      <c r="E1490" s="3" t="str">
        <f t="shared" si="2"/>
        <v>man curly hair</v>
      </c>
    </row>
    <row r="1491" ht="15.75" customHeight="1">
      <c r="A1491" s="1" t="s">
        <v>3797</v>
      </c>
      <c r="B1491" s="1" t="s">
        <v>3798</v>
      </c>
      <c r="C1491" s="5" t="s">
        <v>3799</v>
      </c>
      <c r="D1491" s="2" t="str">
        <f t="shared" si="33"/>
        <v>người đàn ông khiêu vũ</v>
      </c>
      <c r="E1491" s="3" t="str">
        <f t="shared" si="2"/>
        <v>man dancing</v>
      </c>
    </row>
    <row r="1492" ht="15.75" customHeight="1">
      <c r="A1492" s="1" t="s">
        <v>3800</v>
      </c>
      <c r="B1492" s="1" t="s">
        <v>3801</v>
      </c>
      <c r="C1492" s="5" t="s">
        <v>3802</v>
      </c>
      <c r="D1492" s="2" t="str">
        <f t="shared" si="33"/>
        <v>người đàn ông màu da sẫm khiêu vũ</v>
      </c>
      <c r="E1492" s="3" t="str">
        <f t="shared" si="2"/>
        <v>man dancing dark skin tone</v>
      </c>
    </row>
    <row r="1493" ht="15.75" customHeight="1">
      <c r="A1493" s="1" t="s">
        <v>3803</v>
      </c>
      <c r="B1493" s="1" t="s">
        <v>3804</v>
      </c>
      <c r="C1493" s="5" t="s">
        <v>3805</v>
      </c>
      <c r="D1493" s="2" t="str">
        <f t="shared" si="33"/>
        <v>người đàn ông màu da sáng khiêu vũ</v>
      </c>
      <c r="E1493" s="3" t="str">
        <f t="shared" si="2"/>
        <v>man dancing light skin tone</v>
      </c>
    </row>
    <row r="1494" ht="15.75" customHeight="1">
      <c r="A1494" s="1" t="s">
        <v>3806</v>
      </c>
      <c r="B1494" s="1" t="s">
        <v>3807</v>
      </c>
      <c r="C1494" s="5" t="s">
        <v>3808</v>
      </c>
      <c r="D1494" s="2" t="str">
        <f t="shared" si="33"/>
        <v>người đàn ông màu da sẫm vừa khiêu vũ</v>
      </c>
      <c r="E1494" s="3" t="str">
        <f t="shared" si="2"/>
        <v>man dancing medium-dark skin tone</v>
      </c>
    </row>
    <row r="1495" ht="15.75" customHeight="1">
      <c r="A1495" s="1" t="s">
        <v>3809</v>
      </c>
      <c r="B1495" s="1" t="s">
        <v>3810</v>
      </c>
      <c r="C1495" s="5" t="s">
        <v>3811</v>
      </c>
      <c r="D1495" s="2" t="str">
        <f t="shared" si="33"/>
        <v>người đàn ông màu da sáng vừa khiêu vũ</v>
      </c>
      <c r="E1495" s="3" t="str">
        <f t="shared" si="2"/>
        <v>man dancing medium-light skin tone</v>
      </c>
    </row>
    <row r="1496" ht="15.75" customHeight="1">
      <c r="A1496" s="1" t="s">
        <v>3812</v>
      </c>
      <c r="B1496" s="1" t="s">
        <v>3813</v>
      </c>
      <c r="C1496" s="5" t="s">
        <v>3814</v>
      </c>
      <c r="D1496" s="2" t="str">
        <f t="shared" si="33"/>
        <v>người đàn ông màu da thường khiêu vũ</v>
      </c>
      <c r="E1496" s="3" t="str">
        <f t="shared" si="2"/>
        <v>man dancing medium skin tone</v>
      </c>
    </row>
    <row r="1497" ht="15.75" customHeight="1">
      <c r="A1497" s="1" t="s">
        <v>3815</v>
      </c>
      <c r="B1497" s="1" t="s">
        <v>3816</v>
      </c>
      <c r="C1497" s="2" t="s">
        <v>3817</v>
      </c>
      <c r="D1497" s="2" t="str">
        <f t="shared" si="33"/>
        <v>người đàn ông da sẫm</v>
      </c>
      <c r="E1497" s="3" t="str">
        <f t="shared" si="2"/>
        <v>man dark skin tone</v>
      </c>
    </row>
    <row r="1498" ht="15.75" customHeight="1">
      <c r="A1498" s="1" t="s">
        <v>3818</v>
      </c>
      <c r="B1498" s="1" t="s">
        <v>3819</v>
      </c>
      <c r="C1498" s="2" t="s">
        <v>3820</v>
      </c>
      <c r="D1498" s="2" t="str">
        <f t="shared" si="33"/>
        <v>người đàn ông hói da sẫm</v>
      </c>
      <c r="E1498" s="3" t="str">
        <f t="shared" si="2"/>
        <v>man dark skin tone bald</v>
      </c>
    </row>
    <row r="1499" ht="15.75" customHeight="1">
      <c r="A1499" s="1" t="s">
        <v>3821</v>
      </c>
      <c r="B1499" s="1" t="s">
        <v>3822</v>
      </c>
      <c r="C1499" s="2" t="s">
        <v>3823</v>
      </c>
      <c r="D1499" s="2" t="str">
        <f t="shared" si="33"/>
        <v>người đàn ông có râu da sẫm</v>
      </c>
      <c r="E1499" s="3" t="str">
        <f t="shared" si="2"/>
        <v>man dark skin tone beard</v>
      </c>
    </row>
    <row r="1500" ht="15.75" customHeight="1">
      <c r="A1500" s="1" t="s">
        <v>3824</v>
      </c>
      <c r="B1500" s="1" t="s">
        <v>3825</v>
      </c>
      <c r="C1500" s="2" t="s">
        <v>3826</v>
      </c>
      <c r="D1500" s="2" t="str">
        <f t="shared" si="33"/>
        <v>người đàn ông tóc vàng da sẫm</v>
      </c>
      <c r="E1500" s="3" t="str">
        <f t="shared" si="2"/>
        <v>man dark skin tone blond hair</v>
      </c>
    </row>
    <row r="1501" ht="15.75" customHeight="1">
      <c r="A1501" s="1" t="s">
        <v>3827</v>
      </c>
      <c r="B1501" s="1" t="s">
        <v>3828</v>
      </c>
      <c r="C1501" s="2" t="s">
        <v>3829</v>
      </c>
      <c r="D1501" s="2" t="str">
        <f t="shared" si="33"/>
        <v>người đàn ông tóc xoăn da sẫm</v>
      </c>
      <c r="E1501" s="3" t="str">
        <f t="shared" si="2"/>
        <v>man dark skin tone curly hair</v>
      </c>
    </row>
    <row r="1502" ht="15.75" customHeight="1">
      <c r="A1502" s="1" t="s">
        <v>3830</v>
      </c>
      <c r="B1502" s="1" t="s">
        <v>3831</v>
      </c>
      <c r="C1502" s="2" t="s">
        <v>3832</v>
      </c>
      <c r="D1502" s="2" t="str">
        <f t="shared" si="33"/>
        <v>người đàn ông tóc đỏ da sẫm</v>
      </c>
      <c r="E1502" s="3" t="str">
        <f t="shared" si="2"/>
        <v>man dark skin tone red hair</v>
      </c>
    </row>
    <row r="1503" ht="15.75" customHeight="1">
      <c r="A1503" s="1" t="s">
        <v>3833</v>
      </c>
      <c r="B1503" s="1" t="s">
        <v>3834</v>
      </c>
      <c r="C1503" s="2" t="s">
        <v>3835</v>
      </c>
      <c r="D1503" s="2" t="str">
        <f t="shared" si="33"/>
        <v>người đàn ông tóc trắng da sẫm</v>
      </c>
      <c r="E1503" s="3" t="str">
        <f t="shared" si="2"/>
        <v>man dark skin tone white hair</v>
      </c>
    </row>
    <row r="1504" ht="15.75" customHeight="1">
      <c r="A1504" s="1" t="s">
        <v>3836</v>
      </c>
      <c r="B1504" s="1" t="s">
        <v>3837</v>
      </c>
      <c r="C1504" s="2" t="s">
        <v>3838</v>
      </c>
      <c r="D1504" s="2" t="str">
        <f t="shared" si="33"/>
        <v>thám tử nam</v>
      </c>
      <c r="E1504" s="3" t="str">
        <f t="shared" si="2"/>
        <v>man detective</v>
      </c>
    </row>
    <row r="1505" ht="15.75" customHeight="1">
      <c r="A1505" s="1" t="s">
        <v>3839</v>
      </c>
      <c r="B1505" s="1" t="s">
        <v>3840</v>
      </c>
      <c r="C1505" s="2" t="s">
        <v>3841</v>
      </c>
      <c r="D1505" s="2" t="str">
        <f t="shared" si="33"/>
        <v>thám tử nam màu da sẫm</v>
      </c>
      <c r="E1505" s="3" t="str">
        <f t="shared" si="2"/>
        <v>man detective dark skin tone</v>
      </c>
    </row>
    <row r="1506" ht="15.75" customHeight="1">
      <c r="A1506" s="1" t="s">
        <v>3842</v>
      </c>
      <c r="B1506" s="1" t="s">
        <v>3843</v>
      </c>
      <c r="C1506" s="2" t="s">
        <v>3844</v>
      </c>
      <c r="D1506" s="2" t="str">
        <f t="shared" si="33"/>
        <v>thám tử nam màu da sáng</v>
      </c>
      <c r="E1506" s="3" t="str">
        <f t="shared" si="2"/>
        <v>man detective light skin tone</v>
      </c>
    </row>
    <row r="1507" ht="15.75" customHeight="1">
      <c r="A1507" s="1" t="s">
        <v>3845</v>
      </c>
      <c r="B1507" s="1" t="s">
        <v>3846</v>
      </c>
      <c r="C1507" s="2" t="s">
        <v>3847</v>
      </c>
      <c r="D1507" s="2" t="str">
        <f t="shared" si="33"/>
        <v>thám tử nam màu da sẫm vừa</v>
      </c>
      <c r="E1507" s="3" t="str">
        <f t="shared" si="2"/>
        <v>man detective medium-dark skin tone</v>
      </c>
    </row>
    <row r="1508" ht="15.75" customHeight="1">
      <c r="A1508" s="1" t="s">
        <v>3848</v>
      </c>
      <c r="B1508" s="1" t="s">
        <v>3849</v>
      </c>
      <c r="C1508" s="2" t="s">
        <v>3850</v>
      </c>
      <c r="D1508" s="2" t="str">
        <f t="shared" si="33"/>
        <v>thám tử nam màu da sáng vừa</v>
      </c>
      <c r="E1508" s="3" t="str">
        <f t="shared" si="2"/>
        <v>man detective medium-light skin tone</v>
      </c>
    </row>
    <row r="1509" ht="15.75" customHeight="1">
      <c r="A1509" s="1" t="s">
        <v>3851</v>
      </c>
      <c r="B1509" s="1" t="s">
        <v>3852</v>
      </c>
      <c r="C1509" s="2" t="s">
        <v>3853</v>
      </c>
      <c r="D1509" s="2" t="str">
        <f t="shared" si="33"/>
        <v>thám tử nam màu da thường</v>
      </c>
      <c r="E1509" s="3" t="str">
        <f t="shared" si="2"/>
        <v>man detective medium skin tone</v>
      </c>
    </row>
    <row r="1510" ht="15.75" customHeight="1">
      <c r="A1510" s="1" t="s">
        <v>3854</v>
      </c>
      <c r="B1510" s="1" t="s">
        <v>3855</v>
      </c>
      <c r="C1510" s="2" t="s">
        <v>3856</v>
      </c>
      <c r="D1510" s="2" t="str">
        <f t="shared" si="33"/>
        <v>elf nam</v>
      </c>
      <c r="E1510" s="3" t="str">
        <f t="shared" si="2"/>
        <v>man elf</v>
      </c>
    </row>
    <row r="1511" ht="15.75" customHeight="1">
      <c r="A1511" s="1" t="s">
        <v>3857</v>
      </c>
      <c r="B1511" s="1" t="s">
        <v>3858</v>
      </c>
      <c r="C1511" s="2" t="s">
        <v>3859</v>
      </c>
      <c r="D1511" s="2" t="str">
        <f t="shared" si="33"/>
        <v>elf nam màu da sẫm</v>
      </c>
      <c r="E1511" s="3" t="str">
        <f t="shared" si="2"/>
        <v>man elf dark skin tone</v>
      </c>
    </row>
    <row r="1512" ht="15.75" customHeight="1">
      <c r="A1512" s="1" t="s">
        <v>3860</v>
      </c>
      <c r="B1512" s="1" t="s">
        <v>3861</v>
      </c>
      <c r="C1512" s="2" t="s">
        <v>3862</v>
      </c>
      <c r="D1512" s="2" t="str">
        <f t="shared" si="33"/>
        <v>elf nam màu da sáng</v>
      </c>
      <c r="E1512" s="3" t="str">
        <f t="shared" si="2"/>
        <v>man elf light skin tone</v>
      </c>
    </row>
    <row r="1513" ht="15.75" customHeight="1">
      <c r="A1513" s="1" t="s">
        <v>3863</v>
      </c>
      <c r="B1513" s="1" t="s">
        <v>3864</v>
      </c>
      <c r="C1513" s="2" t="s">
        <v>3865</v>
      </c>
      <c r="D1513" s="2" t="str">
        <f t="shared" si="33"/>
        <v>elf nam màu da sẫm vừa</v>
      </c>
      <c r="E1513" s="3" t="str">
        <f t="shared" si="2"/>
        <v>man elf medium-dark skin tone</v>
      </c>
    </row>
    <row r="1514" ht="15.75" customHeight="1">
      <c r="A1514" s="1" t="s">
        <v>3866</v>
      </c>
      <c r="B1514" s="1" t="s">
        <v>3867</v>
      </c>
      <c r="C1514" s="2" t="s">
        <v>3868</v>
      </c>
      <c r="D1514" s="2" t="str">
        <f t="shared" si="33"/>
        <v>elf nam màu da sáng vừa</v>
      </c>
      <c r="E1514" s="3" t="str">
        <f t="shared" si="2"/>
        <v>man elf medium-light skin tone</v>
      </c>
    </row>
    <row r="1515" ht="15.75" customHeight="1">
      <c r="A1515" s="1" t="s">
        <v>3869</v>
      </c>
      <c r="B1515" s="1" t="s">
        <v>3870</v>
      </c>
      <c r="C1515" s="2" t="s">
        <v>3871</v>
      </c>
      <c r="D1515" s="2" t="str">
        <f t="shared" si="33"/>
        <v>elf nam màu da thường</v>
      </c>
      <c r="E1515" s="3" t="str">
        <f t="shared" si="2"/>
        <v>man elf medium skin tone</v>
      </c>
    </row>
    <row r="1516" ht="15.75" customHeight="1">
      <c r="A1516" s="1" t="s">
        <v>3872</v>
      </c>
      <c r="B1516" s="1" t="s">
        <v>3873</v>
      </c>
      <c r="C1516" s="5" t="s">
        <v>3874</v>
      </c>
      <c r="D1516" s="2" t="str">
        <f t="shared" si="33"/>
        <v>người đàn ông lấy tay che mặt</v>
      </c>
      <c r="E1516" s="3" t="str">
        <f t="shared" si="2"/>
        <v>man facepalming</v>
      </c>
    </row>
    <row r="1517" ht="15.75" customHeight="1">
      <c r="A1517" s="1" t="s">
        <v>3875</v>
      </c>
      <c r="B1517" s="1" t="s">
        <v>3876</v>
      </c>
      <c r="C1517" s="5" t="s">
        <v>3877</v>
      </c>
      <c r="D1517" s="2" t="str">
        <f t="shared" si="33"/>
        <v>người đàn ông màu da sẫm lấy tay che mặt</v>
      </c>
      <c r="E1517" s="3" t="str">
        <f t="shared" si="2"/>
        <v>man facepalming dark skin tone</v>
      </c>
    </row>
    <row r="1518" ht="15.75" customHeight="1">
      <c r="A1518" s="1" t="s">
        <v>3878</v>
      </c>
      <c r="B1518" s="1" t="s">
        <v>3879</v>
      </c>
      <c r="C1518" s="5" t="s">
        <v>3880</v>
      </c>
      <c r="D1518" s="2" t="str">
        <f t="shared" si="33"/>
        <v>người đàn ông màu da sáng lấy tay che mặt</v>
      </c>
      <c r="E1518" s="3" t="str">
        <f t="shared" si="2"/>
        <v>man facepalming light skin tone</v>
      </c>
    </row>
    <row r="1519" ht="15.75" customHeight="1">
      <c r="A1519" s="1" t="s">
        <v>3881</v>
      </c>
      <c r="B1519" s="1" t="s">
        <v>3882</v>
      </c>
      <c r="C1519" s="5" t="s">
        <v>3883</v>
      </c>
      <c r="D1519" s="2" t="str">
        <f t="shared" si="33"/>
        <v>người đàn ông màu da sẫm vừa lấy tay che mặt</v>
      </c>
      <c r="E1519" s="3" t="str">
        <f t="shared" si="2"/>
        <v>man facepalming medium-dark skin tone</v>
      </c>
    </row>
    <row r="1520" ht="15.75" customHeight="1">
      <c r="A1520" s="1" t="s">
        <v>3884</v>
      </c>
      <c r="B1520" s="1" t="s">
        <v>3885</v>
      </c>
      <c r="C1520" s="5" t="s">
        <v>3886</v>
      </c>
      <c r="D1520" s="2" t="str">
        <f t="shared" si="33"/>
        <v>người đàn ông màu da sáng vừa lấy tay che mặt</v>
      </c>
      <c r="E1520" s="3" t="str">
        <f t="shared" si="2"/>
        <v>man facepalming medium-light skin tone</v>
      </c>
    </row>
    <row r="1521" ht="15.75" customHeight="1">
      <c r="A1521" s="1" t="s">
        <v>3887</v>
      </c>
      <c r="B1521" s="1" t="s">
        <v>3888</v>
      </c>
      <c r="C1521" s="5" t="s">
        <v>3889</v>
      </c>
      <c r="D1521" s="2" t="str">
        <f t="shared" si="33"/>
        <v>người đàn ông màu da thường lấy tay che mặt</v>
      </c>
      <c r="E1521" s="3" t="str">
        <f t="shared" si="2"/>
        <v>man facepalming medium skin tone</v>
      </c>
    </row>
    <row r="1522" ht="15.75" customHeight="1">
      <c r="A1522" s="1" t="s">
        <v>3890</v>
      </c>
      <c r="B1522" s="1" t="s">
        <v>3891</v>
      </c>
      <c r="C1522" s="2" t="s">
        <v>3892</v>
      </c>
      <c r="D1522" s="2" t="str">
        <f t="shared" si="33"/>
        <v>nhân viên nhà máy nam</v>
      </c>
      <c r="E1522" s="3" t="str">
        <f t="shared" si="2"/>
        <v>man factory worker</v>
      </c>
    </row>
    <row r="1523" ht="15.75" customHeight="1">
      <c r="A1523" s="1" t="s">
        <v>3893</v>
      </c>
      <c r="B1523" s="1" t="s">
        <v>3894</v>
      </c>
      <c r="C1523" s="2" t="s">
        <v>3895</v>
      </c>
      <c r="D1523" s="2" t="str">
        <f t="shared" si="33"/>
        <v>nhân viên nhà máy nam màu da sẫm</v>
      </c>
      <c r="E1523" s="3" t="str">
        <f t="shared" si="2"/>
        <v>man factory worker dark skin tone</v>
      </c>
    </row>
    <row r="1524" ht="15.75" customHeight="1">
      <c r="A1524" s="1" t="s">
        <v>3896</v>
      </c>
      <c r="B1524" s="1" t="s">
        <v>3897</v>
      </c>
      <c r="C1524" s="2" t="s">
        <v>3898</v>
      </c>
      <c r="D1524" s="2" t="str">
        <f t="shared" si="33"/>
        <v>nhân viên nhà máy nam màu da sáng</v>
      </c>
      <c r="E1524" s="3" t="str">
        <f t="shared" si="2"/>
        <v>man factory worker light skin tone</v>
      </c>
    </row>
    <row r="1525" ht="15.75" customHeight="1">
      <c r="A1525" s="1" t="s">
        <v>3899</v>
      </c>
      <c r="B1525" s="1" t="s">
        <v>3900</v>
      </c>
      <c r="C1525" s="2" t="s">
        <v>3901</v>
      </c>
      <c r="D1525" s="2" t="str">
        <f t="shared" si="33"/>
        <v>nhân viên nhà máy nam màu da sẫm vừa</v>
      </c>
      <c r="E1525" s="3" t="str">
        <f t="shared" si="2"/>
        <v>man factory worker medium-dark skin tone</v>
      </c>
    </row>
    <row r="1526" ht="15.75" customHeight="1">
      <c r="A1526" s="1" t="s">
        <v>3902</v>
      </c>
      <c r="B1526" s="1" t="s">
        <v>3903</v>
      </c>
      <c r="C1526" s="2" t="s">
        <v>3904</v>
      </c>
      <c r="D1526" s="2" t="str">
        <f t="shared" si="33"/>
        <v>nhân viên nhà máy nam màu da sáng vừa</v>
      </c>
      <c r="E1526" s="3" t="str">
        <f t="shared" si="2"/>
        <v>man factory worker medium-light skin tone</v>
      </c>
    </row>
    <row r="1527" ht="15.75" customHeight="1">
      <c r="A1527" s="1" t="s">
        <v>3905</v>
      </c>
      <c r="B1527" s="1" t="s">
        <v>3906</v>
      </c>
      <c r="C1527" s="2" t="s">
        <v>3907</v>
      </c>
      <c r="D1527" s="2" t="str">
        <f t="shared" si="33"/>
        <v>nhân viên nhà máy nam màu da thường</v>
      </c>
      <c r="E1527" s="3" t="str">
        <f t="shared" si="2"/>
        <v>man factory worker medium skin tone</v>
      </c>
    </row>
    <row r="1528" ht="15.75" customHeight="1">
      <c r="A1528" s="1" t="s">
        <v>3908</v>
      </c>
      <c r="B1528" s="1" t="s">
        <v>3909</v>
      </c>
      <c r="C1528" s="2" t="s">
        <v>3910</v>
      </c>
      <c r="D1528" s="2" t="str">
        <f t="shared" si="33"/>
        <v>tiên nam</v>
      </c>
      <c r="E1528" s="3" t="str">
        <f t="shared" si="2"/>
        <v>man fairy</v>
      </c>
    </row>
    <row r="1529" ht="15.75" customHeight="1">
      <c r="A1529" s="1" t="s">
        <v>3911</v>
      </c>
      <c r="B1529" s="1" t="s">
        <v>3912</v>
      </c>
      <c r="C1529" s="2" t="s">
        <v>3913</v>
      </c>
      <c r="D1529" s="2" t="str">
        <f t="shared" si="33"/>
        <v>tiên nam màu da sẫm</v>
      </c>
      <c r="E1529" s="3" t="str">
        <f t="shared" si="2"/>
        <v>man fairy dark skin tone</v>
      </c>
    </row>
    <row r="1530" ht="15.75" customHeight="1">
      <c r="A1530" s="1" t="s">
        <v>3914</v>
      </c>
      <c r="B1530" s="1" t="s">
        <v>3915</v>
      </c>
      <c r="C1530" s="2" t="s">
        <v>3916</v>
      </c>
      <c r="D1530" s="2" t="str">
        <f t="shared" si="33"/>
        <v>tiên nam màu da sáng</v>
      </c>
      <c r="E1530" s="3" t="str">
        <f t="shared" si="2"/>
        <v>man fairy light skin tone</v>
      </c>
    </row>
    <row r="1531" ht="15.75" customHeight="1">
      <c r="A1531" s="1" t="s">
        <v>3917</v>
      </c>
      <c r="B1531" s="1" t="s">
        <v>3918</v>
      </c>
      <c r="C1531" s="2" t="s">
        <v>3919</v>
      </c>
      <c r="D1531" s="2" t="str">
        <f t="shared" si="33"/>
        <v>tiên nam màu da sẫm vừa</v>
      </c>
      <c r="E1531" s="3" t="str">
        <f t="shared" si="2"/>
        <v>man fairy medium-dark skin tone</v>
      </c>
    </row>
    <row r="1532" ht="15.75" customHeight="1">
      <c r="A1532" s="1" t="s">
        <v>3920</v>
      </c>
      <c r="B1532" s="1" t="s">
        <v>3921</v>
      </c>
      <c r="C1532" s="2" t="s">
        <v>3922</v>
      </c>
      <c r="D1532" s="2" t="str">
        <f t="shared" si="33"/>
        <v>tiên nam màu da sáng vừa</v>
      </c>
      <c r="E1532" s="3" t="str">
        <f t="shared" si="2"/>
        <v>man fairy medium-light skin tone</v>
      </c>
    </row>
    <row r="1533" ht="15.75" customHeight="1">
      <c r="A1533" s="1" t="s">
        <v>3923</v>
      </c>
      <c r="B1533" s="1" t="s">
        <v>3924</v>
      </c>
      <c r="C1533" s="2" t="s">
        <v>3925</v>
      </c>
      <c r="D1533" s="2" t="str">
        <f t="shared" si="33"/>
        <v>tiên nam màu da thường</v>
      </c>
      <c r="E1533" s="3" t="str">
        <f t="shared" si="2"/>
        <v>man fairy medium skin tone</v>
      </c>
    </row>
    <row r="1534" ht="15.75" customHeight="1">
      <c r="A1534" s="1" t="s">
        <v>3926</v>
      </c>
      <c r="B1534" s="1" t="s">
        <v>3927</v>
      </c>
      <c r="C1534" s="2" t="s">
        <v>3928</v>
      </c>
      <c r="D1534" s="2" t="str">
        <f t="shared" si="33"/>
        <v>nông dân nam</v>
      </c>
      <c r="E1534" s="3" t="str">
        <f t="shared" si="2"/>
        <v>man farmer</v>
      </c>
    </row>
    <row r="1535" ht="15.75" customHeight="1">
      <c r="A1535" s="1" t="s">
        <v>3929</v>
      </c>
      <c r="B1535" s="1" t="s">
        <v>3930</v>
      </c>
      <c r="C1535" s="2" t="s">
        <v>3931</v>
      </c>
      <c r="D1535" s="2" t="str">
        <f t="shared" si="33"/>
        <v>nông dân nam màu da sẫm</v>
      </c>
      <c r="E1535" s="3" t="str">
        <f t="shared" si="2"/>
        <v>man farmer dark skin tone</v>
      </c>
    </row>
    <row r="1536" ht="15.75" customHeight="1">
      <c r="A1536" s="1" t="s">
        <v>3932</v>
      </c>
      <c r="B1536" s="1" t="s">
        <v>3933</v>
      </c>
      <c r="C1536" s="2" t="s">
        <v>3934</v>
      </c>
      <c r="D1536" s="2" t="str">
        <f t="shared" si="33"/>
        <v>nông dân nam màu da sáng</v>
      </c>
      <c r="E1536" s="3" t="str">
        <f t="shared" si="2"/>
        <v>man farmer light skin tone</v>
      </c>
    </row>
    <row r="1537" ht="15.75" customHeight="1">
      <c r="A1537" s="1" t="s">
        <v>3935</v>
      </c>
      <c r="B1537" s="1" t="s">
        <v>3936</v>
      </c>
      <c r="C1537" s="2" t="s">
        <v>3937</v>
      </c>
      <c r="D1537" s="2" t="str">
        <f t="shared" si="33"/>
        <v>nông dân nam màu da sẫm vừa</v>
      </c>
      <c r="E1537" s="3" t="str">
        <f t="shared" si="2"/>
        <v>man farmer medium-dark skin tone</v>
      </c>
    </row>
    <row r="1538" ht="15.75" customHeight="1">
      <c r="A1538" s="1" t="s">
        <v>3938</v>
      </c>
      <c r="B1538" s="1" t="s">
        <v>3939</v>
      </c>
      <c r="C1538" s="2" t="s">
        <v>3940</v>
      </c>
      <c r="D1538" s="2" t="str">
        <f t="shared" si="33"/>
        <v>nông dân nam màu da sáng vừa</v>
      </c>
      <c r="E1538" s="3" t="str">
        <f t="shared" si="2"/>
        <v>man farmer medium-light skin tone</v>
      </c>
    </row>
    <row r="1539" ht="15.75" customHeight="1">
      <c r="A1539" s="1" t="s">
        <v>3941</v>
      </c>
      <c r="B1539" s="1" t="s">
        <v>3942</v>
      </c>
      <c r="C1539" s="2" t="s">
        <v>3943</v>
      </c>
      <c r="D1539" s="2" t="str">
        <f t="shared" si="33"/>
        <v>nông dân nam màu da thường</v>
      </c>
      <c r="E1539" s="3" t="str">
        <f t="shared" si="2"/>
        <v>man farmer medium skin tone</v>
      </c>
    </row>
    <row r="1540" ht="15.75" customHeight="1">
      <c r="A1540" s="1" t="s">
        <v>3944</v>
      </c>
      <c r="B1540" s="1" t="s">
        <v>3945</v>
      </c>
      <c r="C1540" s="5" t="s">
        <v>3946</v>
      </c>
      <c r="D1540" s="2" t="str">
        <f t="shared" si="33"/>
        <v>người đàn ông cho em bé ăn</v>
      </c>
      <c r="E1540" s="3" t="str">
        <f t="shared" si="2"/>
        <v>man feeding baby</v>
      </c>
    </row>
    <row r="1541" ht="15.75" customHeight="1">
      <c r="A1541" s="1" t="s">
        <v>3947</v>
      </c>
      <c r="B1541" s="1" t="s">
        <v>3948</v>
      </c>
      <c r="C1541" s="5" t="s">
        <v>3949</v>
      </c>
      <c r="D1541" s="2" t="str">
        <f t="shared" si="33"/>
        <v>người đàn ông màu da sẫm cho em bé ăn</v>
      </c>
      <c r="E1541" s="3" t="str">
        <f t="shared" si="2"/>
        <v>man feeding baby dark skin tone</v>
      </c>
    </row>
    <row r="1542" ht="15.75" customHeight="1">
      <c r="A1542" s="1" t="s">
        <v>3950</v>
      </c>
      <c r="B1542" s="1" t="s">
        <v>3951</v>
      </c>
      <c r="C1542" s="5" t="s">
        <v>3952</v>
      </c>
      <c r="D1542" s="2" t="str">
        <f t="shared" si="33"/>
        <v>người đàn ông màu da sáng cho em bé ăn</v>
      </c>
      <c r="E1542" s="3" t="str">
        <f t="shared" si="2"/>
        <v>man feeding baby light skin tone</v>
      </c>
    </row>
    <row r="1543" ht="15.75" customHeight="1">
      <c r="A1543" s="1" t="s">
        <v>3953</v>
      </c>
      <c r="B1543" s="1" t="s">
        <v>3954</v>
      </c>
      <c r="C1543" s="5" t="s">
        <v>3955</v>
      </c>
      <c r="D1543" s="2" t="str">
        <f t="shared" si="33"/>
        <v>người đàn ông màu da sẫm vừa cho em bé ăn</v>
      </c>
      <c r="E1543" s="3" t="str">
        <f t="shared" si="2"/>
        <v>man feeding baby medium-dark skin tone</v>
      </c>
    </row>
    <row r="1544" ht="15.75" customHeight="1">
      <c r="A1544" s="1" t="s">
        <v>3956</v>
      </c>
      <c r="B1544" s="1" t="s">
        <v>3957</v>
      </c>
      <c r="C1544" s="5" t="s">
        <v>3958</v>
      </c>
      <c r="D1544" s="2" t="str">
        <f t="shared" si="33"/>
        <v>người đàn ông màu da sáng vừa cho em bé ăn</v>
      </c>
      <c r="E1544" s="3" t="str">
        <f t="shared" si="2"/>
        <v>man feeding baby medium-light skin tone</v>
      </c>
    </row>
    <row r="1545" ht="15.75" customHeight="1">
      <c r="A1545" s="1" t="s">
        <v>3959</v>
      </c>
      <c r="B1545" s="1" t="s">
        <v>3960</v>
      </c>
      <c r="C1545" s="5" t="s">
        <v>3961</v>
      </c>
      <c r="D1545" s="2" t="str">
        <f t="shared" si="33"/>
        <v>người đàn ông màu da thường cho em bé ăn</v>
      </c>
      <c r="E1545" s="3" t="str">
        <f t="shared" si="2"/>
        <v>man feeding baby medium skin tone</v>
      </c>
    </row>
    <row r="1546" ht="15.75" customHeight="1">
      <c r="A1546" s="1" t="s">
        <v>3962</v>
      </c>
      <c r="B1546" s="1" t="s">
        <v>3963</v>
      </c>
      <c r="C1546" s="2" t="s">
        <v>3964</v>
      </c>
      <c r="D1546" s="2" t="str">
        <f t="shared" si="33"/>
        <v>lính cứu hoả nam</v>
      </c>
      <c r="E1546" s="3" t="str">
        <f t="shared" si="2"/>
        <v>man firefighter</v>
      </c>
    </row>
    <row r="1547" ht="15.75" customHeight="1">
      <c r="A1547" s="1" t="s">
        <v>3965</v>
      </c>
      <c r="B1547" s="1" t="s">
        <v>3966</v>
      </c>
      <c r="C1547" s="2" t="s">
        <v>3967</v>
      </c>
      <c r="D1547" s="2" t="str">
        <f t="shared" si="33"/>
        <v>lính cứu hoả nam màu da sẫm</v>
      </c>
      <c r="E1547" s="3" t="str">
        <f t="shared" si="2"/>
        <v>man firefighter dark skin tone</v>
      </c>
    </row>
    <row r="1548" ht="15.75" customHeight="1">
      <c r="A1548" s="1" t="s">
        <v>3968</v>
      </c>
      <c r="B1548" s="1" t="s">
        <v>3969</v>
      </c>
      <c r="C1548" s="2" t="s">
        <v>3970</v>
      </c>
      <c r="D1548" s="2" t="str">
        <f t="shared" si="33"/>
        <v>lính cứu hoả nam màu da sáng</v>
      </c>
      <c r="E1548" s="3" t="str">
        <f t="shared" si="2"/>
        <v>man firefighter light skin tone</v>
      </c>
    </row>
    <row r="1549" ht="15.75" customHeight="1">
      <c r="A1549" s="1" t="s">
        <v>3971</v>
      </c>
      <c r="B1549" s="1" t="s">
        <v>3972</v>
      </c>
      <c r="C1549" s="2" t="s">
        <v>3973</v>
      </c>
      <c r="D1549" s="2" t="str">
        <f t="shared" si="33"/>
        <v>lính cứu hoả nam màu da sẫm vừa</v>
      </c>
      <c r="E1549" s="3" t="str">
        <f t="shared" si="2"/>
        <v>man firefighter medium-dark skin tone</v>
      </c>
    </row>
    <row r="1550" ht="15.75" customHeight="1">
      <c r="A1550" s="1" t="s">
        <v>3974</v>
      </c>
      <c r="B1550" s="1" t="s">
        <v>3975</v>
      </c>
      <c r="C1550" s="2" t="s">
        <v>3976</v>
      </c>
      <c r="D1550" s="2" t="str">
        <f t="shared" si="33"/>
        <v>lính cứu hoả nam màu da sáng vừa</v>
      </c>
      <c r="E1550" s="3" t="str">
        <f t="shared" si="2"/>
        <v>man firefighter medium-light skin tone</v>
      </c>
    </row>
    <row r="1551" ht="15.75" customHeight="1">
      <c r="A1551" s="1" t="s">
        <v>3977</v>
      </c>
      <c r="B1551" s="1" t="s">
        <v>3978</v>
      </c>
      <c r="C1551" s="2" t="s">
        <v>3979</v>
      </c>
      <c r="D1551" s="2" t="str">
        <f t="shared" si="33"/>
        <v>lính cứu hoả nam màu da thường</v>
      </c>
      <c r="E1551" s="3" t="str">
        <f t="shared" si="2"/>
        <v>man firefighter medium skin tone</v>
      </c>
    </row>
    <row r="1552" ht="15.75" customHeight="1">
      <c r="A1552" s="1" t="s">
        <v>3980</v>
      </c>
      <c r="B1552" s="1" t="s">
        <v>3981</v>
      </c>
      <c r="C1552" s="2" t="s">
        <v>3982</v>
      </c>
      <c r="D1552" s="2" t="s">
        <v>3982</v>
      </c>
      <c r="E1552" s="3" t="str">
        <f t="shared" si="2"/>
        <v>man frowning</v>
      </c>
    </row>
    <row r="1553" ht="15.75" customHeight="1">
      <c r="A1553" s="1" t="s">
        <v>3983</v>
      </c>
      <c r="B1553" s="1" t="s">
        <v>3984</v>
      </c>
      <c r="C1553" s="2" t="s">
        <v>3985</v>
      </c>
      <c r="D1553" s="2" t="str">
        <f t="shared" ref="D1553:D1863" si="34">LOWER(C1553)</f>
        <v>người đàn ông cau mày màu da sẫm</v>
      </c>
      <c r="E1553" s="3" t="str">
        <f t="shared" si="2"/>
        <v>man frowning dark skin tone</v>
      </c>
    </row>
    <row r="1554" ht="15.75" customHeight="1">
      <c r="A1554" s="1" t="s">
        <v>3986</v>
      </c>
      <c r="B1554" s="1" t="s">
        <v>3987</v>
      </c>
      <c r="C1554" s="2" t="s">
        <v>3988</v>
      </c>
      <c r="D1554" s="2" t="str">
        <f t="shared" si="34"/>
        <v>người đàn ông cau mày màu da sáng</v>
      </c>
      <c r="E1554" s="3" t="str">
        <f t="shared" si="2"/>
        <v>man frowning light skin tone</v>
      </c>
    </row>
    <row r="1555" ht="15.75" customHeight="1">
      <c r="A1555" s="1" t="s">
        <v>3989</v>
      </c>
      <c r="B1555" s="1" t="s">
        <v>3990</v>
      </c>
      <c r="C1555" s="2" t="s">
        <v>3991</v>
      </c>
      <c r="D1555" s="2" t="str">
        <f t="shared" si="34"/>
        <v>người đàn ông cau mày màu da sẫm vừa</v>
      </c>
      <c r="E1555" s="3" t="str">
        <f t="shared" si="2"/>
        <v>man frowning medium-dark skin tone</v>
      </c>
    </row>
    <row r="1556" ht="15.75" customHeight="1">
      <c r="A1556" s="1" t="s">
        <v>3992</v>
      </c>
      <c r="B1556" s="1" t="s">
        <v>3993</v>
      </c>
      <c r="C1556" s="2" t="s">
        <v>3994</v>
      </c>
      <c r="D1556" s="2" t="str">
        <f t="shared" si="34"/>
        <v>người đàn ông cau mày màu da sáng vừa</v>
      </c>
      <c r="E1556" s="3" t="str">
        <f t="shared" si="2"/>
        <v>man frowning medium-light skin tone</v>
      </c>
    </row>
    <row r="1557" ht="15.75" customHeight="1">
      <c r="A1557" s="1" t="s">
        <v>3995</v>
      </c>
      <c r="B1557" s="1" t="s">
        <v>3996</v>
      </c>
      <c r="C1557" s="2" t="s">
        <v>3997</v>
      </c>
      <c r="D1557" s="2" t="str">
        <f t="shared" si="34"/>
        <v>người đàn ông cau mày màu da thường</v>
      </c>
      <c r="E1557" s="3" t="str">
        <f t="shared" si="2"/>
        <v>man frowning medium skin tone</v>
      </c>
    </row>
    <row r="1558" ht="15.75" customHeight="1">
      <c r="A1558" s="1" t="s">
        <v>3998</v>
      </c>
      <c r="B1558" s="1" t="s">
        <v>3999</v>
      </c>
      <c r="C1558" s="2" t="s">
        <v>4000</v>
      </c>
      <c r="D1558" s="2" t="str">
        <f t="shared" si="34"/>
        <v>thần đèn nam</v>
      </c>
      <c r="E1558" s="3" t="str">
        <f t="shared" si="2"/>
        <v>man genie</v>
      </c>
    </row>
    <row r="1559" ht="15.75" customHeight="1">
      <c r="A1559" s="1" t="s">
        <v>4001</v>
      </c>
      <c r="B1559" s="1" t="s">
        <v>4002</v>
      </c>
      <c r="C1559" s="5" t="s">
        <v>4003</v>
      </c>
      <c r="D1559" s="2" t="str">
        <f t="shared" si="34"/>
        <v>người đàn ông làm cử chỉ không</v>
      </c>
      <c r="E1559" s="3" t="str">
        <f t="shared" si="2"/>
        <v>man gesturing NO</v>
      </c>
    </row>
    <row r="1560" ht="15.75" customHeight="1">
      <c r="A1560" s="1" t="s">
        <v>4004</v>
      </c>
      <c r="B1560" s="1" t="s">
        <v>4005</v>
      </c>
      <c r="C1560" s="5" t="s">
        <v>4006</v>
      </c>
      <c r="D1560" s="2" t="str">
        <f t="shared" si="34"/>
        <v>người đàn ông màu da sẫm làm cử chỉ không</v>
      </c>
      <c r="E1560" s="3" t="str">
        <f t="shared" si="2"/>
        <v>man gesturing NO dark skin tone</v>
      </c>
    </row>
    <row r="1561" ht="15.75" customHeight="1">
      <c r="A1561" s="1" t="s">
        <v>4007</v>
      </c>
      <c r="B1561" s="1" t="s">
        <v>4008</v>
      </c>
      <c r="C1561" s="5" t="s">
        <v>4009</v>
      </c>
      <c r="D1561" s="2" t="str">
        <f t="shared" si="34"/>
        <v>người đàn ông màu da sáng làm cử chỉ không</v>
      </c>
      <c r="E1561" s="3" t="str">
        <f t="shared" si="2"/>
        <v>man gesturing NO light skin tone</v>
      </c>
    </row>
    <row r="1562" ht="15.75" customHeight="1">
      <c r="A1562" s="1" t="s">
        <v>4010</v>
      </c>
      <c r="B1562" s="1" t="s">
        <v>4011</v>
      </c>
      <c r="C1562" s="5" t="s">
        <v>4012</v>
      </c>
      <c r="D1562" s="2" t="str">
        <f t="shared" si="34"/>
        <v>người đàn ông màu da sẫm vừa làm cử chỉ không</v>
      </c>
      <c r="E1562" s="3" t="str">
        <f t="shared" si="2"/>
        <v>man gesturing NO medium-dark skin tone</v>
      </c>
    </row>
    <row r="1563" ht="15.75" customHeight="1">
      <c r="A1563" s="1" t="s">
        <v>4013</v>
      </c>
      <c r="B1563" s="1" t="s">
        <v>4014</v>
      </c>
      <c r="C1563" s="5" t="s">
        <v>4015</v>
      </c>
      <c r="D1563" s="2" t="str">
        <f t="shared" si="34"/>
        <v>người đàn ông màu da sáng vừa làm cử chỉ không</v>
      </c>
      <c r="E1563" s="3" t="str">
        <f t="shared" si="2"/>
        <v>man gesturing NO medium-light skin tone</v>
      </c>
    </row>
    <row r="1564" ht="15.75" customHeight="1">
      <c r="A1564" s="1" t="s">
        <v>4016</v>
      </c>
      <c r="B1564" s="1" t="s">
        <v>4017</v>
      </c>
      <c r="C1564" s="5" t="s">
        <v>4018</v>
      </c>
      <c r="D1564" s="2" t="str">
        <f t="shared" si="34"/>
        <v>người đàn ông màu da thường làm cử chỉ không</v>
      </c>
      <c r="E1564" s="3" t="str">
        <f t="shared" si="2"/>
        <v>man gesturing NO medium skin tone</v>
      </c>
    </row>
    <row r="1565" ht="15.75" customHeight="1">
      <c r="A1565" s="1" t="s">
        <v>4019</v>
      </c>
      <c r="B1565" s="1" t="s">
        <v>4020</v>
      </c>
      <c r="C1565" s="5" t="s">
        <v>4021</v>
      </c>
      <c r="D1565" s="2" t="str">
        <f t="shared" si="34"/>
        <v>người đàn ông làm cử chỉ ok</v>
      </c>
      <c r="E1565" s="3" t="str">
        <f t="shared" si="2"/>
        <v>man gesturing OK</v>
      </c>
    </row>
    <row r="1566" ht="15.75" customHeight="1">
      <c r="A1566" s="1" t="s">
        <v>4022</v>
      </c>
      <c r="B1566" s="1" t="s">
        <v>4023</v>
      </c>
      <c r="C1566" s="5" t="s">
        <v>4024</v>
      </c>
      <c r="D1566" s="2" t="str">
        <f t="shared" si="34"/>
        <v>người đàn ông màu da sẫm làm cử chỉ ok</v>
      </c>
      <c r="E1566" s="3" t="str">
        <f t="shared" si="2"/>
        <v>man gesturing OK dark skin tone</v>
      </c>
    </row>
    <row r="1567" ht="15.75" customHeight="1">
      <c r="A1567" s="1" t="s">
        <v>4025</v>
      </c>
      <c r="B1567" s="1" t="s">
        <v>4026</v>
      </c>
      <c r="C1567" s="5" t="s">
        <v>4027</v>
      </c>
      <c r="D1567" s="2" t="str">
        <f t="shared" si="34"/>
        <v>người đàn ông màu da sáng làm cử chỉ ok</v>
      </c>
      <c r="E1567" s="3" t="str">
        <f t="shared" si="2"/>
        <v>man gesturing OK light skin tone</v>
      </c>
    </row>
    <row r="1568" ht="15.75" customHeight="1">
      <c r="A1568" s="1" t="s">
        <v>4028</v>
      </c>
      <c r="B1568" s="1" t="s">
        <v>4029</v>
      </c>
      <c r="C1568" s="5" t="s">
        <v>4030</v>
      </c>
      <c r="D1568" s="2" t="str">
        <f t="shared" si="34"/>
        <v>người đàn ông màu da sẫm vừa làm cử chỉ ok</v>
      </c>
      <c r="E1568" s="3" t="str">
        <f t="shared" si="2"/>
        <v>man gesturing OK medium-dark skin tone</v>
      </c>
    </row>
    <row r="1569" ht="15.75" customHeight="1">
      <c r="A1569" s="1" t="s">
        <v>4031</v>
      </c>
      <c r="B1569" s="1" t="s">
        <v>4032</v>
      </c>
      <c r="C1569" s="5" t="s">
        <v>4033</v>
      </c>
      <c r="D1569" s="2" t="str">
        <f t="shared" si="34"/>
        <v>người đàn ông màu da sáng vừa làm cử chỉ ok</v>
      </c>
      <c r="E1569" s="3" t="str">
        <f t="shared" si="2"/>
        <v>man gesturing OK medium-light skin tone</v>
      </c>
    </row>
    <row r="1570" ht="15.75" customHeight="1">
      <c r="A1570" s="1" t="s">
        <v>4034</v>
      </c>
      <c r="B1570" s="1" t="s">
        <v>4035</v>
      </c>
      <c r="C1570" s="5" t="s">
        <v>4036</v>
      </c>
      <c r="D1570" s="2" t="str">
        <f t="shared" si="34"/>
        <v>người đàn ông màu da thường làm cử chỉ ok</v>
      </c>
      <c r="E1570" s="3" t="str">
        <f t="shared" si="2"/>
        <v>man gesturing OK medium skin tone</v>
      </c>
    </row>
    <row r="1571" ht="15.75" customHeight="1">
      <c r="A1571" s="1" t="s">
        <v>4037</v>
      </c>
      <c r="B1571" s="1" t="s">
        <v>4038</v>
      </c>
      <c r="C1571" s="2" t="s">
        <v>4039</v>
      </c>
      <c r="D1571" s="2" t="str">
        <f t="shared" si="34"/>
        <v>người đàn ông đang được cắt tóc</v>
      </c>
      <c r="E1571" s="3" t="str">
        <f t="shared" si="2"/>
        <v>man getting haircut</v>
      </c>
    </row>
    <row r="1572" ht="15.75" customHeight="1">
      <c r="A1572" s="1" t="s">
        <v>4040</v>
      </c>
      <c r="B1572" s="1" t="s">
        <v>4041</v>
      </c>
      <c r="C1572" s="2" t="s">
        <v>4042</v>
      </c>
      <c r="D1572" s="2" t="str">
        <f t="shared" si="34"/>
        <v>người đàn ông màu da sẫm đang được cắt tóc</v>
      </c>
      <c r="E1572" s="3" t="str">
        <f t="shared" si="2"/>
        <v>man getting haircut dark skin tone</v>
      </c>
    </row>
    <row r="1573" ht="15.75" customHeight="1">
      <c r="A1573" s="1" t="s">
        <v>4043</v>
      </c>
      <c r="B1573" s="1" t="s">
        <v>4044</v>
      </c>
      <c r="C1573" s="2" t="s">
        <v>4045</v>
      </c>
      <c r="D1573" s="2" t="str">
        <f t="shared" si="34"/>
        <v>người đàn ông màu da sáng đang được cắt tóc</v>
      </c>
      <c r="E1573" s="3" t="str">
        <f t="shared" si="2"/>
        <v>man getting haircut light skin tone</v>
      </c>
    </row>
    <row r="1574" ht="15.75" customHeight="1">
      <c r="A1574" s="1" t="s">
        <v>4046</v>
      </c>
      <c r="B1574" s="1" t="s">
        <v>4047</v>
      </c>
      <c r="C1574" s="2" t="s">
        <v>4048</v>
      </c>
      <c r="D1574" s="2" t="str">
        <f t="shared" si="34"/>
        <v>người đàn ông màu da sẫm vừa đang được cắt tóc</v>
      </c>
      <c r="E1574" s="3" t="str">
        <f t="shared" si="2"/>
        <v>man getting haircut medium-dark skin tone</v>
      </c>
    </row>
    <row r="1575" ht="15.75" customHeight="1">
      <c r="A1575" s="1" t="s">
        <v>4049</v>
      </c>
      <c r="B1575" s="1" t="s">
        <v>4050</v>
      </c>
      <c r="C1575" s="2" t="s">
        <v>4051</v>
      </c>
      <c r="D1575" s="2" t="str">
        <f t="shared" si="34"/>
        <v>người đàn ông màu da sáng vừa đang được cắt tóc</v>
      </c>
      <c r="E1575" s="3" t="str">
        <f t="shared" si="2"/>
        <v>man getting haircut medium-light skin tone</v>
      </c>
    </row>
    <row r="1576" ht="15.75" customHeight="1">
      <c r="A1576" s="1" t="s">
        <v>4052</v>
      </c>
      <c r="B1576" s="1" t="s">
        <v>4053</v>
      </c>
      <c r="C1576" s="2" t="s">
        <v>4054</v>
      </c>
      <c r="D1576" s="2" t="str">
        <f t="shared" si="34"/>
        <v>người đàn ông màu da thường đang được cắt tóc</v>
      </c>
      <c r="E1576" s="3" t="str">
        <f t="shared" si="2"/>
        <v>man getting haircut medium skin tone</v>
      </c>
    </row>
    <row r="1577" ht="15.75" customHeight="1">
      <c r="A1577" s="1" t="s">
        <v>4055</v>
      </c>
      <c r="B1577" s="1" t="s">
        <v>4056</v>
      </c>
      <c r="C1577" s="2" t="s">
        <v>4057</v>
      </c>
      <c r="D1577" s="2" t="str">
        <f t="shared" si="34"/>
        <v>người đàn ông nhận được tin nhắn</v>
      </c>
      <c r="E1577" s="3" t="str">
        <f t="shared" si="2"/>
        <v>man getting massage</v>
      </c>
    </row>
    <row r="1578" ht="15.75" customHeight="1">
      <c r="A1578" s="1" t="s">
        <v>4058</v>
      </c>
      <c r="B1578" s="1" t="s">
        <v>4059</v>
      </c>
      <c r="C1578" s="2" t="s">
        <v>4060</v>
      </c>
      <c r="D1578" s="2" t="str">
        <f t="shared" si="34"/>
        <v>người đàn ông màu da sẫm nhận được tin nhắn</v>
      </c>
      <c r="E1578" s="3" t="str">
        <f t="shared" si="2"/>
        <v>man getting massage dark skin tone</v>
      </c>
    </row>
    <row r="1579" ht="15.75" customHeight="1">
      <c r="A1579" s="1" t="s">
        <v>4061</v>
      </c>
      <c r="B1579" s="1" t="s">
        <v>4062</v>
      </c>
      <c r="C1579" s="2" t="s">
        <v>4063</v>
      </c>
      <c r="D1579" s="2" t="str">
        <f t="shared" si="34"/>
        <v>người đàn ông màu da sáng nhận được tin nhắn</v>
      </c>
      <c r="E1579" s="3" t="str">
        <f t="shared" si="2"/>
        <v>man getting massage light skin tone</v>
      </c>
    </row>
    <row r="1580" ht="15.75" customHeight="1">
      <c r="A1580" s="1" t="s">
        <v>4064</v>
      </c>
      <c r="B1580" s="1" t="s">
        <v>4065</v>
      </c>
      <c r="C1580" s="2" t="s">
        <v>4066</v>
      </c>
      <c r="D1580" s="2" t="str">
        <f t="shared" si="34"/>
        <v>người đàn ông màu da sẫm vừa nhận được tin nhắn</v>
      </c>
      <c r="E1580" s="3" t="str">
        <f t="shared" si="2"/>
        <v>man getting massage medium-dark skin tone</v>
      </c>
    </row>
    <row r="1581" ht="15.75" customHeight="1">
      <c r="A1581" s="1" t="s">
        <v>4067</v>
      </c>
      <c r="B1581" s="1" t="s">
        <v>4068</v>
      </c>
      <c r="C1581" s="2" t="s">
        <v>4069</v>
      </c>
      <c r="D1581" s="2" t="str">
        <f t="shared" si="34"/>
        <v>người đàn ông màu da sáng vừa nhận được tin nhắn</v>
      </c>
      <c r="E1581" s="3" t="str">
        <f t="shared" si="2"/>
        <v>man getting massage medium-light skin tone</v>
      </c>
    </row>
    <row r="1582" ht="15.75" customHeight="1">
      <c r="A1582" s="1" t="s">
        <v>4070</v>
      </c>
      <c r="B1582" s="1" t="s">
        <v>4071</v>
      </c>
      <c r="C1582" s="2" t="s">
        <v>4072</v>
      </c>
      <c r="D1582" s="2" t="str">
        <f t="shared" si="34"/>
        <v>người đàn ông màu da thường nhận được tin nhắn</v>
      </c>
      <c r="E1582" s="3" t="str">
        <f t="shared" si="2"/>
        <v>man getting massage medium skin tone</v>
      </c>
    </row>
    <row r="1583" ht="15.75" customHeight="1">
      <c r="A1583" s="1" t="s">
        <v>4073</v>
      </c>
      <c r="B1583" s="1" t="s">
        <v>4074</v>
      </c>
      <c r="C1583" s="2" t="s">
        <v>4075</v>
      </c>
      <c r="D1583" s="2" t="str">
        <f t="shared" si="34"/>
        <v>người đàn ông chơi gôn</v>
      </c>
      <c r="E1583" s="3" t="str">
        <f t="shared" si="2"/>
        <v>man golfing</v>
      </c>
    </row>
    <row r="1584" ht="15.75" customHeight="1">
      <c r="A1584" s="1" t="s">
        <v>4076</v>
      </c>
      <c r="B1584" s="1" t="s">
        <v>4077</v>
      </c>
      <c r="C1584" s="2" t="s">
        <v>4078</v>
      </c>
      <c r="D1584" s="2" t="str">
        <f t="shared" si="34"/>
        <v>người đàn ông màu da sẫm chơi gôn</v>
      </c>
      <c r="E1584" s="3" t="str">
        <f t="shared" si="2"/>
        <v>man golfing dark skin tone</v>
      </c>
    </row>
    <row r="1585" ht="15.75" customHeight="1">
      <c r="A1585" s="1" t="s">
        <v>4079</v>
      </c>
      <c r="B1585" s="1" t="s">
        <v>4080</v>
      </c>
      <c r="C1585" s="2" t="s">
        <v>4081</v>
      </c>
      <c r="D1585" s="2" t="str">
        <f t="shared" si="34"/>
        <v>người đàn ông màu da sáng chơi gôn</v>
      </c>
      <c r="E1585" s="3" t="str">
        <f t="shared" si="2"/>
        <v>man golfing light skin tone</v>
      </c>
    </row>
    <row r="1586" ht="15.75" customHeight="1">
      <c r="A1586" s="1" t="s">
        <v>4082</v>
      </c>
      <c r="B1586" s="1" t="s">
        <v>4083</v>
      </c>
      <c r="C1586" s="2" t="s">
        <v>4084</v>
      </c>
      <c r="D1586" s="2" t="str">
        <f t="shared" si="34"/>
        <v>người đàn ông màu da sẫm vừa chơi gôn</v>
      </c>
      <c r="E1586" s="3" t="str">
        <f t="shared" si="2"/>
        <v>man golfing medium-dark skin tone</v>
      </c>
    </row>
    <row r="1587" ht="15.75" customHeight="1">
      <c r="A1587" s="1" t="s">
        <v>4085</v>
      </c>
      <c r="B1587" s="1" t="s">
        <v>4086</v>
      </c>
      <c r="C1587" s="2" t="s">
        <v>4087</v>
      </c>
      <c r="D1587" s="2" t="str">
        <f t="shared" si="34"/>
        <v>người đàn ông màu da sáng vừa chơi gôn</v>
      </c>
      <c r="E1587" s="3" t="str">
        <f t="shared" si="2"/>
        <v>man golfing medium-light skin tone</v>
      </c>
    </row>
    <row r="1588" ht="15.75" customHeight="1">
      <c r="A1588" s="1" t="s">
        <v>4088</v>
      </c>
      <c r="B1588" s="1" t="s">
        <v>4089</v>
      </c>
      <c r="C1588" s="2" t="s">
        <v>4090</v>
      </c>
      <c r="D1588" s="2" t="str">
        <f t="shared" si="34"/>
        <v>người đàn ông màu da thường chơi gôn</v>
      </c>
      <c r="E1588" s="3" t="str">
        <f t="shared" si="2"/>
        <v>man golfing medium skin tone</v>
      </c>
    </row>
    <row r="1589" ht="15.75" customHeight="1">
      <c r="A1589" s="1" t="s">
        <v>4091</v>
      </c>
      <c r="B1589" s="1" t="s">
        <v>4092</v>
      </c>
      <c r="C1589" s="2" t="s">
        <v>4093</v>
      </c>
      <c r="D1589" s="2" t="str">
        <f t="shared" si="34"/>
        <v>bảo vệ nam</v>
      </c>
      <c r="E1589" s="3" t="str">
        <f t="shared" si="2"/>
        <v>man guard</v>
      </c>
    </row>
    <row r="1590" ht="15.75" customHeight="1">
      <c r="A1590" s="1" t="s">
        <v>4094</v>
      </c>
      <c r="B1590" s="1" t="s">
        <v>4095</v>
      </c>
      <c r="C1590" s="2" t="s">
        <v>4096</v>
      </c>
      <c r="D1590" s="2" t="str">
        <f t="shared" si="34"/>
        <v>bảo vệ nam màu da sẫm</v>
      </c>
      <c r="E1590" s="3" t="str">
        <f t="shared" si="2"/>
        <v>man guard dark skin tone</v>
      </c>
    </row>
    <row r="1591" ht="15.75" customHeight="1">
      <c r="A1591" s="1" t="s">
        <v>4097</v>
      </c>
      <c r="B1591" s="1" t="s">
        <v>4098</v>
      </c>
      <c r="C1591" s="2" t="s">
        <v>4099</v>
      </c>
      <c r="D1591" s="2" t="str">
        <f t="shared" si="34"/>
        <v>bảo vệ nam màu da sáng</v>
      </c>
      <c r="E1591" s="3" t="str">
        <f t="shared" si="2"/>
        <v>man guard light skin tone</v>
      </c>
    </row>
    <row r="1592" ht="15.75" customHeight="1">
      <c r="A1592" s="1" t="s">
        <v>4100</v>
      </c>
      <c r="B1592" s="1" t="s">
        <v>4101</v>
      </c>
      <c r="C1592" s="2" t="s">
        <v>4102</v>
      </c>
      <c r="D1592" s="2" t="str">
        <f t="shared" si="34"/>
        <v>bảo vệ nam màu da sẫm vừa</v>
      </c>
      <c r="E1592" s="3" t="str">
        <f t="shared" si="2"/>
        <v>man guard medium-dark skin tone</v>
      </c>
    </row>
    <row r="1593" ht="15.75" customHeight="1">
      <c r="A1593" s="1" t="s">
        <v>4103</v>
      </c>
      <c r="B1593" s="1" t="s">
        <v>4104</v>
      </c>
      <c r="C1593" s="2" t="s">
        <v>4105</v>
      </c>
      <c r="D1593" s="2" t="str">
        <f t="shared" si="34"/>
        <v>bảo vệ nam màu da sáng vừa</v>
      </c>
      <c r="E1593" s="3" t="str">
        <f t="shared" si="2"/>
        <v>man guard medium-light skin tone</v>
      </c>
    </row>
    <row r="1594" ht="15.75" customHeight="1">
      <c r="A1594" s="1" t="s">
        <v>4106</v>
      </c>
      <c r="B1594" s="1" t="s">
        <v>4107</v>
      </c>
      <c r="C1594" s="2" t="s">
        <v>4108</v>
      </c>
      <c r="D1594" s="2" t="str">
        <f t="shared" si="34"/>
        <v>bảo vệ nam màu da thường</v>
      </c>
      <c r="E1594" s="3" t="str">
        <f t="shared" si="2"/>
        <v>man guard medium skin tone</v>
      </c>
    </row>
    <row r="1595" ht="15.75" customHeight="1">
      <c r="A1595" s="1" t="s">
        <v>4109</v>
      </c>
      <c r="B1595" s="1" t="s">
        <v>4110</v>
      </c>
      <c r="C1595" s="2" t="s">
        <v>4111</v>
      </c>
      <c r="D1595" s="2" t="str">
        <f t="shared" si="34"/>
        <v>nhân viên y tế nam</v>
      </c>
      <c r="E1595" s="3" t="str">
        <f t="shared" si="2"/>
        <v>man health worker</v>
      </c>
    </row>
    <row r="1596" ht="15.75" customHeight="1">
      <c r="A1596" s="1" t="s">
        <v>4112</v>
      </c>
      <c r="B1596" s="1" t="s">
        <v>4113</v>
      </c>
      <c r="C1596" s="2" t="s">
        <v>4114</v>
      </c>
      <c r="D1596" s="2" t="str">
        <f t="shared" si="34"/>
        <v>nhân viên y tế nam màu da sẫm</v>
      </c>
      <c r="E1596" s="3" t="str">
        <f t="shared" si="2"/>
        <v>man health worker dark skin tone</v>
      </c>
    </row>
    <row r="1597" ht="15.75" customHeight="1">
      <c r="A1597" s="1" t="s">
        <v>4115</v>
      </c>
      <c r="B1597" s="1" t="s">
        <v>4116</v>
      </c>
      <c r="C1597" s="2" t="s">
        <v>4117</v>
      </c>
      <c r="D1597" s="2" t="str">
        <f t="shared" si="34"/>
        <v>nhân viên y tế nam màu da sáng</v>
      </c>
      <c r="E1597" s="3" t="str">
        <f t="shared" si="2"/>
        <v>man health worker light skin tone</v>
      </c>
    </row>
    <row r="1598" ht="15.75" customHeight="1">
      <c r="A1598" s="1" t="s">
        <v>4118</v>
      </c>
      <c r="B1598" s="1" t="s">
        <v>4119</v>
      </c>
      <c r="C1598" s="2" t="s">
        <v>4120</v>
      </c>
      <c r="D1598" s="2" t="str">
        <f t="shared" si="34"/>
        <v>nhân viên y tế nam màu da sẫm vừa</v>
      </c>
      <c r="E1598" s="3" t="str">
        <f t="shared" si="2"/>
        <v>man health worker medium-dark skin tone</v>
      </c>
    </row>
    <row r="1599" ht="15.75" customHeight="1">
      <c r="A1599" s="1" t="s">
        <v>4121</v>
      </c>
      <c r="B1599" s="1" t="s">
        <v>4122</v>
      </c>
      <c r="C1599" s="2" t="s">
        <v>4123</v>
      </c>
      <c r="D1599" s="2" t="str">
        <f t="shared" si="34"/>
        <v>nhân viên y tế nam màu da sáng vừa</v>
      </c>
      <c r="E1599" s="3" t="str">
        <f t="shared" si="2"/>
        <v>man health worker medium-light skin tone</v>
      </c>
    </row>
    <row r="1600" ht="15.75" customHeight="1">
      <c r="A1600" s="1" t="s">
        <v>4124</v>
      </c>
      <c r="B1600" s="1" t="s">
        <v>4125</v>
      </c>
      <c r="C1600" s="2" t="s">
        <v>4126</v>
      </c>
      <c r="D1600" s="2" t="str">
        <f t="shared" si="34"/>
        <v>nhân viên y tế nam màu da thường</v>
      </c>
      <c r="E1600" s="3" t="str">
        <f t="shared" si="2"/>
        <v>man health worker medium skin tone</v>
      </c>
    </row>
    <row r="1601" ht="15.75" customHeight="1">
      <c r="A1601" s="1" t="s">
        <v>4127</v>
      </c>
      <c r="B1601" s="1" t="s">
        <v>4128</v>
      </c>
      <c r="C1601" s="2" t="s">
        <v>4129</v>
      </c>
      <c r="D1601" s="2" t="str">
        <f t="shared" si="34"/>
        <v>người đàn ông đang ngồi thiền</v>
      </c>
      <c r="E1601" s="3" t="str">
        <f t="shared" si="2"/>
        <v>man in lotus position</v>
      </c>
    </row>
    <row r="1602" ht="15.75" customHeight="1">
      <c r="A1602" s="1" t="s">
        <v>4130</v>
      </c>
      <c r="B1602" s="1" t="s">
        <v>4131</v>
      </c>
      <c r="C1602" s="2" t="s">
        <v>4132</v>
      </c>
      <c r="D1602" s="2" t="str">
        <f t="shared" si="34"/>
        <v>người đàn ông màu da sẫm đang ngồi thiền</v>
      </c>
      <c r="E1602" s="3" t="str">
        <f t="shared" si="2"/>
        <v>man in lotus position dark skin tone</v>
      </c>
    </row>
    <row r="1603" ht="15.75" customHeight="1">
      <c r="A1603" s="1" t="s">
        <v>4133</v>
      </c>
      <c r="B1603" s="1" t="s">
        <v>4134</v>
      </c>
      <c r="C1603" s="2" t="s">
        <v>4135</v>
      </c>
      <c r="D1603" s="2" t="str">
        <f t="shared" si="34"/>
        <v>người đàn ông màu da sáng đang ngồi thiền</v>
      </c>
      <c r="E1603" s="3" t="str">
        <f t="shared" si="2"/>
        <v>man in lotus position light skin tone</v>
      </c>
    </row>
    <row r="1604" ht="15.75" customHeight="1">
      <c r="A1604" s="1" t="s">
        <v>4136</v>
      </c>
      <c r="B1604" s="1" t="s">
        <v>4137</v>
      </c>
      <c r="C1604" s="2" t="s">
        <v>4138</v>
      </c>
      <c r="D1604" s="2" t="str">
        <f t="shared" si="34"/>
        <v>người đàn ông màu da sẫm vừa đang ngồi thiền</v>
      </c>
      <c r="E1604" s="3" t="str">
        <f t="shared" si="2"/>
        <v>man in lotus position medium-dark skin tone</v>
      </c>
    </row>
    <row r="1605" ht="15.75" customHeight="1">
      <c r="A1605" s="1" t="s">
        <v>4139</v>
      </c>
      <c r="B1605" s="1" t="s">
        <v>4140</v>
      </c>
      <c r="C1605" s="2" t="s">
        <v>4141</v>
      </c>
      <c r="D1605" s="2" t="str">
        <f t="shared" si="34"/>
        <v>người đàn ông màu da sáng vừa đang ngồi thiền</v>
      </c>
      <c r="E1605" s="3" t="str">
        <f t="shared" si="2"/>
        <v>man in lotus position medium-light skin tone</v>
      </c>
    </row>
    <row r="1606" ht="15.75" customHeight="1">
      <c r="A1606" s="1" t="s">
        <v>4142</v>
      </c>
      <c r="B1606" s="1" t="s">
        <v>4143</v>
      </c>
      <c r="C1606" s="2" t="s">
        <v>4144</v>
      </c>
      <c r="D1606" s="2" t="str">
        <f t="shared" si="34"/>
        <v>người đàn ông màu da thường đang ngồi thiền</v>
      </c>
      <c r="E1606" s="3" t="str">
        <f t="shared" si="2"/>
        <v>man in lotus position medium skin tone</v>
      </c>
    </row>
    <row r="1607" ht="15.75" customHeight="1">
      <c r="A1607" s="1" t="s">
        <v>4145</v>
      </c>
      <c r="B1607" s="1" t="s">
        <v>4146</v>
      </c>
      <c r="C1607" s="2" t="s">
        <v>4147</v>
      </c>
      <c r="D1607" s="2" t="str">
        <f t="shared" si="34"/>
        <v>người đàn ông lăn xe lăn bằng tay</v>
      </c>
      <c r="E1607" s="3" t="str">
        <f t="shared" si="2"/>
        <v>man in manual wheelchair</v>
      </c>
    </row>
    <row r="1608" ht="15.75" customHeight="1">
      <c r="A1608" s="1" t="s">
        <v>4148</v>
      </c>
      <c r="B1608" s="1" t="s">
        <v>4149</v>
      </c>
      <c r="C1608" s="2" t="s">
        <v>4150</v>
      </c>
      <c r="D1608" s="2" t="str">
        <f t="shared" si="34"/>
        <v>người đàn ông màu da sẫm lăn xe lăn bằng tay</v>
      </c>
      <c r="E1608" s="3" t="str">
        <f t="shared" si="2"/>
        <v>man in manual wheelchair dark skin tone</v>
      </c>
    </row>
    <row r="1609" ht="15.75" customHeight="1">
      <c r="A1609" s="1" t="s">
        <v>4151</v>
      </c>
      <c r="B1609" s="1" t="s">
        <v>4152</v>
      </c>
      <c r="C1609" s="2" t="s">
        <v>4153</v>
      </c>
      <c r="D1609" s="2" t="str">
        <f t="shared" si="34"/>
        <v>người đàn ông màu da sáng lăn xe lăn bằng tay</v>
      </c>
      <c r="E1609" s="3" t="str">
        <f t="shared" si="2"/>
        <v>man in manual wheelchair light skin tone</v>
      </c>
    </row>
    <row r="1610" ht="15.75" customHeight="1">
      <c r="A1610" s="1" t="s">
        <v>4154</v>
      </c>
      <c r="B1610" s="1" t="s">
        <v>4155</v>
      </c>
      <c r="C1610" s="2" t="s">
        <v>4156</v>
      </c>
      <c r="D1610" s="2" t="str">
        <f t="shared" si="34"/>
        <v>người đàn ông màu da sẫm vừa lăn xe lăn bằng tay</v>
      </c>
      <c r="E1610" s="3" t="str">
        <f t="shared" si="2"/>
        <v>man in manual wheelchair medium-dark skin tone</v>
      </c>
    </row>
    <row r="1611" ht="15.75" customHeight="1">
      <c r="A1611" s="1" t="s">
        <v>4157</v>
      </c>
      <c r="B1611" s="1" t="s">
        <v>4158</v>
      </c>
      <c r="C1611" s="2" t="s">
        <v>4159</v>
      </c>
      <c r="D1611" s="2" t="str">
        <f t="shared" si="34"/>
        <v>người đàn ông màu da sáng vừa lăn xe lăn bằng tay</v>
      </c>
      <c r="E1611" s="3" t="str">
        <f t="shared" si="2"/>
        <v>man in manual wheelchair medium-light skin tone</v>
      </c>
    </row>
    <row r="1612" ht="15.75" customHeight="1">
      <c r="A1612" s="1" t="s">
        <v>4160</v>
      </c>
      <c r="B1612" s="1" t="s">
        <v>4161</v>
      </c>
      <c r="C1612" s="2" t="s">
        <v>4162</v>
      </c>
      <c r="D1612" s="2" t="str">
        <f t="shared" si="34"/>
        <v>người đàn ông màu da thường lăn xe lăn bằng tay</v>
      </c>
      <c r="E1612" s="3" t="str">
        <f t="shared" si="2"/>
        <v>man in manual wheelchair medium skin tone</v>
      </c>
    </row>
    <row r="1613" ht="15.75" customHeight="1">
      <c r="A1613" s="1" t="s">
        <v>4163</v>
      </c>
      <c r="B1613" s="1" t="s">
        <v>4164</v>
      </c>
      <c r="C1613" s="2" t="s">
        <v>4165</v>
      </c>
      <c r="D1613" s="2" t="str">
        <f t="shared" si="34"/>
        <v>người đàn ông trên xe lăn có động cơ</v>
      </c>
      <c r="E1613" s="3" t="str">
        <f t="shared" si="2"/>
        <v>man in motorized wheelchair</v>
      </c>
    </row>
    <row r="1614" ht="15.75" customHeight="1">
      <c r="A1614" s="1" t="s">
        <v>4166</v>
      </c>
      <c r="B1614" s="1" t="s">
        <v>4167</v>
      </c>
      <c r="C1614" s="2" t="s">
        <v>4168</v>
      </c>
      <c r="D1614" s="2" t="str">
        <f t="shared" si="34"/>
        <v>người đàn ông trên xe lăn có động cơ màu da sẫm</v>
      </c>
      <c r="E1614" s="3" t="str">
        <f t="shared" si="2"/>
        <v>man in motorized wheelchair dark skin tone</v>
      </c>
    </row>
    <row r="1615" ht="15.75" customHeight="1">
      <c r="A1615" s="1" t="s">
        <v>4169</v>
      </c>
      <c r="B1615" s="1" t="s">
        <v>4170</v>
      </c>
      <c r="C1615" s="2" t="s">
        <v>4171</v>
      </c>
      <c r="D1615" s="2" t="str">
        <f t="shared" si="34"/>
        <v>người đàn ông trên xe lăn có động cơ màu da sáng</v>
      </c>
      <c r="E1615" s="3" t="str">
        <f t="shared" si="2"/>
        <v>man in motorized wheelchair light skin tone</v>
      </c>
    </row>
    <row r="1616" ht="15.75" customHeight="1">
      <c r="A1616" s="1" t="s">
        <v>4172</v>
      </c>
      <c r="B1616" s="1" t="s">
        <v>4173</v>
      </c>
      <c r="C1616" s="2" t="s">
        <v>4174</v>
      </c>
      <c r="D1616" s="2" t="str">
        <f t="shared" si="34"/>
        <v>người đàn ông trên xe lăn có động cơ màu da sẫm vừa</v>
      </c>
      <c r="E1616" s="3" t="str">
        <f t="shared" si="2"/>
        <v>man in motorized wheelchair medium-dark skin tone</v>
      </c>
    </row>
    <row r="1617" ht="15.75" customHeight="1">
      <c r="A1617" s="1" t="s">
        <v>4175</v>
      </c>
      <c r="B1617" s="1" t="s">
        <v>4176</v>
      </c>
      <c r="C1617" s="2" t="s">
        <v>4177</v>
      </c>
      <c r="D1617" s="2" t="str">
        <f t="shared" si="34"/>
        <v>người đàn ông trên xe lăn có động cơ màu da sáng vừa</v>
      </c>
      <c r="E1617" s="3" t="str">
        <f t="shared" si="2"/>
        <v>man in motorized wheelchair medium-light skin tone</v>
      </c>
    </row>
    <row r="1618" ht="15.75" customHeight="1">
      <c r="A1618" s="1" t="s">
        <v>4178</v>
      </c>
      <c r="B1618" s="1" t="s">
        <v>4179</v>
      </c>
      <c r="C1618" s="2" t="s">
        <v>4180</v>
      </c>
      <c r="D1618" s="2" t="str">
        <f t="shared" si="34"/>
        <v>người đàn ông trên xe lăn có động cơ màu da thường</v>
      </c>
      <c r="E1618" s="3" t="str">
        <f t="shared" si="2"/>
        <v>man in motorized wheelchair medium skin tone</v>
      </c>
    </row>
    <row r="1619" ht="15.75" customHeight="1">
      <c r="A1619" s="1" t="s">
        <v>4181</v>
      </c>
      <c r="B1619" s="1" t="s">
        <v>4182</v>
      </c>
      <c r="C1619" s="5" t="s">
        <v>4183</v>
      </c>
      <c r="D1619" s="2" t="str">
        <f t="shared" si="34"/>
        <v>người đàn ông trong phòng xông hơi</v>
      </c>
      <c r="E1619" s="3" t="str">
        <f t="shared" si="2"/>
        <v>man in steamy room</v>
      </c>
    </row>
    <row r="1620" ht="15.75" customHeight="1">
      <c r="A1620" s="1" t="s">
        <v>4184</v>
      </c>
      <c r="B1620" s="1" t="s">
        <v>4185</v>
      </c>
      <c r="C1620" s="5" t="s">
        <v>4186</v>
      </c>
      <c r="D1620" s="2" t="str">
        <f t="shared" si="34"/>
        <v>người đàn ông màu da sẫm trong phòng xông hơi</v>
      </c>
      <c r="E1620" s="3" t="str">
        <f t="shared" si="2"/>
        <v>man in steamy room dark skin tone</v>
      </c>
    </row>
    <row r="1621" ht="15.75" customHeight="1">
      <c r="A1621" s="1" t="s">
        <v>4187</v>
      </c>
      <c r="B1621" s="1" t="s">
        <v>4188</v>
      </c>
      <c r="C1621" s="5" t="s">
        <v>4189</v>
      </c>
      <c r="D1621" s="2" t="str">
        <f t="shared" si="34"/>
        <v>người đàn ông màu da sáng trong phòng xông hơi</v>
      </c>
      <c r="E1621" s="3" t="str">
        <f t="shared" si="2"/>
        <v>man in steamy room light skin tone</v>
      </c>
    </row>
    <row r="1622" ht="15.75" customHeight="1">
      <c r="A1622" s="1" t="s">
        <v>4190</v>
      </c>
      <c r="B1622" s="1" t="s">
        <v>4191</v>
      </c>
      <c r="C1622" s="5" t="s">
        <v>4192</v>
      </c>
      <c r="D1622" s="2" t="str">
        <f t="shared" si="34"/>
        <v>người đàn ông màu da sẫm vừa trong phòng xông hơi</v>
      </c>
      <c r="E1622" s="3" t="str">
        <f t="shared" si="2"/>
        <v>man in steamy room medium-dark skin tone</v>
      </c>
    </row>
    <row r="1623" ht="15.75" customHeight="1">
      <c r="A1623" s="1" t="s">
        <v>4193</v>
      </c>
      <c r="B1623" s="1" t="s">
        <v>4194</v>
      </c>
      <c r="C1623" s="5" t="s">
        <v>4195</v>
      </c>
      <c r="D1623" s="2" t="str">
        <f t="shared" si="34"/>
        <v>người đàn ông màu da sáng vừa trong phòng xông hơi</v>
      </c>
      <c r="E1623" s="3" t="str">
        <f t="shared" si="2"/>
        <v>man in steamy room medium-light skin tone</v>
      </c>
    </row>
    <row r="1624" ht="15.75" customHeight="1">
      <c r="A1624" s="1" t="s">
        <v>4196</v>
      </c>
      <c r="B1624" s="1" t="s">
        <v>4197</v>
      </c>
      <c r="C1624" s="5" t="s">
        <v>4198</v>
      </c>
      <c r="D1624" s="2" t="str">
        <f t="shared" si="34"/>
        <v>người đàn ông màu da thường trong phòng xông hơi</v>
      </c>
      <c r="E1624" s="3" t="str">
        <f t="shared" si="2"/>
        <v>man in steamy room medium skin tone</v>
      </c>
    </row>
    <row r="1625" ht="15.75" customHeight="1">
      <c r="A1625" s="1" t="s">
        <v>4199</v>
      </c>
      <c r="B1625" s="1" t="s">
        <v>4200</v>
      </c>
      <c r="C1625" s="5" t="s">
        <v>4201</v>
      </c>
      <c r="D1625" s="2" t="str">
        <f t="shared" si="34"/>
        <v>người đàn ông mang áo đuôi tôm</v>
      </c>
      <c r="E1625" s="3" t="str">
        <f t="shared" si="2"/>
        <v>man in tuxedo</v>
      </c>
    </row>
    <row r="1626" ht="15.75" customHeight="1">
      <c r="A1626" s="1" t="s">
        <v>4202</v>
      </c>
      <c r="B1626" s="1" t="s">
        <v>4203</v>
      </c>
      <c r="C1626" s="5" t="s">
        <v>4204</v>
      </c>
      <c r="D1626" s="2" t="str">
        <f t="shared" si="34"/>
        <v>người đàn ông màu da sẫm mang áo đuôi tôm</v>
      </c>
      <c r="E1626" s="3" t="str">
        <f t="shared" si="2"/>
        <v>man in tuxedo dark skin tone</v>
      </c>
    </row>
    <row r="1627" ht="15.75" customHeight="1">
      <c r="A1627" s="1" t="s">
        <v>4205</v>
      </c>
      <c r="B1627" s="1" t="s">
        <v>4206</v>
      </c>
      <c r="C1627" s="5" t="s">
        <v>4207</v>
      </c>
      <c r="D1627" s="2" t="str">
        <f t="shared" si="34"/>
        <v>người đàn ông màu da sáng mang áo đuôi tôm</v>
      </c>
      <c r="E1627" s="3" t="str">
        <f t="shared" si="2"/>
        <v>man in tuxedo light skin tone</v>
      </c>
    </row>
    <row r="1628" ht="15.75" customHeight="1">
      <c r="A1628" s="1" t="s">
        <v>4208</v>
      </c>
      <c r="B1628" s="1" t="s">
        <v>4209</v>
      </c>
      <c r="C1628" s="5" t="s">
        <v>4210</v>
      </c>
      <c r="D1628" s="2" t="str">
        <f t="shared" si="34"/>
        <v>người đàn ông màu da sẫm vừa mang áo đuôi tôm</v>
      </c>
      <c r="E1628" s="3" t="str">
        <f t="shared" si="2"/>
        <v>man in tuxedo medium-dark skin tone</v>
      </c>
    </row>
    <row r="1629" ht="15.75" customHeight="1">
      <c r="A1629" s="1" t="s">
        <v>4211</v>
      </c>
      <c r="B1629" s="1" t="s">
        <v>4212</v>
      </c>
      <c r="C1629" s="5" t="s">
        <v>4213</v>
      </c>
      <c r="D1629" s="2" t="str">
        <f t="shared" si="34"/>
        <v>người đàn ông màu da sáng vừa mang áo đuôi tôm</v>
      </c>
      <c r="E1629" s="3" t="str">
        <f t="shared" si="2"/>
        <v>man in tuxedo medium-light skin tone</v>
      </c>
    </row>
    <row r="1630" ht="15.75" customHeight="1">
      <c r="A1630" s="1" t="s">
        <v>4214</v>
      </c>
      <c r="B1630" s="1" t="s">
        <v>4215</v>
      </c>
      <c r="C1630" s="5" t="s">
        <v>4216</v>
      </c>
      <c r="D1630" s="2" t="str">
        <f t="shared" si="34"/>
        <v>người đàn ông màu da thường mang áo đuôi tôm</v>
      </c>
      <c r="E1630" s="3" t="str">
        <f t="shared" si="2"/>
        <v>man in tuxedo medium skin tone</v>
      </c>
    </row>
    <row r="1631" ht="15.75" customHeight="1">
      <c r="A1631" s="1" t="s">
        <v>4217</v>
      </c>
      <c r="B1631" s="1" t="s">
        <v>4218</v>
      </c>
      <c r="C1631" s="2" t="s">
        <v>4219</v>
      </c>
      <c r="D1631" s="2" t="str">
        <f t="shared" si="34"/>
        <v>thẩm phán nam</v>
      </c>
      <c r="E1631" s="3" t="str">
        <f t="shared" si="2"/>
        <v>man judge</v>
      </c>
    </row>
    <row r="1632" ht="15.75" customHeight="1">
      <c r="A1632" s="1" t="s">
        <v>4220</v>
      </c>
      <c r="B1632" s="1" t="s">
        <v>4221</v>
      </c>
      <c r="C1632" s="2" t="s">
        <v>4222</v>
      </c>
      <c r="D1632" s="2" t="str">
        <f t="shared" si="34"/>
        <v>thẩm phán nam màu da sẫm</v>
      </c>
      <c r="E1632" s="3" t="str">
        <f t="shared" si="2"/>
        <v>man judge dark skin tone</v>
      </c>
    </row>
    <row r="1633" ht="15.75" customHeight="1">
      <c r="A1633" s="1" t="s">
        <v>4223</v>
      </c>
      <c r="B1633" s="1" t="s">
        <v>4224</v>
      </c>
      <c r="C1633" s="2" t="s">
        <v>4225</v>
      </c>
      <c r="D1633" s="2" t="str">
        <f t="shared" si="34"/>
        <v>thẩm phán nam màu da sáng</v>
      </c>
      <c r="E1633" s="3" t="str">
        <f t="shared" si="2"/>
        <v>man judge light skin tone</v>
      </c>
    </row>
    <row r="1634" ht="15.75" customHeight="1">
      <c r="A1634" s="1" t="s">
        <v>4226</v>
      </c>
      <c r="B1634" s="1" t="s">
        <v>4227</v>
      </c>
      <c r="C1634" s="2" t="s">
        <v>4228</v>
      </c>
      <c r="D1634" s="2" t="str">
        <f t="shared" si="34"/>
        <v>thẩm phán nam màu da sẫm vừa</v>
      </c>
      <c r="E1634" s="3" t="str">
        <f t="shared" si="2"/>
        <v>man judge medium-dark skin tone</v>
      </c>
    </row>
    <row r="1635" ht="15.75" customHeight="1">
      <c r="A1635" s="1" t="s">
        <v>4229</v>
      </c>
      <c r="B1635" s="1" t="s">
        <v>4230</v>
      </c>
      <c r="C1635" s="2" t="s">
        <v>4231</v>
      </c>
      <c r="D1635" s="2" t="str">
        <f t="shared" si="34"/>
        <v>thẩm phán nam màu da sáng vừa</v>
      </c>
      <c r="E1635" s="3" t="str">
        <f t="shared" si="2"/>
        <v>man judge medium-light skin tone</v>
      </c>
    </row>
    <row r="1636" ht="15.75" customHeight="1">
      <c r="A1636" s="1" t="s">
        <v>4232</v>
      </c>
      <c r="B1636" s="1" t="s">
        <v>4233</v>
      </c>
      <c r="C1636" s="2" t="s">
        <v>4234</v>
      </c>
      <c r="D1636" s="2" t="str">
        <f t="shared" si="34"/>
        <v>thẩm phán nam màu da thường</v>
      </c>
      <c r="E1636" s="3" t="str">
        <f t="shared" si="2"/>
        <v>man judge medium skin tone</v>
      </c>
    </row>
    <row r="1637" ht="15.75" customHeight="1">
      <c r="A1637" s="1" t="s">
        <v>4235</v>
      </c>
      <c r="B1637" s="1" t="s">
        <v>4236</v>
      </c>
      <c r="C1637" s="5" t="s">
        <v>4237</v>
      </c>
      <c r="D1637" s="2" t="str">
        <f t="shared" si="34"/>
        <v>người đàn ông tung hứng</v>
      </c>
      <c r="E1637" s="3" t="str">
        <f t="shared" si="2"/>
        <v>man juggling</v>
      </c>
    </row>
    <row r="1638" ht="15.75" customHeight="1">
      <c r="A1638" s="1" t="s">
        <v>4238</v>
      </c>
      <c r="B1638" s="1" t="s">
        <v>4239</v>
      </c>
      <c r="C1638" s="5" t="s">
        <v>4240</v>
      </c>
      <c r="D1638" s="2" t="str">
        <f t="shared" si="34"/>
        <v>người đàn ông màu da sẫm tung hứng</v>
      </c>
      <c r="E1638" s="3" t="str">
        <f t="shared" si="2"/>
        <v>man juggling dark skin tone</v>
      </c>
    </row>
    <row r="1639" ht="15.75" customHeight="1">
      <c r="A1639" s="1" t="s">
        <v>4241</v>
      </c>
      <c r="B1639" s="1" t="s">
        <v>4242</v>
      </c>
      <c r="C1639" s="5" t="s">
        <v>4243</v>
      </c>
      <c r="D1639" s="2" t="str">
        <f t="shared" si="34"/>
        <v>người đàn ông màu da sáng tung hứng</v>
      </c>
      <c r="E1639" s="3" t="str">
        <f t="shared" si="2"/>
        <v>man juggling light skin tone</v>
      </c>
    </row>
    <row r="1640" ht="15.75" customHeight="1">
      <c r="A1640" s="1" t="s">
        <v>4244</v>
      </c>
      <c r="B1640" s="1" t="s">
        <v>4245</v>
      </c>
      <c r="C1640" s="5" t="s">
        <v>4246</v>
      </c>
      <c r="D1640" s="2" t="str">
        <f t="shared" si="34"/>
        <v>người đàn ông màu da sẫm vừa tung hứng</v>
      </c>
      <c r="E1640" s="3" t="str">
        <f t="shared" si="2"/>
        <v>man juggling medium-dark skin tone</v>
      </c>
    </row>
    <row r="1641" ht="15.75" customHeight="1">
      <c r="A1641" s="1" t="s">
        <v>4247</v>
      </c>
      <c r="B1641" s="1" t="s">
        <v>4248</v>
      </c>
      <c r="C1641" s="5" t="s">
        <v>4249</v>
      </c>
      <c r="D1641" s="2" t="str">
        <f t="shared" si="34"/>
        <v>người đàn ông màu da sáng vừa tung hứng</v>
      </c>
      <c r="E1641" s="3" t="str">
        <f t="shared" si="2"/>
        <v>man juggling medium-light skin tone</v>
      </c>
    </row>
    <row r="1642" ht="15.75" customHeight="1">
      <c r="A1642" s="1" t="s">
        <v>4250</v>
      </c>
      <c r="B1642" s="1" t="s">
        <v>4251</v>
      </c>
      <c r="C1642" s="5" t="s">
        <v>4252</v>
      </c>
      <c r="D1642" s="2" t="str">
        <f t="shared" si="34"/>
        <v>người đàn ông màu da thường tung hứng</v>
      </c>
      <c r="E1642" s="3" t="str">
        <f t="shared" si="2"/>
        <v>man juggling medium skin tone</v>
      </c>
    </row>
    <row r="1643" ht="15.75" customHeight="1">
      <c r="A1643" s="1" t="s">
        <v>4253</v>
      </c>
      <c r="B1643" s="1" t="s">
        <v>4254</v>
      </c>
      <c r="C1643" s="5" t="s">
        <v>4255</v>
      </c>
      <c r="D1643" s="2" t="str">
        <f t="shared" si="34"/>
        <v>người đàn ông đang quỳ</v>
      </c>
      <c r="E1643" s="3" t="str">
        <f t="shared" si="2"/>
        <v>man kneeling</v>
      </c>
    </row>
    <row r="1644" ht="15.75" customHeight="1">
      <c r="A1644" s="1" t="s">
        <v>4256</v>
      </c>
      <c r="B1644" s="1" t="s">
        <v>4257</v>
      </c>
      <c r="C1644" s="5" t="s">
        <v>4258</v>
      </c>
      <c r="D1644" s="2" t="str">
        <f t="shared" si="34"/>
        <v>người đàn ông màu da sẫm đang quỳ</v>
      </c>
      <c r="E1644" s="3" t="str">
        <f t="shared" si="2"/>
        <v>man kneeling dark skin tone</v>
      </c>
    </row>
    <row r="1645" ht="15.75" customHeight="1">
      <c r="A1645" s="1" t="s">
        <v>4259</v>
      </c>
      <c r="B1645" s="1" t="s">
        <v>4260</v>
      </c>
      <c r="C1645" s="5" t="s">
        <v>4261</v>
      </c>
      <c r="D1645" s="2" t="str">
        <f t="shared" si="34"/>
        <v>người đàn ông màu da sáng đang quỳ</v>
      </c>
      <c r="E1645" s="3" t="str">
        <f t="shared" si="2"/>
        <v>man kneeling light skin tone</v>
      </c>
    </row>
    <row r="1646" ht="15.75" customHeight="1">
      <c r="A1646" s="1" t="s">
        <v>4262</v>
      </c>
      <c r="B1646" s="1" t="s">
        <v>4263</v>
      </c>
      <c r="C1646" s="5" t="s">
        <v>4264</v>
      </c>
      <c r="D1646" s="2" t="str">
        <f t="shared" si="34"/>
        <v>người đàn ông màu da sẫm vừa đang quỳ</v>
      </c>
      <c r="E1646" s="3" t="str">
        <f t="shared" si="2"/>
        <v>man kneeling medium-dark skin tone</v>
      </c>
    </row>
    <row r="1647" ht="15.75" customHeight="1">
      <c r="A1647" s="1" t="s">
        <v>4265</v>
      </c>
      <c r="B1647" s="1" t="s">
        <v>4266</v>
      </c>
      <c r="C1647" s="5" t="s">
        <v>4267</v>
      </c>
      <c r="D1647" s="2" t="str">
        <f t="shared" si="34"/>
        <v>người đàn ông màu da sáng vừa đang quỳ</v>
      </c>
      <c r="E1647" s="3" t="str">
        <f t="shared" si="2"/>
        <v>man kneeling medium-light skin tone</v>
      </c>
    </row>
    <row r="1648" ht="15.75" customHeight="1">
      <c r="A1648" s="1" t="s">
        <v>4268</v>
      </c>
      <c r="B1648" s="1" t="s">
        <v>4269</v>
      </c>
      <c r="C1648" s="5" t="s">
        <v>4270</v>
      </c>
      <c r="D1648" s="2" t="str">
        <f t="shared" si="34"/>
        <v>người đàn ông màu da thường đang quỳ</v>
      </c>
      <c r="E1648" s="3" t="str">
        <f t="shared" si="2"/>
        <v>man kneeling medium skin tone</v>
      </c>
    </row>
    <row r="1649" ht="15.75" customHeight="1">
      <c r="A1649" s="1" t="s">
        <v>4271</v>
      </c>
      <c r="B1649" s="1" t="s">
        <v>4272</v>
      </c>
      <c r="C1649" s="5" t="s">
        <v>4273</v>
      </c>
      <c r="D1649" s="2" t="str">
        <f t="shared" si="34"/>
        <v>người đàn ông nâng tạ</v>
      </c>
      <c r="E1649" s="3" t="str">
        <f t="shared" si="2"/>
        <v>man lifting weights</v>
      </c>
    </row>
    <row r="1650" ht="15.75" customHeight="1">
      <c r="A1650" s="1" t="s">
        <v>4274</v>
      </c>
      <c r="B1650" s="1" t="s">
        <v>4275</v>
      </c>
      <c r="C1650" s="5" t="s">
        <v>4276</v>
      </c>
      <c r="D1650" s="2" t="str">
        <f t="shared" si="34"/>
        <v>người đàn ông màu da sẫm nâng tạ</v>
      </c>
      <c r="E1650" s="3" t="str">
        <f t="shared" si="2"/>
        <v>man lifting weights dark skin tone</v>
      </c>
    </row>
    <row r="1651" ht="15.75" customHeight="1">
      <c r="A1651" s="1" t="s">
        <v>4277</v>
      </c>
      <c r="B1651" s="1" t="s">
        <v>4278</v>
      </c>
      <c r="C1651" s="5" t="s">
        <v>4279</v>
      </c>
      <c r="D1651" s="2" t="str">
        <f t="shared" si="34"/>
        <v>người đàn ông màu da sáng nâng tạ</v>
      </c>
      <c r="E1651" s="3" t="str">
        <f t="shared" si="2"/>
        <v>man lifting weights light skin tone</v>
      </c>
    </row>
    <row r="1652" ht="15.75" customHeight="1">
      <c r="A1652" s="1" t="s">
        <v>4280</v>
      </c>
      <c r="B1652" s="1" t="s">
        <v>4281</v>
      </c>
      <c r="C1652" s="5" t="s">
        <v>4282</v>
      </c>
      <c r="D1652" s="2" t="str">
        <f t="shared" si="34"/>
        <v>người đàn ông màu da sẫm vừa nâng tạ</v>
      </c>
      <c r="E1652" s="3" t="str">
        <f t="shared" si="2"/>
        <v>man lifting weights medium-dark skin tone</v>
      </c>
    </row>
    <row r="1653" ht="15.75" customHeight="1">
      <c r="A1653" s="1" t="s">
        <v>4283</v>
      </c>
      <c r="B1653" s="1" t="s">
        <v>4284</v>
      </c>
      <c r="C1653" s="5" t="s">
        <v>4285</v>
      </c>
      <c r="D1653" s="2" t="str">
        <f t="shared" si="34"/>
        <v>người đàn ông màu da sáng vừa nâng tạ</v>
      </c>
      <c r="E1653" s="3" t="str">
        <f t="shared" si="2"/>
        <v>man lifting weights medium-light skin tone</v>
      </c>
    </row>
    <row r="1654" ht="15.75" customHeight="1">
      <c r="A1654" s="1" t="s">
        <v>4286</v>
      </c>
      <c r="B1654" s="1" t="s">
        <v>4287</v>
      </c>
      <c r="C1654" s="5" t="s">
        <v>4288</v>
      </c>
      <c r="D1654" s="2" t="str">
        <f t="shared" si="34"/>
        <v>người đàn ông màu da thường nâng tạ</v>
      </c>
      <c r="E1654" s="3" t="str">
        <f t="shared" si="2"/>
        <v>man lifting weights medium skin tone</v>
      </c>
    </row>
    <row r="1655" ht="15.75" customHeight="1">
      <c r="A1655" s="1" t="s">
        <v>4289</v>
      </c>
      <c r="B1655" s="1" t="s">
        <v>4290</v>
      </c>
      <c r="C1655" s="2" t="s">
        <v>4291</v>
      </c>
      <c r="D1655" s="2" t="str">
        <f t="shared" si="34"/>
        <v>người đàn ông da sáng</v>
      </c>
      <c r="E1655" s="3" t="str">
        <f t="shared" si="2"/>
        <v>man light skin tone</v>
      </c>
    </row>
    <row r="1656" ht="15.75" customHeight="1">
      <c r="A1656" s="1" t="s">
        <v>4292</v>
      </c>
      <c r="B1656" s="1" t="s">
        <v>4293</v>
      </c>
      <c r="C1656" s="2" t="s">
        <v>4294</v>
      </c>
      <c r="D1656" s="2" t="str">
        <f t="shared" si="34"/>
        <v>người đàn ông hói da sáng</v>
      </c>
      <c r="E1656" s="3" t="str">
        <f t="shared" si="2"/>
        <v>man light skin tone bald</v>
      </c>
    </row>
    <row r="1657" ht="15.75" customHeight="1">
      <c r="A1657" s="1" t="s">
        <v>4295</v>
      </c>
      <c r="B1657" s="1" t="s">
        <v>4296</v>
      </c>
      <c r="C1657" s="2" t="s">
        <v>4297</v>
      </c>
      <c r="D1657" s="2" t="str">
        <f t="shared" si="34"/>
        <v>người đàn ông có râu da sáng</v>
      </c>
      <c r="E1657" s="3" t="str">
        <f t="shared" si="2"/>
        <v>man light skin tone beard</v>
      </c>
    </row>
    <row r="1658" ht="15.75" customHeight="1">
      <c r="A1658" s="1" t="s">
        <v>4298</v>
      </c>
      <c r="B1658" s="1" t="s">
        <v>4299</v>
      </c>
      <c r="C1658" s="2" t="s">
        <v>4300</v>
      </c>
      <c r="D1658" s="2" t="str">
        <f t="shared" si="34"/>
        <v>người đàn ông tóc vàng da sáng</v>
      </c>
      <c r="E1658" s="3" t="str">
        <f t="shared" si="2"/>
        <v>man light skin tone blond hair</v>
      </c>
    </row>
    <row r="1659" ht="15.75" customHeight="1">
      <c r="A1659" s="1" t="s">
        <v>4301</v>
      </c>
      <c r="B1659" s="1" t="s">
        <v>4302</v>
      </c>
      <c r="C1659" s="2" t="s">
        <v>4303</v>
      </c>
      <c r="D1659" s="2" t="str">
        <f t="shared" si="34"/>
        <v>người đàn ông tóc xoăn da sáng</v>
      </c>
      <c r="E1659" s="3" t="str">
        <f t="shared" si="2"/>
        <v>man light skin tone curly hair</v>
      </c>
    </row>
    <row r="1660" ht="15.75" customHeight="1">
      <c r="A1660" s="1" t="s">
        <v>4304</v>
      </c>
      <c r="B1660" s="1" t="s">
        <v>4305</v>
      </c>
      <c r="C1660" s="2" t="s">
        <v>4306</v>
      </c>
      <c r="D1660" s="2" t="str">
        <f t="shared" si="34"/>
        <v>người đàn ông tóc đỏ da sáng</v>
      </c>
      <c r="E1660" s="3" t="str">
        <f t="shared" si="2"/>
        <v>man light skin tone red hair</v>
      </c>
    </row>
    <row r="1661" ht="15.75" customHeight="1">
      <c r="A1661" s="1" t="s">
        <v>4307</v>
      </c>
      <c r="B1661" s="1" t="s">
        <v>4308</v>
      </c>
      <c r="C1661" s="2" t="s">
        <v>4309</v>
      </c>
      <c r="D1661" s="2" t="str">
        <f t="shared" si="34"/>
        <v>người đàn ông tóc trắng da sáng</v>
      </c>
      <c r="E1661" s="3" t="str">
        <f t="shared" si="2"/>
        <v>man light skin tone white hair</v>
      </c>
    </row>
    <row r="1662" ht="15.75" customHeight="1">
      <c r="A1662" s="1" t="s">
        <v>4310</v>
      </c>
      <c r="B1662" s="1" t="s">
        <v>4311</v>
      </c>
      <c r="C1662" s="2" t="s">
        <v>4312</v>
      </c>
      <c r="D1662" s="2" t="str">
        <f t="shared" si="34"/>
        <v>pháp sư nam</v>
      </c>
      <c r="E1662" s="3" t="str">
        <f t="shared" si="2"/>
        <v>man mage</v>
      </c>
    </row>
    <row r="1663" ht="15.75" customHeight="1">
      <c r="A1663" s="1" t="s">
        <v>4313</v>
      </c>
      <c r="B1663" s="1" t="s">
        <v>4314</v>
      </c>
      <c r="C1663" s="2" t="s">
        <v>4315</v>
      </c>
      <c r="D1663" s="2" t="str">
        <f t="shared" si="34"/>
        <v>pháp sư nam màu da sẫm</v>
      </c>
      <c r="E1663" s="3" t="str">
        <f t="shared" si="2"/>
        <v>man mage dark skin tone</v>
      </c>
    </row>
    <row r="1664" ht="15.75" customHeight="1">
      <c r="A1664" s="1" t="s">
        <v>4316</v>
      </c>
      <c r="B1664" s="1" t="s">
        <v>4317</v>
      </c>
      <c r="C1664" s="2" t="s">
        <v>4318</v>
      </c>
      <c r="D1664" s="2" t="str">
        <f t="shared" si="34"/>
        <v>pháp sư nam màu da sáng</v>
      </c>
      <c r="E1664" s="3" t="str">
        <f t="shared" si="2"/>
        <v>man mage light skin tone</v>
      </c>
    </row>
    <row r="1665" ht="15.75" customHeight="1">
      <c r="A1665" s="1" t="s">
        <v>4319</v>
      </c>
      <c r="B1665" s="1" t="s">
        <v>4320</v>
      </c>
      <c r="C1665" s="2" t="s">
        <v>4321</v>
      </c>
      <c r="D1665" s="2" t="str">
        <f t="shared" si="34"/>
        <v>pháp sư nam màu da sẫm vừa</v>
      </c>
      <c r="E1665" s="3" t="str">
        <f t="shared" si="2"/>
        <v>man mage medium-dark skin tone</v>
      </c>
    </row>
    <row r="1666" ht="15.75" customHeight="1">
      <c r="A1666" s="1" t="s">
        <v>4322</v>
      </c>
      <c r="B1666" s="1" t="s">
        <v>4323</v>
      </c>
      <c r="C1666" s="2" t="s">
        <v>4324</v>
      </c>
      <c r="D1666" s="2" t="str">
        <f t="shared" si="34"/>
        <v>pháp sư nam màu da sáng vừa</v>
      </c>
      <c r="E1666" s="3" t="str">
        <f t="shared" si="2"/>
        <v>man mage medium-light skin tone</v>
      </c>
    </row>
    <row r="1667" ht="15.75" customHeight="1">
      <c r="A1667" s="1" t="s">
        <v>4325</v>
      </c>
      <c r="B1667" s="1" t="s">
        <v>4326</v>
      </c>
      <c r="C1667" s="2" t="s">
        <v>4327</v>
      </c>
      <c r="D1667" s="2" t="str">
        <f t="shared" si="34"/>
        <v>pháp sư nam màu da thường</v>
      </c>
      <c r="E1667" s="3" t="str">
        <f t="shared" si="2"/>
        <v>man mage medium skin tone</v>
      </c>
    </row>
    <row r="1668" ht="15.75" customHeight="1">
      <c r="A1668" s="1" t="s">
        <v>4328</v>
      </c>
      <c r="B1668" s="1" t="s">
        <v>4329</v>
      </c>
      <c r="C1668" s="2" t="s">
        <v>4330</v>
      </c>
      <c r="D1668" s="2" t="str">
        <f t="shared" si="34"/>
        <v>thợ máy nam</v>
      </c>
      <c r="E1668" s="3" t="str">
        <f t="shared" si="2"/>
        <v>man mechanic</v>
      </c>
    </row>
    <row r="1669" ht="15.75" customHeight="1">
      <c r="A1669" s="1" t="s">
        <v>4331</v>
      </c>
      <c r="B1669" s="1" t="s">
        <v>4332</v>
      </c>
      <c r="C1669" s="2" t="s">
        <v>4333</v>
      </c>
      <c r="D1669" s="2" t="str">
        <f t="shared" si="34"/>
        <v>thợ máy nam màu da sẫm</v>
      </c>
      <c r="E1669" s="3" t="str">
        <f t="shared" si="2"/>
        <v>man mechanic dark skin tone</v>
      </c>
    </row>
    <row r="1670" ht="15.75" customHeight="1">
      <c r="A1670" s="1" t="s">
        <v>4334</v>
      </c>
      <c r="B1670" s="1" t="s">
        <v>4335</v>
      </c>
      <c r="C1670" s="2" t="s">
        <v>4336</v>
      </c>
      <c r="D1670" s="2" t="str">
        <f t="shared" si="34"/>
        <v>thợ máy nam màu da sáng</v>
      </c>
      <c r="E1670" s="3" t="str">
        <f t="shared" si="2"/>
        <v>man mechanic light skin tone</v>
      </c>
    </row>
    <row r="1671" ht="15.75" customHeight="1">
      <c r="A1671" s="1" t="s">
        <v>4337</v>
      </c>
      <c r="B1671" s="1" t="s">
        <v>4338</v>
      </c>
      <c r="C1671" s="2" t="s">
        <v>4339</v>
      </c>
      <c r="D1671" s="2" t="str">
        <f t="shared" si="34"/>
        <v>thợ máy nam màu da sẫm vừa</v>
      </c>
      <c r="E1671" s="3" t="str">
        <f t="shared" si="2"/>
        <v>man mechanic medium-dark skin tone</v>
      </c>
    </row>
    <row r="1672" ht="15.75" customHeight="1">
      <c r="A1672" s="1" t="s">
        <v>4340</v>
      </c>
      <c r="B1672" s="1" t="s">
        <v>4341</v>
      </c>
      <c r="C1672" s="2" t="s">
        <v>4342</v>
      </c>
      <c r="D1672" s="2" t="str">
        <f t="shared" si="34"/>
        <v>thợ máy nam màu da sáng vừa</v>
      </c>
      <c r="E1672" s="3" t="str">
        <f t="shared" si="2"/>
        <v>man mechanic medium-light skin tone</v>
      </c>
    </row>
    <row r="1673" ht="15.75" customHeight="1">
      <c r="A1673" s="1" t="s">
        <v>4343</v>
      </c>
      <c r="B1673" s="1" t="s">
        <v>4344</v>
      </c>
      <c r="C1673" s="2" t="s">
        <v>4345</v>
      </c>
      <c r="D1673" s="2" t="str">
        <f t="shared" si="34"/>
        <v>thợ máy nam màu da thường</v>
      </c>
      <c r="E1673" s="3" t="str">
        <f t="shared" si="2"/>
        <v>man mechanic medium skin tone</v>
      </c>
    </row>
    <row r="1674" ht="15.75" customHeight="1">
      <c r="A1674" s="1" t="s">
        <v>4346</v>
      </c>
      <c r="B1674" s="1" t="s">
        <v>4347</v>
      </c>
      <c r="C1674" s="2" t="s">
        <v>4348</v>
      </c>
      <c r="D1674" s="2" t="str">
        <f t="shared" si="34"/>
        <v>người đàn ông da sẫm vừa</v>
      </c>
      <c r="E1674" s="3" t="str">
        <f t="shared" si="2"/>
        <v>man medium-dark skin tone</v>
      </c>
    </row>
    <row r="1675" ht="15.75" customHeight="1">
      <c r="A1675" s="1" t="s">
        <v>4349</v>
      </c>
      <c r="B1675" s="1" t="s">
        <v>4350</v>
      </c>
      <c r="C1675" s="2" t="s">
        <v>4351</v>
      </c>
      <c r="D1675" s="2" t="str">
        <f t="shared" si="34"/>
        <v>người đàn ông hói da sẫm vừa</v>
      </c>
      <c r="E1675" s="3" t="str">
        <f t="shared" si="2"/>
        <v>man medium-dark skin tone bald</v>
      </c>
    </row>
    <row r="1676" ht="15.75" customHeight="1">
      <c r="A1676" s="1" t="s">
        <v>4352</v>
      </c>
      <c r="B1676" s="1" t="s">
        <v>4353</v>
      </c>
      <c r="C1676" s="2" t="s">
        <v>4354</v>
      </c>
      <c r="D1676" s="2" t="str">
        <f t="shared" si="34"/>
        <v>người đàn ông có râu da sẫm vừa</v>
      </c>
      <c r="E1676" s="3" t="str">
        <f t="shared" si="2"/>
        <v>man medium-dark skin tone beard</v>
      </c>
    </row>
    <row r="1677" ht="15.75" customHeight="1">
      <c r="A1677" s="1" t="s">
        <v>4355</v>
      </c>
      <c r="B1677" s="1" t="s">
        <v>4356</v>
      </c>
      <c r="C1677" s="2" t="s">
        <v>4357</v>
      </c>
      <c r="D1677" s="2" t="str">
        <f t="shared" si="34"/>
        <v>người đàn ông tóc vàng da sẫm vừa</v>
      </c>
      <c r="E1677" s="3" t="str">
        <f t="shared" si="2"/>
        <v>man medium-dark skin tone blond hair</v>
      </c>
    </row>
    <row r="1678" ht="15.75" customHeight="1">
      <c r="A1678" s="1" t="s">
        <v>4358</v>
      </c>
      <c r="B1678" s="1" t="s">
        <v>4359</v>
      </c>
      <c r="C1678" s="2" t="s">
        <v>4360</v>
      </c>
      <c r="D1678" s="2" t="str">
        <f t="shared" si="34"/>
        <v>người đàn ông tóc xoăn da sẫm vừa</v>
      </c>
      <c r="E1678" s="3" t="str">
        <f t="shared" si="2"/>
        <v>man medium-dark skin tone curly hair</v>
      </c>
    </row>
    <row r="1679" ht="15.75" customHeight="1">
      <c r="A1679" s="1" t="s">
        <v>4361</v>
      </c>
      <c r="B1679" s="1" t="s">
        <v>4362</v>
      </c>
      <c r="C1679" s="2" t="s">
        <v>4363</v>
      </c>
      <c r="D1679" s="2" t="str">
        <f t="shared" si="34"/>
        <v>người đàn ông tóc đỏ da sẫm vừa</v>
      </c>
      <c r="E1679" s="3" t="str">
        <f t="shared" si="2"/>
        <v>man medium-dark skin tone red hair</v>
      </c>
    </row>
    <row r="1680" ht="15.75" customHeight="1">
      <c r="A1680" s="1" t="s">
        <v>4364</v>
      </c>
      <c r="B1680" s="1" t="s">
        <v>4365</v>
      </c>
      <c r="C1680" s="2" t="s">
        <v>4366</v>
      </c>
      <c r="D1680" s="2" t="str">
        <f t="shared" si="34"/>
        <v>người đàn ông tóc trắng da sẫm vừa</v>
      </c>
      <c r="E1680" s="3" t="str">
        <f t="shared" si="2"/>
        <v>man medium-dark skin tone white hair</v>
      </c>
    </row>
    <row r="1681" ht="15.75" customHeight="1">
      <c r="A1681" s="1" t="s">
        <v>4367</v>
      </c>
      <c r="B1681" s="1" t="s">
        <v>4368</v>
      </c>
      <c r="C1681" s="2" t="s">
        <v>4369</v>
      </c>
      <c r="D1681" s="2" t="str">
        <f t="shared" si="34"/>
        <v>người đàn ông da sáng vừa</v>
      </c>
      <c r="E1681" s="3" t="str">
        <f t="shared" si="2"/>
        <v>man medium-light skin tone</v>
      </c>
    </row>
    <row r="1682" ht="15.75" customHeight="1">
      <c r="A1682" s="1" t="s">
        <v>4370</v>
      </c>
      <c r="B1682" s="1" t="s">
        <v>4371</v>
      </c>
      <c r="C1682" s="2" t="s">
        <v>4372</v>
      </c>
      <c r="D1682" s="2" t="str">
        <f t="shared" si="34"/>
        <v>người đàn ông hói da sáng vừa</v>
      </c>
      <c r="E1682" s="3" t="str">
        <f t="shared" si="2"/>
        <v>man medium-light skin tone bald</v>
      </c>
    </row>
    <row r="1683" ht="15.75" customHeight="1">
      <c r="A1683" s="1" t="s">
        <v>4373</v>
      </c>
      <c r="B1683" s="1" t="s">
        <v>4374</v>
      </c>
      <c r="C1683" s="2" t="s">
        <v>4375</v>
      </c>
      <c r="D1683" s="2" t="str">
        <f t="shared" si="34"/>
        <v>người đàn ông có râu da sáng vừa</v>
      </c>
      <c r="E1683" s="3" t="str">
        <f t="shared" si="2"/>
        <v>man medium-light skin tone beard</v>
      </c>
    </row>
    <row r="1684" ht="15.75" customHeight="1">
      <c r="A1684" s="1" t="s">
        <v>4376</v>
      </c>
      <c r="B1684" s="1" t="s">
        <v>4377</v>
      </c>
      <c r="C1684" s="2" t="s">
        <v>4378</v>
      </c>
      <c r="D1684" s="2" t="str">
        <f t="shared" si="34"/>
        <v>người đàn ông tóc vàng da sáng vừa</v>
      </c>
      <c r="E1684" s="3" t="str">
        <f t="shared" si="2"/>
        <v>man medium-light skin tone blond hair</v>
      </c>
    </row>
    <row r="1685" ht="15.75" customHeight="1">
      <c r="A1685" s="1" t="s">
        <v>4379</v>
      </c>
      <c r="B1685" s="1" t="s">
        <v>4380</v>
      </c>
      <c r="C1685" s="2" t="s">
        <v>4381</v>
      </c>
      <c r="D1685" s="2" t="str">
        <f t="shared" si="34"/>
        <v>người đàn ông tóc xoăn da sáng vừa</v>
      </c>
      <c r="E1685" s="3" t="str">
        <f t="shared" si="2"/>
        <v>man medium-light skin tone curly hair</v>
      </c>
    </row>
    <row r="1686" ht="15.75" customHeight="1">
      <c r="A1686" s="1" t="s">
        <v>4382</v>
      </c>
      <c r="B1686" s="1" t="s">
        <v>4383</v>
      </c>
      <c r="C1686" s="2" t="s">
        <v>4384</v>
      </c>
      <c r="D1686" s="2" t="str">
        <f t="shared" si="34"/>
        <v>người đàn ông tóc đỏ da sáng vừa</v>
      </c>
      <c r="E1686" s="3" t="str">
        <f t="shared" si="2"/>
        <v>man medium-light skin tone red hair</v>
      </c>
    </row>
    <row r="1687" ht="15.75" customHeight="1">
      <c r="A1687" s="1" t="s">
        <v>4385</v>
      </c>
      <c r="B1687" s="1" t="s">
        <v>4386</v>
      </c>
      <c r="C1687" s="2" t="s">
        <v>4387</v>
      </c>
      <c r="D1687" s="2" t="str">
        <f t="shared" si="34"/>
        <v>người đàn ông tóc trắng da sáng vừa</v>
      </c>
      <c r="E1687" s="3" t="str">
        <f t="shared" si="2"/>
        <v>man medium-light skin tone white hair</v>
      </c>
    </row>
    <row r="1688" ht="15.75" customHeight="1">
      <c r="A1688" s="1" t="s">
        <v>4388</v>
      </c>
      <c r="B1688" s="1" t="s">
        <v>4389</v>
      </c>
      <c r="C1688" s="2" t="s">
        <v>4390</v>
      </c>
      <c r="D1688" s="2" t="str">
        <f t="shared" si="34"/>
        <v>người đàn ông da thường</v>
      </c>
      <c r="E1688" s="3" t="str">
        <f t="shared" si="2"/>
        <v>man medium skin tone</v>
      </c>
    </row>
    <row r="1689" ht="15.75" customHeight="1">
      <c r="A1689" s="1" t="s">
        <v>4391</v>
      </c>
      <c r="B1689" s="1" t="s">
        <v>4392</v>
      </c>
      <c r="C1689" s="2" t="s">
        <v>4393</v>
      </c>
      <c r="D1689" s="2" t="str">
        <f t="shared" si="34"/>
        <v>người đàn ông hói da thường</v>
      </c>
      <c r="E1689" s="3" t="str">
        <f t="shared" si="2"/>
        <v>man medium skin tone bald</v>
      </c>
    </row>
    <row r="1690" ht="15.75" customHeight="1">
      <c r="A1690" s="1" t="s">
        <v>4394</v>
      </c>
      <c r="B1690" s="1" t="s">
        <v>4395</v>
      </c>
      <c r="C1690" s="2" t="s">
        <v>4396</v>
      </c>
      <c r="D1690" s="2" t="str">
        <f t="shared" si="34"/>
        <v>người đàn ông có râu da thường</v>
      </c>
      <c r="E1690" s="3" t="str">
        <f t="shared" si="2"/>
        <v>man medium skin tone beard</v>
      </c>
    </row>
    <row r="1691" ht="15.75" customHeight="1">
      <c r="A1691" s="1" t="s">
        <v>4397</v>
      </c>
      <c r="B1691" s="1" t="s">
        <v>4398</v>
      </c>
      <c r="C1691" s="2" t="s">
        <v>4399</v>
      </c>
      <c r="D1691" s="2" t="str">
        <f t="shared" si="34"/>
        <v>người đàn ông tóc vàng da thường</v>
      </c>
      <c r="E1691" s="3" t="str">
        <f t="shared" si="2"/>
        <v>man medium skin tone blond hair</v>
      </c>
    </row>
    <row r="1692" ht="15.75" customHeight="1">
      <c r="A1692" s="1" t="s">
        <v>4400</v>
      </c>
      <c r="B1692" s="1" t="s">
        <v>4401</v>
      </c>
      <c r="C1692" s="2" t="s">
        <v>4402</v>
      </c>
      <c r="D1692" s="2" t="str">
        <f t="shared" si="34"/>
        <v>người đàn ông tóc xoăn da thường</v>
      </c>
      <c r="E1692" s="3" t="str">
        <f t="shared" si="2"/>
        <v>man medium skin tone curly hair</v>
      </c>
    </row>
    <row r="1693" ht="15.75" customHeight="1">
      <c r="A1693" s="1" t="s">
        <v>4403</v>
      </c>
      <c r="B1693" s="1" t="s">
        <v>4404</v>
      </c>
      <c r="C1693" s="2" t="s">
        <v>4405</v>
      </c>
      <c r="D1693" s="2" t="str">
        <f t="shared" si="34"/>
        <v>người đàn ông tóc đỏ da thường</v>
      </c>
      <c r="E1693" s="3" t="str">
        <f t="shared" si="2"/>
        <v>man medium skin tone red hair</v>
      </c>
    </row>
    <row r="1694" ht="15.75" customHeight="1">
      <c r="A1694" s="1" t="s">
        <v>4406</v>
      </c>
      <c r="B1694" s="1" t="s">
        <v>4407</v>
      </c>
      <c r="C1694" s="2" t="s">
        <v>4408</v>
      </c>
      <c r="D1694" s="2" t="str">
        <f t="shared" si="34"/>
        <v>người đàn ông tóc trắng da thường</v>
      </c>
      <c r="E1694" s="3" t="str">
        <f t="shared" si="2"/>
        <v>man medium skin tone white hair</v>
      </c>
    </row>
    <row r="1695" ht="15.75" customHeight="1">
      <c r="A1695" s="1" t="s">
        <v>4409</v>
      </c>
      <c r="B1695" s="1" t="s">
        <v>4410</v>
      </c>
      <c r="C1695" s="2" t="s">
        <v>4411</v>
      </c>
      <c r="D1695" s="2" t="str">
        <f t="shared" si="34"/>
        <v>người đàn ông đi xe đạp leo núi</v>
      </c>
      <c r="E1695" s="3" t="str">
        <f t="shared" si="2"/>
        <v>man mountain biking</v>
      </c>
    </row>
    <row r="1696" ht="15.75" customHeight="1">
      <c r="A1696" s="1" t="s">
        <v>4412</v>
      </c>
      <c r="B1696" s="1" t="s">
        <v>4413</v>
      </c>
      <c r="C1696" s="2" t="s">
        <v>4414</v>
      </c>
      <c r="D1696" s="2" t="str">
        <f t="shared" si="34"/>
        <v>người đàn ông màu da sẫm đi xe đạp leo núi</v>
      </c>
      <c r="E1696" s="3" t="str">
        <f t="shared" si="2"/>
        <v>man mountain biking dark skin tone</v>
      </c>
    </row>
    <row r="1697" ht="15.75" customHeight="1">
      <c r="A1697" s="1" t="s">
        <v>4415</v>
      </c>
      <c r="B1697" s="1" t="s">
        <v>4416</v>
      </c>
      <c r="C1697" s="2" t="s">
        <v>4417</v>
      </c>
      <c r="D1697" s="2" t="str">
        <f t="shared" si="34"/>
        <v>người đàn ông màu da sáng đi xe đạp leo núi</v>
      </c>
      <c r="E1697" s="3" t="str">
        <f t="shared" si="2"/>
        <v>man mountain biking light skin tone</v>
      </c>
    </row>
    <row r="1698" ht="15.75" customHeight="1">
      <c r="A1698" s="1" t="s">
        <v>4418</v>
      </c>
      <c r="B1698" s="1" t="s">
        <v>4419</v>
      </c>
      <c r="C1698" s="2" t="s">
        <v>4420</v>
      </c>
      <c r="D1698" s="2" t="str">
        <f t="shared" si="34"/>
        <v>người đàn ông màu da sẫm vừa đi xe đạp leo núi</v>
      </c>
      <c r="E1698" s="3" t="str">
        <f t="shared" si="2"/>
        <v>man mountain biking medium-dark skin tone</v>
      </c>
    </row>
    <row r="1699" ht="15.75" customHeight="1">
      <c r="A1699" s="1" t="s">
        <v>4421</v>
      </c>
      <c r="B1699" s="1" t="s">
        <v>4422</v>
      </c>
      <c r="C1699" s="2" t="s">
        <v>4423</v>
      </c>
      <c r="D1699" s="2" t="str">
        <f t="shared" si="34"/>
        <v>người đàn ông màu da sáng vừa đi xe đạp leo núi</v>
      </c>
      <c r="E1699" s="3" t="str">
        <f t="shared" si="2"/>
        <v>man mountain biking medium-light skin tone</v>
      </c>
    </row>
    <row r="1700" ht="15.75" customHeight="1">
      <c r="A1700" s="1" t="s">
        <v>4424</v>
      </c>
      <c r="B1700" s="1" t="s">
        <v>4425</v>
      </c>
      <c r="C1700" s="2" t="s">
        <v>4426</v>
      </c>
      <c r="D1700" s="2" t="str">
        <f t="shared" si="34"/>
        <v>người đàn ông màu da thường đi xe đạp leo núi</v>
      </c>
      <c r="E1700" s="3" t="str">
        <f t="shared" si="2"/>
        <v>man mountain biking medium skin tone</v>
      </c>
    </row>
    <row r="1701" ht="15.75" customHeight="1">
      <c r="A1701" s="1" t="s">
        <v>4427</v>
      </c>
      <c r="B1701" s="1" t="s">
        <v>4428</v>
      </c>
      <c r="C1701" s="2" t="s">
        <v>4429</v>
      </c>
      <c r="D1701" s="2" t="str">
        <f t="shared" si="34"/>
        <v>nhân viên văn phòng nam</v>
      </c>
      <c r="E1701" s="3" t="str">
        <f t="shared" si="2"/>
        <v>man office worker</v>
      </c>
    </row>
    <row r="1702" ht="15.75" customHeight="1">
      <c r="A1702" s="1" t="s">
        <v>4430</v>
      </c>
      <c r="B1702" s="1" t="s">
        <v>4431</v>
      </c>
      <c r="C1702" s="2" t="s">
        <v>4432</v>
      </c>
      <c r="D1702" s="2" t="str">
        <f t="shared" si="34"/>
        <v>nhân viên văn phòng nam màu da sẫm</v>
      </c>
      <c r="E1702" s="3" t="str">
        <f t="shared" si="2"/>
        <v>man office worker dark skin tone</v>
      </c>
    </row>
    <row r="1703" ht="15.75" customHeight="1">
      <c r="A1703" s="1" t="s">
        <v>4433</v>
      </c>
      <c r="B1703" s="1" t="s">
        <v>4434</v>
      </c>
      <c r="C1703" s="2" t="s">
        <v>4435</v>
      </c>
      <c r="D1703" s="2" t="str">
        <f t="shared" si="34"/>
        <v>nhân viên văn phòng nam màu da sáng</v>
      </c>
      <c r="E1703" s="3" t="str">
        <f t="shared" si="2"/>
        <v>man office worker light skin tone</v>
      </c>
    </row>
    <row r="1704" ht="15.75" customHeight="1">
      <c r="A1704" s="1" t="s">
        <v>4436</v>
      </c>
      <c r="B1704" s="1" t="s">
        <v>4437</v>
      </c>
      <c r="C1704" s="2" t="s">
        <v>4438</v>
      </c>
      <c r="D1704" s="2" t="str">
        <f t="shared" si="34"/>
        <v>nhân viên văn phòng nam màu da sẫm vừa</v>
      </c>
      <c r="E1704" s="3" t="str">
        <f t="shared" si="2"/>
        <v>man office worker medium-dark skin tone</v>
      </c>
    </row>
    <row r="1705" ht="15.75" customHeight="1">
      <c r="A1705" s="1" t="s">
        <v>4439</v>
      </c>
      <c r="B1705" s="1" t="s">
        <v>4440</v>
      </c>
      <c r="C1705" s="2" t="s">
        <v>4441</v>
      </c>
      <c r="D1705" s="2" t="str">
        <f t="shared" si="34"/>
        <v>nhân viên văn phòng nam màu da sáng vừa</v>
      </c>
      <c r="E1705" s="3" t="str">
        <f t="shared" si="2"/>
        <v>man office worker medium-light skin tone</v>
      </c>
    </row>
    <row r="1706" ht="15.75" customHeight="1">
      <c r="A1706" s="1" t="s">
        <v>4442</v>
      </c>
      <c r="B1706" s="1" t="s">
        <v>4443</v>
      </c>
      <c r="C1706" s="2" t="s">
        <v>4444</v>
      </c>
      <c r="D1706" s="2" t="str">
        <f t="shared" si="34"/>
        <v>nhân viên văn phòng nam màu da thường</v>
      </c>
      <c r="E1706" s="3" t="str">
        <f t="shared" si="2"/>
        <v>man office worker medium skin tone</v>
      </c>
    </row>
    <row r="1707" ht="15.75" customHeight="1">
      <c r="A1707" s="1" t="s">
        <v>4445</v>
      </c>
      <c r="B1707" s="1" t="s">
        <v>4446</v>
      </c>
      <c r="C1707" s="2" t="s">
        <v>4447</v>
      </c>
      <c r="D1707" s="2" t="str">
        <f t="shared" si="34"/>
        <v>phi công nam</v>
      </c>
      <c r="E1707" s="3" t="str">
        <f t="shared" si="2"/>
        <v>man pilot</v>
      </c>
    </row>
    <row r="1708" ht="15.75" customHeight="1">
      <c r="A1708" s="1" t="s">
        <v>4448</v>
      </c>
      <c r="B1708" s="1" t="s">
        <v>4449</v>
      </c>
      <c r="C1708" s="2" t="s">
        <v>4450</v>
      </c>
      <c r="D1708" s="2" t="str">
        <f t="shared" si="34"/>
        <v>phi công nam màu da sẫm</v>
      </c>
      <c r="E1708" s="3" t="str">
        <f t="shared" si="2"/>
        <v>man pilot dark skin tone</v>
      </c>
    </row>
    <row r="1709" ht="15.75" customHeight="1">
      <c r="A1709" s="1" t="s">
        <v>4451</v>
      </c>
      <c r="B1709" s="1" t="s">
        <v>4452</v>
      </c>
      <c r="C1709" s="2" t="s">
        <v>4453</v>
      </c>
      <c r="D1709" s="2" t="str">
        <f t="shared" si="34"/>
        <v>phi công nam màu da sáng</v>
      </c>
      <c r="E1709" s="3" t="str">
        <f t="shared" si="2"/>
        <v>man pilot light skin tone</v>
      </c>
    </row>
    <row r="1710" ht="15.75" customHeight="1">
      <c r="A1710" s="1" t="s">
        <v>4454</v>
      </c>
      <c r="B1710" s="1" t="s">
        <v>4455</v>
      </c>
      <c r="C1710" s="2" t="s">
        <v>4456</v>
      </c>
      <c r="D1710" s="2" t="str">
        <f t="shared" si="34"/>
        <v>phi công nam màu da sẫm vừa</v>
      </c>
      <c r="E1710" s="3" t="str">
        <f t="shared" si="2"/>
        <v>man pilot medium-dark skin tone</v>
      </c>
    </row>
    <row r="1711" ht="15.75" customHeight="1">
      <c r="A1711" s="1" t="s">
        <v>4457</v>
      </c>
      <c r="B1711" s="1" t="s">
        <v>4458</v>
      </c>
      <c r="C1711" s="2" t="s">
        <v>4459</v>
      </c>
      <c r="D1711" s="2" t="str">
        <f t="shared" si="34"/>
        <v>phi công nam màu da sáng vừa</v>
      </c>
      <c r="E1711" s="3" t="str">
        <f t="shared" si="2"/>
        <v>man pilot medium-light skin tone</v>
      </c>
    </row>
    <row r="1712" ht="15.75" customHeight="1">
      <c r="A1712" s="1" t="s">
        <v>4460</v>
      </c>
      <c r="B1712" s="1" t="s">
        <v>4461</v>
      </c>
      <c r="C1712" s="2" t="s">
        <v>4462</v>
      </c>
      <c r="D1712" s="2" t="str">
        <f t="shared" si="34"/>
        <v>phi công nam màu da thường</v>
      </c>
      <c r="E1712" s="3" t="str">
        <f t="shared" si="2"/>
        <v>man pilot medium skin tone</v>
      </c>
    </row>
    <row r="1713" ht="15.75" customHeight="1">
      <c r="A1713" s="1" t="s">
        <v>4463</v>
      </c>
      <c r="B1713" s="1" t="s">
        <v>4464</v>
      </c>
      <c r="C1713" s="2" t="s">
        <v>4465</v>
      </c>
      <c r="D1713" s="2" t="str">
        <f t="shared" si="34"/>
        <v>người đàn ông chơi bóng ném</v>
      </c>
      <c r="E1713" s="3" t="str">
        <f t="shared" si="2"/>
        <v>man playing handball</v>
      </c>
    </row>
    <row r="1714" ht="15.75" customHeight="1">
      <c r="A1714" s="1" t="s">
        <v>4466</v>
      </c>
      <c r="B1714" s="1" t="s">
        <v>4467</v>
      </c>
      <c r="C1714" s="2" t="s">
        <v>4468</v>
      </c>
      <c r="D1714" s="2" t="str">
        <f t="shared" si="34"/>
        <v>người đàn ông màu da sẫm chơi bóng ném</v>
      </c>
      <c r="E1714" s="3" t="str">
        <f t="shared" si="2"/>
        <v>man playing handball dark skin tone</v>
      </c>
    </row>
    <row r="1715" ht="15.75" customHeight="1">
      <c r="A1715" s="1" t="s">
        <v>4469</v>
      </c>
      <c r="B1715" s="1" t="s">
        <v>4470</v>
      </c>
      <c r="C1715" s="2" t="s">
        <v>4471</v>
      </c>
      <c r="D1715" s="2" t="str">
        <f t="shared" si="34"/>
        <v>người đàn ông màu da sáng chơi bóng ném</v>
      </c>
      <c r="E1715" s="3" t="str">
        <f t="shared" si="2"/>
        <v>man playing handball light skin tone</v>
      </c>
    </row>
    <row r="1716" ht="15.75" customHeight="1">
      <c r="A1716" s="1" t="s">
        <v>4472</v>
      </c>
      <c r="B1716" s="1" t="s">
        <v>4473</v>
      </c>
      <c r="C1716" s="2" t="s">
        <v>4474</v>
      </c>
      <c r="D1716" s="2" t="str">
        <f t="shared" si="34"/>
        <v>người đàn ông màu da sẫm vừa chơi bóng ném</v>
      </c>
      <c r="E1716" s="3" t="str">
        <f t="shared" si="2"/>
        <v>man playing handball medium-dark skin tone</v>
      </c>
    </row>
    <row r="1717" ht="15.75" customHeight="1">
      <c r="A1717" s="1" t="s">
        <v>4475</v>
      </c>
      <c r="B1717" s="1" t="s">
        <v>4476</v>
      </c>
      <c r="C1717" s="2" t="s">
        <v>4477</v>
      </c>
      <c r="D1717" s="2" t="str">
        <f t="shared" si="34"/>
        <v>người đàn ông màu da sáng vừa chơi bóng ném</v>
      </c>
      <c r="E1717" s="3" t="str">
        <f t="shared" si="2"/>
        <v>man playing handball medium-light skin tone</v>
      </c>
    </row>
    <row r="1718" ht="15.75" customHeight="1">
      <c r="A1718" s="1" t="s">
        <v>4478</v>
      </c>
      <c r="B1718" s="1" t="s">
        <v>4479</v>
      </c>
      <c r="C1718" s="2" t="s">
        <v>4480</v>
      </c>
      <c r="D1718" s="2" t="str">
        <f t="shared" si="34"/>
        <v>người đàn ông màu da thường chơi bóng ném</v>
      </c>
      <c r="E1718" s="3" t="str">
        <f t="shared" si="2"/>
        <v>man playing handball medium skin tone</v>
      </c>
    </row>
    <row r="1719" ht="15.75" customHeight="1">
      <c r="A1719" s="1" t="s">
        <v>4481</v>
      </c>
      <c r="B1719" s="1" t="s">
        <v>4482</v>
      </c>
      <c r="C1719" s="2" t="s">
        <v>4483</v>
      </c>
      <c r="D1719" s="2" t="str">
        <f t="shared" si="34"/>
        <v>người đàn ông chơi bóng nước</v>
      </c>
      <c r="E1719" s="3" t="str">
        <f t="shared" si="2"/>
        <v>man playing water polo</v>
      </c>
    </row>
    <row r="1720" ht="15.75" customHeight="1">
      <c r="A1720" s="1" t="s">
        <v>4484</v>
      </c>
      <c r="B1720" s="1" t="s">
        <v>4485</v>
      </c>
      <c r="C1720" s="2" t="s">
        <v>4486</v>
      </c>
      <c r="D1720" s="2" t="str">
        <f t="shared" si="34"/>
        <v>người đàn ông màu da sẫm chơi bóng nước</v>
      </c>
      <c r="E1720" s="3" t="str">
        <f t="shared" si="2"/>
        <v>man playing water polo dark skin tone</v>
      </c>
    </row>
    <row r="1721" ht="15.75" customHeight="1">
      <c r="A1721" s="1" t="s">
        <v>4487</v>
      </c>
      <c r="B1721" s="1" t="s">
        <v>4488</v>
      </c>
      <c r="C1721" s="2" t="s">
        <v>4489</v>
      </c>
      <c r="D1721" s="2" t="str">
        <f t="shared" si="34"/>
        <v>người đàn ông màu da sáng chơi bóng nước</v>
      </c>
      <c r="E1721" s="3" t="str">
        <f t="shared" si="2"/>
        <v>man playing water polo light skin tone</v>
      </c>
    </row>
    <row r="1722" ht="15.75" customHeight="1">
      <c r="A1722" s="1" t="s">
        <v>4490</v>
      </c>
      <c r="B1722" s="1" t="s">
        <v>4491</v>
      </c>
      <c r="C1722" s="2" t="s">
        <v>4492</v>
      </c>
      <c r="D1722" s="2" t="str">
        <f t="shared" si="34"/>
        <v>người đàn ông màu da sẫm vừa chơi bóng nước</v>
      </c>
      <c r="E1722" s="3" t="str">
        <f t="shared" si="2"/>
        <v>man playing water polo medium-dark skin tone</v>
      </c>
    </row>
    <row r="1723" ht="15.75" customHeight="1">
      <c r="A1723" s="1" t="s">
        <v>4493</v>
      </c>
      <c r="B1723" s="1" t="s">
        <v>4494</v>
      </c>
      <c r="C1723" s="2" t="s">
        <v>4495</v>
      </c>
      <c r="D1723" s="2" t="str">
        <f t="shared" si="34"/>
        <v>người đàn ông màu da sáng vừa chơi bóng nước</v>
      </c>
      <c r="E1723" s="3" t="str">
        <f t="shared" si="2"/>
        <v>man playing water polo medium-light skin tone</v>
      </c>
    </row>
    <row r="1724" ht="15.75" customHeight="1">
      <c r="A1724" s="1" t="s">
        <v>4496</v>
      </c>
      <c r="B1724" s="1" t="s">
        <v>4497</v>
      </c>
      <c r="C1724" s="2" t="s">
        <v>4498</v>
      </c>
      <c r="D1724" s="2" t="str">
        <f t="shared" si="34"/>
        <v>người đàn ông màu da thường chơi bóng nước</v>
      </c>
      <c r="E1724" s="3" t="str">
        <f t="shared" si="2"/>
        <v>man playing water polo medium skin tone</v>
      </c>
    </row>
    <row r="1725" ht="15.75" customHeight="1">
      <c r="A1725" s="1" t="s">
        <v>4499</v>
      </c>
      <c r="B1725" s="1" t="s">
        <v>4500</v>
      </c>
      <c r="C1725" s="2" t="s">
        <v>4501</v>
      </c>
      <c r="D1725" s="2" t="str">
        <f t="shared" si="34"/>
        <v>nhân viên cảnh sát nam</v>
      </c>
      <c r="E1725" s="3" t="str">
        <f t="shared" si="2"/>
        <v>man police officer</v>
      </c>
    </row>
    <row r="1726" ht="15.75" customHeight="1">
      <c r="A1726" s="1" t="s">
        <v>4502</v>
      </c>
      <c r="B1726" s="1" t="s">
        <v>4503</v>
      </c>
      <c r="C1726" s="2" t="s">
        <v>4504</v>
      </c>
      <c r="D1726" s="2" t="str">
        <f t="shared" si="34"/>
        <v>nhân viên cảnh sát nam màu da sẫm</v>
      </c>
      <c r="E1726" s="3" t="str">
        <f t="shared" si="2"/>
        <v>man police officer dark skin tone</v>
      </c>
    </row>
    <row r="1727" ht="15.75" customHeight="1">
      <c r="A1727" s="1" t="s">
        <v>4505</v>
      </c>
      <c r="B1727" s="1" t="s">
        <v>4506</v>
      </c>
      <c r="C1727" s="2" t="s">
        <v>4507</v>
      </c>
      <c r="D1727" s="2" t="str">
        <f t="shared" si="34"/>
        <v>nhân viên cảnh sát nam màu da sáng</v>
      </c>
      <c r="E1727" s="3" t="str">
        <f t="shared" si="2"/>
        <v>man police officer light skin tone</v>
      </c>
    </row>
    <row r="1728" ht="15.75" customHeight="1">
      <c r="A1728" s="1" t="s">
        <v>4508</v>
      </c>
      <c r="B1728" s="1" t="s">
        <v>4509</v>
      </c>
      <c r="C1728" s="2" t="s">
        <v>4510</v>
      </c>
      <c r="D1728" s="2" t="str">
        <f t="shared" si="34"/>
        <v>nhân viên cảnh sát nam màu da sẫm vừa</v>
      </c>
      <c r="E1728" s="3" t="str">
        <f t="shared" si="2"/>
        <v>man police officer medium-dark skin tone</v>
      </c>
    </row>
    <row r="1729" ht="15.75" customHeight="1">
      <c r="A1729" s="1" t="s">
        <v>4511</v>
      </c>
      <c r="B1729" s="1" t="s">
        <v>4512</v>
      </c>
      <c r="C1729" s="2" t="s">
        <v>4513</v>
      </c>
      <c r="D1729" s="2" t="str">
        <f t="shared" si="34"/>
        <v>nhân viên cảnh sát nam màu da sáng vừa</v>
      </c>
      <c r="E1729" s="3" t="str">
        <f t="shared" si="2"/>
        <v>man police officer medium-light skin tone</v>
      </c>
    </row>
    <row r="1730" ht="15.75" customHeight="1">
      <c r="A1730" s="1" t="s">
        <v>4514</v>
      </c>
      <c r="B1730" s="1" t="s">
        <v>4515</v>
      </c>
      <c r="C1730" s="2" t="s">
        <v>4516</v>
      </c>
      <c r="D1730" s="2" t="str">
        <f t="shared" si="34"/>
        <v>nhân viên cảnh sát nam màu da thường</v>
      </c>
      <c r="E1730" s="3" t="str">
        <f t="shared" si="2"/>
        <v>man police officer medium skin tone</v>
      </c>
    </row>
    <row r="1731" ht="15.75" customHeight="1">
      <c r="A1731" s="1" t="s">
        <v>4517</v>
      </c>
      <c r="B1731" s="1" t="s">
        <v>4518</v>
      </c>
      <c r="C1731" s="2" t="s">
        <v>4519</v>
      </c>
      <c r="D1731" s="2" t="str">
        <f t="shared" si="34"/>
        <v>người đàn ông bĩu môi</v>
      </c>
      <c r="E1731" s="3" t="str">
        <f t="shared" si="2"/>
        <v>man pouting</v>
      </c>
    </row>
    <row r="1732" ht="15.75" customHeight="1">
      <c r="A1732" s="1" t="s">
        <v>4520</v>
      </c>
      <c r="B1732" s="1" t="s">
        <v>4521</v>
      </c>
      <c r="C1732" s="2" t="s">
        <v>4522</v>
      </c>
      <c r="D1732" s="2" t="str">
        <f t="shared" si="34"/>
        <v>người đàn ông màu da sẫm bĩu môi</v>
      </c>
      <c r="E1732" s="3" t="str">
        <f t="shared" si="2"/>
        <v>man pouting dark skin tone</v>
      </c>
    </row>
    <row r="1733" ht="15.75" customHeight="1">
      <c r="A1733" s="1" t="s">
        <v>4523</v>
      </c>
      <c r="B1733" s="1" t="s">
        <v>4524</v>
      </c>
      <c r="C1733" s="2" t="s">
        <v>4525</v>
      </c>
      <c r="D1733" s="2" t="str">
        <f t="shared" si="34"/>
        <v>người đàn ông màu da sáng bĩu môi</v>
      </c>
      <c r="E1733" s="3" t="str">
        <f t="shared" si="2"/>
        <v>man pouting light skin tone</v>
      </c>
    </row>
    <row r="1734" ht="15.75" customHeight="1">
      <c r="A1734" s="1" t="s">
        <v>4526</v>
      </c>
      <c r="B1734" s="1" t="s">
        <v>4527</v>
      </c>
      <c r="C1734" s="2" t="s">
        <v>4528</v>
      </c>
      <c r="D1734" s="2" t="str">
        <f t="shared" si="34"/>
        <v>người đàn ông màu da sẫm vừa bĩu môi</v>
      </c>
      <c r="E1734" s="3" t="str">
        <f t="shared" si="2"/>
        <v>man pouting medium-dark skin tone</v>
      </c>
    </row>
    <row r="1735" ht="15.75" customHeight="1">
      <c r="A1735" s="1" t="s">
        <v>4529</v>
      </c>
      <c r="B1735" s="1" t="s">
        <v>4530</v>
      </c>
      <c r="C1735" s="2" t="s">
        <v>4531</v>
      </c>
      <c r="D1735" s="2" t="str">
        <f t="shared" si="34"/>
        <v>người đàn ông màu da sáng vừa bĩu môi</v>
      </c>
      <c r="E1735" s="3" t="str">
        <f t="shared" si="2"/>
        <v>man pouting medium-light skin tone</v>
      </c>
    </row>
    <row r="1736" ht="15.75" customHeight="1">
      <c r="A1736" s="1" t="s">
        <v>4532</v>
      </c>
      <c r="B1736" s="1" t="s">
        <v>4533</v>
      </c>
      <c r="C1736" s="2" t="s">
        <v>4534</v>
      </c>
      <c r="D1736" s="2" t="str">
        <f t="shared" si="34"/>
        <v>người đàn ông màu da thường bĩu môi</v>
      </c>
      <c r="E1736" s="3" t="str">
        <f t="shared" si="2"/>
        <v>man pouting medium skin tone</v>
      </c>
    </row>
    <row r="1737" ht="15.75" customHeight="1">
      <c r="A1737" s="1" t="s">
        <v>4535</v>
      </c>
      <c r="B1737" s="1" t="s">
        <v>4536</v>
      </c>
      <c r="C1737" s="2" t="s">
        <v>4537</v>
      </c>
      <c r="D1737" s="2" t="str">
        <f t="shared" si="34"/>
        <v>người đàn ông giơ tay</v>
      </c>
      <c r="E1737" s="3" t="str">
        <f t="shared" si="2"/>
        <v>man raising hand</v>
      </c>
    </row>
    <row r="1738" ht="15.75" customHeight="1">
      <c r="A1738" s="1" t="s">
        <v>4538</v>
      </c>
      <c r="B1738" s="1" t="s">
        <v>4539</v>
      </c>
      <c r="C1738" s="2" t="s">
        <v>4540</v>
      </c>
      <c r="D1738" s="2" t="str">
        <f t="shared" si="34"/>
        <v>người đàn ông màu da sẫm giơ tay</v>
      </c>
      <c r="E1738" s="3" t="str">
        <f t="shared" si="2"/>
        <v>man raising hand dark skin tone</v>
      </c>
    </row>
    <row r="1739" ht="15.75" customHeight="1">
      <c r="A1739" s="1" t="s">
        <v>4541</v>
      </c>
      <c r="B1739" s="1" t="s">
        <v>4542</v>
      </c>
      <c r="C1739" s="2" t="s">
        <v>4543</v>
      </c>
      <c r="D1739" s="2" t="str">
        <f t="shared" si="34"/>
        <v>người đàn ông màu da sáng giơ tay</v>
      </c>
      <c r="E1739" s="3" t="str">
        <f t="shared" si="2"/>
        <v>man raising hand light skin tone</v>
      </c>
    </row>
    <row r="1740" ht="15.75" customHeight="1">
      <c r="A1740" s="1" t="s">
        <v>4544</v>
      </c>
      <c r="B1740" s="1" t="s">
        <v>4545</v>
      </c>
      <c r="C1740" s="2" t="s">
        <v>4546</v>
      </c>
      <c r="D1740" s="2" t="str">
        <f t="shared" si="34"/>
        <v>người đàn ông màu da sẫm vừa giơ tay</v>
      </c>
      <c r="E1740" s="3" t="str">
        <f t="shared" si="2"/>
        <v>man raising hand medium-dark skin tone</v>
      </c>
    </row>
    <row r="1741" ht="15.75" customHeight="1">
      <c r="A1741" s="1" t="s">
        <v>4547</v>
      </c>
      <c r="B1741" s="1" t="s">
        <v>4548</v>
      </c>
      <c r="C1741" s="2" t="s">
        <v>4549</v>
      </c>
      <c r="D1741" s="2" t="str">
        <f t="shared" si="34"/>
        <v>người đàn ông màu da sáng vừa giơ tay</v>
      </c>
      <c r="E1741" s="3" t="str">
        <f t="shared" si="2"/>
        <v>man raising hand medium-light skin tone</v>
      </c>
    </row>
    <row r="1742" ht="15.75" customHeight="1">
      <c r="A1742" s="1" t="s">
        <v>4550</v>
      </c>
      <c r="B1742" s="1" t="s">
        <v>4551</v>
      </c>
      <c r="C1742" s="2" t="s">
        <v>4552</v>
      </c>
      <c r="D1742" s="2" t="str">
        <f t="shared" si="34"/>
        <v>người đàn ông màu da thường giơ tay</v>
      </c>
      <c r="E1742" s="3" t="str">
        <f t="shared" si="2"/>
        <v>man raising hand medium skin tone</v>
      </c>
    </row>
    <row r="1743" ht="15.75" customHeight="1">
      <c r="A1743" s="1" t="s">
        <v>4553</v>
      </c>
      <c r="B1743" s="1" t="s">
        <v>4554</v>
      </c>
      <c r="C1743" s="2" t="str">
        <f>IFERROR(__xludf.DUMMYFUNCTION("GOOGLETRANSLATE(E1743, ""en"",""vi"")"),"người đàn ông tóc đỏ")</f>
        <v>người đàn ông tóc đỏ</v>
      </c>
      <c r="D1743" s="2" t="str">
        <f t="shared" si="34"/>
        <v>người đàn ông tóc đỏ</v>
      </c>
      <c r="E1743" s="3" t="str">
        <f t="shared" si="2"/>
        <v>man red hair</v>
      </c>
    </row>
    <row r="1744" ht="15.75" customHeight="1">
      <c r="A1744" s="1" t="s">
        <v>4555</v>
      </c>
      <c r="B1744" s="1" t="s">
        <v>4556</v>
      </c>
      <c r="C1744" s="2" t="s">
        <v>4557</v>
      </c>
      <c r="D1744" s="2" t="str">
        <f t="shared" si="34"/>
        <v>người đàn ông chèo thuyền</v>
      </c>
      <c r="E1744" s="3" t="str">
        <f t="shared" si="2"/>
        <v>man rowing boat</v>
      </c>
    </row>
    <row r="1745" ht="15.75" customHeight="1">
      <c r="A1745" s="1" t="s">
        <v>4558</v>
      </c>
      <c r="B1745" s="1" t="s">
        <v>4559</v>
      </c>
      <c r="C1745" s="2" t="s">
        <v>4560</v>
      </c>
      <c r="D1745" s="2" t="str">
        <f t="shared" si="34"/>
        <v>người đàn ông màu da sẫm chèo thuyền</v>
      </c>
      <c r="E1745" s="3" t="str">
        <f t="shared" si="2"/>
        <v>man rowing boat dark skin tone</v>
      </c>
    </row>
    <row r="1746" ht="15.75" customHeight="1">
      <c r="A1746" s="1" t="s">
        <v>4561</v>
      </c>
      <c r="B1746" s="1" t="s">
        <v>4562</v>
      </c>
      <c r="C1746" s="2" t="s">
        <v>4563</v>
      </c>
      <c r="D1746" s="2" t="str">
        <f t="shared" si="34"/>
        <v>người đàn ông màu da sáng chèo thuyền</v>
      </c>
      <c r="E1746" s="3" t="str">
        <f t="shared" si="2"/>
        <v>man rowing boat light skin tone</v>
      </c>
    </row>
    <row r="1747" ht="15.75" customHeight="1">
      <c r="A1747" s="1" t="s">
        <v>4564</v>
      </c>
      <c r="B1747" s="1" t="s">
        <v>4565</v>
      </c>
      <c r="C1747" s="2" t="s">
        <v>4566</v>
      </c>
      <c r="D1747" s="2" t="str">
        <f t="shared" si="34"/>
        <v>người đàn ông màu da sẫm vừa chèo thuyền</v>
      </c>
      <c r="E1747" s="3" t="str">
        <f t="shared" si="2"/>
        <v>man rowing boat medium-dark skin tone</v>
      </c>
    </row>
    <row r="1748" ht="15.75" customHeight="1">
      <c r="A1748" s="1" t="s">
        <v>4567</v>
      </c>
      <c r="B1748" s="1" t="s">
        <v>4568</v>
      </c>
      <c r="C1748" s="2" t="s">
        <v>4569</v>
      </c>
      <c r="D1748" s="2" t="str">
        <f t="shared" si="34"/>
        <v>người đàn ông màu da sáng vừa chèo thuyền</v>
      </c>
      <c r="E1748" s="3" t="str">
        <f t="shared" si="2"/>
        <v>man rowing boat medium-light skin tone</v>
      </c>
    </row>
    <row r="1749" ht="15.75" customHeight="1">
      <c r="A1749" s="1" t="s">
        <v>4570</v>
      </c>
      <c r="B1749" s="1" t="s">
        <v>4571</v>
      </c>
      <c r="C1749" s="2" t="s">
        <v>4572</v>
      </c>
      <c r="D1749" s="2" t="str">
        <f t="shared" si="34"/>
        <v>người đàn ông màu da thường chèo thuyền</v>
      </c>
      <c r="E1749" s="3" t="str">
        <f t="shared" si="2"/>
        <v>man rowing boat medium skin tone</v>
      </c>
    </row>
    <row r="1750" ht="15.75" customHeight="1">
      <c r="A1750" s="1" t="s">
        <v>4573</v>
      </c>
      <c r="B1750" s="1" t="s">
        <v>4574</v>
      </c>
      <c r="C1750" s="2" t="s">
        <v>4575</v>
      </c>
      <c r="D1750" s="2" t="str">
        <f t="shared" si="34"/>
        <v>người đàn ông chạy</v>
      </c>
      <c r="E1750" s="3" t="str">
        <f t="shared" si="2"/>
        <v>man running</v>
      </c>
    </row>
    <row r="1751" ht="15.75" customHeight="1">
      <c r="A1751" s="1" t="s">
        <v>4576</v>
      </c>
      <c r="B1751" s="1" t="s">
        <v>4577</v>
      </c>
      <c r="C1751" s="2" t="s">
        <v>4578</v>
      </c>
      <c r="D1751" s="2" t="str">
        <f t="shared" si="34"/>
        <v>người đàn ông màu da sẫm chạy</v>
      </c>
      <c r="E1751" s="3" t="str">
        <f t="shared" si="2"/>
        <v>man running dark skin tone</v>
      </c>
    </row>
    <row r="1752" ht="15.75" customHeight="1">
      <c r="A1752" s="1" t="s">
        <v>4579</v>
      </c>
      <c r="B1752" s="1" t="s">
        <v>4580</v>
      </c>
      <c r="C1752" s="2" t="s">
        <v>4581</v>
      </c>
      <c r="D1752" s="2" t="str">
        <f t="shared" si="34"/>
        <v>người đàn ông màu da sáng chạy</v>
      </c>
      <c r="E1752" s="3" t="str">
        <f t="shared" si="2"/>
        <v>man running light skin tone</v>
      </c>
    </row>
    <row r="1753" ht="15.75" customHeight="1">
      <c r="A1753" s="1" t="s">
        <v>4582</v>
      </c>
      <c r="B1753" s="1" t="s">
        <v>4583</v>
      </c>
      <c r="C1753" s="2" t="s">
        <v>4584</v>
      </c>
      <c r="D1753" s="2" t="str">
        <f t="shared" si="34"/>
        <v>người đàn ông màu da sẫm vừa chạy</v>
      </c>
      <c r="E1753" s="3" t="str">
        <f t="shared" si="2"/>
        <v>man running medium-dark skin tone</v>
      </c>
    </row>
    <row r="1754" ht="15.75" customHeight="1">
      <c r="A1754" s="1" t="s">
        <v>4585</v>
      </c>
      <c r="B1754" s="1" t="s">
        <v>4586</v>
      </c>
      <c r="C1754" s="2" t="s">
        <v>4587</v>
      </c>
      <c r="D1754" s="2" t="str">
        <f t="shared" si="34"/>
        <v>người đàn ông màu da sáng vừa chạy</v>
      </c>
      <c r="E1754" s="3" t="str">
        <f t="shared" si="2"/>
        <v>man running medium-light skin tone</v>
      </c>
    </row>
    <row r="1755" ht="15.75" customHeight="1">
      <c r="A1755" s="1" t="s">
        <v>4588</v>
      </c>
      <c r="B1755" s="1" t="s">
        <v>4589</v>
      </c>
      <c r="C1755" s="2" t="s">
        <v>4590</v>
      </c>
      <c r="D1755" s="2" t="str">
        <f t="shared" si="34"/>
        <v>người đàn ông màu da thường chạy</v>
      </c>
      <c r="E1755" s="3" t="str">
        <f t="shared" si="2"/>
        <v>man running medium skin tone</v>
      </c>
    </row>
    <row r="1756" ht="15.75" customHeight="1">
      <c r="A1756" s="1" t="s">
        <v>4591</v>
      </c>
      <c r="B1756" s="1" t="s">
        <v>4592</v>
      </c>
      <c r="C1756" s="2" t="s">
        <v>4593</v>
      </c>
      <c r="D1756" s="2" t="str">
        <f t="shared" si="34"/>
        <v>nhà khoa học nam</v>
      </c>
      <c r="E1756" s="3" t="str">
        <f t="shared" si="2"/>
        <v>man scientist</v>
      </c>
    </row>
    <row r="1757" ht="15.75" customHeight="1">
      <c r="A1757" s="1" t="s">
        <v>4594</v>
      </c>
      <c r="B1757" s="1" t="s">
        <v>4595</v>
      </c>
      <c r="C1757" s="2" t="s">
        <v>4596</v>
      </c>
      <c r="D1757" s="2" t="str">
        <f t="shared" si="34"/>
        <v>nhà khoa học nam màu da sẫm</v>
      </c>
      <c r="E1757" s="3" t="str">
        <f t="shared" si="2"/>
        <v>man scientist dark skin tone</v>
      </c>
    </row>
    <row r="1758" ht="15.75" customHeight="1">
      <c r="A1758" s="1" t="s">
        <v>4597</v>
      </c>
      <c r="B1758" s="1" t="s">
        <v>4598</v>
      </c>
      <c r="C1758" s="2" t="s">
        <v>4599</v>
      </c>
      <c r="D1758" s="2" t="str">
        <f t="shared" si="34"/>
        <v>nhà khoa học nam màu da sáng</v>
      </c>
      <c r="E1758" s="3" t="str">
        <f t="shared" si="2"/>
        <v>man scientist light skin tone</v>
      </c>
    </row>
    <row r="1759" ht="15.75" customHeight="1">
      <c r="A1759" s="1" t="s">
        <v>4600</v>
      </c>
      <c r="B1759" s="1" t="s">
        <v>4601</v>
      </c>
      <c r="C1759" s="2" t="s">
        <v>4602</v>
      </c>
      <c r="D1759" s="2" t="str">
        <f t="shared" si="34"/>
        <v>nhà khoa học nam màu da sẫm vừa</v>
      </c>
      <c r="E1759" s="3" t="str">
        <f t="shared" si="2"/>
        <v>man scientist medium-dark skin tone</v>
      </c>
    </row>
    <row r="1760" ht="15.75" customHeight="1">
      <c r="A1760" s="1" t="s">
        <v>4603</v>
      </c>
      <c r="B1760" s="1" t="s">
        <v>4604</v>
      </c>
      <c r="C1760" s="2" t="s">
        <v>4605</v>
      </c>
      <c r="D1760" s="2" t="str">
        <f t="shared" si="34"/>
        <v>nhà khoa học nam màu da sáng vừa</v>
      </c>
      <c r="E1760" s="3" t="str">
        <f t="shared" si="2"/>
        <v>man scientist medium-light skin tone</v>
      </c>
    </row>
    <row r="1761" ht="15.75" customHeight="1">
      <c r="A1761" s="1" t="s">
        <v>4606</v>
      </c>
      <c r="B1761" s="1" t="s">
        <v>4607</v>
      </c>
      <c r="C1761" s="2" t="s">
        <v>4608</v>
      </c>
      <c r="D1761" s="2" t="str">
        <f t="shared" si="34"/>
        <v>nhà khoa học nam màu da thường</v>
      </c>
      <c r="E1761" s="3" t="str">
        <f t="shared" si="2"/>
        <v>man scientist medium skin tone</v>
      </c>
    </row>
    <row r="1762" ht="15.75" customHeight="1">
      <c r="A1762" s="1" t="s">
        <v>4609</v>
      </c>
      <c r="B1762" s="1" t="s">
        <v>4610</v>
      </c>
      <c r="C1762" s="2" t="s">
        <v>4611</v>
      </c>
      <c r="D1762" s="2" t="str">
        <f t="shared" si="34"/>
        <v>người đàn ông nhún vai</v>
      </c>
      <c r="E1762" s="3" t="str">
        <f t="shared" si="2"/>
        <v>man shrugging</v>
      </c>
    </row>
    <row r="1763" ht="15.75" customHeight="1">
      <c r="A1763" s="1" t="s">
        <v>4612</v>
      </c>
      <c r="B1763" s="1" t="s">
        <v>4613</v>
      </c>
      <c r="C1763" s="2" t="s">
        <v>4614</v>
      </c>
      <c r="D1763" s="2" t="str">
        <f t="shared" si="34"/>
        <v>người đàn ông màu da sẫm nhún vai</v>
      </c>
      <c r="E1763" s="3" t="str">
        <f t="shared" si="2"/>
        <v>man shrugging dark skin tone</v>
      </c>
    </row>
    <row r="1764" ht="15.75" customHeight="1">
      <c r="A1764" s="1" t="s">
        <v>4615</v>
      </c>
      <c r="B1764" s="1" t="s">
        <v>4616</v>
      </c>
      <c r="C1764" s="2" t="s">
        <v>4617</v>
      </c>
      <c r="D1764" s="2" t="str">
        <f t="shared" si="34"/>
        <v>người đàn ông màu da sáng nhún vai</v>
      </c>
      <c r="E1764" s="3" t="str">
        <f t="shared" si="2"/>
        <v>man shrugging light skin tone</v>
      </c>
    </row>
    <row r="1765" ht="15.75" customHeight="1">
      <c r="A1765" s="1" t="s">
        <v>4618</v>
      </c>
      <c r="B1765" s="1" t="s">
        <v>4619</v>
      </c>
      <c r="C1765" s="2" t="s">
        <v>4620</v>
      </c>
      <c r="D1765" s="2" t="str">
        <f t="shared" si="34"/>
        <v>người đàn ông màu da sẫm vừa nhún vai</v>
      </c>
      <c r="E1765" s="3" t="str">
        <f t="shared" si="2"/>
        <v>man shrugging medium-dark skin tone</v>
      </c>
    </row>
    <row r="1766" ht="15.75" customHeight="1">
      <c r="A1766" s="1" t="s">
        <v>4621</v>
      </c>
      <c r="B1766" s="1" t="s">
        <v>4622</v>
      </c>
      <c r="C1766" s="2" t="s">
        <v>4623</v>
      </c>
      <c r="D1766" s="2" t="str">
        <f t="shared" si="34"/>
        <v>người đàn ông màu da sáng vừa nhún vai</v>
      </c>
      <c r="E1766" s="3" t="str">
        <f t="shared" si="2"/>
        <v>man shrugging medium-light skin tone</v>
      </c>
    </row>
    <row r="1767" ht="15.75" customHeight="1">
      <c r="A1767" s="1" t="s">
        <v>4624</v>
      </c>
      <c r="B1767" s="1" t="s">
        <v>4625</v>
      </c>
      <c r="C1767" s="2" t="s">
        <v>4626</v>
      </c>
      <c r="D1767" s="2" t="str">
        <f t="shared" si="34"/>
        <v>người đàn ông màu da thường nhún vai</v>
      </c>
      <c r="E1767" s="3" t="str">
        <f t="shared" si="2"/>
        <v>man shrugging medium skin tone</v>
      </c>
    </row>
    <row r="1768" ht="15.75" customHeight="1">
      <c r="A1768" s="1" t="s">
        <v>4627</v>
      </c>
      <c r="B1768" s="1" t="s">
        <v>4628</v>
      </c>
      <c r="C1768" s="2" t="s">
        <v>4629</v>
      </c>
      <c r="D1768" s="2" t="str">
        <f t="shared" si="34"/>
        <v>ca sĩ nam</v>
      </c>
      <c r="E1768" s="3" t="str">
        <f t="shared" si="2"/>
        <v>man singer</v>
      </c>
    </row>
    <row r="1769" ht="15.75" customHeight="1">
      <c r="A1769" s="1" t="s">
        <v>4630</v>
      </c>
      <c r="B1769" s="1" t="s">
        <v>4631</v>
      </c>
      <c r="C1769" s="2" t="s">
        <v>4632</v>
      </c>
      <c r="D1769" s="2" t="str">
        <f t="shared" si="34"/>
        <v>ca sĩ nam màu da sẫm</v>
      </c>
      <c r="E1769" s="3" t="str">
        <f t="shared" si="2"/>
        <v>man singer dark skin tone</v>
      </c>
    </row>
    <row r="1770" ht="15.75" customHeight="1">
      <c r="A1770" s="1" t="s">
        <v>4633</v>
      </c>
      <c r="B1770" s="1" t="s">
        <v>4634</v>
      </c>
      <c r="C1770" s="2" t="s">
        <v>4635</v>
      </c>
      <c r="D1770" s="2" t="str">
        <f t="shared" si="34"/>
        <v>ca sĩ nam màu da sáng</v>
      </c>
      <c r="E1770" s="3" t="str">
        <f t="shared" si="2"/>
        <v>man singer light skin tone</v>
      </c>
    </row>
    <row r="1771" ht="15.75" customHeight="1">
      <c r="A1771" s="1" t="s">
        <v>4636</v>
      </c>
      <c r="B1771" s="1" t="s">
        <v>4637</v>
      </c>
      <c r="C1771" s="2" t="s">
        <v>4638</v>
      </c>
      <c r="D1771" s="2" t="str">
        <f t="shared" si="34"/>
        <v>ca sĩ nam màu da sẫm vừa</v>
      </c>
      <c r="E1771" s="3" t="str">
        <f t="shared" si="2"/>
        <v>man singer medium-dark skin tone</v>
      </c>
    </row>
    <row r="1772" ht="15.75" customHeight="1">
      <c r="A1772" s="1" t="s">
        <v>4639</v>
      </c>
      <c r="B1772" s="1" t="s">
        <v>4640</v>
      </c>
      <c r="C1772" s="2" t="s">
        <v>4641</v>
      </c>
      <c r="D1772" s="2" t="str">
        <f t="shared" si="34"/>
        <v>ca sĩ nam màu da sáng vừa</v>
      </c>
      <c r="E1772" s="3" t="str">
        <f t="shared" si="2"/>
        <v>man singer medium-light skin tone</v>
      </c>
    </row>
    <row r="1773" ht="15.75" customHeight="1">
      <c r="A1773" s="1" t="s">
        <v>4642</v>
      </c>
      <c r="B1773" s="1" t="s">
        <v>4643</v>
      </c>
      <c r="C1773" s="2" t="s">
        <v>4644</v>
      </c>
      <c r="D1773" s="2" t="str">
        <f t="shared" si="34"/>
        <v>ca sĩ nam màu da thường</v>
      </c>
      <c r="E1773" s="3" t="str">
        <f t="shared" si="2"/>
        <v>man singer medium skin tone</v>
      </c>
    </row>
    <row r="1774" ht="15.75" customHeight="1">
      <c r="A1774" s="1" t="s">
        <v>4645</v>
      </c>
      <c r="B1774" s="1" t="s">
        <v>4646</v>
      </c>
      <c r="C1774" s="2" t="s">
        <v>4647</v>
      </c>
      <c r="D1774" s="2" t="str">
        <f t="shared" si="34"/>
        <v>người đàn ông đứng</v>
      </c>
      <c r="E1774" s="3" t="str">
        <f t="shared" si="2"/>
        <v>man standing</v>
      </c>
    </row>
    <row r="1775" ht="15.75" customHeight="1">
      <c r="A1775" s="1" t="s">
        <v>4648</v>
      </c>
      <c r="B1775" s="1" t="s">
        <v>4649</v>
      </c>
      <c r="C1775" s="2" t="s">
        <v>4650</v>
      </c>
      <c r="D1775" s="2" t="str">
        <f t="shared" si="34"/>
        <v>người đàn ông màu da sẫm đứng</v>
      </c>
      <c r="E1775" s="3" t="str">
        <f t="shared" si="2"/>
        <v>man standing dark skin tone</v>
      </c>
    </row>
    <row r="1776" ht="15.75" customHeight="1">
      <c r="A1776" s="1" t="s">
        <v>4651</v>
      </c>
      <c r="B1776" s="1" t="s">
        <v>4652</v>
      </c>
      <c r="C1776" s="2" t="s">
        <v>4653</v>
      </c>
      <c r="D1776" s="2" t="str">
        <f t="shared" si="34"/>
        <v>người đàn ông màu da sáng đứng</v>
      </c>
      <c r="E1776" s="3" t="str">
        <f t="shared" si="2"/>
        <v>man standing light skin tone</v>
      </c>
    </row>
    <row r="1777" ht="15.75" customHeight="1">
      <c r="A1777" s="1" t="s">
        <v>4654</v>
      </c>
      <c r="B1777" s="1" t="s">
        <v>4655</v>
      </c>
      <c r="C1777" s="2" t="s">
        <v>4656</v>
      </c>
      <c r="D1777" s="2" t="str">
        <f t="shared" si="34"/>
        <v>người đàn ông màu da sẫm vừa đứng</v>
      </c>
      <c r="E1777" s="3" t="str">
        <f t="shared" si="2"/>
        <v>man standing medium-dark skin tone</v>
      </c>
    </row>
    <row r="1778" ht="15.75" customHeight="1">
      <c r="A1778" s="1" t="s">
        <v>4657</v>
      </c>
      <c r="B1778" s="1" t="s">
        <v>4658</v>
      </c>
      <c r="C1778" s="2" t="s">
        <v>4659</v>
      </c>
      <c r="D1778" s="2" t="str">
        <f t="shared" si="34"/>
        <v>người đàn ông màu da sáng vừa đứng</v>
      </c>
      <c r="E1778" s="3" t="str">
        <f t="shared" si="2"/>
        <v>man standing medium-light skin tone</v>
      </c>
    </row>
    <row r="1779" ht="15.75" customHeight="1">
      <c r="A1779" s="1" t="s">
        <v>4660</v>
      </c>
      <c r="B1779" s="1" t="s">
        <v>4661</v>
      </c>
      <c r="C1779" s="2" t="s">
        <v>4662</v>
      </c>
      <c r="D1779" s="2" t="str">
        <f t="shared" si="34"/>
        <v>người đàn ông màu da thường đứng</v>
      </c>
      <c r="E1779" s="3" t="str">
        <f t="shared" si="2"/>
        <v>man standing medium skin tone</v>
      </c>
    </row>
    <row r="1780" ht="15.75" customHeight="1">
      <c r="A1780" s="1" t="s">
        <v>4663</v>
      </c>
      <c r="B1780" s="1" t="s">
        <v>4664</v>
      </c>
      <c r="C1780" s="2" t="s">
        <v>4665</v>
      </c>
      <c r="D1780" s="2" t="str">
        <f t="shared" si="34"/>
        <v>sinh viên nam</v>
      </c>
      <c r="E1780" s="3" t="str">
        <f t="shared" si="2"/>
        <v>man student</v>
      </c>
    </row>
    <row r="1781" ht="15.75" customHeight="1">
      <c r="A1781" s="1" t="s">
        <v>4666</v>
      </c>
      <c r="B1781" s="1" t="s">
        <v>4667</v>
      </c>
      <c r="C1781" s="2" t="s">
        <v>4668</v>
      </c>
      <c r="D1781" s="2" t="str">
        <f t="shared" si="34"/>
        <v>sinh viên nam màu da sẫm</v>
      </c>
      <c r="E1781" s="3" t="str">
        <f t="shared" si="2"/>
        <v>man student dark skin tone</v>
      </c>
    </row>
    <row r="1782" ht="15.75" customHeight="1">
      <c r="A1782" s="1" t="s">
        <v>4669</v>
      </c>
      <c r="B1782" s="1" t="s">
        <v>4670</v>
      </c>
      <c r="C1782" s="2" t="s">
        <v>4671</v>
      </c>
      <c r="D1782" s="2" t="str">
        <f t="shared" si="34"/>
        <v>sinh viên nam màu da sáng</v>
      </c>
      <c r="E1782" s="3" t="str">
        <f t="shared" si="2"/>
        <v>man student light skin tone</v>
      </c>
    </row>
    <row r="1783" ht="15.75" customHeight="1">
      <c r="A1783" s="1" t="s">
        <v>4672</v>
      </c>
      <c r="B1783" s="1" t="s">
        <v>4673</v>
      </c>
      <c r="C1783" s="2" t="s">
        <v>4674</v>
      </c>
      <c r="D1783" s="2" t="str">
        <f t="shared" si="34"/>
        <v>sinh viên nam màu da sẫm vừa</v>
      </c>
      <c r="E1783" s="3" t="str">
        <f t="shared" si="2"/>
        <v>man student medium-dark skin tone</v>
      </c>
    </row>
    <row r="1784" ht="15.75" customHeight="1">
      <c r="A1784" s="1" t="s">
        <v>4675</v>
      </c>
      <c r="B1784" s="1" t="s">
        <v>4676</v>
      </c>
      <c r="C1784" s="2" t="s">
        <v>4677</v>
      </c>
      <c r="D1784" s="2" t="str">
        <f t="shared" si="34"/>
        <v>sinh viên nam màu da sáng vừa</v>
      </c>
      <c r="E1784" s="3" t="str">
        <f t="shared" si="2"/>
        <v>man student medium-light skin tone</v>
      </c>
    </row>
    <row r="1785" ht="15.75" customHeight="1">
      <c r="A1785" s="1" t="s">
        <v>4678</v>
      </c>
      <c r="B1785" s="1" t="s">
        <v>4679</v>
      </c>
      <c r="C1785" s="2" t="s">
        <v>4680</v>
      </c>
      <c r="D1785" s="2" t="str">
        <f t="shared" si="34"/>
        <v>sinh viên nam màu da thường</v>
      </c>
      <c r="E1785" s="3" t="str">
        <f t="shared" si="2"/>
        <v>man student medium skin tone</v>
      </c>
    </row>
    <row r="1786" ht="15.75" customHeight="1">
      <c r="A1786" s="1" t="s">
        <v>4681</v>
      </c>
      <c r="B1786" s="1" t="s">
        <v>4682</v>
      </c>
      <c r="C1786" s="2" t="s">
        <v>4683</v>
      </c>
      <c r="D1786" s="2" t="str">
        <f t="shared" si="34"/>
        <v>siêu anh hùng nam</v>
      </c>
      <c r="E1786" s="3" t="str">
        <f t="shared" si="2"/>
        <v>man superhero</v>
      </c>
    </row>
    <row r="1787" ht="15.75" customHeight="1">
      <c r="A1787" s="1" t="s">
        <v>4684</v>
      </c>
      <c r="B1787" s="1" t="s">
        <v>4685</v>
      </c>
      <c r="C1787" s="2" t="s">
        <v>4686</v>
      </c>
      <c r="D1787" s="2" t="str">
        <f t="shared" si="34"/>
        <v>siêu anh hùng nam màu da sẫm</v>
      </c>
      <c r="E1787" s="3" t="str">
        <f t="shared" si="2"/>
        <v>man superhero dark skin tone</v>
      </c>
    </row>
    <row r="1788" ht="15.75" customHeight="1">
      <c r="A1788" s="1" t="s">
        <v>4687</v>
      </c>
      <c r="B1788" s="1" t="s">
        <v>4688</v>
      </c>
      <c r="C1788" s="2" t="s">
        <v>4689</v>
      </c>
      <c r="D1788" s="2" t="str">
        <f t="shared" si="34"/>
        <v>siêu anh hùng nam màu da sáng</v>
      </c>
      <c r="E1788" s="3" t="str">
        <f t="shared" si="2"/>
        <v>man superhero light skin tone</v>
      </c>
    </row>
    <row r="1789" ht="15.75" customHeight="1">
      <c r="A1789" s="1" t="s">
        <v>4690</v>
      </c>
      <c r="B1789" s="1" t="s">
        <v>4691</v>
      </c>
      <c r="C1789" s="2" t="s">
        <v>4692</v>
      </c>
      <c r="D1789" s="2" t="str">
        <f t="shared" si="34"/>
        <v>siêu anh hùng nam màu da sẫm vừa</v>
      </c>
      <c r="E1789" s="3" t="str">
        <f t="shared" si="2"/>
        <v>man superhero medium-dark skin tone</v>
      </c>
    </row>
    <row r="1790" ht="15.75" customHeight="1">
      <c r="A1790" s="1" t="s">
        <v>4693</v>
      </c>
      <c r="B1790" s="1" t="s">
        <v>4694</v>
      </c>
      <c r="C1790" s="2" t="s">
        <v>4695</v>
      </c>
      <c r="D1790" s="2" t="str">
        <f t="shared" si="34"/>
        <v>siêu anh hùng nam màu da sáng vừa</v>
      </c>
      <c r="E1790" s="3" t="str">
        <f t="shared" si="2"/>
        <v>man superhero medium-light skin tone</v>
      </c>
    </row>
    <row r="1791" ht="15.75" customHeight="1">
      <c r="A1791" s="1" t="s">
        <v>4696</v>
      </c>
      <c r="B1791" s="1" t="s">
        <v>4697</v>
      </c>
      <c r="C1791" s="2" t="s">
        <v>4698</v>
      </c>
      <c r="D1791" s="2" t="str">
        <f t="shared" si="34"/>
        <v>siêu anh hùng nam màu da thường</v>
      </c>
      <c r="E1791" s="3" t="str">
        <f t="shared" si="2"/>
        <v>man superhero medium skin tone</v>
      </c>
    </row>
    <row r="1792" ht="15.75" customHeight="1">
      <c r="A1792" s="1" t="s">
        <v>4699</v>
      </c>
      <c r="B1792" s="1" t="s">
        <v>4700</v>
      </c>
      <c r="C1792" s="2" t="s">
        <v>4701</v>
      </c>
      <c r="D1792" s="2" t="str">
        <f t="shared" si="34"/>
        <v>siêu ác nhân nam</v>
      </c>
      <c r="E1792" s="3" t="str">
        <f t="shared" si="2"/>
        <v>man supervillain</v>
      </c>
    </row>
    <row r="1793" ht="15.75" customHeight="1">
      <c r="A1793" s="1" t="s">
        <v>4702</v>
      </c>
      <c r="B1793" s="1" t="s">
        <v>4703</v>
      </c>
      <c r="C1793" s="2" t="s">
        <v>4704</v>
      </c>
      <c r="D1793" s="2" t="str">
        <f t="shared" si="34"/>
        <v>siêu ác nhân nam màu da sẫm</v>
      </c>
      <c r="E1793" s="3" t="str">
        <f t="shared" si="2"/>
        <v>man supervillain dark skin tone</v>
      </c>
    </row>
    <row r="1794" ht="15.75" customHeight="1">
      <c r="A1794" s="1" t="s">
        <v>4705</v>
      </c>
      <c r="B1794" s="1" t="s">
        <v>4706</v>
      </c>
      <c r="C1794" s="2" t="s">
        <v>4707</v>
      </c>
      <c r="D1794" s="2" t="str">
        <f t="shared" si="34"/>
        <v>siêu ác nhân nam màu da sáng</v>
      </c>
      <c r="E1794" s="3" t="str">
        <f t="shared" si="2"/>
        <v>man supervillain light skin tone</v>
      </c>
    </row>
    <row r="1795" ht="15.75" customHeight="1">
      <c r="A1795" s="1" t="s">
        <v>4708</v>
      </c>
      <c r="B1795" s="1" t="s">
        <v>4709</v>
      </c>
      <c r="C1795" s="2" t="s">
        <v>4710</v>
      </c>
      <c r="D1795" s="2" t="str">
        <f t="shared" si="34"/>
        <v>siêu ác nhân nam màu da sẫm vừa</v>
      </c>
      <c r="E1795" s="3" t="str">
        <f t="shared" si="2"/>
        <v>man supervillain medium-dark skin tone</v>
      </c>
    </row>
    <row r="1796" ht="15.75" customHeight="1">
      <c r="A1796" s="1" t="s">
        <v>4711</v>
      </c>
      <c r="B1796" s="1" t="s">
        <v>4712</v>
      </c>
      <c r="C1796" s="2" t="s">
        <v>4713</v>
      </c>
      <c r="D1796" s="2" t="str">
        <f t="shared" si="34"/>
        <v>siêu ác nhân nam màu da sáng vừa</v>
      </c>
      <c r="E1796" s="3" t="str">
        <f t="shared" si="2"/>
        <v>man supervillain medium-light skin tone</v>
      </c>
    </row>
    <row r="1797" ht="15.75" customHeight="1">
      <c r="A1797" s="1" t="s">
        <v>4714</v>
      </c>
      <c r="B1797" s="1" t="s">
        <v>4715</v>
      </c>
      <c r="C1797" s="2" t="s">
        <v>4716</v>
      </c>
      <c r="D1797" s="2" t="str">
        <f t="shared" si="34"/>
        <v>siêu ác nhân nam màu da thường</v>
      </c>
      <c r="E1797" s="3" t="str">
        <f t="shared" si="2"/>
        <v>man supervillain medium skin tone</v>
      </c>
    </row>
    <row r="1798" ht="15.75" customHeight="1">
      <c r="A1798" s="1" t="s">
        <v>4717</v>
      </c>
      <c r="B1798" s="1" t="s">
        <v>4718</v>
      </c>
      <c r="C1798" s="2" t="s">
        <v>4719</v>
      </c>
      <c r="D1798" s="2" t="str">
        <f t="shared" si="34"/>
        <v>người đàn ông lướt sóng</v>
      </c>
      <c r="E1798" s="3" t="str">
        <f t="shared" si="2"/>
        <v>man surfing</v>
      </c>
    </row>
    <row r="1799" ht="15.75" customHeight="1">
      <c r="A1799" s="1" t="s">
        <v>4720</v>
      </c>
      <c r="B1799" s="1" t="s">
        <v>4721</v>
      </c>
      <c r="C1799" s="2" t="s">
        <v>4722</v>
      </c>
      <c r="D1799" s="2" t="str">
        <f t="shared" si="34"/>
        <v>người đàn ông màu da sẫm lướt sóng</v>
      </c>
      <c r="E1799" s="3" t="str">
        <f t="shared" si="2"/>
        <v>man surfing dark skin tone</v>
      </c>
    </row>
    <row r="1800" ht="15.75" customHeight="1">
      <c r="A1800" s="1" t="s">
        <v>4723</v>
      </c>
      <c r="B1800" s="1" t="s">
        <v>4724</v>
      </c>
      <c r="C1800" s="2" t="s">
        <v>4725</v>
      </c>
      <c r="D1800" s="2" t="str">
        <f t="shared" si="34"/>
        <v>người đàn ông màu da sáng lướt sóng</v>
      </c>
      <c r="E1800" s="3" t="str">
        <f t="shared" si="2"/>
        <v>man surfing light skin tone</v>
      </c>
    </row>
    <row r="1801" ht="15.75" customHeight="1">
      <c r="A1801" s="1" t="s">
        <v>4726</v>
      </c>
      <c r="B1801" s="1" t="s">
        <v>4727</v>
      </c>
      <c r="C1801" s="2" t="s">
        <v>4728</v>
      </c>
      <c r="D1801" s="2" t="str">
        <f t="shared" si="34"/>
        <v>người đàn ông màu da sẫm vừa lướt sóng</v>
      </c>
      <c r="E1801" s="3" t="str">
        <f t="shared" si="2"/>
        <v>man surfing medium-dark skin tone</v>
      </c>
    </row>
    <row r="1802" ht="15.75" customHeight="1">
      <c r="A1802" s="1" t="s">
        <v>4729</v>
      </c>
      <c r="B1802" s="1" t="s">
        <v>4730</v>
      </c>
      <c r="C1802" s="2" t="s">
        <v>4731</v>
      </c>
      <c r="D1802" s="2" t="str">
        <f t="shared" si="34"/>
        <v>người đàn ông màu da sáng vừa lướt sóng</v>
      </c>
      <c r="E1802" s="3" t="str">
        <f t="shared" si="2"/>
        <v>man surfing medium-light skin tone</v>
      </c>
    </row>
    <row r="1803" ht="15.75" customHeight="1">
      <c r="A1803" s="1" t="s">
        <v>4732</v>
      </c>
      <c r="B1803" s="1" t="s">
        <v>4733</v>
      </c>
      <c r="C1803" s="2" t="s">
        <v>4734</v>
      </c>
      <c r="D1803" s="2" t="str">
        <f t="shared" si="34"/>
        <v>người đàn ông màu da thường lướt sóng</v>
      </c>
      <c r="E1803" s="3" t="str">
        <f t="shared" si="2"/>
        <v>man surfing medium skin tone</v>
      </c>
    </row>
    <row r="1804" ht="15.75" customHeight="1">
      <c r="A1804" s="1" t="s">
        <v>4735</v>
      </c>
      <c r="B1804" s="1" t="s">
        <v>4736</v>
      </c>
      <c r="C1804" s="2" t="s">
        <v>4737</v>
      </c>
      <c r="D1804" s="2" t="str">
        <f t="shared" si="34"/>
        <v>người đàn ông bơi</v>
      </c>
      <c r="E1804" s="3" t="str">
        <f t="shared" si="2"/>
        <v>man swimming</v>
      </c>
    </row>
    <row r="1805" ht="15.75" customHeight="1">
      <c r="A1805" s="1" t="s">
        <v>4738</v>
      </c>
      <c r="B1805" s="1" t="s">
        <v>4739</v>
      </c>
      <c r="C1805" s="2" t="s">
        <v>4740</v>
      </c>
      <c r="D1805" s="2" t="str">
        <f t="shared" si="34"/>
        <v>người đàn ông màu da sẫm bơi</v>
      </c>
      <c r="E1805" s="3" t="str">
        <f t="shared" si="2"/>
        <v>man swimming dark skin tone</v>
      </c>
    </row>
    <row r="1806" ht="15.75" customHeight="1">
      <c r="A1806" s="1" t="s">
        <v>4741</v>
      </c>
      <c r="B1806" s="1" t="s">
        <v>4742</v>
      </c>
      <c r="C1806" s="2" t="s">
        <v>4743</v>
      </c>
      <c r="D1806" s="2" t="str">
        <f t="shared" si="34"/>
        <v>người đàn ông màu da sáng bơi</v>
      </c>
      <c r="E1806" s="3" t="str">
        <f t="shared" si="2"/>
        <v>man swimming light skin tone</v>
      </c>
    </row>
    <row r="1807" ht="15.75" customHeight="1">
      <c r="A1807" s="1" t="s">
        <v>4744</v>
      </c>
      <c r="B1807" s="1" t="s">
        <v>4745</v>
      </c>
      <c r="C1807" s="2" t="s">
        <v>4746</v>
      </c>
      <c r="D1807" s="2" t="str">
        <f t="shared" si="34"/>
        <v>người đàn ông màu da sẫm vừa bơi</v>
      </c>
      <c r="E1807" s="3" t="str">
        <f t="shared" si="2"/>
        <v>man swimming medium-dark skin tone</v>
      </c>
    </row>
    <row r="1808" ht="15.75" customHeight="1">
      <c r="A1808" s="1" t="s">
        <v>4747</v>
      </c>
      <c r="B1808" s="1" t="s">
        <v>4748</v>
      </c>
      <c r="C1808" s="2" t="s">
        <v>4749</v>
      </c>
      <c r="D1808" s="2" t="str">
        <f t="shared" si="34"/>
        <v>người đàn ông màu da sáng vừa bơi</v>
      </c>
      <c r="E1808" s="3" t="str">
        <f t="shared" si="2"/>
        <v>man swimming medium-light skin tone</v>
      </c>
    </row>
    <row r="1809" ht="15.75" customHeight="1">
      <c r="A1809" s="1" t="s">
        <v>4750</v>
      </c>
      <c r="B1809" s="1" t="s">
        <v>4751</v>
      </c>
      <c r="C1809" s="2" t="s">
        <v>4752</v>
      </c>
      <c r="D1809" s="2" t="str">
        <f t="shared" si="34"/>
        <v>người đàn ông màu da thường bơi</v>
      </c>
      <c r="E1809" s="3" t="str">
        <f t="shared" si="2"/>
        <v>man swimming medium skin tone</v>
      </c>
    </row>
    <row r="1810" ht="15.75" customHeight="1">
      <c r="A1810" s="1" t="s">
        <v>4753</v>
      </c>
      <c r="B1810" s="1" t="s">
        <v>4754</v>
      </c>
      <c r="C1810" s="2" t="s">
        <v>4755</v>
      </c>
      <c r="D1810" s="2" t="str">
        <f t="shared" si="34"/>
        <v>giáo viên nam</v>
      </c>
      <c r="E1810" s="3" t="str">
        <f t="shared" si="2"/>
        <v>man teacher</v>
      </c>
    </row>
    <row r="1811" ht="15.75" customHeight="1">
      <c r="A1811" s="1" t="s">
        <v>4756</v>
      </c>
      <c r="B1811" s="1" t="s">
        <v>4757</v>
      </c>
      <c r="C1811" s="2" t="s">
        <v>4758</v>
      </c>
      <c r="D1811" s="2" t="str">
        <f t="shared" si="34"/>
        <v>giáo viên nam màu da sẫm</v>
      </c>
      <c r="E1811" s="3" t="str">
        <f t="shared" si="2"/>
        <v>man teacher dark skin tone</v>
      </c>
    </row>
    <row r="1812" ht="15.75" customHeight="1">
      <c r="A1812" s="1" t="s">
        <v>4759</v>
      </c>
      <c r="B1812" s="1" t="s">
        <v>4760</v>
      </c>
      <c r="C1812" s="2" t="s">
        <v>4761</v>
      </c>
      <c r="D1812" s="2" t="str">
        <f t="shared" si="34"/>
        <v>giáo viên nam màu da sáng</v>
      </c>
      <c r="E1812" s="3" t="str">
        <f t="shared" si="2"/>
        <v>man teacher light skin tone</v>
      </c>
    </row>
    <row r="1813" ht="15.75" customHeight="1">
      <c r="A1813" s="1" t="s">
        <v>4762</v>
      </c>
      <c r="B1813" s="1" t="s">
        <v>4763</v>
      </c>
      <c r="C1813" s="2" t="s">
        <v>4764</v>
      </c>
      <c r="D1813" s="2" t="str">
        <f t="shared" si="34"/>
        <v>giáo viên nam màu da sẫm vừa</v>
      </c>
      <c r="E1813" s="3" t="str">
        <f t="shared" si="2"/>
        <v>man teacher medium-dark skin tone</v>
      </c>
    </row>
    <row r="1814" ht="15.75" customHeight="1">
      <c r="A1814" s="1" t="s">
        <v>4765</v>
      </c>
      <c r="B1814" s="1" t="s">
        <v>4766</v>
      </c>
      <c r="C1814" s="2" t="s">
        <v>4767</v>
      </c>
      <c r="D1814" s="2" t="str">
        <f t="shared" si="34"/>
        <v>giáo viên nam màu da sáng vừa</v>
      </c>
      <c r="E1814" s="3" t="str">
        <f t="shared" si="2"/>
        <v>man teacher medium-light skin tone</v>
      </c>
    </row>
    <row r="1815" ht="15.75" customHeight="1">
      <c r="A1815" s="1" t="s">
        <v>4768</v>
      </c>
      <c r="B1815" s="1" t="s">
        <v>4769</v>
      </c>
      <c r="C1815" s="2" t="s">
        <v>4770</v>
      </c>
      <c r="D1815" s="2" t="str">
        <f t="shared" si="34"/>
        <v>giáo viên nam màu da thường</v>
      </c>
      <c r="E1815" s="3" t="str">
        <f t="shared" si="2"/>
        <v>man teacher medium skin tone</v>
      </c>
    </row>
    <row r="1816" ht="15.75" customHeight="1">
      <c r="A1816" s="1" t="s">
        <v>4771</v>
      </c>
      <c r="B1816" s="1" t="s">
        <v>4772</v>
      </c>
      <c r="C1816" s="2" t="s">
        <v>4773</v>
      </c>
      <c r="D1816" s="2" t="str">
        <f t="shared" si="34"/>
        <v>nhà công nghệ nam</v>
      </c>
      <c r="E1816" s="3" t="str">
        <f t="shared" si="2"/>
        <v>man technologist</v>
      </c>
    </row>
    <row r="1817" ht="15.75" customHeight="1">
      <c r="A1817" s="1" t="s">
        <v>4774</v>
      </c>
      <c r="B1817" s="1" t="s">
        <v>4775</v>
      </c>
      <c r="C1817" s="2" t="s">
        <v>4776</v>
      </c>
      <c r="D1817" s="2" t="str">
        <f t="shared" si="34"/>
        <v>nhà công nghệ nam màu da sẫm</v>
      </c>
      <c r="E1817" s="3" t="str">
        <f t="shared" si="2"/>
        <v>man technologist dark skin tone</v>
      </c>
    </row>
    <row r="1818" ht="15.75" customHeight="1">
      <c r="A1818" s="1" t="s">
        <v>4777</v>
      </c>
      <c r="B1818" s="1" t="s">
        <v>4778</v>
      </c>
      <c r="C1818" s="2" t="s">
        <v>4779</v>
      </c>
      <c r="D1818" s="2" t="str">
        <f t="shared" si="34"/>
        <v>nhà công nghệ nam màu da sáng</v>
      </c>
      <c r="E1818" s="3" t="str">
        <f t="shared" si="2"/>
        <v>man technologist light skin tone</v>
      </c>
    </row>
    <row r="1819" ht="15.75" customHeight="1">
      <c r="A1819" s="1" t="s">
        <v>4780</v>
      </c>
      <c r="B1819" s="1" t="s">
        <v>4781</v>
      </c>
      <c r="C1819" s="2" t="s">
        <v>4782</v>
      </c>
      <c r="D1819" s="2" t="str">
        <f t="shared" si="34"/>
        <v>nhà công nghệ nam màu da sẫm vừa</v>
      </c>
      <c r="E1819" s="3" t="str">
        <f t="shared" si="2"/>
        <v>man technologist medium-dark skin tone</v>
      </c>
    </row>
    <row r="1820" ht="15.75" customHeight="1">
      <c r="A1820" s="1" t="s">
        <v>4783</v>
      </c>
      <c r="B1820" s="1" t="s">
        <v>4784</v>
      </c>
      <c r="C1820" s="2" t="s">
        <v>4785</v>
      </c>
      <c r="D1820" s="2" t="str">
        <f t="shared" si="34"/>
        <v>nhà công nghệ nam màu da sáng vừa</v>
      </c>
      <c r="E1820" s="3" t="str">
        <f t="shared" si="2"/>
        <v>man technologist medium-light skin tone</v>
      </c>
    </row>
    <row r="1821" ht="15.75" customHeight="1">
      <c r="A1821" s="1" t="s">
        <v>4786</v>
      </c>
      <c r="B1821" s="1" t="s">
        <v>4787</v>
      </c>
      <c r="C1821" s="2" t="s">
        <v>4788</v>
      </c>
      <c r="D1821" s="2" t="str">
        <f t="shared" si="34"/>
        <v>nhà công nghệ nam màu da thường</v>
      </c>
      <c r="E1821" s="3" t="str">
        <f t="shared" si="2"/>
        <v>man technologist medium skin tone</v>
      </c>
    </row>
    <row r="1822" ht="15.75" customHeight="1">
      <c r="A1822" s="1" t="s">
        <v>4789</v>
      </c>
      <c r="B1822" s="1" t="s">
        <v>4790</v>
      </c>
      <c r="C1822" s="2" t="s">
        <v>4791</v>
      </c>
      <c r="D1822" s="2" t="str">
        <f t="shared" si="34"/>
        <v>người đàn ông sấp bàn tay</v>
      </c>
      <c r="E1822" s="3" t="str">
        <f t="shared" si="2"/>
        <v>man tipping hand</v>
      </c>
    </row>
    <row r="1823" ht="15.75" customHeight="1">
      <c r="A1823" s="1" t="s">
        <v>4792</v>
      </c>
      <c r="B1823" s="1" t="s">
        <v>4793</v>
      </c>
      <c r="C1823" s="2" t="s">
        <v>4794</v>
      </c>
      <c r="D1823" s="2" t="str">
        <f t="shared" si="34"/>
        <v>người đàn ông màu da sẫm sấp bàn tay</v>
      </c>
      <c r="E1823" s="3" t="str">
        <f t="shared" si="2"/>
        <v>man tipping hand dark skin tone</v>
      </c>
    </row>
    <row r="1824" ht="15.75" customHeight="1">
      <c r="A1824" s="1" t="s">
        <v>4795</v>
      </c>
      <c r="B1824" s="1" t="s">
        <v>4796</v>
      </c>
      <c r="C1824" s="2" t="s">
        <v>4797</v>
      </c>
      <c r="D1824" s="2" t="str">
        <f t="shared" si="34"/>
        <v>người đàn ông màu da sáng sấp bàn tay</v>
      </c>
      <c r="E1824" s="3" t="str">
        <f t="shared" si="2"/>
        <v>man tipping hand light skin tone</v>
      </c>
    </row>
    <row r="1825" ht="15.75" customHeight="1">
      <c r="A1825" s="1" t="s">
        <v>4798</v>
      </c>
      <c r="B1825" s="1" t="s">
        <v>4799</v>
      </c>
      <c r="C1825" s="2" t="s">
        <v>4800</v>
      </c>
      <c r="D1825" s="2" t="str">
        <f t="shared" si="34"/>
        <v>người đàn ông màu da sẫm vừa sấp bàn tay</v>
      </c>
      <c r="E1825" s="3" t="str">
        <f t="shared" si="2"/>
        <v>man tipping hand medium-dark skin tone</v>
      </c>
    </row>
    <row r="1826" ht="15.75" customHeight="1">
      <c r="A1826" s="1" t="s">
        <v>4801</v>
      </c>
      <c r="B1826" s="1" t="s">
        <v>4802</v>
      </c>
      <c r="C1826" s="2" t="s">
        <v>4803</v>
      </c>
      <c r="D1826" s="2" t="str">
        <f t="shared" si="34"/>
        <v>người đàn ông màu da sáng vừa sấp bàn tay</v>
      </c>
      <c r="E1826" s="3" t="str">
        <f t="shared" si="2"/>
        <v>man tipping hand medium-light skin tone</v>
      </c>
    </row>
    <row r="1827" ht="15.75" customHeight="1">
      <c r="A1827" s="1" t="s">
        <v>4804</v>
      </c>
      <c r="B1827" s="1" t="s">
        <v>4805</v>
      </c>
      <c r="C1827" s="2" t="s">
        <v>4806</v>
      </c>
      <c r="D1827" s="2" t="str">
        <f t="shared" si="34"/>
        <v>người đàn ông màu da thường sấp bàn tay</v>
      </c>
      <c r="E1827" s="3" t="str">
        <f t="shared" si="2"/>
        <v>man tipping hand medium skin tone</v>
      </c>
    </row>
    <row r="1828" ht="15.75" customHeight="1">
      <c r="A1828" s="1" t="s">
        <v>4807</v>
      </c>
      <c r="B1828" s="1" t="s">
        <v>4808</v>
      </c>
      <c r="C1828" s="2" t="s">
        <v>4809</v>
      </c>
      <c r="D1828" s="2" t="str">
        <f t="shared" si="34"/>
        <v>ma cà rồng nam</v>
      </c>
      <c r="E1828" s="3" t="str">
        <f t="shared" si="2"/>
        <v>man vampire</v>
      </c>
    </row>
    <row r="1829" ht="15.75" customHeight="1">
      <c r="A1829" s="1" t="s">
        <v>4810</v>
      </c>
      <c r="B1829" s="1" t="s">
        <v>4811</v>
      </c>
      <c r="C1829" s="2" t="s">
        <v>4812</v>
      </c>
      <c r="D1829" s="2" t="str">
        <f t="shared" si="34"/>
        <v>ma cà rồng nam màu da sẫm</v>
      </c>
      <c r="E1829" s="3" t="str">
        <f t="shared" si="2"/>
        <v>man vampire dark skin tone</v>
      </c>
    </row>
    <row r="1830" ht="15.75" customHeight="1">
      <c r="A1830" s="1" t="s">
        <v>4813</v>
      </c>
      <c r="B1830" s="1" t="s">
        <v>4814</v>
      </c>
      <c r="C1830" s="2" t="s">
        <v>4815</v>
      </c>
      <c r="D1830" s="2" t="str">
        <f t="shared" si="34"/>
        <v>ma cà rồng nam màu da sáng</v>
      </c>
      <c r="E1830" s="3" t="str">
        <f t="shared" si="2"/>
        <v>man vampire light skin tone</v>
      </c>
    </row>
    <row r="1831" ht="15.75" customHeight="1">
      <c r="A1831" s="1" t="s">
        <v>4816</v>
      </c>
      <c r="B1831" s="1" t="s">
        <v>4817</v>
      </c>
      <c r="C1831" s="2" t="s">
        <v>4818</v>
      </c>
      <c r="D1831" s="2" t="str">
        <f t="shared" si="34"/>
        <v>ma cà rồng nam màu da sẫm vừa</v>
      </c>
      <c r="E1831" s="3" t="str">
        <f t="shared" si="2"/>
        <v>man vampire medium-dark skin tone</v>
      </c>
    </row>
    <row r="1832" ht="15.75" customHeight="1">
      <c r="A1832" s="1" t="s">
        <v>4819</v>
      </c>
      <c r="B1832" s="1" t="s">
        <v>4820</v>
      </c>
      <c r="C1832" s="2" t="s">
        <v>4821</v>
      </c>
      <c r="D1832" s="2" t="str">
        <f t="shared" si="34"/>
        <v>ma cà rồng nam màu da sáng vừa</v>
      </c>
      <c r="E1832" s="3" t="str">
        <f t="shared" si="2"/>
        <v>man vampire medium-light skin tone</v>
      </c>
    </row>
    <row r="1833" ht="15.75" customHeight="1">
      <c r="A1833" s="1" t="s">
        <v>4822</v>
      </c>
      <c r="B1833" s="1" t="s">
        <v>4823</v>
      </c>
      <c r="C1833" s="2" t="s">
        <v>4824</v>
      </c>
      <c r="D1833" s="2" t="str">
        <f t="shared" si="34"/>
        <v>ma cà rồng nam màu da thường</v>
      </c>
      <c r="E1833" s="3" t="str">
        <f t="shared" si="2"/>
        <v>man vampire medium skin tone</v>
      </c>
    </row>
    <row r="1834" ht="15.75" customHeight="1">
      <c r="A1834" s="1" t="s">
        <v>4825</v>
      </c>
      <c r="B1834" s="1" t="s">
        <v>4826</v>
      </c>
      <c r="C1834" s="2" t="s">
        <v>4827</v>
      </c>
      <c r="D1834" s="2" t="str">
        <f t="shared" si="34"/>
        <v>người đàn ông đi bộ</v>
      </c>
      <c r="E1834" s="3" t="str">
        <f t="shared" si="2"/>
        <v>man walking</v>
      </c>
    </row>
    <row r="1835" ht="15.75" customHeight="1">
      <c r="A1835" s="1" t="s">
        <v>4828</v>
      </c>
      <c r="B1835" s="1" t="s">
        <v>4829</v>
      </c>
      <c r="C1835" s="2" t="s">
        <v>4830</v>
      </c>
      <c r="D1835" s="2" t="str">
        <f t="shared" si="34"/>
        <v>người đàn ông màu da sẫm đi bộ</v>
      </c>
      <c r="E1835" s="3" t="str">
        <f t="shared" si="2"/>
        <v>man walking dark skin tone</v>
      </c>
    </row>
    <row r="1836" ht="15.75" customHeight="1">
      <c r="A1836" s="1" t="s">
        <v>4831</v>
      </c>
      <c r="B1836" s="1" t="s">
        <v>4832</v>
      </c>
      <c r="C1836" s="2" t="s">
        <v>4833</v>
      </c>
      <c r="D1836" s="2" t="str">
        <f t="shared" si="34"/>
        <v>người đàn ông màu da sáng đi bộ</v>
      </c>
      <c r="E1836" s="3" t="str">
        <f t="shared" si="2"/>
        <v>man walking light skin tone</v>
      </c>
    </row>
    <row r="1837" ht="15.75" customHeight="1">
      <c r="A1837" s="1" t="s">
        <v>4834</v>
      </c>
      <c r="B1837" s="1" t="s">
        <v>4835</v>
      </c>
      <c r="C1837" s="2" t="s">
        <v>4836</v>
      </c>
      <c r="D1837" s="2" t="str">
        <f t="shared" si="34"/>
        <v>người đàn ông màu da sẫm vừa đi bộ</v>
      </c>
      <c r="E1837" s="3" t="str">
        <f t="shared" si="2"/>
        <v>man walking medium-dark skin tone</v>
      </c>
    </row>
    <row r="1838" ht="15.75" customHeight="1">
      <c r="A1838" s="1" t="s">
        <v>4837</v>
      </c>
      <c r="B1838" s="1" t="s">
        <v>4838</v>
      </c>
      <c r="C1838" s="2" t="s">
        <v>4839</v>
      </c>
      <c r="D1838" s="2" t="str">
        <f t="shared" si="34"/>
        <v>người đàn ông màu da sáng vừa đi bộ</v>
      </c>
      <c r="E1838" s="3" t="str">
        <f t="shared" si="2"/>
        <v>man walking medium-light skin tone</v>
      </c>
    </row>
    <row r="1839" ht="15.75" customHeight="1">
      <c r="A1839" s="1" t="s">
        <v>4840</v>
      </c>
      <c r="B1839" s="1" t="s">
        <v>4841</v>
      </c>
      <c r="C1839" s="2" t="s">
        <v>4842</v>
      </c>
      <c r="D1839" s="2" t="str">
        <f t="shared" si="34"/>
        <v>người đàn ông màu da thường đi bộ</v>
      </c>
      <c r="E1839" s="3" t="str">
        <f t="shared" si="2"/>
        <v>man walking medium skin tone</v>
      </c>
    </row>
    <row r="1840" ht="15.75" customHeight="1">
      <c r="A1840" s="1" t="s">
        <v>4843</v>
      </c>
      <c r="B1840" s="1" t="s">
        <v>4844</v>
      </c>
      <c r="C1840" s="2" t="s">
        <v>4845</v>
      </c>
      <c r="D1840" s="2" t="str">
        <f t="shared" si="34"/>
        <v>người đàn ông đội khăn xếp</v>
      </c>
      <c r="E1840" s="3" t="str">
        <f t="shared" si="2"/>
        <v>man wearing turban</v>
      </c>
    </row>
    <row r="1841" ht="15.75" customHeight="1">
      <c r="A1841" s="1" t="s">
        <v>4846</v>
      </c>
      <c r="B1841" s="1" t="s">
        <v>4847</v>
      </c>
      <c r="C1841" s="2" t="s">
        <v>4848</v>
      </c>
      <c r="D1841" s="2" t="str">
        <f t="shared" si="34"/>
        <v>người đàn ông màu da sẫm đội khăn xếp</v>
      </c>
      <c r="E1841" s="3" t="str">
        <f t="shared" si="2"/>
        <v>man wearing turban dark skin tone</v>
      </c>
    </row>
    <row r="1842" ht="15.75" customHeight="1">
      <c r="A1842" s="1" t="s">
        <v>4849</v>
      </c>
      <c r="B1842" s="1" t="s">
        <v>4850</v>
      </c>
      <c r="C1842" s="2" t="s">
        <v>4851</v>
      </c>
      <c r="D1842" s="2" t="str">
        <f t="shared" si="34"/>
        <v>người đàn ông màu da sáng đội khăn xếp</v>
      </c>
      <c r="E1842" s="3" t="str">
        <f t="shared" si="2"/>
        <v>man wearing turban light skin tone</v>
      </c>
    </row>
    <row r="1843" ht="15.75" customHeight="1">
      <c r="A1843" s="1" t="s">
        <v>4852</v>
      </c>
      <c r="B1843" s="1" t="s">
        <v>4853</v>
      </c>
      <c r="C1843" s="2" t="s">
        <v>4854</v>
      </c>
      <c r="D1843" s="2" t="str">
        <f t="shared" si="34"/>
        <v>người đàn ông màu da sẫm vừa đội khăn xếp</v>
      </c>
      <c r="E1843" s="3" t="str">
        <f t="shared" si="2"/>
        <v>man wearing turban medium-dark skin tone</v>
      </c>
    </row>
    <row r="1844" ht="15.75" customHeight="1">
      <c r="A1844" s="1" t="s">
        <v>4855</v>
      </c>
      <c r="B1844" s="1" t="s">
        <v>4856</v>
      </c>
      <c r="C1844" s="2" t="s">
        <v>4857</v>
      </c>
      <c r="D1844" s="2" t="str">
        <f t="shared" si="34"/>
        <v>người đàn ông màu da sáng vừa đội khăn xếp</v>
      </c>
      <c r="E1844" s="3" t="str">
        <f t="shared" si="2"/>
        <v>man wearing turban medium-light skin tone</v>
      </c>
    </row>
    <row r="1845" ht="15.75" customHeight="1">
      <c r="A1845" s="1" t="s">
        <v>4858</v>
      </c>
      <c r="B1845" s="1" t="s">
        <v>4859</v>
      </c>
      <c r="C1845" s="2" t="s">
        <v>4860</v>
      </c>
      <c r="D1845" s="2" t="str">
        <f t="shared" si="34"/>
        <v>người đàn ông màu da thường đội khăn xếp</v>
      </c>
      <c r="E1845" s="3" t="str">
        <f t="shared" si="2"/>
        <v>man wearing turban medium skin tone</v>
      </c>
    </row>
    <row r="1846" ht="15.75" customHeight="1">
      <c r="A1846" s="1" t="s">
        <v>4861</v>
      </c>
      <c r="B1846" s="1" t="s">
        <v>4862</v>
      </c>
      <c r="C1846" s="2" t="str">
        <f>IFERROR(__xludf.DUMMYFUNCTION("GOOGLETRANSLATE(E1846, ""en"",""vi"")"),"người đàn ông tóc trắng")</f>
        <v>người đàn ông tóc trắng</v>
      </c>
      <c r="D1846" s="2" t="str">
        <f t="shared" si="34"/>
        <v>người đàn ông tóc trắng</v>
      </c>
      <c r="E1846" s="3" t="str">
        <f t="shared" si="2"/>
        <v>man white hair</v>
      </c>
    </row>
    <row r="1847" ht="15.75" customHeight="1">
      <c r="A1847" s="1" t="s">
        <v>4863</v>
      </c>
      <c r="B1847" s="1" t="s">
        <v>4864</v>
      </c>
      <c r="C1847" s="2" t="s">
        <v>4865</v>
      </c>
      <c r="D1847" s="2" t="str">
        <f t="shared" si="34"/>
        <v>người đàn ông với tấm màn che</v>
      </c>
      <c r="E1847" s="3" t="str">
        <f t="shared" si="2"/>
        <v>man with veil</v>
      </c>
    </row>
    <row r="1848" ht="15.75" customHeight="1">
      <c r="A1848" s="1" t="s">
        <v>4866</v>
      </c>
      <c r="B1848" s="1" t="s">
        <v>4867</v>
      </c>
      <c r="C1848" s="2" t="s">
        <v>4868</v>
      </c>
      <c r="D1848" s="2" t="str">
        <f t="shared" si="34"/>
        <v>người đàn ông màu da sẫm với tấm màn che</v>
      </c>
      <c r="E1848" s="3" t="str">
        <f t="shared" si="2"/>
        <v>man with veil dark skin tone</v>
      </c>
    </row>
    <row r="1849" ht="15.75" customHeight="1">
      <c r="A1849" s="1" t="s">
        <v>4869</v>
      </c>
      <c r="B1849" s="1" t="s">
        <v>4870</v>
      </c>
      <c r="C1849" s="2" t="s">
        <v>4871</v>
      </c>
      <c r="D1849" s="2" t="str">
        <f t="shared" si="34"/>
        <v>người đàn ông màu da sáng với tấm màn che</v>
      </c>
      <c r="E1849" s="3" t="str">
        <f t="shared" si="2"/>
        <v>man with veil light skin tone</v>
      </c>
    </row>
    <row r="1850" ht="15.75" customHeight="1">
      <c r="A1850" s="1" t="s">
        <v>4872</v>
      </c>
      <c r="B1850" s="1" t="s">
        <v>4873</v>
      </c>
      <c r="C1850" s="2" t="s">
        <v>4874</v>
      </c>
      <c r="D1850" s="2" t="str">
        <f t="shared" si="34"/>
        <v>người đàn ông màu da sẫm vừa với tấm màn che</v>
      </c>
      <c r="E1850" s="3" t="str">
        <f t="shared" si="2"/>
        <v>man with veil medium-dark skin tone</v>
      </c>
    </row>
    <row r="1851" ht="15.75" customHeight="1">
      <c r="A1851" s="1" t="s">
        <v>4875</v>
      </c>
      <c r="B1851" s="1" t="s">
        <v>4876</v>
      </c>
      <c r="C1851" s="2" t="s">
        <v>4877</v>
      </c>
      <c r="D1851" s="2" t="str">
        <f t="shared" si="34"/>
        <v>người đàn ông màu da sáng vừa với tấm màn che</v>
      </c>
      <c r="E1851" s="3" t="str">
        <f t="shared" si="2"/>
        <v>man with veil medium-light skin tone</v>
      </c>
    </row>
    <row r="1852" ht="15.75" customHeight="1">
      <c r="A1852" s="1" t="s">
        <v>4878</v>
      </c>
      <c r="B1852" s="1" t="s">
        <v>4879</v>
      </c>
      <c r="C1852" s="2" t="s">
        <v>4880</v>
      </c>
      <c r="D1852" s="2" t="str">
        <f t="shared" si="34"/>
        <v>người đàn ông màu da thường với tấm màn che</v>
      </c>
      <c r="E1852" s="3" t="str">
        <f t="shared" si="2"/>
        <v>man with veil medium skin tone</v>
      </c>
    </row>
    <row r="1853" ht="15.75" customHeight="1">
      <c r="A1853" s="1" t="s">
        <v>4881</v>
      </c>
      <c r="B1853" s="1" t="s">
        <v>4882</v>
      </c>
      <c r="C1853" s="2" t="s">
        <v>4883</v>
      </c>
      <c r="D1853" s="2" t="str">
        <f t="shared" si="34"/>
        <v>người đàn ông với cây ba toong trắng</v>
      </c>
      <c r="E1853" s="3" t="str">
        <f t="shared" si="2"/>
        <v>man with white cane</v>
      </c>
    </row>
    <row r="1854" ht="15.75" customHeight="1">
      <c r="A1854" s="1" t="s">
        <v>4884</v>
      </c>
      <c r="B1854" s="1" t="s">
        <v>4885</v>
      </c>
      <c r="C1854" s="2" t="s">
        <v>4886</v>
      </c>
      <c r="D1854" s="2" t="str">
        <f t="shared" si="34"/>
        <v>người đàn ông màu da sẫm với cây ba toong trắng</v>
      </c>
      <c r="E1854" s="3" t="str">
        <f t="shared" si="2"/>
        <v>man with white cane dark skin tone</v>
      </c>
    </row>
    <row r="1855" ht="15.75" customHeight="1">
      <c r="A1855" s="1" t="s">
        <v>4887</v>
      </c>
      <c r="B1855" s="1" t="s">
        <v>4888</v>
      </c>
      <c r="C1855" s="2" t="s">
        <v>4889</v>
      </c>
      <c r="D1855" s="2" t="str">
        <f t="shared" si="34"/>
        <v>người đàn ông màu da sáng với cây ba toong trắng</v>
      </c>
      <c r="E1855" s="3" t="str">
        <f t="shared" si="2"/>
        <v>man with white cane light skin tone</v>
      </c>
    </row>
    <row r="1856" ht="15.75" customHeight="1">
      <c r="A1856" s="1" t="s">
        <v>4890</v>
      </c>
      <c r="B1856" s="1" t="s">
        <v>4891</v>
      </c>
      <c r="C1856" s="2" t="s">
        <v>4892</v>
      </c>
      <c r="D1856" s="2" t="str">
        <f t="shared" si="34"/>
        <v>người đàn ông màu da sẫm vừa với cây ba toong trắng</v>
      </c>
      <c r="E1856" s="3" t="str">
        <f t="shared" si="2"/>
        <v>man with white cane medium-dark skin tone</v>
      </c>
    </row>
    <row r="1857" ht="15.75" customHeight="1">
      <c r="A1857" s="1" t="s">
        <v>4893</v>
      </c>
      <c r="B1857" s="1" t="s">
        <v>4894</v>
      </c>
      <c r="C1857" s="2" t="s">
        <v>4895</v>
      </c>
      <c r="D1857" s="2" t="str">
        <f t="shared" si="34"/>
        <v>người đàn ông màu da sáng vừa với cây ba toong trắng</v>
      </c>
      <c r="E1857" s="3" t="str">
        <f t="shared" si="2"/>
        <v>man with white cane medium-light skin tone</v>
      </c>
    </row>
    <row r="1858" ht="15.75" customHeight="1">
      <c r="A1858" s="1" t="s">
        <v>4896</v>
      </c>
      <c r="B1858" s="1" t="s">
        <v>4897</v>
      </c>
      <c r="C1858" s="2" t="s">
        <v>4898</v>
      </c>
      <c r="D1858" s="2" t="str">
        <f t="shared" si="34"/>
        <v>người đàn ông màu da thường với cây ba toong trắng</v>
      </c>
      <c r="E1858" s="3" t="str">
        <f t="shared" si="2"/>
        <v>man with white cane medium skin tone</v>
      </c>
    </row>
    <row r="1859" ht="15.75" customHeight="1">
      <c r="A1859" s="1" t="s">
        <v>4899</v>
      </c>
      <c r="B1859" s="1" t="s">
        <v>4900</v>
      </c>
      <c r="C1859" s="2" t="s">
        <v>4901</v>
      </c>
      <c r="D1859" s="2" t="str">
        <f t="shared" si="34"/>
        <v>thây ma nam</v>
      </c>
      <c r="E1859" s="3" t="str">
        <f t="shared" si="2"/>
        <v>man zombie</v>
      </c>
    </row>
    <row r="1860" ht="15.75" customHeight="1">
      <c r="A1860" s="1" t="s">
        <v>4902</v>
      </c>
      <c r="B1860" s="1" t="s">
        <v>4903</v>
      </c>
      <c r="C1860" s="2" t="str">
        <f>IFERROR(__xludf.DUMMYFUNCTION("GOOGLETRANSLATE(E1860, ""en"",""vi"")"),"quả xoài")</f>
        <v>quả xoài</v>
      </c>
      <c r="D1860" s="2" t="str">
        <f t="shared" si="34"/>
        <v>quả xoài</v>
      </c>
      <c r="E1860" s="3" t="str">
        <f t="shared" si="2"/>
        <v>mango</v>
      </c>
    </row>
    <row r="1861" ht="15.75" customHeight="1">
      <c r="A1861" s="1" t="s">
        <v>4904</v>
      </c>
      <c r="B1861" s="1" t="s">
        <v>4905</v>
      </c>
      <c r="C1861" s="2" t="str">
        <f>IFERROR(__xludf.DUMMYFUNCTION("GOOGLETRANSLATE(E1861, ""en"",""vi"")"),"đồng hồ lò sưởi")</f>
        <v>đồng hồ lò sưởi</v>
      </c>
      <c r="D1861" s="2" t="str">
        <f t="shared" si="34"/>
        <v>đồng hồ lò sưởi</v>
      </c>
      <c r="E1861" s="3" t="str">
        <f t="shared" si="2"/>
        <v>mantelpiece clock</v>
      </c>
    </row>
    <row r="1862" ht="15.75" customHeight="1">
      <c r="A1862" s="1" t="s">
        <v>4906</v>
      </c>
      <c r="B1862" s="1" t="s">
        <v>4907</v>
      </c>
      <c r="C1862" s="2" t="s">
        <v>4908</v>
      </c>
      <c r="D1862" s="2" t="str">
        <f t="shared" si="34"/>
        <v>xe lăn bằng tay</v>
      </c>
      <c r="E1862" s="3" t="str">
        <f t="shared" si="2"/>
        <v>manual wheelchair</v>
      </c>
    </row>
    <row r="1863" ht="15.75" customHeight="1">
      <c r="A1863" s="1" t="s">
        <v>4909</v>
      </c>
      <c r="B1863" s="1" t="s">
        <v>4910</v>
      </c>
      <c r="C1863" s="2" t="s">
        <v>4911</v>
      </c>
      <c r="D1863" s="2" t="str">
        <f t="shared" si="34"/>
        <v>giày nam</v>
      </c>
      <c r="E1863" s="3" t="str">
        <f t="shared" si="2"/>
        <v>man’s shoe</v>
      </c>
    </row>
    <row r="1864" ht="15.75" customHeight="1">
      <c r="A1864" s="1" t="s">
        <v>4912</v>
      </c>
      <c r="B1864" s="1" t="s">
        <v>4913</v>
      </c>
      <c r="C1864" s="2" t="s">
        <v>4914</v>
      </c>
      <c r="D1864" s="2" t="s">
        <v>4914</v>
      </c>
      <c r="E1864" s="3" t="str">
        <f t="shared" si="2"/>
        <v>map of Japan</v>
      </c>
    </row>
    <row r="1865" ht="15.75" customHeight="1">
      <c r="A1865" s="1" t="s">
        <v>4915</v>
      </c>
      <c r="B1865" s="1" t="s">
        <v>4916</v>
      </c>
      <c r="C1865" s="2" t="str">
        <f>IFERROR(__xludf.DUMMYFUNCTION("GOOGLETRANSLATE(E1865, ""en"",""vi"")"),"lá phong")</f>
        <v>lá phong</v>
      </c>
      <c r="D1865" s="2" t="str">
        <f t="shared" ref="D1865:D1867" si="35">LOWER(C1865)</f>
        <v>lá phong</v>
      </c>
      <c r="E1865" s="3" t="str">
        <f t="shared" si="2"/>
        <v>maple leaf</v>
      </c>
    </row>
    <row r="1866" ht="15.75" customHeight="1">
      <c r="A1866" s="1" t="s">
        <v>4917</v>
      </c>
      <c r="B1866" s="1" t="s">
        <v>4918</v>
      </c>
      <c r="C1866" s="2" t="str">
        <f>IFERROR(__xludf.DUMMYFUNCTION("GOOGLETRANSLATE(E1866, ""en"",""vi"")"),"đồng phục võ thuật")</f>
        <v>đồng phục võ thuật</v>
      </c>
      <c r="D1866" s="2" t="str">
        <f t="shared" si="35"/>
        <v>đồng phục võ thuật</v>
      </c>
      <c r="E1866" s="3" t="str">
        <f t="shared" si="2"/>
        <v>martial arts uniform</v>
      </c>
    </row>
    <row r="1867" ht="15.75" customHeight="1">
      <c r="A1867" s="1" t="s">
        <v>4919</v>
      </c>
      <c r="B1867" s="1" t="s">
        <v>4920</v>
      </c>
      <c r="C1867" s="2" t="s">
        <v>4921</v>
      </c>
      <c r="D1867" s="2" t="str">
        <f t="shared" si="35"/>
        <v>mate</v>
      </c>
      <c r="E1867" s="3" t="str">
        <f t="shared" si="2"/>
        <v>mate</v>
      </c>
    </row>
    <row r="1868" ht="15.75" customHeight="1">
      <c r="A1868" s="1" t="s">
        <v>4922</v>
      </c>
      <c r="B1868" s="1" t="s">
        <v>4923</v>
      </c>
      <c r="C1868" s="2" t="s">
        <v>4924</v>
      </c>
      <c r="D1868" s="2" t="s">
        <v>4924</v>
      </c>
      <c r="E1868" s="3" t="str">
        <f t="shared" si="2"/>
        <v>meat on bone</v>
      </c>
    </row>
    <row r="1869" ht="15.75" customHeight="1">
      <c r="A1869" s="1" t="s">
        <v>4925</v>
      </c>
      <c r="B1869" s="1" t="s">
        <v>4926</v>
      </c>
      <c r="C1869" s="2" t="s">
        <v>4927</v>
      </c>
      <c r="D1869" s="2" t="str">
        <f t="shared" ref="D1869:D1910" si="36">LOWER(C1869)</f>
        <v>thợ cơ khí nam</v>
      </c>
      <c r="E1869" s="3" t="str">
        <f t="shared" si="2"/>
        <v>mechanic</v>
      </c>
    </row>
    <row r="1870" ht="15.75" customHeight="1">
      <c r="A1870" s="1" t="s">
        <v>4928</v>
      </c>
      <c r="B1870" s="1" t="s">
        <v>4929</v>
      </c>
      <c r="C1870" s="2" t="s">
        <v>4930</v>
      </c>
      <c r="D1870" s="2" t="str">
        <f t="shared" si="36"/>
        <v>thợ cơ khí nam màu da sẫm</v>
      </c>
      <c r="E1870" s="3" t="str">
        <f t="shared" si="2"/>
        <v>mechanic dark skin tone</v>
      </c>
    </row>
    <row r="1871" ht="15.75" customHeight="1">
      <c r="A1871" s="1" t="s">
        <v>4931</v>
      </c>
      <c r="B1871" s="1" t="s">
        <v>4932</v>
      </c>
      <c r="C1871" s="2" t="s">
        <v>4933</v>
      </c>
      <c r="D1871" s="2" t="str">
        <f t="shared" si="36"/>
        <v>thợ cơ khí nam màu da sáng</v>
      </c>
      <c r="E1871" s="3" t="str">
        <f t="shared" si="2"/>
        <v>mechanic light skin tone</v>
      </c>
    </row>
    <row r="1872" ht="15.75" customHeight="1">
      <c r="A1872" s="1" t="s">
        <v>4934</v>
      </c>
      <c r="B1872" s="1" t="s">
        <v>4935</v>
      </c>
      <c r="C1872" s="2" t="s">
        <v>4936</v>
      </c>
      <c r="D1872" s="2" t="str">
        <f t="shared" si="36"/>
        <v>thợ cơ khí nam màu da sẫm vừa</v>
      </c>
      <c r="E1872" s="3" t="str">
        <f t="shared" si="2"/>
        <v>mechanic medium-dark skin tone</v>
      </c>
    </row>
    <row r="1873" ht="15.75" customHeight="1">
      <c r="A1873" s="1" t="s">
        <v>4937</v>
      </c>
      <c r="B1873" s="1" t="s">
        <v>4938</v>
      </c>
      <c r="C1873" s="2" t="s">
        <v>4939</v>
      </c>
      <c r="D1873" s="2" t="str">
        <f t="shared" si="36"/>
        <v>thợ cơ khí nam màu da sáng vừa</v>
      </c>
      <c r="E1873" s="3" t="str">
        <f t="shared" si="2"/>
        <v>mechanic medium-light skin tone</v>
      </c>
    </row>
    <row r="1874" ht="15.75" customHeight="1">
      <c r="A1874" s="1" t="s">
        <v>4940</v>
      </c>
      <c r="B1874" s="1" t="s">
        <v>4941</v>
      </c>
      <c r="C1874" s="2" t="s">
        <v>4942</v>
      </c>
      <c r="D1874" s="2" t="str">
        <f t="shared" si="36"/>
        <v>thợ cơ khí nam màu da thường</v>
      </c>
      <c r="E1874" s="3" t="str">
        <f t="shared" si="2"/>
        <v>mechanic medium skin tone</v>
      </c>
    </row>
    <row r="1875" ht="15.75" customHeight="1">
      <c r="A1875" s="1" t="s">
        <v>4943</v>
      </c>
      <c r="B1875" s="1" t="s">
        <v>4944</v>
      </c>
      <c r="C1875" s="2" t="str">
        <f>IFERROR(__xludf.DUMMYFUNCTION("GOOGLETRANSLATE(E1875, ""en"",""vi"")"),"cánh tay cơ khí")</f>
        <v>cánh tay cơ khí</v>
      </c>
      <c r="D1875" s="2" t="str">
        <f t="shared" si="36"/>
        <v>cánh tay cơ khí</v>
      </c>
      <c r="E1875" s="3" t="str">
        <f t="shared" si="2"/>
        <v>mechanical arm</v>
      </c>
    </row>
    <row r="1876" ht="15.75" customHeight="1">
      <c r="A1876" s="1" t="s">
        <v>4945</v>
      </c>
      <c r="B1876" s="1" t="s">
        <v>4946</v>
      </c>
      <c r="C1876" s="2" t="s">
        <v>4947</v>
      </c>
      <c r="D1876" s="2" t="str">
        <f t="shared" si="36"/>
        <v>chân cơ khí</v>
      </c>
      <c r="E1876" s="3" t="str">
        <f t="shared" si="2"/>
        <v>mechanical leg</v>
      </c>
    </row>
    <row r="1877" ht="15.75" customHeight="1">
      <c r="A1877" s="1" t="s">
        <v>4948</v>
      </c>
      <c r="B1877" s="1" t="s">
        <v>4949</v>
      </c>
      <c r="C1877" s="2" t="str">
        <f>IFERROR(__xludf.DUMMYFUNCTION("GOOGLETRANSLATE(E1877, ""en"",""vi"")"),"biểu tượng y tế")</f>
        <v>biểu tượng y tế</v>
      </c>
      <c r="D1877" s="2" t="str">
        <f t="shared" si="36"/>
        <v>biểu tượng y tế</v>
      </c>
      <c r="E1877" s="3" t="str">
        <f t="shared" si="2"/>
        <v>medical symbol</v>
      </c>
    </row>
    <row r="1878" ht="15.75" customHeight="1">
      <c r="A1878" s="1" t="s">
        <v>4950</v>
      </c>
      <c r="B1878" s="1" t="s">
        <v>4951</v>
      </c>
      <c r="C1878" s="2" t="s">
        <v>4952</v>
      </c>
      <c r="D1878" s="2" t="str">
        <f t="shared" si="36"/>
        <v>tông da sẫm vừa</v>
      </c>
      <c r="E1878" s="3" t="str">
        <f t="shared" si="2"/>
        <v>medium-dark skin tone</v>
      </c>
    </row>
    <row r="1879" ht="15.75" customHeight="1">
      <c r="A1879" s="1" t="s">
        <v>4953</v>
      </c>
      <c r="B1879" s="1" t="s">
        <v>4954</v>
      </c>
      <c r="C1879" s="2" t="s">
        <v>4955</v>
      </c>
      <c r="D1879" s="2" t="str">
        <f t="shared" si="36"/>
        <v>tông da sáng vừa</v>
      </c>
      <c r="E1879" s="3" t="str">
        <f t="shared" si="2"/>
        <v>medium-light skin tone</v>
      </c>
    </row>
    <row r="1880" ht="15.75" customHeight="1">
      <c r="A1880" s="1" t="s">
        <v>4956</v>
      </c>
      <c r="B1880" s="1" t="s">
        <v>4957</v>
      </c>
      <c r="C1880" s="2" t="s">
        <v>4958</v>
      </c>
      <c r="D1880" s="2" t="str">
        <f t="shared" si="36"/>
        <v>tông da vừa</v>
      </c>
      <c r="E1880" s="3" t="str">
        <f t="shared" si="2"/>
        <v>medium skin tone</v>
      </c>
    </row>
    <row r="1881" ht="15.75" customHeight="1">
      <c r="A1881" s="1" t="s">
        <v>4959</v>
      </c>
      <c r="B1881" s="1" t="s">
        <v>4960</v>
      </c>
      <c r="C1881" s="2" t="s">
        <v>4961</v>
      </c>
      <c r="D1881" s="2" t="str">
        <f t="shared" si="36"/>
        <v>loa  </v>
      </c>
      <c r="E1881" s="3" t="str">
        <f t="shared" si="2"/>
        <v>megaphone</v>
      </c>
    </row>
    <row r="1882" ht="15.75" customHeight="1">
      <c r="A1882" s="1" t="s">
        <v>4962</v>
      </c>
      <c r="B1882" s="1" t="s">
        <v>4963</v>
      </c>
      <c r="C1882" s="2" t="str">
        <f>IFERROR(__xludf.DUMMYFUNCTION("GOOGLETRANSLATE(E1882, ""en"",""vi"")"),"dưa gang")</f>
        <v>dưa gang</v>
      </c>
      <c r="D1882" s="2" t="str">
        <f t="shared" si="36"/>
        <v>dưa gang</v>
      </c>
      <c r="E1882" s="3" t="str">
        <f t="shared" si="2"/>
        <v>melon</v>
      </c>
    </row>
    <row r="1883" ht="15.75" customHeight="1">
      <c r="A1883" s="1" t="s">
        <v>4964</v>
      </c>
      <c r="B1883" s="1" t="s">
        <v>4965</v>
      </c>
      <c r="C1883" s="2" t="str">
        <f>IFERROR(__xludf.DUMMYFUNCTION("GOOGLETRANSLATE(E1883, ""en"",""vi"")"),"bản ghi nhớ")</f>
        <v>bản ghi nhớ</v>
      </c>
      <c r="D1883" s="2" t="str">
        <f t="shared" si="36"/>
        <v>bản ghi nhớ</v>
      </c>
      <c r="E1883" s="3" t="str">
        <f t="shared" si="2"/>
        <v>memo</v>
      </c>
    </row>
    <row r="1884" ht="15.75" customHeight="1">
      <c r="A1884" s="1" t="s">
        <v>4966</v>
      </c>
      <c r="B1884" s="1" t="s">
        <v>4967</v>
      </c>
      <c r="C1884" s="2" t="s">
        <v>4968</v>
      </c>
      <c r="D1884" s="2" t="str">
        <f t="shared" si="36"/>
        <v>con trai nắm tay</v>
      </c>
      <c r="E1884" s="3" t="str">
        <f t="shared" si="2"/>
        <v>men holding hands</v>
      </c>
    </row>
    <row r="1885" ht="15.75" customHeight="1">
      <c r="A1885" s="1" t="s">
        <v>4969</v>
      </c>
      <c r="B1885" s="1" t="s">
        <v>4970</v>
      </c>
      <c r="C1885" s="2" t="s">
        <v>4971</v>
      </c>
      <c r="D1885" s="2" t="str">
        <f t="shared" si="36"/>
        <v>con trai nắm tay màu da sẫm</v>
      </c>
      <c r="E1885" s="3" t="str">
        <f t="shared" si="2"/>
        <v>men holding hands dark skin tone</v>
      </c>
    </row>
    <row r="1886" ht="15.75" customHeight="1">
      <c r="A1886" s="1" t="s">
        <v>4972</v>
      </c>
      <c r="B1886" s="1" t="s">
        <v>4973</v>
      </c>
      <c r="C1886" s="2" t="s">
        <v>4974</v>
      </c>
      <c r="D1886" s="2" t="str">
        <f t="shared" si="36"/>
        <v>con trai nắm tay màu da sẫm màu da sáng</v>
      </c>
      <c r="E1886" s="3" t="str">
        <f t="shared" si="2"/>
        <v>men holding hands dark skin tone light skin tone</v>
      </c>
    </row>
    <row r="1887" ht="15.75" customHeight="1">
      <c r="A1887" s="1" t="s">
        <v>4975</v>
      </c>
      <c r="B1887" s="1" t="s">
        <v>4976</v>
      </c>
      <c r="C1887" s="2" t="s">
        <v>4977</v>
      </c>
      <c r="D1887" s="2" t="str">
        <f t="shared" si="36"/>
        <v>con trai nắm tay màu da sẫm màu da sẫm vừa</v>
      </c>
      <c r="E1887" s="3" t="str">
        <f t="shared" si="2"/>
        <v>men holding hands dark skin tone medium-dark skin tone</v>
      </c>
    </row>
    <row r="1888" ht="15.75" customHeight="1">
      <c r="A1888" s="1" t="s">
        <v>4978</v>
      </c>
      <c r="B1888" s="1" t="s">
        <v>4979</v>
      </c>
      <c r="C1888" s="2" t="s">
        <v>4980</v>
      </c>
      <c r="D1888" s="2" t="str">
        <f t="shared" si="36"/>
        <v>con trai nắm tay màu da sẫm màu da sáng vừa</v>
      </c>
      <c r="E1888" s="3" t="str">
        <f t="shared" si="2"/>
        <v>men holding hands dark skin tone medium-light skin tone</v>
      </c>
    </row>
    <row r="1889" ht="15.75" customHeight="1">
      <c r="A1889" s="1" t="s">
        <v>4981</v>
      </c>
      <c r="B1889" s="1" t="s">
        <v>4982</v>
      </c>
      <c r="C1889" s="2" t="s">
        <v>4983</v>
      </c>
      <c r="D1889" s="2" t="str">
        <f t="shared" si="36"/>
        <v>con trai nắm tay màu da sẫm màu da thường</v>
      </c>
      <c r="E1889" s="3" t="str">
        <f t="shared" si="2"/>
        <v>men holding hands dark skin tone medium skin tone</v>
      </c>
    </row>
    <row r="1890" ht="15.75" customHeight="1">
      <c r="A1890" s="1" t="s">
        <v>4984</v>
      </c>
      <c r="B1890" s="1" t="s">
        <v>4985</v>
      </c>
      <c r="C1890" s="2" t="s">
        <v>4986</v>
      </c>
      <c r="D1890" s="2" t="str">
        <f t="shared" si="36"/>
        <v>con trai nắm tay màu da sáng</v>
      </c>
      <c r="E1890" s="3" t="str">
        <f t="shared" si="2"/>
        <v>men holding hands light skin tone</v>
      </c>
    </row>
    <row r="1891" ht="15.75" customHeight="1">
      <c r="A1891" s="1" t="s">
        <v>4987</v>
      </c>
      <c r="B1891" s="1" t="s">
        <v>4988</v>
      </c>
      <c r="C1891" s="2" t="s">
        <v>4989</v>
      </c>
      <c r="D1891" s="2" t="str">
        <f t="shared" si="36"/>
        <v>con trai nắm tay màu da sáng màu da sẫm</v>
      </c>
      <c r="E1891" s="3" t="str">
        <f t="shared" si="2"/>
        <v>men holding hands light skin tone dark skin tone</v>
      </c>
    </row>
    <row r="1892" ht="15.75" customHeight="1">
      <c r="A1892" s="1" t="s">
        <v>4990</v>
      </c>
      <c r="B1892" s="1" t="s">
        <v>4991</v>
      </c>
      <c r="C1892" s="2" t="s">
        <v>4992</v>
      </c>
      <c r="D1892" s="2" t="str">
        <f t="shared" si="36"/>
        <v>con trai nắm tay màu da sáng màu da sẫm vừa</v>
      </c>
      <c r="E1892" s="3" t="str">
        <f t="shared" si="2"/>
        <v>men holding hands light skin tone medium-dark skin tone</v>
      </c>
    </row>
    <row r="1893" ht="15.75" customHeight="1">
      <c r="A1893" s="1" t="s">
        <v>4993</v>
      </c>
      <c r="B1893" s="1" t="s">
        <v>4994</v>
      </c>
      <c r="C1893" s="2" t="s">
        <v>4995</v>
      </c>
      <c r="D1893" s="2" t="str">
        <f t="shared" si="36"/>
        <v>con trai nắm tay màu da sáng màu da sáng vừa</v>
      </c>
      <c r="E1893" s="3" t="str">
        <f t="shared" si="2"/>
        <v>men holding hands light skin tone medium-light skin tone</v>
      </c>
    </row>
    <row r="1894" ht="15.75" customHeight="1">
      <c r="A1894" s="1" t="s">
        <v>4996</v>
      </c>
      <c r="B1894" s="1" t="s">
        <v>4997</v>
      </c>
      <c r="C1894" s="2" t="s">
        <v>4998</v>
      </c>
      <c r="D1894" s="2" t="str">
        <f t="shared" si="36"/>
        <v>con trai nắm tay màu da sáng màu da thường</v>
      </c>
      <c r="E1894" s="3" t="str">
        <f t="shared" si="2"/>
        <v>men holding hands light skin tone medium skin tone</v>
      </c>
    </row>
    <row r="1895" ht="15.75" customHeight="1">
      <c r="A1895" s="1" t="s">
        <v>4999</v>
      </c>
      <c r="B1895" s="1" t="s">
        <v>5000</v>
      </c>
      <c r="C1895" s="2" t="s">
        <v>5001</v>
      </c>
      <c r="D1895" s="2" t="str">
        <f t="shared" si="36"/>
        <v>con trai nắm tay màu da sẫm vừa</v>
      </c>
      <c r="E1895" s="3" t="str">
        <f t="shared" si="2"/>
        <v>men holding hands medium-dark skin tone</v>
      </c>
    </row>
    <row r="1896" ht="15.75" customHeight="1">
      <c r="A1896" s="1" t="s">
        <v>5002</v>
      </c>
      <c r="B1896" s="1" t="s">
        <v>5003</v>
      </c>
      <c r="C1896" s="2" t="s">
        <v>5004</v>
      </c>
      <c r="D1896" s="2" t="str">
        <f t="shared" si="36"/>
        <v>con trai nắm tay màu da sẫm vừa màu da sẫm</v>
      </c>
      <c r="E1896" s="3" t="str">
        <f t="shared" si="2"/>
        <v>men holding hands medium-dark skin tone dark skin tone</v>
      </c>
    </row>
    <row r="1897" ht="15.75" customHeight="1">
      <c r="A1897" s="1" t="s">
        <v>5005</v>
      </c>
      <c r="B1897" s="1" t="s">
        <v>5006</v>
      </c>
      <c r="C1897" s="2" t="s">
        <v>5007</v>
      </c>
      <c r="D1897" s="2" t="str">
        <f t="shared" si="36"/>
        <v>con trai nắm tay màu da sẫm vừa màu da sáng</v>
      </c>
      <c r="E1897" s="3" t="str">
        <f t="shared" si="2"/>
        <v>men holding hands medium-dark skin tone light skin tone</v>
      </c>
    </row>
    <row r="1898" ht="15.75" customHeight="1">
      <c r="A1898" s="1" t="s">
        <v>5008</v>
      </c>
      <c r="B1898" s="1" t="s">
        <v>5009</v>
      </c>
      <c r="C1898" s="2" t="s">
        <v>5010</v>
      </c>
      <c r="D1898" s="2" t="str">
        <f t="shared" si="36"/>
        <v>con trai nắm tay màu da sẫm vừa màu da sáng vừa</v>
      </c>
      <c r="E1898" s="3" t="str">
        <f t="shared" si="2"/>
        <v>men holding hands medium-dark skin tone medium-light skin tone</v>
      </c>
    </row>
    <row r="1899" ht="15.75" customHeight="1">
      <c r="A1899" s="1" t="s">
        <v>5011</v>
      </c>
      <c r="B1899" s="1" t="s">
        <v>5012</v>
      </c>
      <c r="C1899" s="2" t="s">
        <v>5013</v>
      </c>
      <c r="D1899" s="2" t="str">
        <f t="shared" si="36"/>
        <v>con trai nắm tay màu da sẫm vừa màu da thường</v>
      </c>
      <c r="E1899" s="3" t="str">
        <f t="shared" si="2"/>
        <v>men holding hands medium-dark skin tone medium skin tone</v>
      </c>
    </row>
    <row r="1900" ht="15.75" customHeight="1">
      <c r="A1900" s="1" t="s">
        <v>5014</v>
      </c>
      <c r="B1900" s="1" t="s">
        <v>5015</v>
      </c>
      <c r="C1900" s="2" t="s">
        <v>5016</v>
      </c>
      <c r="D1900" s="2" t="str">
        <f t="shared" si="36"/>
        <v>con trai nắm tay màu da sáng vừa</v>
      </c>
      <c r="E1900" s="3" t="str">
        <f t="shared" si="2"/>
        <v>men holding hands medium-light skin tone</v>
      </c>
    </row>
    <row r="1901" ht="15.75" customHeight="1">
      <c r="A1901" s="1" t="s">
        <v>5017</v>
      </c>
      <c r="B1901" s="1" t="s">
        <v>5018</v>
      </c>
      <c r="C1901" s="2" t="s">
        <v>5019</v>
      </c>
      <c r="D1901" s="2" t="str">
        <f t="shared" si="36"/>
        <v>con trai nắm tay màu da sáng vừa màu da sẫm</v>
      </c>
      <c r="E1901" s="3" t="str">
        <f t="shared" si="2"/>
        <v>men holding hands medium-light skin tone dark skin tone</v>
      </c>
    </row>
    <row r="1902" ht="15.75" customHeight="1">
      <c r="A1902" s="1" t="s">
        <v>5020</v>
      </c>
      <c r="B1902" s="1" t="s">
        <v>5021</v>
      </c>
      <c r="C1902" s="2" t="s">
        <v>5022</v>
      </c>
      <c r="D1902" s="2" t="str">
        <f t="shared" si="36"/>
        <v>con trai nắm tay màu da sáng vừa màu da sáng</v>
      </c>
      <c r="E1902" s="3" t="str">
        <f t="shared" si="2"/>
        <v>men holding hands medium-light skin tone light skin tone</v>
      </c>
    </row>
    <row r="1903" ht="15.75" customHeight="1">
      <c r="A1903" s="1" t="s">
        <v>5023</v>
      </c>
      <c r="B1903" s="1" t="s">
        <v>5024</v>
      </c>
      <c r="C1903" s="2" t="s">
        <v>5025</v>
      </c>
      <c r="D1903" s="2" t="str">
        <f t="shared" si="36"/>
        <v>con trai nắm tay màu da sáng vừa màu da sẫm vừa</v>
      </c>
      <c r="E1903" s="3" t="str">
        <f t="shared" si="2"/>
        <v>men holding hands medium-light skin tone medium-dark skin tone</v>
      </c>
    </row>
    <row r="1904" ht="15.75" customHeight="1">
      <c r="A1904" s="1" t="s">
        <v>5026</v>
      </c>
      <c r="B1904" s="1" t="s">
        <v>5027</v>
      </c>
      <c r="C1904" s="2" t="s">
        <v>5028</v>
      </c>
      <c r="D1904" s="2" t="str">
        <f t="shared" si="36"/>
        <v>con trai nắm tay màu da sáng vừa màu da thường</v>
      </c>
      <c r="E1904" s="3" t="str">
        <f t="shared" si="2"/>
        <v>men holding hands medium-light skin tone medium skin tone</v>
      </c>
    </row>
    <row r="1905" ht="15.75" customHeight="1">
      <c r="A1905" s="1" t="s">
        <v>5029</v>
      </c>
      <c r="B1905" s="1" t="s">
        <v>5030</v>
      </c>
      <c r="C1905" s="2" t="s">
        <v>5031</v>
      </c>
      <c r="D1905" s="2" t="str">
        <f t="shared" si="36"/>
        <v>con trai nắm tay màu da thường</v>
      </c>
      <c r="E1905" s="3" t="str">
        <f t="shared" si="2"/>
        <v>men holding hands medium skin tone</v>
      </c>
    </row>
    <row r="1906" ht="15.75" customHeight="1">
      <c r="A1906" s="1" t="s">
        <v>5032</v>
      </c>
      <c r="B1906" s="1" t="s">
        <v>5033</v>
      </c>
      <c r="C1906" s="2" t="s">
        <v>5034</v>
      </c>
      <c r="D1906" s="2" t="str">
        <f t="shared" si="36"/>
        <v>con trai nắm tay màu da thường màu da sẫm</v>
      </c>
      <c r="E1906" s="3" t="str">
        <f t="shared" si="2"/>
        <v>men holding hands medium skin tone dark skin tone</v>
      </c>
    </row>
    <row r="1907" ht="15.75" customHeight="1">
      <c r="A1907" s="1" t="s">
        <v>5035</v>
      </c>
      <c r="B1907" s="1" t="s">
        <v>5036</v>
      </c>
      <c r="C1907" s="2" t="s">
        <v>5037</v>
      </c>
      <c r="D1907" s="2" t="str">
        <f t="shared" si="36"/>
        <v>con trai nắm tay màu da thường màu da sáng</v>
      </c>
      <c r="E1907" s="3" t="str">
        <f t="shared" si="2"/>
        <v>men holding hands medium skin tone light skin tone</v>
      </c>
    </row>
    <row r="1908" ht="15.75" customHeight="1">
      <c r="A1908" s="1" t="s">
        <v>5038</v>
      </c>
      <c r="B1908" s="1" t="s">
        <v>5039</v>
      </c>
      <c r="C1908" s="2" t="s">
        <v>5040</v>
      </c>
      <c r="D1908" s="2" t="str">
        <f t="shared" si="36"/>
        <v>con trai nắm tay màu da thường màu da sẫm vừa</v>
      </c>
      <c r="E1908" s="3" t="str">
        <f t="shared" si="2"/>
        <v>men holding hands medium skin tone medium-dark skin tone</v>
      </c>
    </row>
    <row r="1909" ht="15.75" customHeight="1">
      <c r="A1909" s="1" t="s">
        <v>5041</v>
      </c>
      <c r="B1909" s="1" t="s">
        <v>5042</v>
      </c>
      <c r="C1909" s="2" t="s">
        <v>5043</v>
      </c>
      <c r="D1909" s="2" t="str">
        <f t="shared" si="36"/>
        <v>con trai nắm tay màu da thường màu da sáng vừa</v>
      </c>
      <c r="E1909" s="3" t="str">
        <f t="shared" si="2"/>
        <v>men holding hands medium skin tone medium-light skin tone</v>
      </c>
    </row>
    <row r="1910" ht="15.75" customHeight="1">
      <c r="A1910" s="1" t="s">
        <v>5044</v>
      </c>
      <c r="B1910" s="1" t="s">
        <v>5045</v>
      </c>
      <c r="C1910" s="2" t="str">
        <f>IFERROR(__xludf.DUMMYFUNCTION("GOOGLETRANSLATE(E1910, ""en"",""vi"")"),"đàn ông có tai thỏ")</f>
        <v>đàn ông có tai thỏ</v>
      </c>
      <c r="D1910" s="2" t="str">
        <f t="shared" si="36"/>
        <v>đàn ông có tai thỏ</v>
      </c>
      <c r="E1910" s="3" t="str">
        <f t="shared" si="2"/>
        <v>men with bunny ears</v>
      </c>
    </row>
    <row r="1911" ht="15.75" customHeight="1">
      <c r="A1911" s="1" t="s">
        <v>5046</v>
      </c>
      <c r="B1911" s="1" t="s">
        <v>5047</v>
      </c>
      <c r="C1911" s="2" t="s">
        <v>5048</v>
      </c>
      <c r="D1911" s="2" t="s">
        <v>5048</v>
      </c>
      <c r="E1911" s="3" t="str">
        <f t="shared" si="2"/>
        <v>men wrestling</v>
      </c>
    </row>
    <row r="1912" ht="15.75" customHeight="1">
      <c r="A1912" s="1" t="s">
        <v>5049</v>
      </c>
      <c r="B1912" s="1" t="s">
        <v>5050</v>
      </c>
      <c r="C1912" s="2" t="s">
        <v>5051</v>
      </c>
      <c r="D1912" s="2" t="str">
        <f t="shared" ref="D1912:D2799" si="37">LOWER(C1912)</f>
        <v>hàn gắn trái tim</v>
      </c>
      <c r="E1912" s="3" t="str">
        <f t="shared" si="2"/>
        <v>mending heart</v>
      </c>
    </row>
    <row r="1913" ht="15.75" customHeight="1">
      <c r="A1913" s="1" t="s">
        <v>5052</v>
      </c>
      <c r="B1913" s="1" t="s">
        <v>5053</v>
      </c>
      <c r="C1913" s="2" t="s">
        <v>5054</v>
      </c>
      <c r="D1913" s="2" t="str">
        <f t="shared" si="37"/>
        <v>chân đèn do thái</v>
      </c>
      <c r="E1913" s="3" t="str">
        <f t="shared" si="2"/>
        <v>menorah</v>
      </c>
    </row>
    <row r="1914" ht="15.75" customHeight="1">
      <c r="A1914" s="1" t="s">
        <v>5055</v>
      </c>
      <c r="B1914" s="1" t="s">
        <v>5056</v>
      </c>
      <c r="C1914" s="2" t="str">
        <f>IFERROR(__xludf.DUMMYFUNCTION("GOOGLETRANSLATE(E1914, ""en"",""vi"")"),"phòng dành cho nam giới")</f>
        <v>phòng dành cho nam giới</v>
      </c>
      <c r="D1914" s="2" t="str">
        <f t="shared" si="37"/>
        <v>phòng dành cho nam giới</v>
      </c>
      <c r="E1914" s="3" t="str">
        <f t="shared" si="2"/>
        <v>men’s room</v>
      </c>
    </row>
    <row r="1915" ht="15.75" customHeight="1">
      <c r="A1915" s="1" t="s">
        <v>5057</v>
      </c>
      <c r="B1915" s="1" t="s">
        <v>5058</v>
      </c>
      <c r="C1915" s="2" t="s">
        <v>5059</v>
      </c>
      <c r="D1915" s="2" t="str">
        <f t="shared" si="37"/>
        <v>nàng tiên cá</v>
      </c>
      <c r="E1915" s="3" t="str">
        <f t="shared" si="2"/>
        <v>mermaid</v>
      </c>
    </row>
    <row r="1916" ht="15.75" customHeight="1">
      <c r="A1916" s="1" t="s">
        <v>5060</v>
      </c>
      <c r="B1916" s="1" t="s">
        <v>5061</v>
      </c>
      <c r="C1916" s="2" t="s">
        <v>5062</v>
      </c>
      <c r="D1916" s="2" t="str">
        <f t="shared" si="37"/>
        <v>nàng tiên cá màu da sẫm</v>
      </c>
      <c r="E1916" s="3" t="str">
        <f t="shared" si="2"/>
        <v>mermaid dark skin tone</v>
      </c>
    </row>
    <row r="1917" ht="15.75" customHeight="1">
      <c r="A1917" s="1" t="s">
        <v>5063</v>
      </c>
      <c r="B1917" s="1" t="s">
        <v>5064</v>
      </c>
      <c r="C1917" s="2" t="s">
        <v>5065</v>
      </c>
      <c r="D1917" s="2" t="str">
        <f t="shared" si="37"/>
        <v>nàng tiên cá màu da sáng</v>
      </c>
      <c r="E1917" s="3" t="str">
        <f t="shared" si="2"/>
        <v>mermaid light skin tone</v>
      </c>
    </row>
    <row r="1918" ht="15.75" customHeight="1">
      <c r="A1918" s="1" t="s">
        <v>5066</v>
      </c>
      <c r="B1918" s="1" t="s">
        <v>5067</v>
      </c>
      <c r="C1918" s="2" t="s">
        <v>5068</v>
      </c>
      <c r="D1918" s="2" t="str">
        <f t="shared" si="37"/>
        <v>nàng tiên cá màu da sẫm vừa</v>
      </c>
      <c r="E1918" s="3" t="str">
        <f t="shared" si="2"/>
        <v>mermaid medium-dark skin tone</v>
      </c>
    </row>
    <row r="1919" ht="15.75" customHeight="1">
      <c r="A1919" s="1" t="s">
        <v>5069</v>
      </c>
      <c r="B1919" s="1" t="s">
        <v>5070</v>
      </c>
      <c r="C1919" s="2" t="s">
        <v>5071</v>
      </c>
      <c r="D1919" s="2" t="str">
        <f t="shared" si="37"/>
        <v>nàng tiên cá màu da sáng vừa</v>
      </c>
      <c r="E1919" s="3" t="str">
        <f t="shared" si="2"/>
        <v>mermaid medium-light skin tone</v>
      </c>
    </row>
    <row r="1920" ht="15.75" customHeight="1">
      <c r="A1920" s="1" t="s">
        <v>5072</v>
      </c>
      <c r="B1920" s="1" t="s">
        <v>5073</v>
      </c>
      <c r="C1920" s="2" t="s">
        <v>5074</v>
      </c>
      <c r="D1920" s="2" t="str">
        <f t="shared" si="37"/>
        <v>nàng tiên cá màu da thường</v>
      </c>
      <c r="E1920" s="3" t="str">
        <f t="shared" si="2"/>
        <v>mermaid medium skin tone</v>
      </c>
    </row>
    <row r="1921" ht="15.75" customHeight="1">
      <c r="A1921" s="1" t="s">
        <v>5075</v>
      </c>
      <c r="B1921" s="1" t="s">
        <v>5076</v>
      </c>
      <c r="C1921" s="2" t="s">
        <v>5077</v>
      </c>
      <c r="D1921" s="2" t="str">
        <f t="shared" si="37"/>
        <v>chàng tiên cá</v>
      </c>
      <c r="E1921" s="3" t="str">
        <f t="shared" si="2"/>
        <v>merman</v>
      </c>
    </row>
    <row r="1922" ht="15.75" customHeight="1">
      <c r="A1922" s="1" t="s">
        <v>5078</v>
      </c>
      <c r="B1922" s="1" t="s">
        <v>5079</v>
      </c>
      <c r="C1922" s="2" t="s">
        <v>5080</v>
      </c>
      <c r="D1922" s="2" t="str">
        <f t="shared" si="37"/>
        <v>chàng tiên cá màu da sẫm</v>
      </c>
      <c r="E1922" s="3" t="str">
        <f t="shared" si="2"/>
        <v>merman dark skin tone</v>
      </c>
    </row>
    <row r="1923" ht="15.75" customHeight="1">
      <c r="A1923" s="1" t="s">
        <v>5081</v>
      </c>
      <c r="B1923" s="1" t="s">
        <v>5082</v>
      </c>
      <c r="C1923" s="2" t="s">
        <v>5083</v>
      </c>
      <c r="D1923" s="2" t="str">
        <f t="shared" si="37"/>
        <v>chàng tiên cá màu da sáng</v>
      </c>
      <c r="E1923" s="3" t="str">
        <f t="shared" si="2"/>
        <v>merman light skin tone</v>
      </c>
    </row>
    <row r="1924" ht="15.75" customHeight="1">
      <c r="A1924" s="1" t="s">
        <v>5084</v>
      </c>
      <c r="B1924" s="1" t="s">
        <v>5085</v>
      </c>
      <c r="C1924" s="2" t="s">
        <v>5086</v>
      </c>
      <c r="D1924" s="2" t="str">
        <f t="shared" si="37"/>
        <v>chàng tiên cá màu da sẫm vừa</v>
      </c>
      <c r="E1924" s="3" t="str">
        <f t="shared" si="2"/>
        <v>merman medium-dark skin tone</v>
      </c>
    </row>
    <row r="1925" ht="15.75" customHeight="1">
      <c r="A1925" s="1" t="s">
        <v>5087</v>
      </c>
      <c r="B1925" s="1" t="s">
        <v>5088</v>
      </c>
      <c r="C1925" s="2" t="s">
        <v>5089</v>
      </c>
      <c r="D1925" s="2" t="str">
        <f t="shared" si="37"/>
        <v>chàng tiên cá màu da sáng vừa</v>
      </c>
      <c r="E1925" s="3" t="str">
        <f t="shared" si="2"/>
        <v>merman medium-light skin tone</v>
      </c>
    </row>
    <row r="1926" ht="15.75" customHeight="1">
      <c r="A1926" s="1" t="s">
        <v>5090</v>
      </c>
      <c r="B1926" s="1" t="s">
        <v>5091</v>
      </c>
      <c r="C1926" s="2" t="s">
        <v>5092</v>
      </c>
      <c r="D1926" s="2" t="str">
        <f t="shared" si="37"/>
        <v>chàng tiên cá màu da thường</v>
      </c>
      <c r="E1926" s="3" t="str">
        <f t="shared" si="2"/>
        <v>merman medium skin tone</v>
      </c>
    </row>
    <row r="1927" ht="15.75" customHeight="1">
      <c r="A1927" s="1" t="s">
        <v>5093</v>
      </c>
      <c r="B1927" s="1" t="s">
        <v>5094</v>
      </c>
      <c r="C1927" s="2" t="s">
        <v>5095</v>
      </c>
      <c r="D1927" s="2" t="str">
        <f t="shared" si="37"/>
        <v>tiên cá</v>
      </c>
      <c r="E1927" s="3" t="str">
        <f t="shared" si="2"/>
        <v>merperson</v>
      </c>
    </row>
    <row r="1928" ht="15.75" customHeight="1">
      <c r="A1928" s="1" t="s">
        <v>5096</v>
      </c>
      <c r="B1928" s="1" t="s">
        <v>5097</v>
      </c>
      <c r="C1928" s="2" t="s">
        <v>5098</v>
      </c>
      <c r="D1928" s="2" t="str">
        <f t="shared" si="37"/>
        <v>tiên cá màu da sẫm</v>
      </c>
      <c r="E1928" s="3" t="str">
        <f t="shared" si="2"/>
        <v>merperson dark skin tone</v>
      </c>
    </row>
    <row r="1929" ht="15.75" customHeight="1">
      <c r="A1929" s="1" t="s">
        <v>5099</v>
      </c>
      <c r="B1929" s="1" t="s">
        <v>5100</v>
      </c>
      <c r="C1929" s="2" t="s">
        <v>5101</v>
      </c>
      <c r="D1929" s="2" t="str">
        <f t="shared" si="37"/>
        <v>tiên cá màu da sáng</v>
      </c>
      <c r="E1929" s="3" t="str">
        <f t="shared" si="2"/>
        <v>merperson light skin tone</v>
      </c>
    </row>
    <row r="1930" ht="15.75" customHeight="1">
      <c r="A1930" s="1" t="s">
        <v>5102</v>
      </c>
      <c r="B1930" s="1" t="s">
        <v>5103</v>
      </c>
      <c r="C1930" s="2" t="s">
        <v>5104</v>
      </c>
      <c r="D1930" s="2" t="str">
        <f t="shared" si="37"/>
        <v>tiên cá màu da sẫm vừa</v>
      </c>
      <c r="E1930" s="3" t="str">
        <f t="shared" si="2"/>
        <v>merperson medium-dark skin tone</v>
      </c>
    </row>
    <row r="1931" ht="15.75" customHeight="1">
      <c r="A1931" s="1" t="s">
        <v>5105</v>
      </c>
      <c r="B1931" s="1" t="s">
        <v>5106</v>
      </c>
      <c r="C1931" s="2" t="s">
        <v>5107</v>
      </c>
      <c r="D1931" s="2" t="str">
        <f t="shared" si="37"/>
        <v>tiên cá màu da sáng vừa</v>
      </c>
      <c r="E1931" s="3" t="str">
        <f t="shared" si="2"/>
        <v>merperson medium-light skin tone</v>
      </c>
    </row>
    <row r="1932" ht="15.75" customHeight="1">
      <c r="A1932" s="1" t="s">
        <v>5108</v>
      </c>
      <c r="B1932" s="1" t="s">
        <v>5109</v>
      </c>
      <c r="C1932" s="2" t="s">
        <v>5110</v>
      </c>
      <c r="D1932" s="2" t="str">
        <f t="shared" si="37"/>
        <v>tiên cá màu da thường</v>
      </c>
      <c r="E1932" s="3" t="str">
        <f t="shared" si="2"/>
        <v>merperson medium skin tone</v>
      </c>
    </row>
    <row r="1933" ht="15.75" customHeight="1">
      <c r="A1933" s="1" t="s">
        <v>5111</v>
      </c>
      <c r="B1933" s="1" t="s">
        <v>5112</v>
      </c>
      <c r="C1933" s="2" t="str">
        <f>IFERROR(__xludf.DUMMYFUNCTION("GOOGLETRANSLATE(E1933, ""en"",""vi"")"),"tàu điện ngầm")</f>
        <v>tàu điện ngầm</v>
      </c>
      <c r="D1933" s="2" t="str">
        <f t="shared" si="37"/>
        <v>tàu điện ngầm</v>
      </c>
      <c r="E1933" s="3" t="str">
        <f t="shared" si="2"/>
        <v>metro</v>
      </c>
    </row>
    <row r="1934" ht="15.75" customHeight="1">
      <c r="A1934" s="1" t="s">
        <v>5113</v>
      </c>
      <c r="B1934" s="1" t="s">
        <v>5114</v>
      </c>
      <c r="C1934" s="2" t="s">
        <v>5115</v>
      </c>
      <c r="D1934" s="2" t="str">
        <f t="shared" si="37"/>
        <v>vi trùng</v>
      </c>
      <c r="E1934" s="3" t="str">
        <f t="shared" si="2"/>
        <v>microbe</v>
      </c>
    </row>
    <row r="1935" ht="15.75" customHeight="1">
      <c r="A1935" s="1" t="s">
        <v>5116</v>
      </c>
      <c r="B1935" s="1" t="s">
        <v>5117</v>
      </c>
      <c r="C1935" s="2" t="str">
        <f>IFERROR(__xludf.DUMMYFUNCTION("GOOGLETRANSLATE(E1935, ""en"",""vi"")"),"micrô")</f>
        <v>micrô</v>
      </c>
      <c r="D1935" s="2" t="str">
        <f t="shared" si="37"/>
        <v>micrô</v>
      </c>
      <c r="E1935" s="3" t="str">
        <f t="shared" si="2"/>
        <v>microphone</v>
      </c>
    </row>
    <row r="1936" ht="15.75" customHeight="1">
      <c r="A1936" s="1" t="s">
        <v>5118</v>
      </c>
      <c r="B1936" s="1" t="s">
        <v>5119</v>
      </c>
      <c r="C1936" s="2" t="str">
        <f>IFERROR(__xludf.DUMMYFUNCTION("GOOGLETRANSLATE(E1936, ""en"",""vi"")"),"kính hiển vi")</f>
        <v>kính hiển vi</v>
      </c>
      <c r="D1936" s="2" t="str">
        <f t="shared" si="37"/>
        <v>kính hiển vi</v>
      </c>
      <c r="E1936" s="3" t="str">
        <f t="shared" si="2"/>
        <v>microscope</v>
      </c>
    </row>
    <row r="1937" ht="15.75" customHeight="1">
      <c r="A1937" s="1" t="s">
        <v>5120</v>
      </c>
      <c r="B1937" s="1" t="s">
        <v>5121</v>
      </c>
      <c r="C1937" s="2" t="s">
        <v>5122</v>
      </c>
      <c r="D1937" s="2" t="str">
        <f t="shared" si="37"/>
        <v>ngón giữa</v>
      </c>
      <c r="E1937" s="3" t="str">
        <f t="shared" si="2"/>
        <v>middle finger</v>
      </c>
    </row>
    <row r="1938" ht="15.75" customHeight="1">
      <c r="A1938" s="1" t="s">
        <v>5123</v>
      </c>
      <c r="B1938" s="1" t="s">
        <v>5124</v>
      </c>
      <c r="C1938" s="2" t="s">
        <v>5125</v>
      </c>
      <c r="D1938" s="2" t="str">
        <f t="shared" si="37"/>
        <v>ngón giữa màu da sẫm</v>
      </c>
      <c r="E1938" s="3" t="str">
        <f t="shared" si="2"/>
        <v>middle finger dark skin tone</v>
      </c>
    </row>
    <row r="1939" ht="15.75" customHeight="1">
      <c r="A1939" s="1" t="s">
        <v>5126</v>
      </c>
      <c r="B1939" s="1" t="s">
        <v>5127</v>
      </c>
      <c r="C1939" s="2" t="s">
        <v>5128</v>
      </c>
      <c r="D1939" s="2" t="str">
        <f t="shared" si="37"/>
        <v>ngón giữa màu da sáng</v>
      </c>
      <c r="E1939" s="3" t="str">
        <f t="shared" si="2"/>
        <v>middle finger light skin tone</v>
      </c>
    </row>
    <row r="1940" ht="15.75" customHeight="1">
      <c r="A1940" s="1" t="s">
        <v>5129</v>
      </c>
      <c r="B1940" s="1" t="s">
        <v>5130</v>
      </c>
      <c r="C1940" s="2" t="s">
        <v>5131</v>
      </c>
      <c r="D1940" s="2" t="str">
        <f t="shared" si="37"/>
        <v>ngón giữa màu da sẫm vừa</v>
      </c>
      <c r="E1940" s="3" t="str">
        <f t="shared" si="2"/>
        <v>middle finger medium-dark skin tone</v>
      </c>
    </row>
    <row r="1941" ht="15.75" customHeight="1">
      <c r="A1941" s="1" t="s">
        <v>5132</v>
      </c>
      <c r="B1941" s="1" t="s">
        <v>5133</v>
      </c>
      <c r="C1941" s="2" t="s">
        <v>5134</v>
      </c>
      <c r="D1941" s="2" t="str">
        <f t="shared" si="37"/>
        <v>ngón giữa màu da sáng vừa</v>
      </c>
      <c r="E1941" s="3" t="str">
        <f t="shared" si="2"/>
        <v>middle finger medium-light skin tone</v>
      </c>
    </row>
    <row r="1942" ht="15.75" customHeight="1">
      <c r="A1942" s="1" t="s">
        <v>5135</v>
      </c>
      <c r="B1942" s="1" t="s">
        <v>5136</v>
      </c>
      <c r="C1942" s="2" t="s">
        <v>5137</v>
      </c>
      <c r="D1942" s="2" t="str">
        <f t="shared" si="37"/>
        <v>ngón giữa màu da thường</v>
      </c>
      <c r="E1942" s="3" t="str">
        <f t="shared" si="2"/>
        <v>middle finger medium skin tone</v>
      </c>
    </row>
    <row r="1943" ht="15.75" customHeight="1">
      <c r="A1943" s="1" t="s">
        <v>5138</v>
      </c>
      <c r="B1943" s="1" t="s">
        <v>5139</v>
      </c>
      <c r="C1943" s="2" t="str">
        <f>IFERROR(__xludf.DUMMYFUNCTION("GOOGLETRANSLATE(E1943, ""en"",""vi"")"),"mũ bảo hiểm quân đội")</f>
        <v>mũ bảo hiểm quân đội</v>
      </c>
      <c r="D1943" s="2" t="str">
        <f t="shared" si="37"/>
        <v>mũ bảo hiểm quân đội</v>
      </c>
      <c r="E1943" s="3" t="str">
        <f t="shared" si="2"/>
        <v>military helmet</v>
      </c>
    </row>
    <row r="1944" ht="15.75" customHeight="1">
      <c r="A1944" s="1" t="s">
        <v>5140</v>
      </c>
      <c r="B1944" s="1" t="s">
        <v>5141</v>
      </c>
      <c r="C1944" s="2" t="s">
        <v>5142</v>
      </c>
      <c r="D1944" s="2" t="str">
        <f t="shared" si="37"/>
        <v>huân chương quân sự</v>
      </c>
      <c r="E1944" s="3" t="str">
        <f t="shared" si="2"/>
        <v>military medal</v>
      </c>
    </row>
    <row r="1945" ht="15.75" customHeight="1">
      <c r="A1945" s="1" t="s">
        <v>5143</v>
      </c>
      <c r="B1945" s="1" t="s">
        <v>5144</v>
      </c>
      <c r="C1945" s="2" t="str">
        <f>IFERROR(__xludf.DUMMYFUNCTION("GOOGLETRANSLATE(E1945, ""en"",""vi"")"),"dải ngân hà")</f>
        <v>dải ngân hà</v>
      </c>
      <c r="D1945" s="2" t="str">
        <f t="shared" si="37"/>
        <v>dải ngân hà</v>
      </c>
      <c r="E1945" s="3" t="str">
        <f t="shared" si="2"/>
        <v>milky way</v>
      </c>
    </row>
    <row r="1946" ht="15.75" customHeight="1">
      <c r="A1946" s="1" t="s">
        <v>5145</v>
      </c>
      <c r="B1946" s="1" t="s">
        <v>5146</v>
      </c>
      <c r="C1946" s="2" t="s">
        <v>5147</v>
      </c>
      <c r="D1946" s="2" t="str">
        <f t="shared" si="37"/>
        <v>minibus</v>
      </c>
      <c r="E1946" s="3" t="str">
        <f t="shared" si="2"/>
        <v>minibus</v>
      </c>
    </row>
    <row r="1947" ht="15.75" customHeight="1">
      <c r="A1947" s="1" t="s">
        <v>5148</v>
      </c>
      <c r="B1947" s="1" t="s">
        <v>5149</v>
      </c>
      <c r="C1947" s="2" t="str">
        <f>IFERROR(__xludf.DUMMYFUNCTION("GOOGLETRANSLATE(E1947, ""en"",""vi"")"),"trừ đi")</f>
        <v>trừ đi</v>
      </c>
      <c r="D1947" s="2" t="str">
        <f t="shared" si="37"/>
        <v>trừ đi</v>
      </c>
      <c r="E1947" s="3" t="str">
        <f t="shared" si="2"/>
        <v>minus</v>
      </c>
    </row>
    <row r="1948" ht="15.75" customHeight="1">
      <c r="A1948" s="1" t="s">
        <v>5150</v>
      </c>
      <c r="B1948" s="1" t="s">
        <v>5151</v>
      </c>
      <c r="C1948" s="2" t="str">
        <f>IFERROR(__xludf.DUMMYFUNCTION("GOOGLETRANSLATE(E1948, ""en"",""vi"")"),"gương")</f>
        <v>gương</v>
      </c>
      <c r="D1948" s="2" t="str">
        <f t="shared" si="37"/>
        <v>gương</v>
      </c>
      <c r="E1948" s="3" t="str">
        <f t="shared" si="2"/>
        <v>mirror</v>
      </c>
    </row>
    <row r="1949" ht="15.75" customHeight="1">
      <c r="A1949" s="1" t="s">
        <v>5152</v>
      </c>
      <c r="B1949" s="1" t="s">
        <v>5153</v>
      </c>
      <c r="C1949" s="2" t="s">
        <v>5154</v>
      </c>
      <c r="D1949" s="2" t="str">
        <f t="shared" si="37"/>
        <v>moai</v>
      </c>
      <c r="E1949" s="3" t="str">
        <f t="shared" si="2"/>
        <v>moai</v>
      </c>
    </row>
    <row r="1950" ht="15.75" customHeight="1">
      <c r="A1950" s="1" t="s">
        <v>5155</v>
      </c>
      <c r="B1950" s="1" t="s">
        <v>5156</v>
      </c>
      <c r="C1950" s="2" t="str">
        <f>IFERROR(__xludf.DUMMYFUNCTION("GOOGLETRANSLATE(E1950, ""en"",""vi"")"),"điện thoại di động")</f>
        <v>điện thoại di động</v>
      </c>
      <c r="D1950" s="2" t="str">
        <f t="shared" si="37"/>
        <v>điện thoại di động</v>
      </c>
      <c r="E1950" s="3" t="str">
        <f t="shared" si="2"/>
        <v>mobile phone</v>
      </c>
    </row>
    <row r="1951" ht="15.75" customHeight="1">
      <c r="A1951" s="1" t="s">
        <v>5157</v>
      </c>
      <c r="B1951" s="1" t="s">
        <v>5158</v>
      </c>
      <c r="C1951" s="2" t="str">
        <f>IFERROR(__xludf.DUMMYFUNCTION("GOOGLETRANSLATE(E1951, ""en"",""vi"")"),"điện thoại di động tắt")</f>
        <v>điện thoại di động tắt</v>
      </c>
      <c r="D1951" s="2" t="str">
        <f t="shared" si="37"/>
        <v>điện thoại di động tắt</v>
      </c>
      <c r="E1951" s="3" t="str">
        <f t="shared" si="2"/>
        <v>mobile phone off</v>
      </c>
    </row>
    <row r="1952" ht="15.75" customHeight="1">
      <c r="A1952" s="1" t="s">
        <v>5159</v>
      </c>
      <c r="B1952" s="1" t="s">
        <v>5160</v>
      </c>
      <c r="C1952" s="2" t="str">
        <f>IFERROR(__xludf.DUMMYFUNCTION("GOOGLETRANSLATE(E1952, ""en"",""vi"")"),"điện thoại di động có mũi tên")</f>
        <v>điện thoại di động có mũi tên</v>
      </c>
      <c r="D1952" s="2" t="str">
        <f t="shared" si="37"/>
        <v>điện thoại di động có mũi tên</v>
      </c>
      <c r="E1952" s="3" t="str">
        <f t="shared" si="2"/>
        <v>mobile phone with arrow</v>
      </c>
    </row>
    <row r="1953" ht="15.75" customHeight="1">
      <c r="A1953" s="1" t="s">
        <v>5161</v>
      </c>
      <c r="B1953" s="1" t="s">
        <v>5162</v>
      </c>
      <c r="C1953" s="2" t="s">
        <v>5163</v>
      </c>
      <c r="D1953" s="2" t="str">
        <f t="shared" si="37"/>
        <v>mặt miệng tiền</v>
      </c>
      <c r="E1953" s="3" t="str">
        <f t="shared" si="2"/>
        <v>money-mouth face</v>
      </c>
    </row>
    <row r="1954" ht="15.75" customHeight="1">
      <c r="A1954" s="1" t="s">
        <v>5164</v>
      </c>
      <c r="B1954" s="1" t="s">
        <v>5165</v>
      </c>
      <c r="C1954" s="2" t="str">
        <f>IFERROR(__xludf.DUMMYFUNCTION("GOOGLETRANSLATE(E1954, ""en"",""vi"")"),"túi tiền")</f>
        <v>túi tiền</v>
      </c>
      <c r="D1954" s="2" t="str">
        <f t="shared" si="37"/>
        <v>túi tiền</v>
      </c>
      <c r="E1954" s="3" t="str">
        <f t="shared" si="2"/>
        <v>money bag</v>
      </c>
    </row>
    <row r="1955" ht="15.75" customHeight="1">
      <c r="A1955" s="1" t="s">
        <v>5166</v>
      </c>
      <c r="B1955" s="1" t="s">
        <v>5167</v>
      </c>
      <c r="C1955" s="2" t="s">
        <v>5168</v>
      </c>
      <c r="D1955" s="2" t="str">
        <f t="shared" si="37"/>
        <v>tiền với cánh</v>
      </c>
      <c r="E1955" s="3" t="str">
        <f t="shared" si="2"/>
        <v>money with wings</v>
      </c>
    </row>
    <row r="1956" ht="15.75" customHeight="1">
      <c r="A1956" s="1" t="s">
        <v>5169</v>
      </c>
      <c r="B1956" s="1" t="s">
        <v>5170</v>
      </c>
      <c r="C1956" s="2" t="str">
        <f>IFERROR(__xludf.DUMMYFUNCTION("GOOGLETRANSLATE(E1956, ""en"",""vi"")"),"con khỉ")</f>
        <v>con khỉ</v>
      </c>
      <c r="D1956" s="2" t="str">
        <f t="shared" si="37"/>
        <v>con khỉ</v>
      </c>
      <c r="E1956" s="3" t="str">
        <f t="shared" si="2"/>
        <v>monkey</v>
      </c>
    </row>
    <row r="1957" ht="15.75" customHeight="1">
      <c r="A1957" s="1" t="s">
        <v>5171</v>
      </c>
      <c r="B1957" s="1" t="s">
        <v>5172</v>
      </c>
      <c r="C1957" s="2" t="str">
        <f>IFERROR(__xludf.DUMMYFUNCTION("GOOGLETRANSLATE(E1957, ""en"",""vi"")"),"mặt khỉ")</f>
        <v>mặt khỉ</v>
      </c>
      <c r="D1957" s="2" t="str">
        <f t="shared" si="37"/>
        <v>mặt khỉ</v>
      </c>
      <c r="E1957" s="3" t="str">
        <f t="shared" si="2"/>
        <v>monkey face</v>
      </c>
    </row>
    <row r="1958" ht="15.75" customHeight="1">
      <c r="A1958" s="1" t="s">
        <v>5173</v>
      </c>
      <c r="B1958" s="1" t="s">
        <v>5174</v>
      </c>
      <c r="C1958" s="2" t="s">
        <v>5175</v>
      </c>
      <c r="D1958" s="2" t="str">
        <f t="shared" si="37"/>
        <v>đường một ray</v>
      </c>
      <c r="E1958" s="3" t="str">
        <f t="shared" si="2"/>
        <v>monorail</v>
      </c>
    </row>
    <row r="1959" ht="15.75" customHeight="1">
      <c r="A1959" s="1" t="s">
        <v>5176</v>
      </c>
      <c r="B1959" s="1" t="s">
        <v>5177</v>
      </c>
      <c r="C1959" s="2" t="str">
        <f>IFERROR(__xludf.DUMMYFUNCTION("GOOGLETRANSLATE(E1959, ""en"",""vi"")"),"bánh trung thu")</f>
        <v>bánh trung thu</v>
      </c>
      <c r="D1959" s="2" t="str">
        <f t="shared" si="37"/>
        <v>bánh trung thu</v>
      </c>
      <c r="E1959" s="3" t="str">
        <f t="shared" si="2"/>
        <v>moon cake</v>
      </c>
    </row>
    <row r="1960" ht="15.75" customHeight="1">
      <c r="A1960" s="1" t="s">
        <v>5178</v>
      </c>
      <c r="B1960" s="1" t="s">
        <v>5179</v>
      </c>
      <c r="C1960" s="2" t="s">
        <v>5180</v>
      </c>
      <c r="D1960" s="2" t="str">
        <f t="shared" si="37"/>
        <v>lễ ngắm trăng</v>
      </c>
      <c r="E1960" s="3" t="str">
        <f t="shared" si="2"/>
        <v>moon viewing ceremony</v>
      </c>
    </row>
    <row r="1961" ht="15.75" customHeight="1">
      <c r="A1961" s="1" t="s">
        <v>5181</v>
      </c>
      <c r="B1961" s="1" t="s">
        <v>5182</v>
      </c>
      <c r="C1961" s="2" t="str">
        <f>IFERROR(__xludf.DUMMYFUNCTION("GOOGLETRANSLATE(E1961, ""en"",""vi"")"),"nhà thờ Hồi giáo")</f>
        <v>nhà thờ Hồi giáo</v>
      </c>
      <c r="D1961" s="2" t="str">
        <f t="shared" si="37"/>
        <v>nhà thờ hồi giáo</v>
      </c>
      <c r="E1961" s="3" t="str">
        <f t="shared" si="2"/>
        <v>mosque</v>
      </c>
    </row>
    <row r="1962" ht="15.75" customHeight="1">
      <c r="A1962" s="1" t="s">
        <v>5183</v>
      </c>
      <c r="B1962" s="1" t="s">
        <v>5184</v>
      </c>
      <c r="C1962" s="2" t="s">
        <v>5185</v>
      </c>
      <c r="D1962" s="2" t="str">
        <f t="shared" si="37"/>
        <v>muỗi</v>
      </c>
      <c r="E1962" s="3" t="str">
        <f t="shared" si="2"/>
        <v>mosquito</v>
      </c>
    </row>
    <row r="1963" ht="15.75" customHeight="1">
      <c r="A1963" s="1" t="s">
        <v>5186</v>
      </c>
      <c r="B1963" s="1" t="s">
        <v>5187</v>
      </c>
      <c r="C1963" s="2" t="s">
        <v>5188</v>
      </c>
      <c r="D1963" s="2" t="str">
        <f t="shared" si="37"/>
        <v>thuyền máy</v>
      </c>
      <c r="E1963" s="3" t="str">
        <f t="shared" si="2"/>
        <v>motor boat</v>
      </c>
    </row>
    <row r="1964" ht="15.75" customHeight="1">
      <c r="A1964" s="1" t="s">
        <v>5189</v>
      </c>
      <c r="B1964" s="1" t="s">
        <v>5190</v>
      </c>
      <c r="C1964" s="2" t="str">
        <f>IFERROR(__xludf.DUMMYFUNCTION("GOOGLETRANSLATE(E1964, ""en"",""vi"")"),"xe máy tay ga")</f>
        <v>xe máy tay ga</v>
      </c>
      <c r="D1964" s="2" t="str">
        <f t="shared" si="37"/>
        <v>xe máy tay ga</v>
      </c>
      <c r="E1964" s="3" t="str">
        <f t="shared" si="2"/>
        <v>motor scooter</v>
      </c>
    </row>
    <row r="1965" ht="15.75" customHeight="1">
      <c r="A1965" s="1" t="s">
        <v>5191</v>
      </c>
      <c r="B1965" s="1" t="s">
        <v>5192</v>
      </c>
      <c r="C1965" s="2" t="str">
        <f>IFERROR(__xludf.DUMMYFUNCTION("GOOGLETRANSLATE(E1965, ""en"",""vi"")"),"xe máy")</f>
        <v>xe máy</v>
      </c>
      <c r="D1965" s="2" t="str">
        <f t="shared" si="37"/>
        <v>xe máy</v>
      </c>
      <c r="E1965" s="3" t="str">
        <f t="shared" si="2"/>
        <v>motorcycle</v>
      </c>
    </row>
    <row r="1966" ht="15.75" customHeight="1">
      <c r="A1966" s="1" t="s">
        <v>5193</v>
      </c>
      <c r="B1966" s="1" t="s">
        <v>5194</v>
      </c>
      <c r="C1966" s="2" t="str">
        <f>IFERROR(__xludf.DUMMYFUNCTION("GOOGLETRANSLATE(E1966, ""en"",""vi"")"),"xe lăn có động cơ")</f>
        <v>xe lăn có động cơ</v>
      </c>
      <c r="D1966" s="2" t="str">
        <f t="shared" si="37"/>
        <v>xe lăn có động cơ</v>
      </c>
      <c r="E1966" s="3" t="str">
        <f t="shared" si="2"/>
        <v>motorized wheelchair</v>
      </c>
    </row>
    <row r="1967" ht="15.75" customHeight="1">
      <c r="A1967" s="1" t="s">
        <v>5195</v>
      </c>
      <c r="B1967" s="1" t="s">
        <v>5196</v>
      </c>
      <c r="C1967" s="2" t="str">
        <f>IFERROR(__xludf.DUMMYFUNCTION("GOOGLETRANSLATE(E1967, ""en"",""vi"")"),"đường cao tốc")</f>
        <v>đường cao tốc</v>
      </c>
      <c r="D1967" s="2" t="str">
        <f t="shared" si="37"/>
        <v>đường cao tốc</v>
      </c>
      <c r="E1967" s="3" t="str">
        <f t="shared" si="2"/>
        <v>motorway</v>
      </c>
    </row>
    <row r="1968" ht="15.75" customHeight="1">
      <c r="A1968" s="1" t="s">
        <v>5197</v>
      </c>
      <c r="B1968" s="1" t="s">
        <v>5198</v>
      </c>
      <c r="C1968" s="2" t="s">
        <v>5199</v>
      </c>
      <c r="D1968" s="2" t="str">
        <f t="shared" si="37"/>
        <v>núi phú sĩ</v>
      </c>
      <c r="E1968" s="3" t="str">
        <f t="shared" si="2"/>
        <v>mount fuji</v>
      </c>
    </row>
    <row r="1969" ht="15.75" customHeight="1">
      <c r="A1969" s="1" t="s">
        <v>5200</v>
      </c>
      <c r="B1969" s="1" t="s">
        <v>5201</v>
      </c>
      <c r="C1969" s="2" t="str">
        <f>IFERROR(__xludf.DUMMYFUNCTION("GOOGLETRANSLATE(E1969, ""en"",""vi"")"),"núi")</f>
        <v>núi</v>
      </c>
      <c r="D1969" s="2" t="str">
        <f t="shared" si="37"/>
        <v>núi</v>
      </c>
      <c r="E1969" s="3" t="str">
        <f t="shared" si="2"/>
        <v>mountain</v>
      </c>
    </row>
    <row r="1970" ht="15.75" customHeight="1">
      <c r="A1970" s="1" t="s">
        <v>5202</v>
      </c>
      <c r="B1970" s="1" t="s">
        <v>5203</v>
      </c>
      <c r="C1970" s="2" t="s">
        <v>5204</v>
      </c>
      <c r="D1970" s="2" t="str">
        <f t="shared" si="37"/>
        <v>cáp treo núi</v>
      </c>
      <c r="E1970" s="3" t="str">
        <f t="shared" si="2"/>
        <v>mountain cableway</v>
      </c>
    </row>
    <row r="1971" ht="15.75" customHeight="1">
      <c r="A1971" s="1" t="s">
        <v>5205</v>
      </c>
      <c r="B1971" s="1" t="s">
        <v>5206</v>
      </c>
      <c r="C1971" s="2" t="str">
        <f>IFERROR(__xludf.DUMMYFUNCTION("GOOGLETRANSLATE(E1971, ""en"",""vi"")"),"đường sắt trên núi")</f>
        <v>đường sắt trên núi</v>
      </c>
      <c r="D1971" s="2" t="str">
        <f t="shared" si="37"/>
        <v>đường sắt trên núi</v>
      </c>
      <c r="E1971" s="3" t="str">
        <f t="shared" si="2"/>
        <v>mountain railway</v>
      </c>
    </row>
    <row r="1972" ht="15.75" customHeight="1">
      <c r="A1972" s="1" t="s">
        <v>5207</v>
      </c>
      <c r="B1972" s="1" t="s">
        <v>5208</v>
      </c>
      <c r="C1972" s="2" t="str">
        <f>IFERROR(__xludf.DUMMYFUNCTION("GOOGLETRANSLATE(E1972, ""en"",""vi"")"),"chuột")</f>
        <v>chuột</v>
      </c>
      <c r="D1972" s="2" t="str">
        <f t="shared" si="37"/>
        <v>chuột</v>
      </c>
      <c r="E1972" s="3" t="str">
        <f t="shared" si="2"/>
        <v>mouse</v>
      </c>
    </row>
    <row r="1973" ht="15.75" customHeight="1">
      <c r="A1973" s="1" t="s">
        <v>5209</v>
      </c>
      <c r="B1973" s="1" t="s">
        <v>5210</v>
      </c>
      <c r="C1973" s="2" t="str">
        <f>IFERROR(__xludf.DUMMYFUNCTION("GOOGLETRANSLATE(E1973, ""en"",""vi"")"),"mặt chuột")</f>
        <v>mặt chuột</v>
      </c>
      <c r="D1973" s="2" t="str">
        <f t="shared" si="37"/>
        <v>mặt chuột</v>
      </c>
      <c r="E1973" s="3" t="str">
        <f t="shared" si="2"/>
        <v>mouse face</v>
      </c>
    </row>
    <row r="1974" ht="15.75" customHeight="1">
      <c r="A1974" s="1" t="s">
        <v>5211</v>
      </c>
      <c r="B1974" s="1" t="s">
        <v>5212</v>
      </c>
      <c r="C1974" s="2" t="str">
        <f>IFERROR(__xludf.DUMMYFUNCTION("GOOGLETRANSLATE(E1974, ""en"",""vi"")"),"bẫy chuột")</f>
        <v>bẫy chuột</v>
      </c>
      <c r="D1974" s="2" t="str">
        <f t="shared" si="37"/>
        <v>bẫy chuột</v>
      </c>
      <c r="E1974" s="3" t="str">
        <f t="shared" si="2"/>
        <v>mouse trap</v>
      </c>
    </row>
    <row r="1975" ht="15.75" customHeight="1">
      <c r="A1975" s="1" t="s">
        <v>5213</v>
      </c>
      <c r="B1975" s="1" t="s">
        <v>5214</v>
      </c>
      <c r="C1975" s="2" t="str">
        <f>IFERROR(__xludf.DUMMYFUNCTION("GOOGLETRANSLATE(E1975, ""en"",""vi"")"),"miệng")</f>
        <v>miệng</v>
      </c>
      <c r="D1975" s="2" t="str">
        <f t="shared" si="37"/>
        <v>miệng</v>
      </c>
      <c r="E1975" s="3" t="str">
        <f t="shared" si="2"/>
        <v>mouth</v>
      </c>
    </row>
    <row r="1976" ht="15.75" customHeight="1">
      <c r="A1976" s="1" t="s">
        <v>5215</v>
      </c>
      <c r="B1976" s="1" t="s">
        <v>5216</v>
      </c>
      <c r="C1976" s="2" t="str">
        <f>IFERROR(__xludf.DUMMYFUNCTION("GOOGLETRANSLATE(E1976, ""en"",""vi"")"),"máy quay phim")</f>
        <v>máy quay phim</v>
      </c>
      <c r="D1976" s="2" t="str">
        <f t="shared" si="37"/>
        <v>máy quay phim</v>
      </c>
      <c r="E1976" s="3" t="str">
        <f t="shared" si="2"/>
        <v>movie camera</v>
      </c>
    </row>
    <row r="1977" ht="15.75" customHeight="1">
      <c r="A1977" s="1" t="s">
        <v>5217</v>
      </c>
      <c r="B1977" s="1" t="s">
        <v>5218</v>
      </c>
      <c r="C1977" s="2" t="str">
        <f>IFERROR(__xludf.DUMMYFUNCTION("GOOGLETRANSLATE(E1977, ""en"",""vi"")"),"nhân lên")</f>
        <v>nhân lên</v>
      </c>
      <c r="D1977" s="2" t="str">
        <f t="shared" si="37"/>
        <v>nhân lên</v>
      </c>
      <c r="E1977" s="3" t="str">
        <f t="shared" si="2"/>
        <v>multiply</v>
      </c>
    </row>
    <row r="1978" ht="15.75" customHeight="1">
      <c r="A1978" s="1" t="s">
        <v>5219</v>
      </c>
      <c r="B1978" s="1" t="s">
        <v>5220</v>
      </c>
      <c r="C1978" s="2" t="str">
        <f>IFERROR(__xludf.DUMMYFUNCTION("GOOGLETRANSLATE(E1978, ""en"",""vi"")"),"nấm")</f>
        <v>nấm</v>
      </c>
      <c r="D1978" s="2" t="str">
        <f t="shared" si="37"/>
        <v>nấm</v>
      </c>
      <c r="E1978" s="3" t="str">
        <f t="shared" si="2"/>
        <v>mushroom</v>
      </c>
    </row>
    <row r="1979" ht="15.75" customHeight="1">
      <c r="A1979" s="1" t="s">
        <v>5221</v>
      </c>
      <c r="B1979" s="1" t="s">
        <v>5222</v>
      </c>
      <c r="C1979" s="2" t="str">
        <f>IFERROR(__xludf.DUMMYFUNCTION("GOOGLETRANSLATE(E1979, ""en"",""vi"")"),"bàn phím nhạc")</f>
        <v>bàn phím nhạc</v>
      </c>
      <c r="D1979" s="2" t="str">
        <f t="shared" si="37"/>
        <v>bàn phím nhạc</v>
      </c>
      <c r="E1979" s="3" t="str">
        <f t="shared" si="2"/>
        <v>musical keyboard</v>
      </c>
    </row>
    <row r="1980" ht="15.75" customHeight="1">
      <c r="A1980" s="1" t="s">
        <v>5223</v>
      </c>
      <c r="B1980" s="1" t="s">
        <v>5224</v>
      </c>
      <c r="C1980" s="2" t="str">
        <f>IFERROR(__xludf.DUMMYFUNCTION("GOOGLETRANSLATE(E1980, ""en"",""vi"")"),"nốt nhạc")</f>
        <v>nốt nhạc</v>
      </c>
      <c r="D1980" s="2" t="str">
        <f t="shared" si="37"/>
        <v>nốt nhạc</v>
      </c>
      <c r="E1980" s="3" t="str">
        <f t="shared" si="2"/>
        <v>musical note</v>
      </c>
    </row>
    <row r="1981" ht="15.75" customHeight="1">
      <c r="A1981" s="1" t="s">
        <v>5225</v>
      </c>
      <c r="B1981" s="1" t="s">
        <v>5226</v>
      </c>
      <c r="C1981" s="2" t="str">
        <f>IFERROR(__xludf.DUMMYFUNCTION("GOOGLETRANSLATE(E1981, ""en"",""vi"")"),"nốt nhạc")</f>
        <v>nốt nhạc</v>
      </c>
      <c r="D1981" s="2" t="str">
        <f t="shared" si="37"/>
        <v>nốt nhạc</v>
      </c>
      <c r="E1981" s="3" t="str">
        <f t="shared" si="2"/>
        <v>musical notes</v>
      </c>
    </row>
    <row r="1982" ht="15.75" customHeight="1">
      <c r="A1982" s="1" t="s">
        <v>5227</v>
      </c>
      <c r="B1982" s="1" t="s">
        <v>5228</v>
      </c>
      <c r="C1982" s="2" t="s">
        <v>5229</v>
      </c>
      <c r="D1982" s="2" t="str">
        <f t="shared" si="37"/>
        <v>điểm nhạc</v>
      </c>
      <c r="E1982" s="3" t="str">
        <f t="shared" si="2"/>
        <v>musical score</v>
      </c>
    </row>
    <row r="1983" ht="15.75" customHeight="1">
      <c r="A1983" s="1" t="s">
        <v>5230</v>
      </c>
      <c r="B1983" s="1" t="s">
        <v>5231</v>
      </c>
      <c r="C1983" s="2" t="str">
        <f>IFERROR(__xludf.DUMMYFUNCTION("GOOGLETRANSLATE(E1983, ""en"",""vi"")"),"loa bị tắt tiếng")</f>
        <v>loa bị tắt tiếng</v>
      </c>
      <c r="D1983" s="2" t="str">
        <f t="shared" si="37"/>
        <v>loa bị tắt tiếng</v>
      </c>
      <c r="E1983" s="3" t="str">
        <f t="shared" si="2"/>
        <v>muted speaker</v>
      </c>
    </row>
    <row r="1984" ht="15.75" customHeight="1">
      <c r="A1984" s="1" t="s">
        <v>5232</v>
      </c>
      <c r="B1984" s="1" t="s">
        <v>5233</v>
      </c>
      <c r="C1984" s="2" t="s">
        <v>5234</v>
      </c>
      <c r="D1984" s="2" t="str">
        <f t="shared" si="37"/>
        <v>ông già noel</v>
      </c>
      <c r="E1984" s="3" t="str">
        <f t="shared" si="2"/>
        <v>mx claus</v>
      </c>
    </row>
    <row r="1985" ht="15.75" customHeight="1">
      <c r="A1985" s="1" t="s">
        <v>5235</v>
      </c>
      <c r="B1985" s="1" t="s">
        <v>5236</v>
      </c>
      <c r="C1985" s="2" t="s">
        <v>5237</v>
      </c>
      <c r="D1985" s="2" t="str">
        <f t="shared" si="37"/>
        <v>ông già noel màu da sẫm</v>
      </c>
      <c r="E1985" s="3" t="str">
        <f t="shared" si="2"/>
        <v>mx claus dark skin tone</v>
      </c>
    </row>
    <row r="1986" ht="15.75" customHeight="1">
      <c r="A1986" s="1" t="s">
        <v>5238</v>
      </c>
      <c r="B1986" s="1" t="s">
        <v>5239</v>
      </c>
      <c r="C1986" s="2" t="s">
        <v>5240</v>
      </c>
      <c r="D1986" s="2" t="str">
        <f t="shared" si="37"/>
        <v>ông già noel màu da sáng</v>
      </c>
      <c r="E1986" s="3" t="str">
        <f t="shared" si="2"/>
        <v>mx claus light skin tone</v>
      </c>
    </row>
    <row r="1987" ht="15.75" customHeight="1">
      <c r="A1987" s="1" t="s">
        <v>5241</v>
      </c>
      <c r="B1987" s="1" t="s">
        <v>5242</v>
      </c>
      <c r="C1987" s="2" t="s">
        <v>5243</v>
      </c>
      <c r="D1987" s="2" t="str">
        <f t="shared" si="37"/>
        <v>ông già noel màu da sẫm vừa</v>
      </c>
      <c r="E1987" s="3" t="str">
        <f t="shared" si="2"/>
        <v>mx claus medium-dark skin tone</v>
      </c>
    </row>
    <row r="1988" ht="15.75" customHeight="1">
      <c r="A1988" s="1" t="s">
        <v>5244</v>
      </c>
      <c r="B1988" s="1" t="s">
        <v>5245</v>
      </c>
      <c r="C1988" s="2" t="s">
        <v>5246</v>
      </c>
      <c r="D1988" s="2" t="str">
        <f t="shared" si="37"/>
        <v>ông già noel màu da sáng vừa</v>
      </c>
      <c r="E1988" s="3" t="str">
        <f t="shared" si="2"/>
        <v>mx claus medium-light skin tone</v>
      </c>
    </row>
    <row r="1989" ht="15.75" customHeight="1">
      <c r="A1989" s="1" t="s">
        <v>5247</v>
      </c>
      <c r="B1989" s="1" t="s">
        <v>5248</v>
      </c>
      <c r="C1989" s="2" t="s">
        <v>5249</v>
      </c>
      <c r="D1989" s="2" t="str">
        <f t="shared" si="37"/>
        <v>ông già noel màu da thường</v>
      </c>
      <c r="E1989" s="3" t="str">
        <f t="shared" si="2"/>
        <v>mx claus medium skin tone</v>
      </c>
    </row>
    <row r="1990" ht="15.75" customHeight="1">
      <c r="A1990" s="1" t="s">
        <v>5250</v>
      </c>
      <c r="B1990" s="1" t="s">
        <v>5251</v>
      </c>
      <c r="C1990" s="2" t="s">
        <v>5252</v>
      </c>
      <c r="D1990" s="2" t="str">
        <f t="shared" si="37"/>
        <v>làm móng</v>
      </c>
      <c r="E1990" s="3" t="str">
        <f t="shared" si="2"/>
        <v>nail polish</v>
      </c>
    </row>
    <row r="1991" ht="15.75" customHeight="1">
      <c r="A1991" s="1" t="s">
        <v>5253</v>
      </c>
      <c r="B1991" s="1" t="s">
        <v>5254</v>
      </c>
      <c r="C1991" s="2" t="s">
        <v>5255</v>
      </c>
      <c r="D1991" s="2" t="str">
        <f t="shared" si="37"/>
        <v>làm móng màu da sẫm</v>
      </c>
      <c r="E1991" s="3" t="str">
        <f t="shared" si="2"/>
        <v>nail polish dark skin tone</v>
      </c>
    </row>
    <row r="1992" ht="15.75" customHeight="1">
      <c r="A1992" s="1" t="s">
        <v>5256</v>
      </c>
      <c r="B1992" s="1" t="s">
        <v>5257</v>
      </c>
      <c r="C1992" s="2" t="s">
        <v>5258</v>
      </c>
      <c r="D1992" s="2" t="str">
        <f t="shared" si="37"/>
        <v>làm móng màu da sáng</v>
      </c>
      <c r="E1992" s="3" t="str">
        <f t="shared" si="2"/>
        <v>nail polish light skin tone</v>
      </c>
    </row>
    <row r="1993" ht="15.75" customHeight="1">
      <c r="A1993" s="1" t="s">
        <v>5259</v>
      </c>
      <c r="B1993" s="1" t="s">
        <v>5260</v>
      </c>
      <c r="C1993" s="2" t="s">
        <v>5261</v>
      </c>
      <c r="D1993" s="2" t="str">
        <f t="shared" si="37"/>
        <v>làm móng màu da sẫm vừa</v>
      </c>
      <c r="E1993" s="3" t="str">
        <f t="shared" si="2"/>
        <v>nail polish medium-dark skin tone</v>
      </c>
    </row>
    <row r="1994" ht="15.75" customHeight="1">
      <c r="A1994" s="1" t="s">
        <v>5262</v>
      </c>
      <c r="B1994" s="1" t="s">
        <v>5263</v>
      </c>
      <c r="C1994" s="2" t="s">
        <v>5264</v>
      </c>
      <c r="D1994" s="2" t="str">
        <f t="shared" si="37"/>
        <v>làm móng màu da sáng vừa</v>
      </c>
      <c r="E1994" s="3" t="str">
        <f t="shared" si="2"/>
        <v>nail polish medium-light skin tone</v>
      </c>
    </row>
    <row r="1995" ht="15.75" customHeight="1">
      <c r="A1995" s="1" t="s">
        <v>5265</v>
      </c>
      <c r="B1995" s="1" t="s">
        <v>5266</v>
      </c>
      <c r="C1995" s="2" t="s">
        <v>5267</v>
      </c>
      <c r="D1995" s="2" t="str">
        <f t="shared" si="37"/>
        <v>làm móng màu da thường</v>
      </c>
      <c r="E1995" s="3" t="str">
        <f t="shared" si="2"/>
        <v>nail polish medium skin tone</v>
      </c>
    </row>
    <row r="1996" ht="15.75" customHeight="1">
      <c r="A1996" s="1" t="s">
        <v>5268</v>
      </c>
      <c r="B1996" s="1" t="s">
        <v>5269</v>
      </c>
      <c r="C1996" s="2" t="s">
        <v>5270</v>
      </c>
      <c r="D1996" s="2" t="str">
        <f t="shared" si="37"/>
        <v>huy hiệu tên</v>
      </c>
      <c r="E1996" s="3" t="str">
        <f t="shared" si="2"/>
        <v>name badge</v>
      </c>
    </row>
    <row r="1997" ht="15.75" customHeight="1">
      <c r="A1997" s="1" t="s">
        <v>5271</v>
      </c>
      <c r="B1997" s="1" t="s">
        <v>5272</v>
      </c>
      <c r="C1997" s="2" t="str">
        <f>IFERROR(__xludf.DUMMYFUNCTION("GOOGLETRANSLATE(E1997, ""en"",""vi"")"),"công viên quốc gia")</f>
        <v>công viên quốc gia</v>
      </c>
      <c r="D1997" s="2" t="str">
        <f t="shared" si="37"/>
        <v>công viên quốc gia</v>
      </c>
      <c r="E1997" s="3" t="str">
        <f t="shared" si="2"/>
        <v>national park</v>
      </c>
    </row>
    <row r="1998" ht="15.75" customHeight="1">
      <c r="A1998" s="1" t="s">
        <v>5273</v>
      </c>
      <c r="B1998" s="1" t="s">
        <v>5274</v>
      </c>
      <c r="C1998" s="2" t="str">
        <f>IFERROR(__xludf.DUMMYFUNCTION("GOOGLETRANSLATE(E1998, ""en"",""vi"")"),"mặt buồn nôn")</f>
        <v>mặt buồn nôn</v>
      </c>
      <c r="D1998" s="2" t="str">
        <f t="shared" si="37"/>
        <v>mặt buồn nôn</v>
      </c>
      <c r="E1998" s="3" t="str">
        <f t="shared" si="2"/>
        <v>nauseated face</v>
      </c>
    </row>
    <row r="1999" ht="15.75" customHeight="1">
      <c r="A1999" s="1" t="s">
        <v>5275</v>
      </c>
      <c r="B1999" s="1" t="s">
        <v>5276</v>
      </c>
      <c r="C1999" s="2" t="s">
        <v>5277</v>
      </c>
      <c r="D1999" s="2" t="str">
        <f t="shared" si="37"/>
        <v>bùa hộ mệnh</v>
      </c>
      <c r="E1999" s="3" t="str">
        <f t="shared" si="2"/>
        <v>nazar amulet</v>
      </c>
    </row>
    <row r="2000" ht="15.75" customHeight="1">
      <c r="A2000" s="1" t="s">
        <v>5278</v>
      </c>
      <c r="B2000" s="1" t="s">
        <v>5279</v>
      </c>
      <c r="C2000" s="2" t="s">
        <v>5280</v>
      </c>
      <c r="D2000" s="2" t="str">
        <f t="shared" si="37"/>
        <v>cà vạt</v>
      </c>
      <c r="E2000" s="3" t="str">
        <f t="shared" si="2"/>
        <v>necktie</v>
      </c>
    </row>
    <row r="2001" ht="15.75" customHeight="1">
      <c r="A2001" s="1" t="s">
        <v>5281</v>
      </c>
      <c r="B2001" s="1" t="s">
        <v>5282</v>
      </c>
      <c r="C2001" s="2" t="s">
        <v>5283</v>
      </c>
      <c r="D2001" s="2" t="str">
        <f t="shared" si="37"/>
        <v>khuôn mặt mọt sách</v>
      </c>
      <c r="E2001" s="3" t="str">
        <f t="shared" si="2"/>
        <v>nerd face</v>
      </c>
    </row>
    <row r="2002" ht="15.75" customHeight="1">
      <c r="A2002" s="1" t="s">
        <v>5284</v>
      </c>
      <c r="B2002" s="1" t="s">
        <v>5285</v>
      </c>
      <c r="C2002" s="2" t="s">
        <v>5286</v>
      </c>
      <c r="D2002" s="2" t="str">
        <f t="shared" si="37"/>
        <v>búp bê matryoshka</v>
      </c>
      <c r="E2002" s="3" t="str">
        <f t="shared" si="2"/>
        <v>nesting dolls</v>
      </c>
    </row>
    <row r="2003" ht="15.75" customHeight="1">
      <c r="A2003" s="1" t="s">
        <v>5287</v>
      </c>
      <c r="B2003" s="1" t="s">
        <v>5288</v>
      </c>
      <c r="C2003" s="2" t="str">
        <f>IFERROR(__xludf.DUMMYFUNCTION("GOOGLETRANSLATE(E2003, ""en"",""vi"")"),"khuôn mặt trung tính")</f>
        <v>khuôn mặt trung tính</v>
      </c>
      <c r="D2003" s="2" t="str">
        <f t="shared" si="37"/>
        <v>khuôn mặt trung tính</v>
      </c>
      <c r="E2003" s="3" t="str">
        <f t="shared" si="2"/>
        <v>neutral face</v>
      </c>
    </row>
    <row r="2004" ht="15.75" customHeight="1">
      <c r="A2004" s="1" t="s">
        <v>5289</v>
      </c>
      <c r="B2004" s="1" t="s">
        <v>5290</v>
      </c>
      <c r="C2004" s="2" t="str">
        <f>IFERROR(__xludf.DUMMYFUNCTION("GOOGLETRANSLATE(E2004, ""en"",""vi"")"),"trăng non")</f>
        <v>trăng non</v>
      </c>
      <c r="D2004" s="2" t="str">
        <f t="shared" si="37"/>
        <v>trăng non</v>
      </c>
      <c r="E2004" s="3" t="str">
        <f t="shared" si="2"/>
        <v>new moon</v>
      </c>
    </row>
    <row r="2005" ht="15.75" customHeight="1">
      <c r="A2005" s="1" t="s">
        <v>5291</v>
      </c>
      <c r="B2005" s="1" t="s">
        <v>5292</v>
      </c>
      <c r="C2005" s="2" t="s">
        <v>5293</v>
      </c>
      <c r="D2005" s="2" t="str">
        <f t="shared" si="37"/>
        <v>mặt trăng non</v>
      </c>
      <c r="E2005" s="3" t="str">
        <f t="shared" si="2"/>
        <v>new moon face</v>
      </c>
    </row>
    <row r="2006" ht="15.75" customHeight="1">
      <c r="A2006" s="1" t="s">
        <v>5294</v>
      </c>
      <c r="B2006" s="1" t="s">
        <v>5295</v>
      </c>
      <c r="C2006" s="2" t="str">
        <f>IFERROR(__xludf.DUMMYFUNCTION("GOOGLETRANSLATE(E2006, ""en"",""vi"")"),"báo")</f>
        <v>báo</v>
      </c>
      <c r="D2006" s="2" t="str">
        <f t="shared" si="37"/>
        <v>báo</v>
      </c>
      <c r="E2006" s="3" t="str">
        <f t="shared" si="2"/>
        <v>newspaper</v>
      </c>
    </row>
    <row r="2007" ht="15.75" customHeight="1">
      <c r="A2007" s="1" t="s">
        <v>5296</v>
      </c>
      <c r="B2007" s="1" t="s">
        <v>5297</v>
      </c>
      <c r="C2007" s="2" t="s">
        <v>5298</v>
      </c>
      <c r="D2007" s="2" t="str">
        <f t="shared" si="37"/>
        <v>nút bài tiếp theo</v>
      </c>
      <c r="E2007" s="3" t="str">
        <f t="shared" si="2"/>
        <v>next track button</v>
      </c>
    </row>
    <row r="2008" ht="15.75" customHeight="1">
      <c r="A2008" s="1" t="s">
        <v>5299</v>
      </c>
      <c r="B2008" s="1" t="s">
        <v>5300</v>
      </c>
      <c r="C2008" s="2" t="str">
        <f>IFERROR(__xludf.DUMMYFUNCTION("GOOGLETRANSLATE(E2008, ""en"",""vi"")"),"đêm có sao")</f>
        <v>đêm có sao</v>
      </c>
      <c r="D2008" s="2" t="str">
        <f t="shared" si="37"/>
        <v>đêm có sao</v>
      </c>
      <c r="E2008" s="3" t="str">
        <f t="shared" si="2"/>
        <v>night with stars</v>
      </c>
    </row>
    <row r="2009" ht="15.75" customHeight="1">
      <c r="A2009" s="1" t="s">
        <v>5301</v>
      </c>
      <c r="B2009" s="1" t="s">
        <v>5302</v>
      </c>
      <c r="C2009" s="2" t="str">
        <f>IFERROR(__xludf.DUMMYFUNCTION("GOOGLETRANSLATE(E2009, ""en"",""vi"")"),"chín giờ ba mươi")</f>
        <v>chín giờ ba mươi</v>
      </c>
      <c r="D2009" s="2" t="str">
        <f t="shared" si="37"/>
        <v>chín giờ ba mươi</v>
      </c>
      <c r="E2009" s="3" t="str">
        <f t="shared" si="2"/>
        <v>nine-thirty</v>
      </c>
    </row>
    <row r="2010" ht="15.75" customHeight="1">
      <c r="A2010" s="1" t="s">
        <v>5303</v>
      </c>
      <c r="B2010" s="1" t="s">
        <v>5304</v>
      </c>
      <c r="C2010" s="2" t="str">
        <f>IFERROR(__xludf.DUMMYFUNCTION("GOOGLETRANSLATE(E2010, ""en"",""vi"")"),"chín giờ")</f>
        <v>chín giờ</v>
      </c>
      <c r="D2010" s="2" t="str">
        <f t="shared" si="37"/>
        <v>chín giờ</v>
      </c>
      <c r="E2010" s="3" t="str">
        <f t="shared" si="2"/>
        <v>nine o’clock</v>
      </c>
    </row>
    <row r="2011" ht="15.75" customHeight="1">
      <c r="A2011" s="1" t="s">
        <v>5305</v>
      </c>
      <c r="B2011" s="1" t="s">
        <v>5306</v>
      </c>
      <c r="C2011" s="2" t="s">
        <v>5307</v>
      </c>
      <c r="D2011" s="2" t="str">
        <f t="shared" si="37"/>
        <v>ninja</v>
      </c>
      <c r="E2011" s="3" t="str">
        <f t="shared" si="2"/>
        <v>ninja</v>
      </c>
    </row>
    <row r="2012" ht="15.75" customHeight="1">
      <c r="A2012" s="1" t="s">
        <v>5308</v>
      </c>
      <c r="B2012" s="1" t="s">
        <v>5309</v>
      </c>
      <c r="C2012" s="2" t="s">
        <v>5310</v>
      </c>
      <c r="D2012" s="2" t="str">
        <f t="shared" si="37"/>
        <v>ninja màu da sẫm</v>
      </c>
      <c r="E2012" s="3" t="str">
        <f t="shared" si="2"/>
        <v>ninja dark skin tone</v>
      </c>
    </row>
    <row r="2013" ht="15.75" customHeight="1">
      <c r="A2013" s="1" t="s">
        <v>5311</v>
      </c>
      <c r="B2013" s="1" t="s">
        <v>5312</v>
      </c>
      <c r="C2013" s="2" t="s">
        <v>5313</v>
      </c>
      <c r="D2013" s="2" t="str">
        <f t="shared" si="37"/>
        <v>ninja màu da sáng</v>
      </c>
      <c r="E2013" s="3" t="str">
        <f t="shared" si="2"/>
        <v>ninja light skin tone</v>
      </c>
    </row>
    <row r="2014" ht="15.75" customHeight="1">
      <c r="A2014" s="1" t="s">
        <v>5314</v>
      </c>
      <c r="B2014" s="1" t="s">
        <v>5315</v>
      </c>
      <c r="C2014" s="2" t="s">
        <v>5316</v>
      </c>
      <c r="D2014" s="2" t="str">
        <f t="shared" si="37"/>
        <v>ninja màu da sẫm vừa</v>
      </c>
      <c r="E2014" s="3" t="str">
        <f t="shared" si="2"/>
        <v>ninja medium-dark skin tone</v>
      </c>
    </row>
    <row r="2015" ht="15.75" customHeight="1">
      <c r="A2015" s="1" t="s">
        <v>5317</v>
      </c>
      <c r="B2015" s="1" t="s">
        <v>5318</v>
      </c>
      <c r="C2015" s="2" t="s">
        <v>5319</v>
      </c>
      <c r="D2015" s="2" t="str">
        <f t="shared" si="37"/>
        <v>ninja màu da sáng vừa</v>
      </c>
      <c r="E2015" s="3" t="str">
        <f t="shared" si="2"/>
        <v>ninja medium-light skin tone</v>
      </c>
    </row>
    <row r="2016" ht="15.75" customHeight="1">
      <c r="A2016" s="1" t="s">
        <v>5320</v>
      </c>
      <c r="B2016" s="1" t="s">
        <v>5321</v>
      </c>
      <c r="C2016" s="2" t="s">
        <v>5322</v>
      </c>
      <c r="D2016" s="2" t="str">
        <f t="shared" si="37"/>
        <v>ninja màu da thường</v>
      </c>
      <c r="E2016" s="3" t="str">
        <f t="shared" si="2"/>
        <v>ninja medium skin tone</v>
      </c>
    </row>
    <row r="2017" ht="15.75" customHeight="1">
      <c r="A2017" s="1" t="s">
        <v>5323</v>
      </c>
      <c r="B2017" s="1" t="s">
        <v>5324</v>
      </c>
      <c r="C2017" s="2" t="s">
        <v>5325</v>
      </c>
      <c r="D2017" s="2" t="str">
        <f t="shared" si="37"/>
        <v>cấm xe đạp</v>
      </c>
      <c r="E2017" s="3" t="str">
        <f t="shared" si="2"/>
        <v>no bicycles</v>
      </c>
    </row>
    <row r="2018" ht="15.75" customHeight="1">
      <c r="A2018" s="1" t="s">
        <v>5326</v>
      </c>
      <c r="B2018" s="1" t="s">
        <v>5327</v>
      </c>
      <c r="C2018" s="2" t="str">
        <f>IFERROR(__xludf.DUMMYFUNCTION("GOOGLETRANSLATE(E2018, ""en"",""vi"")"),"không có mục nhập")</f>
        <v>không có mục nhập</v>
      </c>
      <c r="D2018" s="2" t="str">
        <f t="shared" si="37"/>
        <v>không có mục nhập</v>
      </c>
      <c r="E2018" s="3" t="str">
        <f t="shared" si="2"/>
        <v>no entry</v>
      </c>
    </row>
    <row r="2019" ht="15.75" customHeight="1">
      <c r="A2019" s="1" t="s">
        <v>5328</v>
      </c>
      <c r="B2019" s="1" t="s">
        <v>5329</v>
      </c>
      <c r="C2019" s="2" t="s">
        <v>5330</v>
      </c>
      <c r="D2019" s="2" t="str">
        <f t="shared" si="37"/>
        <v>cấm vứt rác</v>
      </c>
      <c r="E2019" s="3" t="str">
        <f t="shared" si="2"/>
        <v>no littering</v>
      </c>
    </row>
    <row r="2020" ht="15.75" customHeight="1">
      <c r="A2020" s="1" t="s">
        <v>5331</v>
      </c>
      <c r="B2020" s="1" t="s">
        <v>5332</v>
      </c>
      <c r="C2020" s="2" t="s">
        <v>5333</v>
      </c>
      <c r="D2020" s="2" t="str">
        <f t="shared" si="37"/>
        <v>cấm điện thoại di động</v>
      </c>
      <c r="E2020" s="3" t="str">
        <f t="shared" si="2"/>
        <v>no mobile phones</v>
      </c>
    </row>
    <row r="2021" ht="15.75" customHeight="1">
      <c r="A2021" s="1" t="s">
        <v>5334</v>
      </c>
      <c r="B2021" s="1" t="s">
        <v>5335</v>
      </c>
      <c r="C2021" s="2" t="s">
        <v>5336</v>
      </c>
      <c r="D2021" s="2" t="str">
        <f t="shared" si="37"/>
        <v>cấm người dưới mười tám tuổi</v>
      </c>
      <c r="E2021" s="3" t="str">
        <f t="shared" si="2"/>
        <v>no one under eighteen</v>
      </c>
    </row>
    <row r="2022" ht="15.75" customHeight="1">
      <c r="A2022" s="1" t="s">
        <v>5337</v>
      </c>
      <c r="B2022" s="1" t="s">
        <v>5338</v>
      </c>
      <c r="C2022" s="2" t="s">
        <v>5339</v>
      </c>
      <c r="D2022" s="2" t="str">
        <f t="shared" si="37"/>
        <v>cấm người đi bộ</v>
      </c>
      <c r="E2022" s="3" t="str">
        <f t="shared" si="2"/>
        <v>no pedestrians</v>
      </c>
    </row>
    <row r="2023" ht="15.75" customHeight="1">
      <c r="A2023" s="1" t="s">
        <v>5340</v>
      </c>
      <c r="B2023" s="1" t="s">
        <v>5341</v>
      </c>
      <c r="C2023" s="2" t="s">
        <v>5342</v>
      </c>
      <c r="D2023" s="2" t="str">
        <f t="shared" si="37"/>
        <v>cấm hút thuốc</v>
      </c>
      <c r="E2023" s="3" t="str">
        <f t="shared" si="2"/>
        <v>no smoking</v>
      </c>
    </row>
    <row r="2024" ht="15.75" customHeight="1">
      <c r="A2024" s="1" t="s">
        <v>5343</v>
      </c>
      <c r="B2024" s="1" t="s">
        <v>5344</v>
      </c>
      <c r="C2024" s="2" t="str">
        <f>IFERROR(__xludf.DUMMYFUNCTION("GOOGLETRANSLATE(E2024, ""en"",""vi"")"),"nước không uống được")</f>
        <v>nước không uống được</v>
      </c>
      <c r="D2024" s="2" t="str">
        <f t="shared" si="37"/>
        <v>nước không uống được</v>
      </c>
      <c r="E2024" s="3" t="str">
        <f t="shared" si="2"/>
        <v>non-potable water</v>
      </c>
    </row>
    <row r="2025" ht="15.75" customHeight="1">
      <c r="A2025" s="1" t="s">
        <v>5345</v>
      </c>
      <c r="B2025" s="1" t="s">
        <v>5346</v>
      </c>
      <c r="C2025" s="2" t="s">
        <v>5347</v>
      </c>
      <c r="D2025" s="2" t="str">
        <f t="shared" si="37"/>
        <v>mũi</v>
      </c>
      <c r="E2025" s="3" t="str">
        <f t="shared" si="2"/>
        <v>nose</v>
      </c>
    </row>
    <row r="2026" ht="15.75" customHeight="1">
      <c r="A2026" s="1" t="s">
        <v>5348</v>
      </c>
      <c r="B2026" s="1" t="s">
        <v>5349</v>
      </c>
      <c r="C2026" s="2" t="s">
        <v>5350</v>
      </c>
      <c r="D2026" s="2" t="str">
        <f t="shared" si="37"/>
        <v>mũi màu da sẫm</v>
      </c>
      <c r="E2026" s="3" t="str">
        <f t="shared" si="2"/>
        <v>nose dark skin tone</v>
      </c>
    </row>
    <row r="2027" ht="15.75" customHeight="1">
      <c r="A2027" s="1" t="s">
        <v>5351</v>
      </c>
      <c r="B2027" s="1" t="s">
        <v>5352</v>
      </c>
      <c r="C2027" s="2" t="s">
        <v>5353</v>
      </c>
      <c r="D2027" s="2" t="str">
        <f t="shared" si="37"/>
        <v>mũi màu da sáng</v>
      </c>
      <c r="E2027" s="3" t="str">
        <f t="shared" si="2"/>
        <v>nose light skin tone</v>
      </c>
    </row>
    <row r="2028" ht="15.75" customHeight="1">
      <c r="A2028" s="1" t="s">
        <v>5354</v>
      </c>
      <c r="B2028" s="1" t="s">
        <v>5355</v>
      </c>
      <c r="C2028" s="2" t="s">
        <v>5356</v>
      </c>
      <c r="D2028" s="2" t="str">
        <f t="shared" si="37"/>
        <v>mũi màu da sẫm vừa</v>
      </c>
      <c r="E2028" s="3" t="str">
        <f t="shared" si="2"/>
        <v>nose medium-dark skin tone</v>
      </c>
    </row>
    <row r="2029" ht="15.75" customHeight="1">
      <c r="A2029" s="1" t="s">
        <v>5357</v>
      </c>
      <c r="B2029" s="1" t="s">
        <v>5358</v>
      </c>
      <c r="C2029" s="2" t="s">
        <v>5359</v>
      </c>
      <c r="D2029" s="2" t="str">
        <f t="shared" si="37"/>
        <v>mũi màu da sáng vừa</v>
      </c>
      <c r="E2029" s="3" t="str">
        <f t="shared" si="2"/>
        <v>nose medium-light skin tone</v>
      </c>
    </row>
    <row r="2030" ht="15.75" customHeight="1">
      <c r="A2030" s="1" t="s">
        <v>5360</v>
      </c>
      <c r="B2030" s="1" t="s">
        <v>5361</v>
      </c>
      <c r="C2030" s="2" t="s">
        <v>5362</v>
      </c>
      <c r="D2030" s="2" t="str">
        <f t="shared" si="37"/>
        <v>mũi màu da thường</v>
      </c>
      <c r="E2030" s="3" t="str">
        <f t="shared" si="2"/>
        <v>nose medium skin tone</v>
      </c>
    </row>
    <row r="2031" ht="15.75" customHeight="1">
      <c r="A2031" s="1" t="s">
        <v>5363</v>
      </c>
      <c r="B2031" s="1" t="s">
        <v>5364</v>
      </c>
      <c r="C2031" s="2" t="str">
        <f>IFERROR(__xludf.DUMMYFUNCTION("GOOGLETRANSLATE(E2031, ""en"",""vi"")"),"sổ tay")</f>
        <v>sổ tay</v>
      </c>
      <c r="D2031" s="2" t="str">
        <f t="shared" si="37"/>
        <v>sổ tay</v>
      </c>
      <c r="E2031" s="3" t="str">
        <f t="shared" si="2"/>
        <v>notebook</v>
      </c>
    </row>
    <row r="2032" ht="15.75" customHeight="1">
      <c r="A2032" s="1" t="s">
        <v>5365</v>
      </c>
      <c r="B2032" s="1" t="s">
        <v>5366</v>
      </c>
      <c r="C2032" s="2" t="s">
        <v>5367</v>
      </c>
      <c r="D2032" s="2" t="str">
        <f t="shared" si="37"/>
        <v>sổ tay với bìa trang trí</v>
      </c>
      <c r="E2032" s="3" t="str">
        <f t="shared" si="2"/>
        <v>notebook with decorative cover</v>
      </c>
    </row>
    <row r="2033" ht="15.75" customHeight="1">
      <c r="A2033" s="1" t="s">
        <v>5368</v>
      </c>
      <c r="B2033" s="1" t="s">
        <v>5369</v>
      </c>
      <c r="C2033" s="2" t="s">
        <v>5370</v>
      </c>
      <c r="D2033" s="2" t="str">
        <f t="shared" si="37"/>
        <v>đai ốc và bu lông</v>
      </c>
      <c r="E2033" s="3" t="str">
        <f t="shared" si="2"/>
        <v>nut and bolt</v>
      </c>
    </row>
    <row r="2034" ht="15.75" customHeight="1">
      <c r="A2034" s="1" t="s">
        <v>5371</v>
      </c>
      <c r="B2034" s="1" t="s">
        <v>5372</v>
      </c>
      <c r="C2034" s="2" t="str">
        <f>IFERROR(__xludf.DUMMYFUNCTION("GOOGLETRANSLATE(E2034, ""en"",""vi"")"),"bạch tuộc")</f>
        <v>bạch tuộc</v>
      </c>
      <c r="D2034" s="2" t="str">
        <f t="shared" si="37"/>
        <v>bạch tuộc</v>
      </c>
      <c r="E2034" s="3" t="str">
        <f t="shared" si="2"/>
        <v>octopus</v>
      </c>
    </row>
    <row r="2035" ht="15.75" customHeight="1">
      <c r="A2035" s="1" t="s">
        <v>5373</v>
      </c>
      <c r="B2035" s="1" t="s">
        <v>5374</v>
      </c>
      <c r="C2035" s="2" t="s">
        <v>5375</v>
      </c>
      <c r="D2035" s="2" t="str">
        <f t="shared" si="37"/>
        <v>bánh cá hầm</v>
      </c>
      <c r="E2035" s="3" t="str">
        <f t="shared" si="2"/>
        <v>oden</v>
      </c>
    </row>
    <row r="2036" ht="15.75" customHeight="1">
      <c r="A2036" s="1" t="s">
        <v>5376</v>
      </c>
      <c r="B2036" s="1" t="s">
        <v>5377</v>
      </c>
      <c r="C2036" s="2" t="str">
        <f>IFERROR(__xludf.DUMMYFUNCTION("GOOGLETRANSLATE(E2036, ""en"",""vi"")"),"tòa nhà văn phòng")</f>
        <v>tòa nhà văn phòng</v>
      </c>
      <c r="D2036" s="2" t="str">
        <f t="shared" si="37"/>
        <v>tòa nhà văn phòng</v>
      </c>
      <c r="E2036" s="3" t="str">
        <f t="shared" si="2"/>
        <v>office building</v>
      </c>
    </row>
    <row r="2037" ht="15.75" customHeight="1">
      <c r="A2037" s="1" t="s">
        <v>5378</v>
      </c>
      <c r="B2037" s="1" t="s">
        <v>5379</v>
      </c>
      <c r="C2037" s="2" t="s">
        <v>5380</v>
      </c>
      <c r="D2037" s="2" t="str">
        <f t="shared" si="37"/>
        <v>nhân viên văn phòng</v>
      </c>
      <c r="E2037" s="3" t="str">
        <f t="shared" si="2"/>
        <v>office worker</v>
      </c>
    </row>
    <row r="2038" ht="15.75" customHeight="1">
      <c r="A2038" s="1" t="s">
        <v>5381</v>
      </c>
      <c r="B2038" s="1" t="s">
        <v>5382</v>
      </c>
      <c r="C2038" s="2" t="s">
        <v>5383</v>
      </c>
      <c r="D2038" s="2" t="str">
        <f t="shared" si="37"/>
        <v>nhân viên văn phòng màu da sẫm</v>
      </c>
      <c r="E2038" s="3" t="str">
        <f t="shared" si="2"/>
        <v>office worker dark skin tone</v>
      </c>
    </row>
    <row r="2039" ht="15.75" customHeight="1">
      <c r="A2039" s="1" t="s">
        <v>5384</v>
      </c>
      <c r="B2039" s="1" t="s">
        <v>5385</v>
      </c>
      <c r="C2039" s="2" t="s">
        <v>5386</v>
      </c>
      <c r="D2039" s="2" t="str">
        <f t="shared" si="37"/>
        <v>nhân viên văn phòng màu da sáng</v>
      </c>
      <c r="E2039" s="3" t="str">
        <f t="shared" si="2"/>
        <v>office worker light skin tone</v>
      </c>
    </row>
    <row r="2040" ht="15.75" customHeight="1">
      <c r="A2040" s="1" t="s">
        <v>5387</v>
      </c>
      <c r="B2040" s="1" t="s">
        <v>5388</v>
      </c>
      <c r="C2040" s="2" t="s">
        <v>5389</v>
      </c>
      <c r="D2040" s="2" t="str">
        <f t="shared" si="37"/>
        <v>nhân viên văn phòng màu da sẫm vừa</v>
      </c>
      <c r="E2040" s="3" t="str">
        <f t="shared" si="2"/>
        <v>office worker medium-dark skin tone</v>
      </c>
    </row>
    <row r="2041" ht="15.75" customHeight="1">
      <c r="A2041" s="1" t="s">
        <v>5390</v>
      </c>
      <c r="B2041" s="1" t="s">
        <v>5391</v>
      </c>
      <c r="C2041" s="2" t="s">
        <v>5392</v>
      </c>
      <c r="D2041" s="2" t="str">
        <f t="shared" si="37"/>
        <v>nhân viên văn phòng màu da sáng vừa</v>
      </c>
      <c r="E2041" s="3" t="str">
        <f t="shared" si="2"/>
        <v>office worker medium-light skin tone</v>
      </c>
    </row>
    <row r="2042" ht="15.75" customHeight="1">
      <c r="A2042" s="1" t="s">
        <v>5393</v>
      </c>
      <c r="B2042" s="1" t="s">
        <v>5394</v>
      </c>
      <c r="C2042" s="2" t="s">
        <v>5395</v>
      </c>
      <c r="D2042" s="2" t="str">
        <f t="shared" si="37"/>
        <v>nhân viên văn phòng màu da thường</v>
      </c>
      <c r="E2042" s="3" t="str">
        <f t="shared" si="2"/>
        <v>office worker medium skin tone</v>
      </c>
    </row>
    <row r="2043" ht="15.75" customHeight="1">
      <c r="A2043" s="1" t="s">
        <v>5396</v>
      </c>
      <c r="B2043" s="1" t="s">
        <v>5397</v>
      </c>
      <c r="C2043" s="2" t="s">
        <v>5398</v>
      </c>
      <c r="D2043" s="2" t="str">
        <f t="shared" si="37"/>
        <v>yêu tinh</v>
      </c>
      <c r="E2043" s="3" t="str">
        <f t="shared" si="2"/>
        <v>ogre</v>
      </c>
    </row>
    <row r="2044" ht="15.75" customHeight="1">
      <c r="A2044" s="1" t="s">
        <v>5399</v>
      </c>
      <c r="B2044" s="1" t="s">
        <v>5400</v>
      </c>
      <c r="C2044" s="2" t="s">
        <v>5401</v>
      </c>
      <c r="D2044" s="2" t="str">
        <f t="shared" si="37"/>
        <v>thùng dầu</v>
      </c>
      <c r="E2044" s="3" t="str">
        <f t="shared" si="2"/>
        <v>oil drum</v>
      </c>
    </row>
    <row r="2045" ht="15.75" customHeight="1">
      <c r="A2045" s="1" t="s">
        <v>5402</v>
      </c>
      <c r="B2045" s="1" t="s">
        <v>5403</v>
      </c>
      <c r="C2045" s="2" t="str">
        <f>IFERROR(__xludf.DUMMYFUNCTION("GOOGLETRANSLATE(E2045, ""en"",""vi"")"),"chìa khóa cũ")</f>
        <v>chìa khóa cũ</v>
      </c>
      <c r="D2045" s="2" t="str">
        <f t="shared" si="37"/>
        <v>chìa khóa cũ</v>
      </c>
      <c r="E2045" s="3" t="str">
        <f t="shared" si="2"/>
        <v>old key</v>
      </c>
    </row>
    <row r="2046" ht="15.75" customHeight="1">
      <c r="A2046" s="1" t="s">
        <v>5404</v>
      </c>
      <c r="B2046" s="1" t="s">
        <v>5405</v>
      </c>
      <c r="C2046" s="2" t="s">
        <v>5406</v>
      </c>
      <c r="D2046" s="2" t="str">
        <f t="shared" si="37"/>
        <v>ông già</v>
      </c>
      <c r="E2046" s="3" t="str">
        <f t="shared" si="2"/>
        <v>old man</v>
      </c>
    </row>
    <row r="2047" ht="15.75" customHeight="1">
      <c r="A2047" s="1" t="s">
        <v>5407</v>
      </c>
      <c r="B2047" s="1" t="s">
        <v>5408</v>
      </c>
      <c r="C2047" s="2" t="s">
        <v>5409</v>
      </c>
      <c r="D2047" s="2" t="str">
        <f t="shared" si="37"/>
        <v>ông già màu da sẫm</v>
      </c>
      <c r="E2047" s="3" t="str">
        <f t="shared" si="2"/>
        <v>old man dark skin tone</v>
      </c>
    </row>
    <row r="2048" ht="15.75" customHeight="1">
      <c r="A2048" s="1" t="s">
        <v>5410</v>
      </c>
      <c r="B2048" s="1" t="s">
        <v>5411</v>
      </c>
      <c r="C2048" s="2" t="s">
        <v>5412</v>
      </c>
      <c r="D2048" s="2" t="str">
        <f t="shared" si="37"/>
        <v>ông già màu da sáng</v>
      </c>
      <c r="E2048" s="3" t="str">
        <f t="shared" si="2"/>
        <v>old man light skin tone</v>
      </c>
    </row>
    <row r="2049" ht="15.75" customHeight="1">
      <c r="A2049" s="1" t="s">
        <v>5413</v>
      </c>
      <c r="B2049" s="1" t="s">
        <v>5414</v>
      </c>
      <c r="C2049" s="2" t="s">
        <v>5415</v>
      </c>
      <c r="D2049" s="2" t="str">
        <f t="shared" si="37"/>
        <v>ông già màu da sẫm vừa</v>
      </c>
      <c r="E2049" s="3" t="str">
        <f t="shared" si="2"/>
        <v>old man medium-dark skin tone</v>
      </c>
    </row>
    <row r="2050" ht="15.75" customHeight="1">
      <c r="A2050" s="1" t="s">
        <v>5416</v>
      </c>
      <c r="B2050" s="1" t="s">
        <v>5417</v>
      </c>
      <c r="C2050" s="2" t="s">
        <v>5418</v>
      </c>
      <c r="D2050" s="2" t="str">
        <f t="shared" si="37"/>
        <v>ông già màu da sáng vừa</v>
      </c>
      <c r="E2050" s="3" t="str">
        <f t="shared" si="2"/>
        <v>old man medium-light skin tone</v>
      </c>
    </row>
    <row r="2051" ht="15.75" customHeight="1">
      <c r="A2051" s="1" t="s">
        <v>5419</v>
      </c>
      <c r="B2051" s="1" t="s">
        <v>5420</v>
      </c>
      <c r="C2051" s="2" t="s">
        <v>5421</v>
      </c>
      <c r="D2051" s="2" t="str">
        <f t="shared" si="37"/>
        <v>ông già màu da thường</v>
      </c>
      <c r="E2051" s="3" t="str">
        <f t="shared" si="2"/>
        <v>old man medium skin tone</v>
      </c>
    </row>
    <row r="2052" ht="15.75" customHeight="1">
      <c r="A2052" s="1" t="s">
        <v>5422</v>
      </c>
      <c r="B2052" s="1" t="s">
        <v>5423</v>
      </c>
      <c r="C2052" s="2" t="s">
        <v>5424</v>
      </c>
      <c r="D2052" s="2" t="str">
        <f t="shared" si="37"/>
        <v>bà già</v>
      </c>
      <c r="E2052" s="3" t="str">
        <f t="shared" si="2"/>
        <v>old woman</v>
      </c>
    </row>
    <row r="2053" ht="15.75" customHeight="1">
      <c r="A2053" s="1" t="s">
        <v>5425</v>
      </c>
      <c r="B2053" s="1" t="s">
        <v>5426</v>
      </c>
      <c r="C2053" s="2" t="s">
        <v>5427</v>
      </c>
      <c r="D2053" s="2" t="str">
        <f t="shared" si="37"/>
        <v>bà già màu da sẫm</v>
      </c>
      <c r="E2053" s="3" t="str">
        <f t="shared" si="2"/>
        <v>old woman dark skin tone</v>
      </c>
    </row>
    <row r="2054" ht="15.75" customHeight="1">
      <c r="A2054" s="1" t="s">
        <v>5428</v>
      </c>
      <c r="B2054" s="1" t="s">
        <v>5429</v>
      </c>
      <c r="C2054" s="2" t="s">
        <v>5430</v>
      </c>
      <c r="D2054" s="2" t="str">
        <f t="shared" si="37"/>
        <v>bà già màu da sáng</v>
      </c>
      <c r="E2054" s="3" t="str">
        <f t="shared" si="2"/>
        <v>old woman light skin tone</v>
      </c>
    </row>
    <row r="2055" ht="15.75" customHeight="1">
      <c r="A2055" s="1" t="s">
        <v>5431</v>
      </c>
      <c r="B2055" s="1" t="s">
        <v>5432</v>
      </c>
      <c r="C2055" s="2" t="s">
        <v>5433</v>
      </c>
      <c r="D2055" s="2" t="str">
        <f t="shared" si="37"/>
        <v>bà già màu da sẫm vừa</v>
      </c>
      <c r="E2055" s="3" t="str">
        <f t="shared" si="2"/>
        <v>old woman medium-dark skin tone</v>
      </c>
    </row>
    <row r="2056" ht="15.75" customHeight="1">
      <c r="A2056" s="1" t="s">
        <v>5434</v>
      </c>
      <c r="B2056" s="1" t="s">
        <v>5435</v>
      </c>
      <c r="C2056" s="2" t="s">
        <v>5436</v>
      </c>
      <c r="D2056" s="2" t="str">
        <f t="shared" si="37"/>
        <v>bà già màu da sáng vừa</v>
      </c>
      <c r="E2056" s="3" t="str">
        <f t="shared" si="2"/>
        <v>old woman medium-light skin tone</v>
      </c>
    </row>
    <row r="2057" ht="15.75" customHeight="1">
      <c r="A2057" s="1" t="s">
        <v>5437</v>
      </c>
      <c r="B2057" s="1" t="s">
        <v>5438</v>
      </c>
      <c r="C2057" s="2" t="s">
        <v>5439</v>
      </c>
      <c r="D2057" s="2" t="str">
        <f t="shared" si="37"/>
        <v>bà già màu da thường</v>
      </c>
      <c r="E2057" s="3" t="str">
        <f t="shared" si="2"/>
        <v>old woman medium skin tone</v>
      </c>
    </row>
    <row r="2058" ht="15.75" customHeight="1">
      <c r="A2058" s="1" t="s">
        <v>5440</v>
      </c>
      <c r="B2058" s="1" t="s">
        <v>5441</v>
      </c>
      <c r="C2058" s="2" t="s">
        <v>5442</v>
      </c>
      <c r="D2058" s="2" t="str">
        <f t="shared" si="37"/>
        <v>người già</v>
      </c>
      <c r="E2058" s="3" t="str">
        <f t="shared" si="2"/>
        <v>older person</v>
      </c>
    </row>
    <row r="2059" ht="15.75" customHeight="1">
      <c r="A2059" s="1" t="s">
        <v>5443</v>
      </c>
      <c r="B2059" s="1" t="s">
        <v>5444</v>
      </c>
      <c r="C2059" s="2" t="s">
        <v>5445</v>
      </c>
      <c r="D2059" s="2" t="str">
        <f t="shared" si="37"/>
        <v>người già màu da sẫm</v>
      </c>
      <c r="E2059" s="3" t="str">
        <f t="shared" si="2"/>
        <v>older person dark skin tone</v>
      </c>
    </row>
    <row r="2060" ht="15.75" customHeight="1">
      <c r="A2060" s="1" t="s">
        <v>5446</v>
      </c>
      <c r="B2060" s="1" t="s">
        <v>5447</v>
      </c>
      <c r="C2060" s="2" t="s">
        <v>5448</v>
      </c>
      <c r="D2060" s="2" t="str">
        <f t="shared" si="37"/>
        <v>người già màu da sáng</v>
      </c>
      <c r="E2060" s="3" t="str">
        <f t="shared" si="2"/>
        <v>older person light skin tone</v>
      </c>
    </row>
    <row r="2061" ht="15.75" customHeight="1">
      <c r="A2061" s="1" t="s">
        <v>5449</v>
      </c>
      <c r="B2061" s="1" t="s">
        <v>5450</v>
      </c>
      <c r="C2061" s="2" t="s">
        <v>5451</v>
      </c>
      <c r="D2061" s="2" t="str">
        <f t="shared" si="37"/>
        <v>người già màu da sẫm vừa</v>
      </c>
      <c r="E2061" s="3" t="str">
        <f t="shared" si="2"/>
        <v>older person medium-dark skin tone</v>
      </c>
    </row>
    <row r="2062" ht="15.75" customHeight="1">
      <c r="A2062" s="1" t="s">
        <v>5452</v>
      </c>
      <c r="B2062" s="1" t="s">
        <v>5453</v>
      </c>
      <c r="C2062" s="2" t="s">
        <v>5454</v>
      </c>
      <c r="D2062" s="2" t="str">
        <f t="shared" si="37"/>
        <v>người già màu da sáng vừa</v>
      </c>
      <c r="E2062" s="3" t="str">
        <f t="shared" si="2"/>
        <v>older person medium-light skin tone</v>
      </c>
    </row>
    <row r="2063" ht="15.75" customHeight="1">
      <c r="A2063" s="1" t="s">
        <v>5455</v>
      </c>
      <c r="B2063" s="1" t="s">
        <v>5456</v>
      </c>
      <c r="C2063" s="2" t="s">
        <v>5457</v>
      </c>
      <c r="D2063" s="2" t="str">
        <f t="shared" si="37"/>
        <v>người già màu da thường</v>
      </c>
      <c r="E2063" s="3" t="str">
        <f t="shared" si="2"/>
        <v>older person medium skin tone</v>
      </c>
    </row>
    <row r="2064" ht="15.75" customHeight="1">
      <c r="A2064" s="1" t="s">
        <v>5458</v>
      </c>
      <c r="B2064" s="1" t="s">
        <v>5459</v>
      </c>
      <c r="C2064" s="2" t="str">
        <f>IFERROR(__xludf.DUMMYFUNCTION("GOOGLETRANSLATE(E2064, ""en"",""vi"")"),"ôliu")</f>
        <v>ôliu</v>
      </c>
      <c r="D2064" s="2" t="str">
        <f t="shared" si="37"/>
        <v>ôliu</v>
      </c>
      <c r="E2064" s="3" t="str">
        <f t="shared" si="2"/>
        <v>olive</v>
      </c>
    </row>
    <row r="2065" ht="15.75" customHeight="1">
      <c r="A2065" s="1" t="s">
        <v>5460</v>
      </c>
      <c r="B2065" s="1" t="s">
        <v>5461</v>
      </c>
      <c r="C2065" s="2" t="s">
        <v>5462</v>
      </c>
      <c r="D2065" s="2" t="str">
        <f t="shared" si="37"/>
        <v>om</v>
      </c>
      <c r="E2065" s="3" t="str">
        <f t="shared" si="2"/>
        <v>om</v>
      </c>
    </row>
    <row r="2066" ht="15.75" customHeight="1">
      <c r="A2066" s="1" t="s">
        <v>5463</v>
      </c>
      <c r="B2066" s="1" t="s">
        <v>5464</v>
      </c>
      <c r="C2066" s="2" t="s">
        <v>5465</v>
      </c>
      <c r="D2066" s="2" t="str">
        <f t="shared" si="37"/>
        <v>ô tô đi tới</v>
      </c>
      <c r="E2066" s="3" t="str">
        <f t="shared" si="2"/>
        <v>oncoming automobile</v>
      </c>
    </row>
    <row r="2067" ht="15.75" customHeight="1">
      <c r="A2067" s="1" t="s">
        <v>5466</v>
      </c>
      <c r="B2067" s="1" t="s">
        <v>5467</v>
      </c>
      <c r="C2067" s="2" t="s">
        <v>5468</v>
      </c>
      <c r="D2067" s="2" t="str">
        <f t="shared" si="37"/>
        <v>xe buýt đi tới</v>
      </c>
      <c r="E2067" s="3" t="str">
        <f t="shared" si="2"/>
        <v>oncoming bus</v>
      </c>
    </row>
    <row r="2068" ht="15.75" customHeight="1">
      <c r="A2068" s="1" t="s">
        <v>5469</v>
      </c>
      <c r="B2068" s="1" t="s">
        <v>5470</v>
      </c>
      <c r="C2068" s="2" t="s">
        <v>5471</v>
      </c>
      <c r="D2068" s="2" t="str">
        <f t="shared" si="37"/>
        <v>nắm tay tới</v>
      </c>
      <c r="E2068" s="3" t="str">
        <f t="shared" si="2"/>
        <v>oncoming fist</v>
      </c>
    </row>
    <row r="2069" ht="15.75" customHeight="1">
      <c r="A2069" s="1" t="s">
        <v>5472</v>
      </c>
      <c r="B2069" s="1" t="s">
        <v>5473</v>
      </c>
      <c r="C2069" s="2" t="s">
        <v>5474</v>
      </c>
      <c r="D2069" s="2" t="str">
        <f t="shared" si="37"/>
        <v>nắm tay tới màu da sẫm</v>
      </c>
      <c r="E2069" s="3" t="str">
        <f t="shared" si="2"/>
        <v>oncoming fist dark skin tone</v>
      </c>
    </row>
    <row r="2070" ht="15.75" customHeight="1">
      <c r="A2070" s="1" t="s">
        <v>5475</v>
      </c>
      <c r="B2070" s="1" t="s">
        <v>5476</v>
      </c>
      <c r="C2070" s="2" t="s">
        <v>5477</v>
      </c>
      <c r="D2070" s="2" t="str">
        <f t="shared" si="37"/>
        <v>nắm tay tới màu da sáng</v>
      </c>
      <c r="E2070" s="3" t="str">
        <f t="shared" si="2"/>
        <v>oncoming fist light skin tone</v>
      </c>
    </row>
    <row r="2071" ht="15.75" customHeight="1">
      <c r="A2071" s="1" t="s">
        <v>5478</v>
      </c>
      <c r="B2071" s="1" t="s">
        <v>5479</v>
      </c>
      <c r="C2071" s="2" t="s">
        <v>5480</v>
      </c>
      <c r="D2071" s="2" t="str">
        <f t="shared" si="37"/>
        <v>nắm tay tới màu da sẫm vừa</v>
      </c>
      <c r="E2071" s="3" t="str">
        <f t="shared" si="2"/>
        <v>oncoming fist medium-dark skin tone</v>
      </c>
    </row>
    <row r="2072" ht="15.75" customHeight="1">
      <c r="A2072" s="1" t="s">
        <v>5481</v>
      </c>
      <c r="B2072" s="1" t="s">
        <v>5482</v>
      </c>
      <c r="C2072" s="2" t="s">
        <v>5483</v>
      </c>
      <c r="D2072" s="2" t="str">
        <f t="shared" si="37"/>
        <v>nắm tay tới màu da sáng vừa</v>
      </c>
      <c r="E2072" s="3" t="str">
        <f t="shared" si="2"/>
        <v>oncoming fist medium-light skin tone</v>
      </c>
    </row>
    <row r="2073" ht="15.75" customHeight="1">
      <c r="A2073" s="1" t="s">
        <v>5484</v>
      </c>
      <c r="B2073" s="1" t="s">
        <v>5485</v>
      </c>
      <c r="C2073" s="2" t="s">
        <v>5486</v>
      </c>
      <c r="D2073" s="2" t="str">
        <f t="shared" si="37"/>
        <v>nắm tay tới màu da thường</v>
      </c>
      <c r="E2073" s="3" t="str">
        <f t="shared" si="2"/>
        <v>oncoming fist medium skin tone</v>
      </c>
    </row>
    <row r="2074" ht="15.75" customHeight="1">
      <c r="A2074" s="1" t="s">
        <v>5487</v>
      </c>
      <c r="B2074" s="1" t="s">
        <v>5488</v>
      </c>
      <c r="C2074" s="2" t="s">
        <v>5489</v>
      </c>
      <c r="D2074" s="2" t="str">
        <f t="shared" si="37"/>
        <v>xe cảnh sát đi tới</v>
      </c>
      <c r="E2074" s="3" t="str">
        <f t="shared" si="2"/>
        <v>oncoming police car</v>
      </c>
    </row>
    <row r="2075" ht="15.75" customHeight="1">
      <c r="A2075" s="1" t="s">
        <v>5490</v>
      </c>
      <c r="B2075" s="1" t="s">
        <v>5491</v>
      </c>
      <c r="C2075" s="2" t="s">
        <v>5492</v>
      </c>
      <c r="D2075" s="2" t="str">
        <f t="shared" si="37"/>
        <v>taxi đi tới</v>
      </c>
      <c r="E2075" s="3" t="str">
        <f t="shared" si="2"/>
        <v>oncoming taxi</v>
      </c>
    </row>
    <row r="2076" ht="15.75" customHeight="1">
      <c r="A2076" s="1" t="s">
        <v>5493</v>
      </c>
      <c r="B2076" s="1" t="s">
        <v>5494</v>
      </c>
      <c r="C2076" s="2" t="str">
        <f>IFERROR(__xludf.DUMMYFUNCTION("GOOGLETRANSLATE(E2076, ""en"",""vi"")"),"đồ bơi một mảnh")</f>
        <v>đồ bơi một mảnh</v>
      </c>
      <c r="D2076" s="2" t="str">
        <f t="shared" si="37"/>
        <v>đồ bơi một mảnh</v>
      </c>
      <c r="E2076" s="3" t="str">
        <f t="shared" si="2"/>
        <v>one-piece swimsuit</v>
      </c>
    </row>
    <row r="2077" ht="15.75" customHeight="1">
      <c r="A2077" s="1" t="s">
        <v>5495</v>
      </c>
      <c r="B2077" s="1" t="s">
        <v>5496</v>
      </c>
      <c r="C2077" s="2" t="str">
        <f>IFERROR(__xludf.DUMMYFUNCTION("GOOGLETRANSLATE(E2077, ""en"",""vi"")"),"một giờ ba mươi")</f>
        <v>một giờ ba mươi</v>
      </c>
      <c r="D2077" s="2" t="str">
        <f t="shared" si="37"/>
        <v>một giờ ba mươi</v>
      </c>
      <c r="E2077" s="3" t="str">
        <f t="shared" si="2"/>
        <v>one-thirty</v>
      </c>
    </row>
    <row r="2078" ht="15.75" customHeight="1">
      <c r="A2078" s="1" t="s">
        <v>5497</v>
      </c>
      <c r="B2078" s="1" t="s">
        <v>5498</v>
      </c>
      <c r="C2078" s="2" t="str">
        <f>IFERROR(__xludf.DUMMYFUNCTION("GOOGLETRANSLATE(E2078, ""en"",""vi"")"),"một giờ")</f>
        <v>một giờ</v>
      </c>
      <c r="D2078" s="2" t="str">
        <f t="shared" si="37"/>
        <v>một giờ</v>
      </c>
      <c r="E2078" s="3" t="str">
        <f t="shared" si="2"/>
        <v>one o’clock</v>
      </c>
    </row>
    <row r="2079" ht="15.75" customHeight="1">
      <c r="A2079" s="1" t="s">
        <v>5499</v>
      </c>
      <c r="B2079" s="1" t="s">
        <v>5500</v>
      </c>
      <c r="C2079" s="2" t="str">
        <f>IFERROR(__xludf.DUMMYFUNCTION("GOOGLETRANSLATE(E2079, ""en"",""vi"")"),"củ hành")</f>
        <v>củ hành</v>
      </c>
      <c r="D2079" s="2" t="str">
        <f t="shared" si="37"/>
        <v>củ hành</v>
      </c>
      <c r="E2079" s="3" t="str">
        <f t="shared" si="2"/>
        <v>onion</v>
      </c>
    </row>
    <row r="2080" ht="15.75" customHeight="1">
      <c r="A2080" s="1" t="s">
        <v>5501</v>
      </c>
      <c r="B2080" s="1" t="s">
        <v>5502</v>
      </c>
      <c r="C2080" s="2" t="s">
        <v>5503</v>
      </c>
      <c r="D2080" s="2" t="str">
        <f t="shared" si="37"/>
        <v>mở sách</v>
      </c>
      <c r="E2080" s="3" t="str">
        <f t="shared" si="2"/>
        <v>open book</v>
      </c>
    </row>
    <row r="2081" ht="15.75" customHeight="1">
      <c r="A2081" s="1" t="s">
        <v>5504</v>
      </c>
      <c r="B2081" s="1" t="s">
        <v>5505</v>
      </c>
      <c r="C2081" s="2" t="str">
        <f>IFERROR(__xludf.DUMMYFUNCTION("GOOGLETRANSLATE(E2081, ""en"",""vi"")"),"mở thư mục tập tin")</f>
        <v>mở thư mục tập tin</v>
      </c>
      <c r="D2081" s="2" t="str">
        <f t="shared" si="37"/>
        <v>mở thư mục tập tin</v>
      </c>
      <c r="E2081" s="3" t="str">
        <f t="shared" si="2"/>
        <v>open file folder</v>
      </c>
    </row>
    <row r="2082" ht="15.75" customHeight="1">
      <c r="A2082" s="1" t="s">
        <v>5506</v>
      </c>
      <c r="B2082" s="1" t="s">
        <v>5507</v>
      </c>
      <c r="C2082" s="2" t="s">
        <v>5508</v>
      </c>
      <c r="D2082" s="2" t="str">
        <f t="shared" si="37"/>
        <v>mở bàn tay</v>
      </c>
      <c r="E2082" s="3" t="str">
        <f t="shared" si="2"/>
        <v>open hands</v>
      </c>
    </row>
    <row r="2083" ht="15.75" customHeight="1">
      <c r="A2083" s="1" t="s">
        <v>5509</v>
      </c>
      <c r="B2083" s="1" t="s">
        <v>5510</v>
      </c>
      <c r="C2083" s="2" t="s">
        <v>5511</v>
      </c>
      <c r="D2083" s="2" t="str">
        <f t="shared" si="37"/>
        <v>mở bàn tay màu da sẫm</v>
      </c>
      <c r="E2083" s="3" t="str">
        <f t="shared" si="2"/>
        <v>open hands dark skin tone</v>
      </c>
    </row>
    <row r="2084" ht="15.75" customHeight="1">
      <c r="A2084" s="1" t="s">
        <v>5512</v>
      </c>
      <c r="B2084" s="1" t="s">
        <v>5513</v>
      </c>
      <c r="C2084" s="2" t="s">
        <v>5514</v>
      </c>
      <c r="D2084" s="2" t="str">
        <f t="shared" si="37"/>
        <v>mở bàn tay màu da sáng</v>
      </c>
      <c r="E2084" s="3" t="str">
        <f t="shared" si="2"/>
        <v>open hands light skin tone</v>
      </c>
    </row>
    <row r="2085" ht="15.75" customHeight="1">
      <c r="A2085" s="1" t="s">
        <v>5515</v>
      </c>
      <c r="B2085" s="1" t="s">
        <v>5516</v>
      </c>
      <c r="C2085" s="2" t="s">
        <v>5517</v>
      </c>
      <c r="D2085" s="2" t="str">
        <f t="shared" si="37"/>
        <v>mở bàn tay màu da sẫm vừa</v>
      </c>
      <c r="E2085" s="3" t="str">
        <f t="shared" si="2"/>
        <v>open hands medium-dark skin tone</v>
      </c>
    </row>
    <row r="2086" ht="15.75" customHeight="1">
      <c r="A2086" s="1" t="s">
        <v>5518</v>
      </c>
      <c r="B2086" s="1" t="s">
        <v>5519</v>
      </c>
      <c r="C2086" s="2" t="s">
        <v>5520</v>
      </c>
      <c r="D2086" s="2" t="str">
        <f t="shared" si="37"/>
        <v>mở bàn tay màu da sáng vừa</v>
      </c>
      <c r="E2086" s="3" t="str">
        <f t="shared" si="2"/>
        <v>open hands medium-light skin tone</v>
      </c>
    </row>
    <row r="2087" ht="15.75" customHeight="1">
      <c r="A2087" s="1" t="s">
        <v>5521</v>
      </c>
      <c r="B2087" s="1" t="s">
        <v>5522</v>
      </c>
      <c r="C2087" s="2" t="s">
        <v>5523</v>
      </c>
      <c r="D2087" s="2" t="str">
        <f t="shared" si="37"/>
        <v>mở bàn tay màu da thường</v>
      </c>
      <c r="E2087" s="3" t="str">
        <f t="shared" si="2"/>
        <v>open hands medium skin tone</v>
      </c>
    </row>
    <row r="2088" ht="15.75" customHeight="1">
      <c r="A2088" s="1" t="s">
        <v>5524</v>
      </c>
      <c r="B2088" s="1" t="s">
        <v>5525</v>
      </c>
      <c r="C2088" s="2" t="str">
        <f>IFERROR(__xludf.DUMMYFUNCTION("GOOGLETRANSLATE(E2088, ""en"",""vi"")"),"mở hộp thư với lá cờ hạ xuống")</f>
        <v>mở hộp thư với lá cờ hạ xuống</v>
      </c>
      <c r="D2088" s="2" t="str">
        <f t="shared" si="37"/>
        <v>mở hộp thư với lá cờ hạ xuống</v>
      </c>
      <c r="E2088" s="3" t="str">
        <f t="shared" si="2"/>
        <v>open mailbox with lowered flag</v>
      </c>
    </row>
    <row r="2089" ht="15.75" customHeight="1">
      <c r="A2089" s="1" t="s">
        <v>5526</v>
      </c>
      <c r="B2089" s="1" t="s">
        <v>5527</v>
      </c>
      <c r="C2089" s="2" t="str">
        <f>IFERROR(__xludf.DUMMYFUNCTION("GOOGLETRANSLATE(E2089, ""en"",""vi"")"),"hộp thư mở với lá cờ được nâng lên")</f>
        <v>hộp thư mở với lá cờ được nâng lên</v>
      </c>
      <c r="D2089" s="2" t="str">
        <f t="shared" si="37"/>
        <v>hộp thư mở với lá cờ được nâng lên</v>
      </c>
      <c r="E2089" s="3" t="str">
        <f t="shared" si="2"/>
        <v>open mailbox with raised flag</v>
      </c>
    </row>
    <row r="2090" ht="15.75" customHeight="1">
      <c r="A2090" s="1" t="s">
        <v>5528</v>
      </c>
      <c r="B2090" s="1" t="s">
        <v>5529</v>
      </c>
      <c r="C2090" s="2" t="str">
        <f>IFERROR(__xludf.DUMMYFUNCTION("GOOGLETRANSLATE(E2090, ""en"",""vi"")"),"đĩa quang")</f>
        <v>đĩa quang</v>
      </c>
      <c r="D2090" s="2" t="str">
        <f t="shared" si="37"/>
        <v>đĩa quang</v>
      </c>
      <c r="E2090" s="3" t="str">
        <f t="shared" si="2"/>
        <v>optical disk</v>
      </c>
    </row>
    <row r="2091" ht="15.75" customHeight="1">
      <c r="A2091" s="1" t="s">
        <v>5530</v>
      </c>
      <c r="B2091" s="1" t="s">
        <v>5531</v>
      </c>
      <c r="C2091" s="2" t="str">
        <f>IFERROR(__xludf.DUMMYFUNCTION("GOOGLETRANSLATE(E2091, ""en"",""vi"")"),"cuốn sách màu cam")</f>
        <v>cuốn sách màu cam</v>
      </c>
      <c r="D2091" s="2" t="str">
        <f t="shared" si="37"/>
        <v>cuốn sách màu cam</v>
      </c>
      <c r="E2091" s="3" t="str">
        <f t="shared" si="2"/>
        <v>orange book</v>
      </c>
    </row>
    <row r="2092" ht="15.75" customHeight="1">
      <c r="A2092" s="1" t="s">
        <v>5532</v>
      </c>
      <c r="B2092" s="1" t="s">
        <v>5533</v>
      </c>
      <c r="C2092" s="2" t="str">
        <f>IFERROR(__xludf.DUMMYFUNCTION("GOOGLETRANSLATE(E2092, ""en"",""vi"")"),"vòng tròn màu cam")</f>
        <v>vòng tròn màu cam</v>
      </c>
      <c r="D2092" s="2" t="str">
        <f t="shared" si="37"/>
        <v>vòng tròn màu cam</v>
      </c>
      <c r="E2092" s="3" t="str">
        <f t="shared" si="2"/>
        <v>orange circle</v>
      </c>
    </row>
    <row r="2093" ht="15.75" customHeight="1">
      <c r="A2093" s="1" t="s">
        <v>5534</v>
      </c>
      <c r="B2093" s="1" t="s">
        <v>5535</v>
      </c>
      <c r="C2093" s="2" t="str">
        <f>IFERROR(__xludf.DUMMYFUNCTION("GOOGLETRANSLATE(E2093, ""en"",""vi"")"),"trái tim màu cam")</f>
        <v>trái tim màu cam</v>
      </c>
      <c r="D2093" s="2" t="str">
        <f t="shared" si="37"/>
        <v>trái tim màu cam</v>
      </c>
      <c r="E2093" s="3" t="str">
        <f t="shared" si="2"/>
        <v>orange heart</v>
      </c>
    </row>
    <row r="2094" ht="15.75" customHeight="1">
      <c r="A2094" s="1" t="s">
        <v>5536</v>
      </c>
      <c r="B2094" s="1" t="s">
        <v>5537</v>
      </c>
      <c r="C2094" s="2" t="s">
        <v>5538</v>
      </c>
      <c r="D2094" s="2" t="str">
        <f t="shared" si="37"/>
        <v>hình vuông màu cam</v>
      </c>
      <c r="E2094" s="3" t="str">
        <f t="shared" si="2"/>
        <v>orange square</v>
      </c>
    </row>
    <row r="2095" ht="15.75" customHeight="1">
      <c r="A2095" s="1" t="s">
        <v>5539</v>
      </c>
      <c r="B2095" s="1" t="s">
        <v>5540</v>
      </c>
      <c r="C2095" s="2" t="str">
        <f>IFERROR(__xludf.DUMMYFUNCTION("GOOGLETRANSLATE(E2095, ""en"",""vi"")"),"đười ươi")</f>
        <v>đười ươi</v>
      </c>
      <c r="D2095" s="2" t="str">
        <f t="shared" si="37"/>
        <v>đười ươi</v>
      </c>
      <c r="E2095" s="3" t="str">
        <f t="shared" si="2"/>
        <v>orangutan</v>
      </c>
    </row>
    <row r="2096" ht="15.75" customHeight="1">
      <c r="A2096" s="1" t="s">
        <v>5541</v>
      </c>
      <c r="B2096" s="1" t="s">
        <v>5542</v>
      </c>
      <c r="C2096" s="2" t="s">
        <v>5543</v>
      </c>
      <c r="D2096" s="2" t="str">
        <f t="shared" si="37"/>
        <v>thập giá chính thống</v>
      </c>
      <c r="E2096" s="3" t="str">
        <f t="shared" si="2"/>
        <v>orthodox cross</v>
      </c>
    </row>
    <row r="2097" ht="15.75" customHeight="1">
      <c r="A2097" s="1" t="s">
        <v>5544</v>
      </c>
      <c r="B2097" s="1" t="s">
        <v>5545</v>
      </c>
      <c r="C2097" s="2" t="str">
        <f>IFERROR(__xludf.DUMMYFUNCTION("GOOGLETRANSLATE(E2097, ""en"",""vi"")"),"rái cá")</f>
        <v>rái cá</v>
      </c>
      <c r="D2097" s="2" t="str">
        <f t="shared" si="37"/>
        <v>rái cá</v>
      </c>
      <c r="E2097" s="3" t="str">
        <f t="shared" si="2"/>
        <v>otter</v>
      </c>
    </row>
    <row r="2098" ht="15.75" customHeight="1">
      <c r="A2098" s="1" t="s">
        <v>5546</v>
      </c>
      <c r="B2098" s="1" t="s">
        <v>5547</v>
      </c>
      <c r="C2098" s="2" t="str">
        <f>IFERROR(__xludf.DUMMYFUNCTION("GOOGLETRANSLATE(E2098, ""en"",""vi"")"),"khay hộp thư đi")</f>
        <v>khay hộp thư đi</v>
      </c>
      <c r="D2098" s="2" t="str">
        <f t="shared" si="37"/>
        <v>khay hộp thư đi</v>
      </c>
      <c r="E2098" s="3" t="str">
        <f t="shared" si="2"/>
        <v>outbox tray</v>
      </c>
    </row>
    <row r="2099" ht="15.75" customHeight="1">
      <c r="A2099" s="1" t="s">
        <v>5548</v>
      </c>
      <c r="B2099" s="1" t="s">
        <v>5549</v>
      </c>
      <c r="C2099" s="2" t="str">
        <f>IFERROR(__xludf.DUMMYFUNCTION("GOOGLETRANSLATE(E2099, ""en"",""vi"")"),"con cú")</f>
        <v>con cú</v>
      </c>
      <c r="D2099" s="2" t="str">
        <f t="shared" si="37"/>
        <v>con cú</v>
      </c>
      <c r="E2099" s="3" t="str">
        <f t="shared" si="2"/>
        <v>owl</v>
      </c>
    </row>
    <row r="2100" ht="15.75" customHeight="1">
      <c r="A2100" s="1" t="s">
        <v>5550</v>
      </c>
      <c r="B2100" s="1" t="s">
        <v>5551</v>
      </c>
      <c r="C2100" s="2" t="str">
        <f>IFERROR(__xludf.DUMMYFUNCTION("GOOGLETRANSLATE(E2100, ""en"",""vi"")"),"con bò đực")</f>
        <v>con bò đực</v>
      </c>
      <c r="D2100" s="2" t="str">
        <f t="shared" si="37"/>
        <v>con bò đực</v>
      </c>
      <c r="E2100" s="3" t="str">
        <f t="shared" si="2"/>
        <v>ox</v>
      </c>
    </row>
    <row r="2101" ht="15.75" customHeight="1">
      <c r="A2101" s="1" t="s">
        <v>5552</v>
      </c>
      <c r="B2101" s="1" t="s">
        <v>5553</v>
      </c>
      <c r="C2101" s="2" t="str">
        <f>IFERROR(__xludf.DUMMYFUNCTION("GOOGLETRANSLATE(E2101, ""en"",""vi"")"),"con hàu")</f>
        <v>con hàu</v>
      </c>
      <c r="D2101" s="2" t="str">
        <f t="shared" si="37"/>
        <v>con hàu</v>
      </c>
      <c r="E2101" s="3" t="str">
        <f t="shared" si="2"/>
        <v>oyster</v>
      </c>
    </row>
    <row r="2102" ht="15.75" customHeight="1">
      <c r="A2102" s="1" t="s">
        <v>5554</v>
      </c>
      <c r="B2102" s="1" t="s">
        <v>5555</v>
      </c>
      <c r="C2102" s="2" t="str">
        <f>IFERROR(__xludf.DUMMYFUNCTION("GOOGLETRANSLATE(E2102, ""en"",""vi"")"),"bưu kiện")</f>
        <v>bưu kiện</v>
      </c>
      <c r="D2102" s="2" t="str">
        <f t="shared" si="37"/>
        <v>bưu kiện</v>
      </c>
      <c r="E2102" s="3" t="str">
        <f t="shared" si="2"/>
        <v>package</v>
      </c>
    </row>
    <row r="2103" ht="15.75" customHeight="1">
      <c r="A2103" s="1" t="s">
        <v>5556</v>
      </c>
      <c r="B2103" s="1" t="s">
        <v>5557</v>
      </c>
      <c r="C2103" s="2" t="s">
        <v>5558</v>
      </c>
      <c r="D2103" s="2" t="str">
        <f t="shared" si="37"/>
        <v>trang giấy hướng lên</v>
      </c>
      <c r="E2103" s="3" t="str">
        <f t="shared" si="2"/>
        <v>page facing up</v>
      </c>
    </row>
    <row r="2104" ht="15.75" customHeight="1">
      <c r="A2104" s="1" t="s">
        <v>5559</v>
      </c>
      <c r="B2104" s="1" t="s">
        <v>5560</v>
      </c>
      <c r="C2104" s="2" t="s">
        <v>5561</v>
      </c>
      <c r="D2104" s="2" t="str">
        <f t="shared" si="37"/>
        <v>trang giấp bị cong</v>
      </c>
      <c r="E2104" s="3" t="str">
        <f t="shared" si="2"/>
        <v>page with curl</v>
      </c>
    </row>
    <row r="2105" ht="15.75" customHeight="1">
      <c r="A2105" s="1" t="s">
        <v>5562</v>
      </c>
      <c r="B2105" s="1" t="s">
        <v>5563</v>
      </c>
      <c r="C2105" s="2" t="str">
        <f>IFERROR(__xludf.DUMMYFUNCTION("GOOGLETRANSLATE(E2105, ""en"",""vi"")"),"máy nhắn tin")</f>
        <v>máy nhắn tin</v>
      </c>
      <c r="D2105" s="2" t="str">
        <f t="shared" si="37"/>
        <v>máy nhắn tin</v>
      </c>
      <c r="E2105" s="3" t="str">
        <f t="shared" si="2"/>
        <v>pager</v>
      </c>
    </row>
    <row r="2106" ht="15.75" customHeight="1">
      <c r="A2106" s="1" t="s">
        <v>5564</v>
      </c>
      <c r="B2106" s="1" t="s">
        <v>5565</v>
      </c>
      <c r="C2106" s="2" t="str">
        <f>IFERROR(__xludf.DUMMYFUNCTION("GOOGLETRANSLATE(E2106, ""en"",""vi"")"),"cọ vẽ")</f>
        <v>cọ vẽ</v>
      </c>
      <c r="D2106" s="2" t="str">
        <f t="shared" si="37"/>
        <v>cọ vẽ</v>
      </c>
      <c r="E2106" s="3" t="str">
        <f t="shared" si="2"/>
        <v>paintbrush</v>
      </c>
    </row>
    <row r="2107" ht="15.75" customHeight="1">
      <c r="A2107" s="1" t="s">
        <v>5566</v>
      </c>
      <c r="B2107" s="1" t="s">
        <v>5567</v>
      </c>
      <c r="C2107" s="2" t="str">
        <f>IFERROR(__xludf.DUMMYFUNCTION("GOOGLETRANSLATE(E2107, ""en"",""vi"")"),"cây cọ")</f>
        <v>cây cọ</v>
      </c>
      <c r="D2107" s="2" t="str">
        <f t="shared" si="37"/>
        <v>cây cọ</v>
      </c>
      <c r="E2107" s="3" t="str">
        <f t="shared" si="2"/>
        <v>palm tree</v>
      </c>
    </row>
    <row r="2108" ht="15.75" customHeight="1">
      <c r="A2108" s="1" t="s">
        <v>5568</v>
      </c>
      <c r="B2108" s="1" t="s">
        <v>5569</v>
      </c>
      <c r="C2108" s="2" t="s">
        <v>5570</v>
      </c>
      <c r="D2108" s="2" t="str">
        <f t="shared" si="37"/>
        <v>lòng bàn tay cùng mở</v>
      </c>
      <c r="E2108" s="3" t="str">
        <f t="shared" si="2"/>
        <v>palms up together</v>
      </c>
    </row>
    <row r="2109" ht="15.75" customHeight="1">
      <c r="A2109" s="1" t="s">
        <v>5571</v>
      </c>
      <c r="B2109" s="1" t="s">
        <v>5572</v>
      </c>
      <c r="C2109" s="2" t="s">
        <v>5573</v>
      </c>
      <c r="D2109" s="2" t="str">
        <f t="shared" si="37"/>
        <v>lòng bàn tay cùng mở màu da sẫm</v>
      </c>
      <c r="E2109" s="3" t="str">
        <f t="shared" si="2"/>
        <v>palms up together dark skin tone</v>
      </c>
    </row>
    <row r="2110" ht="15.75" customHeight="1">
      <c r="A2110" s="1" t="s">
        <v>5574</v>
      </c>
      <c r="B2110" s="1" t="s">
        <v>5575</v>
      </c>
      <c r="C2110" s="2" t="s">
        <v>5576</v>
      </c>
      <c r="D2110" s="2" t="str">
        <f t="shared" si="37"/>
        <v>lòng bàn tay cùng mở màu da sáng</v>
      </c>
      <c r="E2110" s="3" t="str">
        <f t="shared" si="2"/>
        <v>palms up together light skin tone</v>
      </c>
    </row>
    <row r="2111" ht="15.75" customHeight="1">
      <c r="A2111" s="1" t="s">
        <v>5577</v>
      </c>
      <c r="B2111" s="1" t="s">
        <v>5578</v>
      </c>
      <c r="C2111" s="2" t="s">
        <v>5579</v>
      </c>
      <c r="D2111" s="2" t="str">
        <f t="shared" si="37"/>
        <v>lòng bàn tay cùng mở màu da sẫm vừa</v>
      </c>
      <c r="E2111" s="3" t="str">
        <f t="shared" si="2"/>
        <v>palms up together medium-dark skin tone</v>
      </c>
    </row>
    <row r="2112" ht="15.75" customHeight="1">
      <c r="A2112" s="1" t="s">
        <v>5580</v>
      </c>
      <c r="B2112" s="1" t="s">
        <v>5581</v>
      </c>
      <c r="C2112" s="2" t="s">
        <v>5582</v>
      </c>
      <c r="D2112" s="2" t="str">
        <f t="shared" si="37"/>
        <v>lòng bàn tay cùng mở màu da sáng vừa</v>
      </c>
      <c r="E2112" s="3" t="str">
        <f t="shared" si="2"/>
        <v>palms up together medium-light skin tone</v>
      </c>
    </row>
    <row r="2113" ht="15.75" customHeight="1">
      <c r="A2113" s="1" t="s">
        <v>5583</v>
      </c>
      <c r="B2113" s="1" t="s">
        <v>5584</v>
      </c>
      <c r="C2113" s="2" t="s">
        <v>5585</v>
      </c>
      <c r="D2113" s="2" t="str">
        <f t="shared" si="37"/>
        <v>lòng bàn tay cùng mở màu da thường</v>
      </c>
      <c r="E2113" s="3" t="str">
        <f t="shared" si="2"/>
        <v>palms up together medium skin tone</v>
      </c>
    </row>
    <row r="2114" ht="15.75" customHeight="1">
      <c r="A2114" s="1" t="s">
        <v>5586</v>
      </c>
      <c r="B2114" s="1" t="s">
        <v>5587</v>
      </c>
      <c r="C2114" s="2" t="str">
        <f>IFERROR(__xludf.DUMMYFUNCTION("GOOGLETRANSLATE(E2114, ""en"",""vi"")"),"bánh kếp")</f>
        <v>bánh kếp</v>
      </c>
      <c r="D2114" s="2" t="str">
        <f t="shared" si="37"/>
        <v>bánh kếp</v>
      </c>
      <c r="E2114" s="3" t="str">
        <f t="shared" si="2"/>
        <v>pancakes</v>
      </c>
    </row>
    <row r="2115" ht="15.75" customHeight="1">
      <c r="A2115" s="1" t="s">
        <v>5588</v>
      </c>
      <c r="B2115" s="1" t="s">
        <v>5589</v>
      </c>
      <c r="C2115" s="2" t="str">
        <f>IFERROR(__xludf.DUMMYFUNCTION("GOOGLETRANSLATE(E2115, ""en"",""vi"")"),"gấu trúc")</f>
        <v>gấu trúc</v>
      </c>
      <c r="D2115" s="2" t="str">
        <f t="shared" si="37"/>
        <v>gấu trúc</v>
      </c>
      <c r="E2115" s="3" t="str">
        <f t="shared" si="2"/>
        <v>panda</v>
      </c>
    </row>
    <row r="2116" ht="15.75" customHeight="1">
      <c r="A2116" s="1" t="s">
        <v>5590</v>
      </c>
      <c r="B2116" s="1" t="s">
        <v>5591</v>
      </c>
      <c r="C2116" s="2" t="str">
        <f>IFERROR(__xludf.DUMMYFUNCTION("GOOGLETRANSLATE(E2116, ""en"",""vi"")"),"kẹp giấy")</f>
        <v>kẹp giấy</v>
      </c>
      <c r="D2116" s="2" t="str">
        <f t="shared" si="37"/>
        <v>kẹp giấy</v>
      </c>
      <c r="E2116" s="3" t="str">
        <f t="shared" si="2"/>
        <v>paperclip</v>
      </c>
    </row>
    <row r="2117" ht="15.75" customHeight="1">
      <c r="A2117" s="1" t="s">
        <v>5592</v>
      </c>
      <c r="B2117" s="1" t="s">
        <v>5593</v>
      </c>
      <c r="C2117" s="2" t="str">
        <f>IFERROR(__xludf.DUMMYFUNCTION("GOOGLETRANSLATE(E2117, ""en"",""vi"")"),"dù")</f>
        <v>dù</v>
      </c>
      <c r="D2117" s="2" t="str">
        <f t="shared" si="37"/>
        <v>dù</v>
      </c>
      <c r="E2117" s="3" t="str">
        <f t="shared" si="2"/>
        <v>parachute</v>
      </c>
    </row>
    <row r="2118" ht="15.75" customHeight="1">
      <c r="A2118" s="1" t="s">
        <v>5594</v>
      </c>
      <c r="B2118" s="1" t="s">
        <v>5595</v>
      </c>
      <c r="C2118" s="2" t="str">
        <f>IFERROR(__xludf.DUMMYFUNCTION("GOOGLETRANSLATE(E2118, ""en"",""vi"")"),"con vẹt")</f>
        <v>con vẹt</v>
      </c>
      <c r="D2118" s="2" t="str">
        <f t="shared" si="37"/>
        <v>con vẹt</v>
      </c>
      <c r="E2118" s="3" t="str">
        <f t="shared" si="2"/>
        <v>parrot</v>
      </c>
    </row>
    <row r="2119" ht="15.75" customHeight="1">
      <c r="A2119" s="1" t="s">
        <v>5596</v>
      </c>
      <c r="B2119" s="1" t="s">
        <v>5597</v>
      </c>
      <c r="C2119" s="2" t="s">
        <v>5598</v>
      </c>
      <c r="D2119" s="2" t="str">
        <f t="shared" si="37"/>
        <v>dấu bắt đầu bài hát</v>
      </c>
      <c r="E2119" s="3" t="str">
        <f t="shared" si="2"/>
        <v>part alternation mark</v>
      </c>
    </row>
    <row r="2120" ht="15.75" customHeight="1">
      <c r="A2120" s="1" t="s">
        <v>5599</v>
      </c>
      <c r="B2120" s="1" t="s">
        <v>5600</v>
      </c>
      <c r="C2120" s="2" t="s">
        <v>5601</v>
      </c>
      <c r="D2120" s="2" t="str">
        <f t="shared" si="37"/>
        <v>súng bắn pháo hoa</v>
      </c>
      <c r="E2120" s="3" t="str">
        <f t="shared" si="2"/>
        <v>party popper</v>
      </c>
    </row>
    <row r="2121" ht="15.75" customHeight="1">
      <c r="A2121" s="1" t="s">
        <v>5602</v>
      </c>
      <c r="B2121" s="1" t="s">
        <v>5603</v>
      </c>
      <c r="C2121" s="2" t="str">
        <f>IFERROR(__xludf.DUMMYFUNCTION("GOOGLETRANSLATE(E2121, ""en"",""vi"")"),"mặt tiệc tùng")</f>
        <v>mặt tiệc tùng</v>
      </c>
      <c r="D2121" s="2" t="str">
        <f t="shared" si="37"/>
        <v>mặt tiệc tùng</v>
      </c>
      <c r="E2121" s="3" t="str">
        <f t="shared" si="2"/>
        <v>partying face</v>
      </c>
    </row>
    <row r="2122" ht="15.75" customHeight="1">
      <c r="A2122" s="1" t="s">
        <v>5604</v>
      </c>
      <c r="B2122" s="1" t="s">
        <v>5605</v>
      </c>
      <c r="C2122" s="2" t="str">
        <f>IFERROR(__xludf.DUMMYFUNCTION("GOOGLETRANSLATE(E2122, ""en"",""vi"")"),"tàu chở khách")</f>
        <v>tàu chở khách</v>
      </c>
      <c r="D2122" s="2" t="str">
        <f t="shared" si="37"/>
        <v>tàu chở khách</v>
      </c>
      <c r="E2122" s="3" t="str">
        <f t="shared" si="2"/>
        <v>passenger ship</v>
      </c>
    </row>
    <row r="2123" ht="15.75" customHeight="1">
      <c r="A2123" s="1" t="s">
        <v>5606</v>
      </c>
      <c r="B2123" s="1" t="s">
        <v>5607</v>
      </c>
      <c r="C2123" s="2" t="str">
        <f>IFERROR(__xludf.DUMMYFUNCTION("GOOGLETRANSLATE(E2123, ""en"",""vi"")"),"kiểm soát hộ chiếu")</f>
        <v>kiểm soát hộ chiếu</v>
      </c>
      <c r="D2123" s="2" t="str">
        <f t="shared" si="37"/>
        <v>kiểm soát hộ chiếu</v>
      </c>
      <c r="E2123" s="3" t="str">
        <f t="shared" si="2"/>
        <v>passport control</v>
      </c>
    </row>
    <row r="2124" ht="15.75" customHeight="1">
      <c r="A2124" s="1" t="s">
        <v>5608</v>
      </c>
      <c r="B2124" s="1" t="s">
        <v>5609</v>
      </c>
      <c r="C2124" s="2" t="str">
        <f>IFERROR(__xludf.DUMMYFUNCTION("GOOGLETRANSLATE(E2124, ""en"",""vi"")"),"nút tạm dừng")</f>
        <v>nút tạm dừng</v>
      </c>
      <c r="D2124" s="2" t="str">
        <f t="shared" si="37"/>
        <v>nút tạm dừng</v>
      </c>
      <c r="E2124" s="3" t="str">
        <f t="shared" si="2"/>
        <v>pause button</v>
      </c>
    </row>
    <row r="2125" ht="15.75" customHeight="1">
      <c r="A2125" s="1" t="s">
        <v>5610</v>
      </c>
      <c r="B2125" s="1" t="s">
        <v>5611</v>
      </c>
      <c r="C2125" s="2" t="str">
        <f>IFERROR(__xludf.DUMMYFUNCTION("GOOGLETRANSLATE(E2125, ""en"",""vi"")"),"dấu chân")</f>
        <v>dấu chân</v>
      </c>
      <c r="D2125" s="2" t="str">
        <f t="shared" si="37"/>
        <v>dấu chân</v>
      </c>
      <c r="E2125" s="3" t="str">
        <f t="shared" si="2"/>
        <v>paw prints</v>
      </c>
    </row>
    <row r="2126" ht="15.75" customHeight="1">
      <c r="A2126" s="1" t="s">
        <v>5612</v>
      </c>
      <c r="B2126" s="1" t="s">
        <v>5613</v>
      </c>
      <c r="C2126" s="2" t="str">
        <f>IFERROR(__xludf.DUMMYFUNCTION("GOOGLETRANSLATE(E2126, ""en"",""vi"")"),"biểu tượng hòa bình")</f>
        <v>biểu tượng hòa bình</v>
      </c>
      <c r="D2126" s="2" t="str">
        <f t="shared" si="37"/>
        <v>biểu tượng hòa bình</v>
      </c>
      <c r="E2126" s="3" t="str">
        <f t="shared" si="2"/>
        <v>peace symbol</v>
      </c>
    </row>
    <row r="2127" ht="15.75" customHeight="1">
      <c r="A2127" s="1" t="s">
        <v>5614</v>
      </c>
      <c r="B2127" s="1" t="s">
        <v>5615</v>
      </c>
      <c r="C2127" s="2" t="str">
        <f>IFERROR(__xludf.DUMMYFUNCTION("GOOGLETRANSLATE(E2127, ""en"",""vi"")"),"quả đào")</f>
        <v>quả đào</v>
      </c>
      <c r="D2127" s="2" t="str">
        <f t="shared" si="37"/>
        <v>quả đào</v>
      </c>
      <c r="E2127" s="3" t="str">
        <f t="shared" si="2"/>
        <v>peach</v>
      </c>
    </row>
    <row r="2128" ht="15.75" customHeight="1">
      <c r="A2128" s="1" t="s">
        <v>5616</v>
      </c>
      <c r="B2128" s="1" t="s">
        <v>5617</v>
      </c>
      <c r="C2128" s="2" t="str">
        <f>IFERROR(__xludf.DUMMYFUNCTION("GOOGLETRANSLATE(E2128, ""en"",""vi"")"),"con công")</f>
        <v>con công</v>
      </c>
      <c r="D2128" s="2" t="str">
        <f t="shared" si="37"/>
        <v>con công</v>
      </c>
      <c r="E2128" s="3" t="str">
        <f t="shared" si="2"/>
        <v>peacock</v>
      </c>
    </row>
    <row r="2129" ht="15.75" customHeight="1">
      <c r="A2129" s="1" t="s">
        <v>5618</v>
      </c>
      <c r="B2129" s="1" t="s">
        <v>5619</v>
      </c>
      <c r="C2129" s="2" t="str">
        <f>IFERROR(__xludf.DUMMYFUNCTION("GOOGLETRANSLATE(E2129, ""en"",""vi"")"),"đậu phộng")</f>
        <v>đậu phộng</v>
      </c>
      <c r="D2129" s="2" t="str">
        <f t="shared" si="37"/>
        <v>đậu phộng</v>
      </c>
      <c r="E2129" s="3" t="str">
        <f t="shared" si="2"/>
        <v>peanuts</v>
      </c>
    </row>
    <row r="2130" ht="15.75" customHeight="1">
      <c r="A2130" s="1" t="s">
        <v>5620</v>
      </c>
      <c r="B2130" s="1" t="s">
        <v>5621</v>
      </c>
      <c r="C2130" s="2" t="str">
        <f>IFERROR(__xludf.DUMMYFUNCTION("GOOGLETRANSLATE(E2130, ""en"",""vi"")"),"quả lê")</f>
        <v>quả lê</v>
      </c>
      <c r="D2130" s="2" t="str">
        <f t="shared" si="37"/>
        <v>quả lê</v>
      </c>
      <c r="E2130" s="3" t="str">
        <f t="shared" si="2"/>
        <v>pear</v>
      </c>
    </row>
    <row r="2131" ht="15.75" customHeight="1">
      <c r="A2131" s="1" t="s">
        <v>5622</v>
      </c>
      <c r="B2131" s="1" t="s">
        <v>5623</v>
      </c>
      <c r="C2131" s="2" t="str">
        <f>IFERROR(__xludf.DUMMYFUNCTION("GOOGLETRANSLATE(E2131, ""en"",""vi"")"),"cái bút")</f>
        <v>cái bút</v>
      </c>
      <c r="D2131" s="2" t="str">
        <f t="shared" si="37"/>
        <v>cái bút</v>
      </c>
      <c r="E2131" s="3" t="str">
        <f t="shared" si="2"/>
        <v>pen</v>
      </c>
    </row>
    <row r="2132" ht="15.75" customHeight="1">
      <c r="A2132" s="1" t="s">
        <v>5624</v>
      </c>
      <c r="B2132" s="1" t="s">
        <v>5625</v>
      </c>
      <c r="C2132" s="2" t="str">
        <f>IFERROR(__xludf.DUMMYFUNCTION("GOOGLETRANSLATE(E2132, ""en"",""vi"")"),"bút chì")</f>
        <v>bút chì</v>
      </c>
      <c r="D2132" s="2" t="str">
        <f t="shared" si="37"/>
        <v>bút chì</v>
      </c>
      <c r="E2132" s="3" t="str">
        <f t="shared" si="2"/>
        <v>pencil</v>
      </c>
    </row>
    <row r="2133" ht="15.75" customHeight="1">
      <c r="A2133" s="1" t="s">
        <v>5626</v>
      </c>
      <c r="B2133" s="1" t="s">
        <v>5627</v>
      </c>
      <c r="C2133" s="2" t="str">
        <f>IFERROR(__xludf.DUMMYFUNCTION("GOOGLETRANSLATE(E2133, ""en"",""vi"")"),"chim cánh cụt")</f>
        <v>chim cánh cụt</v>
      </c>
      <c r="D2133" s="2" t="str">
        <f t="shared" si="37"/>
        <v>chim cánh cụt</v>
      </c>
      <c r="E2133" s="3" t="str">
        <f t="shared" si="2"/>
        <v>penguin</v>
      </c>
    </row>
    <row r="2134" ht="15.75" customHeight="1">
      <c r="A2134" s="1" t="s">
        <v>5628</v>
      </c>
      <c r="B2134" s="1" t="s">
        <v>5629</v>
      </c>
      <c r="C2134" s="2" t="str">
        <f>IFERROR(__xludf.DUMMYFUNCTION("GOOGLETRANSLATE(E2134, ""en"",""vi"")"),"khuôn mặt trầm ngâm")</f>
        <v>khuôn mặt trầm ngâm</v>
      </c>
      <c r="D2134" s="2" t="str">
        <f t="shared" si="37"/>
        <v>khuôn mặt trầm ngâm</v>
      </c>
      <c r="E2134" s="3" t="str">
        <f t="shared" si="2"/>
        <v>pensive face</v>
      </c>
    </row>
    <row r="2135" ht="15.75" customHeight="1">
      <c r="A2135" s="1" t="s">
        <v>5630</v>
      </c>
      <c r="B2135" s="1" t="s">
        <v>5631</v>
      </c>
      <c r="C2135" s="2" t="s">
        <v>5632</v>
      </c>
      <c r="D2135" s="2" t="str">
        <f t="shared" si="37"/>
        <v>người nắm tay</v>
      </c>
      <c r="E2135" s="3" t="str">
        <f t="shared" si="2"/>
        <v>people holding hands</v>
      </c>
    </row>
    <row r="2136" ht="15.75" customHeight="1">
      <c r="A2136" s="1" t="s">
        <v>5633</v>
      </c>
      <c r="B2136" s="1" t="s">
        <v>5634</v>
      </c>
      <c r="C2136" s="2" t="s">
        <v>5635</v>
      </c>
      <c r="D2136" s="2" t="str">
        <f t="shared" si="37"/>
        <v>người nắm tay màu da sẫm</v>
      </c>
      <c r="E2136" s="3" t="str">
        <f t="shared" si="2"/>
        <v>people holding hands dark skin tone</v>
      </c>
    </row>
    <row r="2137" ht="15.75" customHeight="1">
      <c r="A2137" s="1" t="s">
        <v>5636</v>
      </c>
      <c r="B2137" s="1" t="s">
        <v>5637</v>
      </c>
      <c r="C2137" s="2" t="s">
        <v>5638</v>
      </c>
      <c r="D2137" s="2" t="str">
        <f t="shared" si="37"/>
        <v>người nắm tay màu da sẫm màu da sáng</v>
      </c>
      <c r="E2137" s="3" t="str">
        <f t="shared" si="2"/>
        <v>people holding hands dark skin tone light skin tone</v>
      </c>
    </row>
    <row r="2138" ht="15.75" customHeight="1">
      <c r="A2138" s="1" t="s">
        <v>5639</v>
      </c>
      <c r="B2138" s="1" t="s">
        <v>5640</v>
      </c>
      <c r="C2138" s="2" t="s">
        <v>5641</v>
      </c>
      <c r="D2138" s="2" t="str">
        <f t="shared" si="37"/>
        <v>người nắm tay màu da sẫm màu da sẫm vừa</v>
      </c>
      <c r="E2138" s="3" t="str">
        <f t="shared" si="2"/>
        <v>people holding hands dark skin tone medium-dark skin tone</v>
      </c>
    </row>
    <row r="2139" ht="15.75" customHeight="1">
      <c r="A2139" s="1" t="s">
        <v>5642</v>
      </c>
      <c r="B2139" s="1" t="s">
        <v>5643</v>
      </c>
      <c r="C2139" s="2" t="s">
        <v>5644</v>
      </c>
      <c r="D2139" s="2" t="str">
        <f t="shared" si="37"/>
        <v>người nắm tay màu da sẫm màu da sáng vừa</v>
      </c>
      <c r="E2139" s="3" t="str">
        <f t="shared" si="2"/>
        <v>people holding hands dark skin tone medium-light skin tone</v>
      </c>
    </row>
    <row r="2140" ht="15.75" customHeight="1">
      <c r="A2140" s="1" t="s">
        <v>5645</v>
      </c>
      <c r="B2140" s="1" t="s">
        <v>5646</v>
      </c>
      <c r="C2140" s="2" t="s">
        <v>5647</v>
      </c>
      <c r="D2140" s="2" t="str">
        <f t="shared" si="37"/>
        <v>người nắm tay màu da sẫm màu da thường</v>
      </c>
      <c r="E2140" s="3" t="str">
        <f t="shared" si="2"/>
        <v>people holding hands dark skin tone medium skin tone</v>
      </c>
    </row>
    <row r="2141" ht="15.75" customHeight="1">
      <c r="A2141" s="1" t="s">
        <v>5648</v>
      </c>
      <c r="B2141" s="1" t="s">
        <v>5649</v>
      </c>
      <c r="C2141" s="2" t="s">
        <v>5650</v>
      </c>
      <c r="D2141" s="2" t="str">
        <f t="shared" si="37"/>
        <v>người nắm tay màu da sáng</v>
      </c>
      <c r="E2141" s="3" t="str">
        <f t="shared" si="2"/>
        <v>people holding hands light skin tone</v>
      </c>
    </row>
    <row r="2142" ht="15.75" customHeight="1">
      <c r="A2142" s="1" t="s">
        <v>5651</v>
      </c>
      <c r="B2142" s="1" t="s">
        <v>5652</v>
      </c>
      <c r="C2142" s="2" t="s">
        <v>5653</v>
      </c>
      <c r="D2142" s="2" t="str">
        <f t="shared" si="37"/>
        <v>người nắm tay màu da sáng màu da sẫm</v>
      </c>
      <c r="E2142" s="3" t="str">
        <f t="shared" si="2"/>
        <v>people holding hands light skin tone dark skin tone</v>
      </c>
    </row>
    <row r="2143" ht="15.75" customHeight="1">
      <c r="A2143" s="1" t="s">
        <v>5654</v>
      </c>
      <c r="B2143" s="1" t="s">
        <v>5655</v>
      </c>
      <c r="C2143" s="2" t="s">
        <v>5656</v>
      </c>
      <c r="D2143" s="2" t="str">
        <f t="shared" si="37"/>
        <v>người nắm tay màu da sáng màu da sẫm vừa</v>
      </c>
      <c r="E2143" s="3" t="str">
        <f t="shared" si="2"/>
        <v>people holding hands light skin tone medium-dark skin tone</v>
      </c>
    </row>
    <row r="2144" ht="15.75" customHeight="1">
      <c r="A2144" s="1" t="s">
        <v>5657</v>
      </c>
      <c r="B2144" s="1" t="s">
        <v>5658</v>
      </c>
      <c r="C2144" s="2" t="s">
        <v>5659</v>
      </c>
      <c r="D2144" s="2" t="str">
        <f t="shared" si="37"/>
        <v>người nắm tay màu da sáng màu da sáng vừa</v>
      </c>
      <c r="E2144" s="3" t="str">
        <f t="shared" si="2"/>
        <v>people holding hands light skin tone medium-light skin tone</v>
      </c>
    </row>
    <row r="2145" ht="15.75" customHeight="1">
      <c r="A2145" s="1" t="s">
        <v>5660</v>
      </c>
      <c r="B2145" s="1" t="s">
        <v>5661</v>
      </c>
      <c r="C2145" s="2" t="s">
        <v>5662</v>
      </c>
      <c r="D2145" s="2" t="str">
        <f t="shared" si="37"/>
        <v>người nắm tay màu da sáng màu da thường</v>
      </c>
      <c r="E2145" s="3" t="str">
        <f t="shared" si="2"/>
        <v>people holding hands light skin tone medium skin tone</v>
      </c>
    </row>
    <row r="2146" ht="15.75" customHeight="1">
      <c r="A2146" s="1" t="s">
        <v>5663</v>
      </c>
      <c r="B2146" s="1" t="s">
        <v>5664</v>
      </c>
      <c r="C2146" s="2" t="s">
        <v>5665</v>
      </c>
      <c r="D2146" s="2" t="str">
        <f t="shared" si="37"/>
        <v>người nắm tay màu da sẫm vừa</v>
      </c>
      <c r="E2146" s="3" t="str">
        <f t="shared" si="2"/>
        <v>people holding hands medium-dark skin tone</v>
      </c>
    </row>
    <row r="2147" ht="15.75" customHeight="1">
      <c r="A2147" s="1" t="s">
        <v>5666</v>
      </c>
      <c r="B2147" s="1" t="s">
        <v>5667</v>
      </c>
      <c r="C2147" s="2" t="s">
        <v>5668</v>
      </c>
      <c r="D2147" s="2" t="str">
        <f t="shared" si="37"/>
        <v>người nắm tay màu da sẫm vừa màu da sẫm</v>
      </c>
      <c r="E2147" s="3" t="str">
        <f t="shared" si="2"/>
        <v>people holding hands medium-dark skin tone dark skin tone</v>
      </c>
    </row>
    <row r="2148" ht="15.75" customHeight="1">
      <c r="A2148" s="1" t="s">
        <v>5669</v>
      </c>
      <c r="B2148" s="1" t="s">
        <v>5670</v>
      </c>
      <c r="C2148" s="2" t="s">
        <v>5671</v>
      </c>
      <c r="D2148" s="2" t="str">
        <f t="shared" si="37"/>
        <v>người nắm tay màu da sẫm vừa màu da sáng</v>
      </c>
      <c r="E2148" s="3" t="str">
        <f t="shared" si="2"/>
        <v>people holding hands medium-dark skin tone light skin tone</v>
      </c>
    </row>
    <row r="2149" ht="15.75" customHeight="1">
      <c r="A2149" s="1" t="s">
        <v>5672</v>
      </c>
      <c r="B2149" s="1" t="s">
        <v>5673</v>
      </c>
      <c r="C2149" s="2" t="s">
        <v>5674</v>
      </c>
      <c r="D2149" s="2" t="str">
        <f t="shared" si="37"/>
        <v>người nắm tay màu da sẫm vừa màu da sáng vừa</v>
      </c>
      <c r="E2149" s="3" t="str">
        <f t="shared" si="2"/>
        <v>people holding hands medium-dark skin tone medium-light skin tone</v>
      </c>
    </row>
    <row r="2150" ht="15.75" customHeight="1">
      <c r="A2150" s="1" t="s">
        <v>5675</v>
      </c>
      <c r="B2150" s="1" t="s">
        <v>5676</v>
      </c>
      <c r="C2150" s="2" t="s">
        <v>5677</v>
      </c>
      <c r="D2150" s="2" t="str">
        <f t="shared" si="37"/>
        <v>người nắm tay màu da sẫm vừa màu da thường</v>
      </c>
      <c r="E2150" s="3" t="str">
        <f t="shared" si="2"/>
        <v>people holding hands medium-dark skin tone medium skin tone</v>
      </c>
    </row>
    <row r="2151" ht="15.75" customHeight="1">
      <c r="A2151" s="1" t="s">
        <v>5678</v>
      </c>
      <c r="B2151" s="1" t="s">
        <v>5679</v>
      </c>
      <c r="C2151" s="2" t="s">
        <v>5680</v>
      </c>
      <c r="D2151" s="2" t="str">
        <f t="shared" si="37"/>
        <v>người nắm tay màu da sáng vừa</v>
      </c>
      <c r="E2151" s="3" t="str">
        <f t="shared" si="2"/>
        <v>people holding hands medium-light skin tone</v>
      </c>
    </row>
    <row r="2152" ht="15.75" customHeight="1">
      <c r="A2152" s="1" t="s">
        <v>5681</v>
      </c>
      <c r="B2152" s="1" t="s">
        <v>5682</v>
      </c>
      <c r="C2152" s="2" t="s">
        <v>5683</v>
      </c>
      <c r="D2152" s="2" t="str">
        <f t="shared" si="37"/>
        <v>người nắm tay màu da sáng vừa màu da sẫm</v>
      </c>
      <c r="E2152" s="3" t="str">
        <f t="shared" si="2"/>
        <v>people holding hands medium-light skin tone dark skin tone</v>
      </c>
    </row>
    <row r="2153" ht="15.75" customHeight="1">
      <c r="A2153" s="1" t="s">
        <v>5684</v>
      </c>
      <c r="B2153" s="1" t="s">
        <v>5685</v>
      </c>
      <c r="C2153" s="2" t="s">
        <v>5686</v>
      </c>
      <c r="D2153" s="2" t="str">
        <f t="shared" si="37"/>
        <v>người nắm tay màu da sáng vừa màu da sáng</v>
      </c>
      <c r="E2153" s="3" t="str">
        <f t="shared" si="2"/>
        <v>people holding hands medium-light skin tone light skin tone</v>
      </c>
    </row>
    <row r="2154" ht="15.75" customHeight="1">
      <c r="A2154" s="1" t="s">
        <v>5687</v>
      </c>
      <c r="B2154" s="1" t="s">
        <v>5688</v>
      </c>
      <c r="C2154" s="2" t="s">
        <v>5689</v>
      </c>
      <c r="D2154" s="2" t="str">
        <f t="shared" si="37"/>
        <v>người nắm tay màu da sáng vừa màu da sẫm vừa</v>
      </c>
      <c r="E2154" s="3" t="str">
        <f t="shared" si="2"/>
        <v>people holding hands medium-light skin tone medium-dark skin tone</v>
      </c>
    </row>
    <row r="2155" ht="15.75" customHeight="1">
      <c r="A2155" s="1" t="s">
        <v>5690</v>
      </c>
      <c r="B2155" s="1" t="s">
        <v>5691</v>
      </c>
      <c r="C2155" s="2" t="s">
        <v>5692</v>
      </c>
      <c r="D2155" s="2" t="str">
        <f t="shared" si="37"/>
        <v>người nắm tay màu da sáng vừa màu da thường</v>
      </c>
      <c r="E2155" s="3" t="str">
        <f t="shared" si="2"/>
        <v>people holding hands medium-light skin tone medium skin tone</v>
      </c>
    </row>
    <row r="2156" ht="15.75" customHeight="1">
      <c r="A2156" s="1" t="s">
        <v>5693</v>
      </c>
      <c r="B2156" s="1" t="s">
        <v>5694</v>
      </c>
      <c r="C2156" s="2" t="s">
        <v>5695</v>
      </c>
      <c r="D2156" s="2" t="str">
        <f t="shared" si="37"/>
        <v>người nắm tay màu da thường</v>
      </c>
      <c r="E2156" s="3" t="str">
        <f t="shared" si="2"/>
        <v>people holding hands medium skin tone</v>
      </c>
    </row>
    <row r="2157" ht="15.75" customHeight="1">
      <c r="A2157" s="1" t="s">
        <v>5696</v>
      </c>
      <c r="B2157" s="1" t="s">
        <v>5697</v>
      </c>
      <c r="C2157" s="2" t="s">
        <v>5698</v>
      </c>
      <c r="D2157" s="2" t="str">
        <f t="shared" si="37"/>
        <v>người nắm tay màu da thường màu da sẫm</v>
      </c>
      <c r="E2157" s="3" t="str">
        <f t="shared" si="2"/>
        <v>people holding hands medium skin tone dark skin tone</v>
      </c>
    </row>
    <row r="2158" ht="15.75" customHeight="1">
      <c r="A2158" s="1" t="s">
        <v>5699</v>
      </c>
      <c r="B2158" s="1" t="s">
        <v>5700</v>
      </c>
      <c r="C2158" s="2" t="s">
        <v>5701</v>
      </c>
      <c r="D2158" s="2" t="str">
        <f t="shared" si="37"/>
        <v>người nắm tay màu da thường màu da sáng</v>
      </c>
      <c r="E2158" s="3" t="str">
        <f t="shared" si="2"/>
        <v>people holding hands medium skin tone light skin tone</v>
      </c>
    </row>
    <row r="2159" ht="15.75" customHeight="1">
      <c r="A2159" s="1" t="s">
        <v>5702</v>
      </c>
      <c r="B2159" s="1" t="s">
        <v>5703</v>
      </c>
      <c r="C2159" s="2" t="s">
        <v>5704</v>
      </c>
      <c r="D2159" s="2" t="str">
        <f t="shared" si="37"/>
        <v>người nắm tay màu da thường màu da sẫm vừa</v>
      </c>
      <c r="E2159" s="3" t="str">
        <f t="shared" si="2"/>
        <v>people holding hands medium skin tone medium-dark skin tone</v>
      </c>
    </row>
    <row r="2160" ht="15.75" customHeight="1">
      <c r="A2160" s="1" t="s">
        <v>5705</v>
      </c>
      <c r="B2160" s="1" t="s">
        <v>5706</v>
      </c>
      <c r="C2160" s="2" t="s">
        <v>5707</v>
      </c>
      <c r="D2160" s="2" t="str">
        <f t="shared" si="37"/>
        <v>người nắm tay màu da thường màu da sáng vừa</v>
      </c>
      <c r="E2160" s="3" t="str">
        <f t="shared" si="2"/>
        <v>people holding hands medium skin tone medium-light skin tone</v>
      </c>
    </row>
    <row r="2161" ht="15.75" customHeight="1">
      <c r="A2161" s="1" t="s">
        <v>5708</v>
      </c>
      <c r="B2161" s="1" t="s">
        <v>5709</v>
      </c>
      <c r="C2161" s="2" t="str">
        <f>IFERROR(__xludf.DUMMYFUNCTION("GOOGLETRANSLATE(E2161, ""en"",""vi"")"),"mọi người ôm nhau")</f>
        <v>mọi người ôm nhau</v>
      </c>
      <c r="D2161" s="2" t="str">
        <f t="shared" si="37"/>
        <v>mọi người ôm nhau</v>
      </c>
      <c r="E2161" s="3" t="str">
        <f t="shared" si="2"/>
        <v>people hugging</v>
      </c>
    </row>
    <row r="2162" ht="15.75" customHeight="1">
      <c r="A2162" s="1" t="s">
        <v>5710</v>
      </c>
      <c r="B2162" s="1" t="s">
        <v>5711</v>
      </c>
      <c r="C2162" s="2" t="s">
        <v>5712</v>
      </c>
      <c r="D2162" s="2" t="str">
        <f t="shared" si="37"/>
        <v>người với tai thỏ</v>
      </c>
      <c r="E2162" s="3" t="str">
        <f t="shared" si="2"/>
        <v>people with bunny ears</v>
      </c>
    </row>
    <row r="2163" ht="15.75" customHeight="1">
      <c r="A2163" s="1" t="s">
        <v>5713</v>
      </c>
      <c r="B2163" s="1" t="s">
        <v>5714</v>
      </c>
      <c r="C2163" s="2" t="s">
        <v>5715</v>
      </c>
      <c r="D2163" s="2" t="str">
        <f t="shared" si="37"/>
        <v>người vật lộn</v>
      </c>
      <c r="E2163" s="3" t="str">
        <f t="shared" si="2"/>
        <v>people wrestling</v>
      </c>
    </row>
    <row r="2164" ht="15.75" customHeight="1">
      <c r="A2164" s="1" t="s">
        <v>5716</v>
      </c>
      <c r="B2164" s="1" t="s">
        <v>5717</v>
      </c>
      <c r="C2164" s="2" t="str">
        <f>IFERROR(__xludf.DUMMYFUNCTION("GOOGLETRANSLATE(E2164, ""en"",""vi"")"),"nghệ thuật biểu diễn")</f>
        <v>nghệ thuật biểu diễn</v>
      </c>
      <c r="D2164" s="2" t="str">
        <f t="shared" si="37"/>
        <v>nghệ thuật biểu diễn</v>
      </c>
      <c r="E2164" s="3" t="str">
        <f t="shared" si="2"/>
        <v>performing arts</v>
      </c>
    </row>
    <row r="2165" ht="15.75" customHeight="1">
      <c r="A2165" s="1" t="s">
        <v>5718</v>
      </c>
      <c r="B2165" s="1" t="s">
        <v>5719</v>
      </c>
      <c r="C2165" s="2" t="s">
        <v>5720</v>
      </c>
      <c r="D2165" s="2" t="str">
        <f t="shared" si="37"/>
        <v>mặt kiên trì</v>
      </c>
      <c r="E2165" s="3" t="str">
        <f t="shared" si="2"/>
        <v>persevering face</v>
      </c>
    </row>
    <row r="2166" ht="15.75" customHeight="1">
      <c r="A2166" s="1" t="s">
        <v>5721</v>
      </c>
      <c r="B2166" s="1" t="s">
        <v>5722</v>
      </c>
      <c r="C2166" s="2" t="str">
        <f>IFERROR(__xludf.DUMMYFUNCTION("GOOGLETRANSLATE(E2166, ""en"",""vi"")"),"người")</f>
        <v>người</v>
      </c>
      <c r="D2166" s="2" t="str">
        <f t="shared" si="37"/>
        <v>người</v>
      </c>
      <c r="E2166" s="3" t="str">
        <f t="shared" si="2"/>
        <v>person</v>
      </c>
    </row>
    <row r="2167" ht="15.75" customHeight="1">
      <c r="A2167" s="1" t="s">
        <v>5723</v>
      </c>
      <c r="B2167" s="1" t="s">
        <v>5724</v>
      </c>
      <c r="C2167" s="2" t="str">
        <f>IFERROR(__xludf.DUMMYFUNCTION("GOOGLETRANSLATE(E2167, ""en"",""vi"")"),"người hói")</f>
        <v>người hói</v>
      </c>
      <c r="D2167" s="2" t="str">
        <f t="shared" si="37"/>
        <v>người hói</v>
      </c>
      <c r="E2167" s="3" t="str">
        <f t="shared" si="2"/>
        <v>person bald</v>
      </c>
    </row>
    <row r="2168" ht="15.75" customHeight="1">
      <c r="A2168" s="1" t="s">
        <v>5725</v>
      </c>
      <c r="B2168" s="1" t="s">
        <v>5726</v>
      </c>
      <c r="C2168" s="2" t="s">
        <v>5727</v>
      </c>
      <c r="D2168" s="2" t="str">
        <f t="shared" si="37"/>
        <v>người có râu</v>
      </c>
      <c r="E2168" s="3" t="str">
        <f t="shared" si="2"/>
        <v>person beard</v>
      </c>
    </row>
    <row r="2169" ht="15.75" customHeight="1">
      <c r="A2169" s="1" t="s">
        <v>5728</v>
      </c>
      <c r="B2169" s="1" t="s">
        <v>5729</v>
      </c>
      <c r="C2169" s="5" t="s">
        <v>5730</v>
      </c>
      <c r="D2169" s="2" t="str">
        <f t="shared" si="37"/>
        <v>người đi xe đạp</v>
      </c>
      <c r="E2169" s="3" t="str">
        <f t="shared" si="2"/>
        <v>person biking</v>
      </c>
    </row>
    <row r="2170" ht="15.75" customHeight="1">
      <c r="A2170" s="1" t="s">
        <v>5731</v>
      </c>
      <c r="B2170" s="1" t="s">
        <v>5732</v>
      </c>
      <c r="C2170" s="5" t="s">
        <v>5733</v>
      </c>
      <c r="D2170" s="2" t="str">
        <f t="shared" si="37"/>
        <v>người đi xe đạp màu da sẫm</v>
      </c>
      <c r="E2170" s="3" t="str">
        <f t="shared" si="2"/>
        <v>person biking dark skin tone</v>
      </c>
    </row>
    <row r="2171" ht="15.75" customHeight="1">
      <c r="A2171" s="1" t="s">
        <v>5734</v>
      </c>
      <c r="B2171" s="1" t="s">
        <v>5735</v>
      </c>
      <c r="C2171" s="5" t="s">
        <v>5736</v>
      </c>
      <c r="D2171" s="2" t="str">
        <f t="shared" si="37"/>
        <v>người đi xe đạp màu da sáng</v>
      </c>
      <c r="E2171" s="3" t="str">
        <f t="shared" si="2"/>
        <v>person biking light skin tone</v>
      </c>
    </row>
    <row r="2172" ht="15.75" customHeight="1">
      <c r="A2172" s="1" t="s">
        <v>5737</v>
      </c>
      <c r="B2172" s="1" t="s">
        <v>5738</v>
      </c>
      <c r="C2172" s="5" t="s">
        <v>5739</v>
      </c>
      <c r="D2172" s="2" t="str">
        <f t="shared" si="37"/>
        <v>người đi xe đạp màu da sẫm vừa</v>
      </c>
      <c r="E2172" s="3" t="str">
        <f t="shared" si="2"/>
        <v>person biking medium-dark skin tone</v>
      </c>
    </row>
    <row r="2173" ht="15.75" customHeight="1">
      <c r="A2173" s="1" t="s">
        <v>5740</v>
      </c>
      <c r="B2173" s="1" t="s">
        <v>5741</v>
      </c>
      <c r="C2173" s="5" t="s">
        <v>5742</v>
      </c>
      <c r="D2173" s="2" t="str">
        <f t="shared" si="37"/>
        <v>người đi xe đạp màu da sáng vừa</v>
      </c>
      <c r="E2173" s="3" t="str">
        <f t="shared" si="2"/>
        <v>person biking medium-light skin tone</v>
      </c>
    </row>
    <row r="2174" ht="15.75" customHeight="1">
      <c r="A2174" s="1" t="s">
        <v>5743</v>
      </c>
      <c r="B2174" s="1" t="s">
        <v>5744</v>
      </c>
      <c r="C2174" s="5" t="s">
        <v>5745</v>
      </c>
      <c r="D2174" s="2" t="str">
        <f t="shared" si="37"/>
        <v>người đi xe đạp màu da thường</v>
      </c>
      <c r="E2174" s="3" t="str">
        <f t="shared" si="2"/>
        <v>person biking medium skin tone</v>
      </c>
    </row>
    <row r="2175" ht="15.75" customHeight="1">
      <c r="A2175" s="1" t="s">
        <v>5746</v>
      </c>
      <c r="B2175" s="1" t="s">
        <v>5747</v>
      </c>
      <c r="C2175" s="5" t="str">
        <f>IFERROR(__xludf.DUMMYFUNCTION("GOOGLETRANSLATE(E2175, ""en"",""vi"")"),"người tóc vàng")</f>
        <v>người tóc vàng</v>
      </c>
      <c r="D2175" s="2" t="str">
        <f t="shared" si="37"/>
        <v>người tóc vàng</v>
      </c>
      <c r="E2175" s="3" t="str">
        <f t="shared" si="2"/>
        <v>person blond hair</v>
      </c>
    </row>
    <row r="2176" ht="15.75" customHeight="1">
      <c r="A2176" s="1" t="s">
        <v>5748</v>
      </c>
      <c r="B2176" s="1" t="s">
        <v>5749</v>
      </c>
      <c r="C2176" s="5" t="s">
        <v>5750</v>
      </c>
      <c r="D2176" s="2" t="str">
        <f t="shared" si="37"/>
        <v>người và bóng nảy</v>
      </c>
      <c r="E2176" s="3" t="str">
        <f t="shared" si="2"/>
        <v>person bouncing ball</v>
      </c>
    </row>
    <row r="2177" ht="15.75" customHeight="1">
      <c r="A2177" s="1" t="s">
        <v>5751</v>
      </c>
      <c r="B2177" s="1" t="s">
        <v>5752</v>
      </c>
      <c r="C2177" s="5" t="s">
        <v>5753</v>
      </c>
      <c r="D2177" s="2" t="str">
        <f t="shared" si="37"/>
        <v>người và bóng nảy màu da sẫm</v>
      </c>
      <c r="E2177" s="3" t="str">
        <f t="shared" si="2"/>
        <v>person bouncing ball dark skin tone</v>
      </c>
    </row>
    <row r="2178" ht="15.75" customHeight="1">
      <c r="A2178" s="1" t="s">
        <v>5754</v>
      </c>
      <c r="B2178" s="1" t="s">
        <v>5755</v>
      </c>
      <c r="C2178" s="5" t="s">
        <v>5756</v>
      </c>
      <c r="D2178" s="2" t="str">
        <f t="shared" si="37"/>
        <v>người và bóng nảy màu da sáng</v>
      </c>
      <c r="E2178" s="3" t="str">
        <f t="shared" si="2"/>
        <v>person bouncing ball light skin tone</v>
      </c>
    </row>
    <row r="2179" ht="15.75" customHeight="1">
      <c r="A2179" s="1" t="s">
        <v>5757</v>
      </c>
      <c r="B2179" s="1" t="s">
        <v>5758</v>
      </c>
      <c r="C2179" s="5" t="s">
        <v>5759</v>
      </c>
      <c r="D2179" s="2" t="str">
        <f t="shared" si="37"/>
        <v>người và bóng nảy màu da sẫm vừa</v>
      </c>
      <c r="E2179" s="3" t="str">
        <f t="shared" si="2"/>
        <v>person bouncing ball medium-dark skin tone</v>
      </c>
    </row>
    <row r="2180" ht="15.75" customHeight="1">
      <c r="A2180" s="1" t="s">
        <v>5760</v>
      </c>
      <c r="B2180" s="1" t="s">
        <v>5761</v>
      </c>
      <c r="C2180" s="5" t="s">
        <v>5762</v>
      </c>
      <c r="D2180" s="2" t="str">
        <f t="shared" si="37"/>
        <v>người và bóng nảy màu da sáng vừa</v>
      </c>
      <c r="E2180" s="3" t="str">
        <f t="shared" si="2"/>
        <v>person bouncing ball medium-light skin tone</v>
      </c>
    </row>
    <row r="2181" ht="15.75" customHeight="1">
      <c r="A2181" s="1" t="s">
        <v>5763</v>
      </c>
      <c r="B2181" s="1" t="s">
        <v>5764</v>
      </c>
      <c r="C2181" s="5" t="s">
        <v>5765</v>
      </c>
      <c r="D2181" s="2" t="str">
        <f t="shared" si="37"/>
        <v>người và bóng nảy màu da thường</v>
      </c>
      <c r="E2181" s="3" t="str">
        <f t="shared" si="2"/>
        <v>person bouncing ball medium skin tone</v>
      </c>
    </row>
    <row r="2182" ht="15.75" customHeight="1">
      <c r="A2182" s="1" t="s">
        <v>5766</v>
      </c>
      <c r="B2182" s="1" t="s">
        <v>5767</v>
      </c>
      <c r="C2182" s="5" t="s">
        <v>5768</v>
      </c>
      <c r="D2182" s="2" t="str">
        <f t="shared" si="37"/>
        <v>người cúi đầu</v>
      </c>
      <c r="E2182" s="3" t="str">
        <f t="shared" si="2"/>
        <v>person bowing</v>
      </c>
    </row>
    <row r="2183" ht="15.75" customHeight="1">
      <c r="A2183" s="1" t="s">
        <v>5769</v>
      </c>
      <c r="B2183" s="1" t="s">
        <v>5770</v>
      </c>
      <c r="C2183" s="5" t="s">
        <v>5771</v>
      </c>
      <c r="D2183" s="2" t="str">
        <f t="shared" si="37"/>
        <v>người màu da sẫm cúi đầu</v>
      </c>
      <c r="E2183" s="3" t="str">
        <f t="shared" si="2"/>
        <v>person bowing dark skin tone</v>
      </c>
    </row>
    <row r="2184" ht="15.75" customHeight="1">
      <c r="A2184" s="1" t="s">
        <v>5772</v>
      </c>
      <c r="B2184" s="1" t="s">
        <v>5773</v>
      </c>
      <c r="C2184" s="5" t="s">
        <v>5774</v>
      </c>
      <c r="D2184" s="2" t="str">
        <f t="shared" si="37"/>
        <v>người màu da sáng cúi đầu</v>
      </c>
      <c r="E2184" s="3" t="str">
        <f t="shared" si="2"/>
        <v>person bowing light skin tone</v>
      </c>
    </row>
    <row r="2185" ht="15.75" customHeight="1">
      <c r="A2185" s="1" t="s">
        <v>5775</v>
      </c>
      <c r="B2185" s="1" t="s">
        <v>5776</v>
      </c>
      <c r="C2185" s="5" t="s">
        <v>5777</v>
      </c>
      <c r="D2185" s="2" t="str">
        <f t="shared" si="37"/>
        <v>người màu da sẫm vừa cúi đầu</v>
      </c>
      <c r="E2185" s="3" t="str">
        <f t="shared" si="2"/>
        <v>person bowing medium-dark skin tone</v>
      </c>
    </row>
    <row r="2186" ht="15.75" customHeight="1">
      <c r="A2186" s="1" t="s">
        <v>5778</v>
      </c>
      <c r="B2186" s="1" t="s">
        <v>5779</v>
      </c>
      <c r="C2186" s="5" t="s">
        <v>5780</v>
      </c>
      <c r="D2186" s="2" t="str">
        <f t="shared" si="37"/>
        <v>người màu da sáng vừa cúi đầu</v>
      </c>
      <c r="E2186" s="3" t="str">
        <f t="shared" si="2"/>
        <v>person bowing medium-light skin tone</v>
      </c>
    </row>
    <row r="2187" ht="15.75" customHeight="1">
      <c r="A2187" s="1" t="s">
        <v>5781</v>
      </c>
      <c r="B2187" s="1" t="s">
        <v>5782</v>
      </c>
      <c r="C2187" s="5" t="s">
        <v>5783</v>
      </c>
      <c r="D2187" s="2" t="str">
        <f t="shared" si="37"/>
        <v>người màu da thường cúi đầu</v>
      </c>
      <c r="E2187" s="3" t="str">
        <f t="shared" si="2"/>
        <v>person bowing medium skin tone</v>
      </c>
    </row>
    <row r="2188" ht="15.75" customHeight="1">
      <c r="A2188" s="1" t="s">
        <v>5784</v>
      </c>
      <c r="B2188" s="1" t="s">
        <v>5785</v>
      </c>
      <c r="C2188" s="5" t="s">
        <v>5786</v>
      </c>
      <c r="D2188" s="2" t="str">
        <f t="shared" si="37"/>
        <v>người nhào lộn</v>
      </c>
      <c r="E2188" s="3" t="str">
        <f t="shared" si="2"/>
        <v>person cartwheeling</v>
      </c>
    </row>
    <row r="2189" ht="15.75" customHeight="1">
      <c r="A2189" s="1" t="s">
        <v>5787</v>
      </c>
      <c r="B2189" s="1" t="s">
        <v>5788</v>
      </c>
      <c r="C2189" s="5" t="s">
        <v>5789</v>
      </c>
      <c r="D2189" s="2" t="str">
        <f t="shared" si="37"/>
        <v>người màu da sẫm nhào lộn</v>
      </c>
      <c r="E2189" s="3" t="str">
        <f t="shared" si="2"/>
        <v>person cartwheeling dark skin tone</v>
      </c>
    </row>
    <row r="2190" ht="15.75" customHeight="1">
      <c r="A2190" s="1" t="s">
        <v>5790</v>
      </c>
      <c r="B2190" s="1" t="s">
        <v>5791</v>
      </c>
      <c r="C2190" s="5" t="s">
        <v>5792</v>
      </c>
      <c r="D2190" s="2" t="str">
        <f t="shared" si="37"/>
        <v>người màu da sáng nhào lộn</v>
      </c>
      <c r="E2190" s="3" t="str">
        <f t="shared" si="2"/>
        <v>person cartwheeling light skin tone</v>
      </c>
    </row>
    <row r="2191" ht="15.75" customHeight="1">
      <c r="A2191" s="1" t="s">
        <v>5793</v>
      </c>
      <c r="B2191" s="1" t="s">
        <v>5794</v>
      </c>
      <c r="C2191" s="5" t="s">
        <v>5795</v>
      </c>
      <c r="D2191" s="2" t="str">
        <f t="shared" si="37"/>
        <v>người màu da sẫm vừa nhào lộn</v>
      </c>
      <c r="E2191" s="3" t="str">
        <f t="shared" si="2"/>
        <v>person cartwheeling medium-dark skin tone</v>
      </c>
    </row>
    <row r="2192" ht="15.75" customHeight="1">
      <c r="A2192" s="1" t="s">
        <v>5796</v>
      </c>
      <c r="B2192" s="1" t="s">
        <v>5797</v>
      </c>
      <c r="C2192" s="5" t="s">
        <v>5798</v>
      </c>
      <c r="D2192" s="2" t="str">
        <f t="shared" si="37"/>
        <v>người màu da sáng vừa nhào lộn</v>
      </c>
      <c r="E2192" s="3" t="str">
        <f t="shared" si="2"/>
        <v>person cartwheeling medium-light skin tone</v>
      </c>
    </row>
    <row r="2193" ht="15.75" customHeight="1">
      <c r="A2193" s="1" t="s">
        <v>5799</v>
      </c>
      <c r="B2193" s="1" t="s">
        <v>5800</v>
      </c>
      <c r="C2193" s="5" t="s">
        <v>5801</v>
      </c>
      <c r="D2193" s="2" t="str">
        <f t="shared" si="37"/>
        <v>người màu da thường nhào lộn</v>
      </c>
      <c r="E2193" s="3" t="str">
        <f t="shared" si="2"/>
        <v>person cartwheeling medium skin tone</v>
      </c>
    </row>
    <row r="2194" ht="15.75" customHeight="1">
      <c r="A2194" s="1" t="s">
        <v>5802</v>
      </c>
      <c r="B2194" s="1" t="s">
        <v>5803</v>
      </c>
      <c r="C2194" s="5" t="s">
        <v>5804</v>
      </c>
      <c r="D2194" s="2" t="str">
        <f t="shared" si="37"/>
        <v>người leo núi</v>
      </c>
      <c r="E2194" s="3" t="str">
        <f t="shared" si="2"/>
        <v>person climbing</v>
      </c>
    </row>
    <row r="2195" ht="15.75" customHeight="1">
      <c r="A2195" s="1" t="s">
        <v>5805</v>
      </c>
      <c r="B2195" s="1" t="s">
        <v>5806</v>
      </c>
      <c r="C2195" s="5" t="s">
        <v>5807</v>
      </c>
      <c r="D2195" s="2" t="str">
        <f t="shared" si="37"/>
        <v>người màu da sẫm leo núi</v>
      </c>
      <c r="E2195" s="3" t="str">
        <f t="shared" si="2"/>
        <v>person climbing dark skin tone</v>
      </c>
    </row>
    <row r="2196" ht="15.75" customHeight="1">
      <c r="A2196" s="1" t="s">
        <v>5808</v>
      </c>
      <c r="B2196" s="1" t="s">
        <v>5809</v>
      </c>
      <c r="C2196" s="5" t="s">
        <v>5810</v>
      </c>
      <c r="D2196" s="2" t="str">
        <f t="shared" si="37"/>
        <v>người màu da sáng leo núi</v>
      </c>
      <c r="E2196" s="3" t="str">
        <f t="shared" si="2"/>
        <v>person climbing light skin tone</v>
      </c>
    </row>
    <row r="2197" ht="15.75" customHeight="1">
      <c r="A2197" s="1" t="s">
        <v>5811</v>
      </c>
      <c r="B2197" s="1" t="s">
        <v>5812</v>
      </c>
      <c r="C2197" s="5" t="s">
        <v>5813</v>
      </c>
      <c r="D2197" s="2" t="str">
        <f t="shared" si="37"/>
        <v>người màu da sẫm vừa leo núi</v>
      </c>
      <c r="E2197" s="3" t="str">
        <f t="shared" si="2"/>
        <v>person climbing medium-dark skin tone</v>
      </c>
    </row>
    <row r="2198" ht="15.75" customHeight="1">
      <c r="A2198" s="1" t="s">
        <v>5814</v>
      </c>
      <c r="B2198" s="1" t="s">
        <v>5815</v>
      </c>
      <c r="C2198" s="5" t="s">
        <v>5816</v>
      </c>
      <c r="D2198" s="2" t="str">
        <f t="shared" si="37"/>
        <v>người màu da sáng vừa leo núi</v>
      </c>
      <c r="E2198" s="3" t="str">
        <f t="shared" si="2"/>
        <v>person climbing medium-light skin tone</v>
      </c>
    </row>
    <row r="2199" ht="15.75" customHeight="1">
      <c r="A2199" s="1" t="s">
        <v>5817</v>
      </c>
      <c r="B2199" s="1" t="s">
        <v>5818</v>
      </c>
      <c r="C2199" s="5" t="s">
        <v>5819</v>
      </c>
      <c r="D2199" s="2" t="str">
        <f t="shared" si="37"/>
        <v>người màu da thường leo núi</v>
      </c>
      <c r="E2199" s="3" t="str">
        <f t="shared" si="2"/>
        <v>person climbing medium skin tone</v>
      </c>
    </row>
    <row r="2200" ht="15.75" customHeight="1">
      <c r="A2200" s="1" t="s">
        <v>5820</v>
      </c>
      <c r="B2200" s="1" t="s">
        <v>5821</v>
      </c>
      <c r="C2200" s="2" t="str">
        <f>IFERROR(__xludf.DUMMYFUNCTION("GOOGLETRANSLATE(E2200, ""en"",""vi"")"),"người tóc xoăn")</f>
        <v>người tóc xoăn</v>
      </c>
      <c r="D2200" s="2" t="str">
        <f t="shared" si="37"/>
        <v>người tóc xoăn</v>
      </c>
      <c r="E2200" s="3" t="str">
        <f t="shared" si="2"/>
        <v>person curly hair</v>
      </c>
    </row>
    <row r="2201" ht="15.75" customHeight="1">
      <c r="A2201" s="1" t="s">
        <v>5822</v>
      </c>
      <c r="B2201" s="1" t="s">
        <v>5823</v>
      </c>
      <c r="C2201" s="5" t="s">
        <v>5824</v>
      </c>
      <c r="D2201" s="2" t="str">
        <f t="shared" si="37"/>
        <v>người da sẫm</v>
      </c>
      <c r="E2201" s="3" t="str">
        <f t="shared" si="2"/>
        <v>person dark skin tone</v>
      </c>
    </row>
    <row r="2202" ht="15.75" customHeight="1">
      <c r="A2202" s="1" t="s">
        <v>5825</v>
      </c>
      <c r="B2202" s="1" t="s">
        <v>5826</v>
      </c>
      <c r="C2202" s="5" t="s">
        <v>5827</v>
      </c>
      <c r="D2202" s="2" t="str">
        <f t="shared" si="37"/>
        <v>người hói da sẫm</v>
      </c>
      <c r="E2202" s="3" t="str">
        <f t="shared" si="2"/>
        <v>person dark skin tone bald</v>
      </c>
    </row>
    <row r="2203" ht="15.75" customHeight="1">
      <c r="A2203" s="1" t="s">
        <v>5828</v>
      </c>
      <c r="B2203" s="1" t="s">
        <v>5829</v>
      </c>
      <c r="C2203" s="5" t="s">
        <v>5830</v>
      </c>
      <c r="D2203" s="2" t="str">
        <f t="shared" si="37"/>
        <v>người có râu da sẫm</v>
      </c>
      <c r="E2203" s="3" t="str">
        <f t="shared" si="2"/>
        <v>person dark skin tone beard</v>
      </c>
    </row>
    <row r="2204" ht="15.75" customHeight="1">
      <c r="A2204" s="1" t="s">
        <v>5831</v>
      </c>
      <c r="B2204" s="1" t="s">
        <v>5832</v>
      </c>
      <c r="C2204" s="5" t="s">
        <v>5833</v>
      </c>
      <c r="D2204" s="2" t="str">
        <f t="shared" si="37"/>
        <v>người tóc vàng da sẫm</v>
      </c>
      <c r="E2204" s="3" t="str">
        <f t="shared" si="2"/>
        <v>person dark skin tone blond hair</v>
      </c>
    </row>
    <row r="2205" ht="15.75" customHeight="1">
      <c r="A2205" s="1" t="s">
        <v>5834</v>
      </c>
      <c r="B2205" s="1" t="s">
        <v>5835</v>
      </c>
      <c r="C2205" s="5" t="s">
        <v>5836</v>
      </c>
      <c r="D2205" s="2" t="str">
        <f t="shared" si="37"/>
        <v>người tóc xoăn da sẫm</v>
      </c>
      <c r="E2205" s="3" t="str">
        <f t="shared" si="2"/>
        <v>person dark skin tone curly hair</v>
      </c>
    </row>
    <row r="2206" ht="15.75" customHeight="1">
      <c r="A2206" s="1" t="s">
        <v>5837</v>
      </c>
      <c r="B2206" s="1" t="s">
        <v>5838</v>
      </c>
      <c r="C2206" s="5" t="s">
        <v>5839</v>
      </c>
      <c r="D2206" s="2" t="str">
        <f t="shared" si="37"/>
        <v>người tóc đỏ da sẫm</v>
      </c>
      <c r="E2206" s="3" t="str">
        <f t="shared" si="2"/>
        <v>person dark skin tone red hair</v>
      </c>
    </row>
    <row r="2207" ht="15.75" customHeight="1">
      <c r="A2207" s="1" t="s">
        <v>5840</v>
      </c>
      <c r="B2207" s="1" t="s">
        <v>5841</v>
      </c>
      <c r="C2207" s="5" t="s">
        <v>5842</v>
      </c>
      <c r="D2207" s="2" t="str">
        <f t="shared" si="37"/>
        <v>người tóc trắng da sẫm</v>
      </c>
      <c r="E2207" s="3" t="str">
        <f t="shared" si="2"/>
        <v>person dark skin tone white hair</v>
      </c>
    </row>
    <row r="2208" ht="15.75" customHeight="1">
      <c r="A2208" s="1" t="s">
        <v>5843</v>
      </c>
      <c r="B2208" s="1" t="s">
        <v>5844</v>
      </c>
      <c r="C2208" s="5" t="s">
        <v>5845</v>
      </c>
      <c r="D2208" s="2" t="str">
        <f t="shared" si="37"/>
        <v>người lấy tay che mặt</v>
      </c>
      <c r="E2208" s="3" t="str">
        <f t="shared" si="2"/>
        <v>person facepalming</v>
      </c>
    </row>
    <row r="2209" ht="15.75" customHeight="1">
      <c r="A2209" s="1" t="s">
        <v>5846</v>
      </c>
      <c r="B2209" s="1" t="s">
        <v>5847</v>
      </c>
      <c r="C2209" s="5" t="s">
        <v>5848</v>
      </c>
      <c r="D2209" s="2" t="str">
        <f t="shared" si="37"/>
        <v>người màu da sẫm lấy tay che mặt</v>
      </c>
      <c r="E2209" s="3" t="str">
        <f t="shared" si="2"/>
        <v>person facepalming dark skin tone</v>
      </c>
    </row>
    <row r="2210" ht="15.75" customHeight="1">
      <c r="A2210" s="1" t="s">
        <v>5849</v>
      </c>
      <c r="B2210" s="1" t="s">
        <v>5850</v>
      </c>
      <c r="C2210" s="5" t="s">
        <v>5851</v>
      </c>
      <c r="D2210" s="2" t="str">
        <f t="shared" si="37"/>
        <v>người màu da sáng lấy tay che mặt</v>
      </c>
      <c r="E2210" s="3" t="str">
        <f t="shared" si="2"/>
        <v>person facepalming light skin tone</v>
      </c>
    </row>
    <row r="2211" ht="15.75" customHeight="1">
      <c r="A2211" s="1" t="s">
        <v>5852</v>
      </c>
      <c r="B2211" s="1" t="s">
        <v>5853</v>
      </c>
      <c r="C2211" s="5" t="s">
        <v>5854</v>
      </c>
      <c r="D2211" s="2" t="str">
        <f t="shared" si="37"/>
        <v>người màu da sẫm vừa lấy tay che mặt</v>
      </c>
      <c r="E2211" s="3" t="str">
        <f t="shared" si="2"/>
        <v>person facepalming medium-dark skin tone</v>
      </c>
    </row>
    <row r="2212" ht="15.75" customHeight="1">
      <c r="A2212" s="1" t="s">
        <v>5855</v>
      </c>
      <c r="B2212" s="1" t="s">
        <v>5856</v>
      </c>
      <c r="C2212" s="5" t="s">
        <v>5857</v>
      </c>
      <c r="D2212" s="2" t="str">
        <f t="shared" si="37"/>
        <v>người màu da sáng vừa lấy tay che mặt</v>
      </c>
      <c r="E2212" s="3" t="str">
        <f t="shared" si="2"/>
        <v>person facepalming medium-light skin tone</v>
      </c>
    </row>
    <row r="2213" ht="15.75" customHeight="1">
      <c r="A2213" s="1" t="s">
        <v>5858</v>
      </c>
      <c r="B2213" s="1" t="s">
        <v>5859</v>
      </c>
      <c r="C2213" s="5" t="s">
        <v>5860</v>
      </c>
      <c r="D2213" s="2" t="str">
        <f t="shared" si="37"/>
        <v>người màu da thường lấy tay che mặt</v>
      </c>
      <c r="E2213" s="3" t="str">
        <f t="shared" si="2"/>
        <v>person facepalming medium skin tone</v>
      </c>
    </row>
    <row r="2214" ht="15.75" customHeight="1">
      <c r="A2214" s="1" t="s">
        <v>5861</v>
      </c>
      <c r="B2214" s="1" t="s">
        <v>5862</v>
      </c>
      <c r="C2214" s="5" t="s">
        <v>5863</v>
      </c>
      <c r="D2214" s="2" t="str">
        <f t="shared" si="37"/>
        <v>người cho em bé ăn</v>
      </c>
      <c r="E2214" s="3" t="str">
        <f t="shared" si="2"/>
        <v>person feeding baby</v>
      </c>
    </row>
    <row r="2215" ht="15.75" customHeight="1">
      <c r="A2215" s="1" t="s">
        <v>5864</v>
      </c>
      <c r="B2215" s="1" t="s">
        <v>5865</v>
      </c>
      <c r="C2215" s="5" t="s">
        <v>5866</v>
      </c>
      <c r="D2215" s="2" t="str">
        <f t="shared" si="37"/>
        <v>người màu da sẫm cho em bé ăn</v>
      </c>
      <c r="E2215" s="3" t="str">
        <f t="shared" si="2"/>
        <v>person feeding baby dark skin tone</v>
      </c>
    </row>
    <row r="2216" ht="15.75" customHeight="1">
      <c r="A2216" s="1" t="s">
        <v>5867</v>
      </c>
      <c r="B2216" s="1" t="s">
        <v>5868</v>
      </c>
      <c r="C2216" s="5" t="s">
        <v>5869</v>
      </c>
      <c r="D2216" s="2" t="str">
        <f t="shared" si="37"/>
        <v>người màu da sáng cho em bé ăn</v>
      </c>
      <c r="E2216" s="3" t="str">
        <f t="shared" si="2"/>
        <v>person feeding baby light skin tone</v>
      </c>
    </row>
    <row r="2217" ht="15.75" customHeight="1">
      <c r="A2217" s="1" t="s">
        <v>5870</v>
      </c>
      <c r="B2217" s="1" t="s">
        <v>5871</v>
      </c>
      <c r="C2217" s="5" t="s">
        <v>5872</v>
      </c>
      <c r="D2217" s="2" t="str">
        <f t="shared" si="37"/>
        <v>người màu da sẫm vừa cho em bé ăn</v>
      </c>
      <c r="E2217" s="3" t="str">
        <f t="shared" si="2"/>
        <v>person feeding baby medium-dark skin tone</v>
      </c>
    </row>
    <row r="2218" ht="15.75" customHeight="1">
      <c r="A2218" s="1" t="s">
        <v>5873</v>
      </c>
      <c r="B2218" s="1" t="s">
        <v>5874</v>
      </c>
      <c r="C2218" s="5" t="s">
        <v>5875</v>
      </c>
      <c r="D2218" s="2" t="str">
        <f t="shared" si="37"/>
        <v>người màu da sáng vừa cho em bé ăn</v>
      </c>
      <c r="E2218" s="3" t="str">
        <f t="shared" si="2"/>
        <v>person feeding baby medium-light skin tone</v>
      </c>
    </row>
    <row r="2219" ht="15.75" customHeight="1">
      <c r="A2219" s="1" t="s">
        <v>5876</v>
      </c>
      <c r="B2219" s="1" t="s">
        <v>5877</v>
      </c>
      <c r="C2219" s="5" t="s">
        <v>5878</v>
      </c>
      <c r="D2219" s="2" t="str">
        <f t="shared" si="37"/>
        <v>người màu da thường cho em bé ăn</v>
      </c>
      <c r="E2219" s="3" t="str">
        <f t="shared" si="2"/>
        <v>person feeding baby medium skin tone</v>
      </c>
    </row>
    <row r="2220" ht="15.75" customHeight="1">
      <c r="A2220" s="1" t="s">
        <v>5879</v>
      </c>
      <c r="B2220" s="1" t="s">
        <v>5880</v>
      </c>
      <c r="C2220" s="2" t="str">
        <f>IFERROR(__xludf.DUMMYFUNCTION("GOOGLETRANSLATE(E2220, ""en"",""vi"")"),"người đấu kiếm")</f>
        <v>người đấu kiếm</v>
      </c>
      <c r="D2220" s="2" t="str">
        <f t="shared" si="37"/>
        <v>người đấu kiếm</v>
      </c>
      <c r="E2220" s="3" t="str">
        <f t="shared" si="2"/>
        <v>person fencing</v>
      </c>
    </row>
    <row r="2221" ht="15.75" customHeight="1">
      <c r="A2221" s="1" t="s">
        <v>5881</v>
      </c>
      <c r="B2221" s="1" t="s">
        <v>5882</v>
      </c>
      <c r="C2221" s="5" t="str">
        <f>IFERROR(__xludf.DUMMYFUNCTION("GOOGLETRANSLATE(E2221, ""en"",""vi"")"),"người đang cau mày")</f>
        <v>người đang cau mày</v>
      </c>
      <c r="D2221" s="2" t="str">
        <f t="shared" si="37"/>
        <v>người đang cau mày</v>
      </c>
      <c r="E2221" s="3" t="str">
        <f t="shared" si="2"/>
        <v>person frowning</v>
      </c>
    </row>
    <row r="2222" ht="15.75" customHeight="1">
      <c r="A2222" s="1" t="s">
        <v>5883</v>
      </c>
      <c r="B2222" s="1" t="s">
        <v>5884</v>
      </c>
      <c r="C2222" s="5" t="s">
        <v>5885</v>
      </c>
      <c r="D2222" s="2" t="str">
        <f t="shared" si="37"/>
        <v>người cau mày màu da sẫm</v>
      </c>
      <c r="E2222" s="3" t="str">
        <f t="shared" si="2"/>
        <v>person frowning dark skin tone</v>
      </c>
    </row>
    <row r="2223" ht="15.75" customHeight="1">
      <c r="A2223" s="1" t="s">
        <v>5886</v>
      </c>
      <c r="B2223" s="1" t="s">
        <v>5887</v>
      </c>
      <c r="C2223" s="5" t="s">
        <v>5888</v>
      </c>
      <c r="D2223" s="2" t="str">
        <f t="shared" si="37"/>
        <v>người cau mày màu da sáng</v>
      </c>
      <c r="E2223" s="3" t="str">
        <f t="shared" si="2"/>
        <v>person frowning light skin tone</v>
      </c>
    </row>
    <row r="2224" ht="15.75" customHeight="1">
      <c r="A2224" s="1" t="s">
        <v>5889</v>
      </c>
      <c r="B2224" s="1" t="s">
        <v>5890</v>
      </c>
      <c r="C2224" s="5" t="s">
        <v>5891</v>
      </c>
      <c r="D2224" s="2" t="str">
        <f t="shared" si="37"/>
        <v>người cau mày màu da sẫm vừa</v>
      </c>
      <c r="E2224" s="3" t="str">
        <f t="shared" si="2"/>
        <v>person frowning medium-dark skin tone</v>
      </c>
    </row>
    <row r="2225" ht="15.75" customHeight="1">
      <c r="A2225" s="1" t="s">
        <v>5892</v>
      </c>
      <c r="B2225" s="1" t="s">
        <v>5893</v>
      </c>
      <c r="C2225" s="5" t="s">
        <v>5894</v>
      </c>
      <c r="D2225" s="2" t="str">
        <f t="shared" si="37"/>
        <v>người cau mày màu da sáng vừa</v>
      </c>
      <c r="E2225" s="3" t="str">
        <f t="shared" si="2"/>
        <v>person frowning medium-light skin tone</v>
      </c>
    </row>
    <row r="2226" ht="15.75" customHeight="1">
      <c r="A2226" s="1" t="s">
        <v>5895</v>
      </c>
      <c r="B2226" s="1" t="s">
        <v>5896</v>
      </c>
      <c r="C2226" s="5" t="s">
        <v>5897</v>
      </c>
      <c r="D2226" s="2" t="str">
        <f t="shared" si="37"/>
        <v>người cau mày màu da thường</v>
      </c>
      <c r="E2226" s="3" t="str">
        <f t="shared" si="2"/>
        <v>person frowning medium skin tone</v>
      </c>
    </row>
    <row r="2227" ht="15.75" customHeight="1">
      <c r="A2227" s="1" t="s">
        <v>5898</v>
      </c>
      <c r="B2227" s="1" t="s">
        <v>5899</v>
      </c>
      <c r="C2227" s="5" t="s">
        <v>5900</v>
      </c>
      <c r="D2227" s="2" t="str">
        <f t="shared" si="37"/>
        <v>người làm cử chỉ không</v>
      </c>
      <c r="E2227" s="3" t="str">
        <f t="shared" si="2"/>
        <v>person gesturing NO</v>
      </c>
    </row>
    <row r="2228" ht="15.75" customHeight="1">
      <c r="A2228" s="1" t="s">
        <v>5901</v>
      </c>
      <c r="B2228" s="1" t="s">
        <v>5902</v>
      </c>
      <c r="C2228" s="5" t="s">
        <v>5903</v>
      </c>
      <c r="D2228" s="2" t="str">
        <f t="shared" si="37"/>
        <v>người màu da sẫm làm cử chỉ không</v>
      </c>
      <c r="E2228" s="3" t="str">
        <f t="shared" si="2"/>
        <v>person gesturing NO dark skin tone</v>
      </c>
    </row>
    <row r="2229" ht="15.75" customHeight="1">
      <c r="A2229" s="1" t="s">
        <v>5904</v>
      </c>
      <c r="B2229" s="1" t="s">
        <v>5905</v>
      </c>
      <c r="C2229" s="5" t="s">
        <v>5906</v>
      </c>
      <c r="D2229" s="2" t="str">
        <f t="shared" si="37"/>
        <v>người màu da sáng làm cử chỉ không</v>
      </c>
      <c r="E2229" s="3" t="str">
        <f t="shared" si="2"/>
        <v>person gesturing NO light skin tone</v>
      </c>
    </row>
    <row r="2230" ht="15.75" customHeight="1">
      <c r="A2230" s="1" t="s">
        <v>5907</v>
      </c>
      <c r="B2230" s="1" t="s">
        <v>5908</v>
      </c>
      <c r="C2230" s="5" t="s">
        <v>5909</v>
      </c>
      <c r="D2230" s="2" t="str">
        <f t="shared" si="37"/>
        <v>người màu da sẫm vừa làm cử chỉ không</v>
      </c>
      <c r="E2230" s="3" t="str">
        <f t="shared" si="2"/>
        <v>person gesturing NO medium-dark skin tone</v>
      </c>
    </row>
    <row r="2231" ht="15.75" customHeight="1">
      <c r="A2231" s="1" t="s">
        <v>5910</v>
      </c>
      <c r="B2231" s="1" t="s">
        <v>5911</v>
      </c>
      <c r="C2231" s="5" t="s">
        <v>5912</v>
      </c>
      <c r="D2231" s="2" t="str">
        <f t="shared" si="37"/>
        <v>người màu da sáng vừa làm cử chỉ không</v>
      </c>
      <c r="E2231" s="3" t="str">
        <f t="shared" si="2"/>
        <v>person gesturing NO medium-light skin tone</v>
      </c>
    </row>
    <row r="2232" ht="15.75" customHeight="1">
      <c r="A2232" s="1" t="s">
        <v>5913</v>
      </c>
      <c r="B2232" s="1" t="s">
        <v>5914</v>
      </c>
      <c r="C2232" s="5" t="s">
        <v>5915</v>
      </c>
      <c r="D2232" s="2" t="str">
        <f t="shared" si="37"/>
        <v>người màu da thường làm cử chỉ không</v>
      </c>
      <c r="E2232" s="3" t="str">
        <f t="shared" si="2"/>
        <v>person gesturing NO medium skin tone</v>
      </c>
    </row>
    <row r="2233" ht="15.75" customHeight="1">
      <c r="A2233" s="1" t="s">
        <v>5916</v>
      </c>
      <c r="B2233" s="1" t="s">
        <v>5917</v>
      </c>
      <c r="C2233" s="5" t="s">
        <v>5918</v>
      </c>
      <c r="D2233" s="2" t="str">
        <f t="shared" si="37"/>
        <v>người làm cử chỉ ok</v>
      </c>
      <c r="E2233" s="3" t="str">
        <f t="shared" si="2"/>
        <v>person gesturing OK</v>
      </c>
    </row>
    <row r="2234" ht="15.75" customHeight="1">
      <c r="A2234" s="1" t="s">
        <v>5919</v>
      </c>
      <c r="B2234" s="1" t="s">
        <v>5920</v>
      </c>
      <c r="C2234" s="5" t="s">
        <v>5921</v>
      </c>
      <c r="D2234" s="2" t="str">
        <f t="shared" si="37"/>
        <v>người màu da sẫm làm cử chỉ ok</v>
      </c>
      <c r="E2234" s="3" t="str">
        <f t="shared" si="2"/>
        <v>person gesturing OK dark skin tone</v>
      </c>
    </row>
    <row r="2235" ht="15.75" customHeight="1">
      <c r="A2235" s="1" t="s">
        <v>5922</v>
      </c>
      <c r="B2235" s="1" t="s">
        <v>5923</v>
      </c>
      <c r="C2235" s="5" t="s">
        <v>5924</v>
      </c>
      <c r="D2235" s="2" t="str">
        <f t="shared" si="37"/>
        <v>người màu da sáng làm cử chỉ ok</v>
      </c>
      <c r="E2235" s="3" t="str">
        <f t="shared" si="2"/>
        <v>person gesturing OK light skin tone</v>
      </c>
    </row>
    <row r="2236" ht="15.75" customHeight="1">
      <c r="A2236" s="1" t="s">
        <v>5925</v>
      </c>
      <c r="B2236" s="1" t="s">
        <v>5926</v>
      </c>
      <c r="C2236" s="5" t="s">
        <v>5927</v>
      </c>
      <c r="D2236" s="2" t="str">
        <f t="shared" si="37"/>
        <v>người màu da sẫm vừa làm cử chỉ ok</v>
      </c>
      <c r="E2236" s="3" t="str">
        <f t="shared" si="2"/>
        <v>person gesturing OK medium-dark skin tone</v>
      </c>
    </row>
    <row r="2237" ht="15.75" customHeight="1">
      <c r="A2237" s="1" t="s">
        <v>5928</v>
      </c>
      <c r="B2237" s="1" t="s">
        <v>5929</v>
      </c>
      <c r="C2237" s="5" t="s">
        <v>5930</v>
      </c>
      <c r="D2237" s="2" t="str">
        <f t="shared" si="37"/>
        <v>người màu da sáng vừa làm cử chỉ ok</v>
      </c>
      <c r="E2237" s="3" t="str">
        <f t="shared" si="2"/>
        <v>person gesturing OK medium-light skin tone</v>
      </c>
    </row>
    <row r="2238" ht="15.75" customHeight="1">
      <c r="A2238" s="1" t="s">
        <v>5931</v>
      </c>
      <c r="B2238" s="1" t="s">
        <v>5932</v>
      </c>
      <c r="C2238" s="5" t="s">
        <v>5933</v>
      </c>
      <c r="D2238" s="2" t="str">
        <f t="shared" si="37"/>
        <v>người màu da thường làm cử chỉ ok</v>
      </c>
      <c r="E2238" s="3" t="str">
        <f t="shared" si="2"/>
        <v>person gesturing OK medium skin tone</v>
      </c>
    </row>
    <row r="2239" ht="15.75" customHeight="1">
      <c r="A2239" s="1" t="s">
        <v>5934</v>
      </c>
      <c r="B2239" s="1" t="s">
        <v>5935</v>
      </c>
      <c r="C2239" s="5" t="s">
        <v>5936</v>
      </c>
      <c r="D2239" s="2" t="str">
        <f t="shared" si="37"/>
        <v>người đang được cắt tóc</v>
      </c>
      <c r="E2239" s="3" t="str">
        <f t="shared" si="2"/>
        <v>person getting haircut</v>
      </c>
    </row>
    <row r="2240" ht="15.75" customHeight="1">
      <c r="A2240" s="1" t="s">
        <v>5937</v>
      </c>
      <c r="B2240" s="1" t="s">
        <v>5938</v>
      </c>
      <c r="C2240" s="5" t="s">
        <v>5939</v>
      </c>
      <c r="D2240" s="2" t="str">
        <f t="shared" si="37"/>
        <v>người màu da sẫm đang được cắt tóc</v>
      </c>
      <c r="E2240" s="3" t="str">
        <f t="shared" si="2"/>
        <v>person getting haircut dark skin tone</v>
      </c>
    </row>
    <row r="2241" ht="15.75" customHeight="1">
      <c r="A2241" s="1" t="s">
        <v>5940</v>
      </c>
      <c r="B2241" s="1" t="s">
        <v>5941</v>
      </c>
      <c r="C2241" s="5" t="s">
        <v>5942</v>
      </c>
      <c r="D2241" s="2" t="str">
        <f t="shared" si="37"/>
        <v>người màu da sáng đang được cắt tóc</v>
      </c>
      <c r="E2241" s="3" t="str">
        <f t="shared" si="2"/>
        <v>person getting haircut light skin tone</v>
      </c>
    </row>
    <row r="2242" ht="15.75" customHeight="1">
      <c r="A2242" s="1" t="s">
        <v>5943</v>
      </c>
      <c r="B2242" s="1" t="s">
        <v>5944</v>
      </c>
      <c r="C2242" s="5" t="s">
        <v>5945</v>
      </c>
      <c r="D2242" s="2" t="str">
        <f t="shared" si="37"/>
        <v>người màu da sẫm vừa đang được cắt tóc</v>
      </c>
      <c r="E2242" s="3" t="str">
        <f t="shared" si="2"/>
        <v>person getting haircut medium-dark skin tone</v>
      </c>
    </row>
    <row r="2243" ht="15.75" customHeight="1">
      <c r="A2243" s="1" t="s">
        <v>5946</v>
      </c>
      <c r="B2243" s="1" t="s">
        <v>5947</v>
      </c>
      <c r="C2243" s="5" t="s">
        <v>5948</v>
      </c>
      <c r="D2243" s="2" t="str">
        <f t="shared" si="37"/>
        <v>người màu da sáng vừa đang được cắt tóc</v>
      </c>
      <c r="E2243" s="3" t="str">
        <f t="shared" si="2"/>
        <v>person getting haircut medium-light skin tone</v>
      </c>
    </row>
    <row r="2244" ht="15.75" customHeight="1">
      <c r="A2244" s="1" t="s">
        <v>5949</v>
      </c>
      <c r="B2244" s="1" t="s">
        <v>5950</v>
      </c>
      <c r="C2244" s="5" t="s">
        <v>5951</v>
      </c>
      <c r="D2244" s="2" t="str">
        <f t="shared" si="37"/>
        <v>người màu da thường đang được cắt tóc</v>
      </c>
      <c r="E2244" s="3" t="str">
        <f t="shared" si="2"/>
        <v>person getting haircut medium skin tone</v>
      </c>
    </row>
    <row r="2245" ht="15.75" customHeight="1">
      <c r="A2245" s="1" t="s">
        <v>5952</v>
      </c>
      <c r="B2245" s="1" t="s">
        <v>5953</v>
      </c>
      <c r="C2245" s="5" t="s">
        <v>5954</v>
      </c>
      <c r="D2245" s="2" t="str">
        <f t="shared" si="37"/>
        <v>người nhận được tin nhắn</v>
      </c>
      <c r="E2245" s="3" t="str">
        <f t="shared" si="2"/>
        <v>person getting massage</v>
      </c>
    </row>
    <row r="2246" ht="15.75" customHeight="1">
      <c r="A2246" s="1" t="s">
        <v>5955</v>
      </c>
      <c r="B2246" s="1" t="s">
        <v>5956</v>
      </c>
      <c r="C2246" s="5" t="s">
        <v>5957</v>
      </c>
      <c r="D2246" s="2" t="str">
        <f t="shared" si="37"/>
        <v>người màu da sẫm nhận được tin nhắn</v>
      </c>
      <c r="E2246" s="3" t="str">
        <f t="shared" si="2"/>
        <v>person getting massage dark skin tone</v>
      </c>
    </row>
    <row r="2247" ht="15.75" customHeight="1">
      <c r="A2247" s="1" t="s">
        <v>5958</v>
      </c>
      <c r="B2247" s="1" t="s">
        <v>5959</v>
      </c>
      <c r="C2247" s="5" t="s">
        <v>5960</v>
      </c>
      <c r="D2247" s="2" t="str">
        <f t="shared" si="37"/>
        <v>người màu da sáng nhận được tin nhắn</v>
      </c>
      <c r="E2247" s="3" t="str">
        <f t="shared" si="2"/>
        <v>person getting massage light skin tone</v>
      </c>
    </row>
    <row r="2248" ht="15.75" customHeight="1">
      <c r="A2248" s="1" t="s">
        <v>5961</v>
      </c>
      <c r="B2248" s="1" t="s">
        <v>5962</v>
      </c>
      <c r="C2248" s="5" t="s">
        <v>5963</v>
      </c>
      <c r="D2248" s="2" t="str">
        <f t="shared" si="37"/>
        <v>người màu da sẫm vừa nhận được tin nhắn</v>
      </c>
      <c r="E2248" s="3" t="str">
        <f t="shared" si="2"/>
        <v>person getting massage medium-dark skin tone</v>
      </c>
    </row>
    <row r="2249" ht="15.75" customHeight="1">
      <c r="A2249" s="1" t="s">
        <v>5964</v>
      </c>
      <c r="B2249" s="1" t="s">
        <v>5965</v>
      </c>
      <c r="C2249" s="5" t="s">
        <v>5966</v>
      </c>
      <c r="D2249" s="2" t="str">
        <f t="shared" si="37"/>
        <v>người màu da sáng vừa nhận được tin nhắn</v>
      </c>
      <c r="E2249" s="3" t="str">
        <f t="shared" si="2"/>
        <v>person getting massage medium-light skin tone</v>
      </c>
    </row>
    <row r="2250" ht="15.75" customHeight="1">
      <c r="A2250" s="1" t="s">
        <v>5967</v>
      </c>
      <c r="B2250" s="1" t="s">
        <v>5968</v>
      </c>
      <c r="C2250" s="5" t="s">
        <v>5969</v>
      </c>
      <c r="D2250" s="2" t="str">
        <f t="shared" si="37"/>
        <v>người màu da thường nhận được tin nhắn</v>
      </c>
      <c r="E2250" s="3" t="str">
        <f t="shared" si="2"/>
        <v>person getting massage medium skin tone</v>
      </c>
    </row>
    <row r="2251" ht="15.75" customHeight="1">
      <c r="A2251" s="1" t="s">
        <v>5970</v>
      </c>
      <c r="B2251" s="1" t="s">
        <v>5971</v>
      </c>
      <c r="C2251" s="5" t="s">
        <v>5972</v>
      </c>
      <c r="D2251" s="2" t="str">
        <f t="shared" si="37"/>
        <v>người chơi gôn</v>
      </c>
      <c r="E2251" s="3" t="str">
        <f t="shared" si="2"/>
        <v>person golfing</v>
      </c>
    </row>
    <row r="2252" ht="15.75" customHeight="1">
      <c r="A2252" s="1" t="s">
        <v>5973</v>
      </c>
      <c r="B2252" s="1" t="s">
        <v>5974</v>
      </c>
      <c r="C2252" s="5" t="s">
        <v>5975</v>
      </c>
      <c r="D2252" s="2" t="str">
        <f t="shared" si="37"/>
        <v>người màu da sẫm chơi gôn</v>
      </c>
      <c r="E2252" s="3" t="str">
        <f t="shared" si="2"/>
        <v>person golfing dark skin tone</v>
      </c>
    </row>
    <row r="2253" ht="15.75" customHeight="1">
      <c r="A2253" s="1" t="s">
        <v>5976</v>
      </c>
      <c r="B2253" s="1" t="s">
        <v>5977</v>
      </c>
      <c r="C2253" s="5" t="s">
        <v>5978</v>
      </c>
      <c r="D2253" s="2" t="str">
        <f t="shared" si="37"/>
        <v>người màu da sáng chơi gôn</v>
      </c>
      <c r="E2253" s="3" t="str">
        <f t="shared" si="2"/>
        <v>person golfing light skin tone</v>
      </c>
    </row>
    <row r="2254" ht="15.75" customHeight="1">
      <c r="A2254" s="1" t="s">
        <v>5979</v>
      </c>
      <c r="B2254" s="1" t="s">
        <v>5980</v>
      </c>
      <c r="C2254" s="5" t="s">
        <v>5981</v>
      </c>
      <c r="D2254" s="2" t="str">
        <f t="shared" si="37"/>
        <v>người màu da sẫm vừa chơi gôn</v>
      </c>
      <c r="E2254" s="3" t="str">
        <f t="shared" si="2"/>
        <v>person golfing medium-dark skin tone</v>
      </c>
    </row>
    <row r="2255" ht="15.75" customHeight="1">
      <c r="A2255" s="1" t="s">
        <v>5982</v>
      </c>
      <c r="B2255" s="1" t="s">
        <v>5983</v>
      </c>
      <c r="C2255" s="5" t="s">
        <v>5984</v>
      </c>
      <c r="D2255" s="2" t="str">
        <f t="shared" si="37"/>
        <v>người màu da sáng vừa chơi gôn</v>
      </c>
      <c r="E2255" s="3" t="str">
        <f t="shared" si="2"/>
        <v>person golfing medium-light skin tone</v>
      </c>
    </row>
    <row r="2256" ht="15.75" customHeight="1">
      <c r="A2256" s="1" t="s">
        <v>5985</v>
      </c>
      <c r="B2256" s="1" t="s">
        <v>5986</v>
      </c>
      <c r="C2256" s="5" t="s">
        <v>5987</v>
      </c>
      <c r="D2256" s="2" t="str">
        <f t="shared" si="37"/>
        <v>người màu da thường chơi gôn</v>
      </c>
      <c r="E2256" s="3" t="str">
        <f t="shared" si="2"/>
        <v>person golfing medium skin tone</v>
      </c>
    </row>
    <row r="2257" ht="15.75" customHeight="1">
      <c r="A2257" s="1" t="s">
        <v>5988</v>
      </c>
      <c r="B2257" s="1" t="s">
        <v>5989</v>
      </c>
      <c r="C2257" s="2" t="s">
        <v>5990</v>
      </c>
      <c r="D2257" s="2" t="str">
        <f t="shared" si="37"/>
        <v>người trên giường</v>
      </c>
      <c r="E2257" s="3" t="str">
        <f t="shared" si="2"/>
        <v>person in bed</v>
      </c>
    </row>
    <row r="2258" ht="15.75" customHeight="1">
      <c r="A2258" s="1" t="s">
        <v>5991</v>
      </c>
      <c r="B2258" s="1" t="s">
        <v>5992</v>
      </c>
      <c r="C2258" s="2" t="s">
        <v>5993</v>
      </c>
      <c r="D2258" s="2" t="str">
        <f t="shared" si="37"/>
        <v>người trên giường màu da sẫm</v>
      </c>
      <c r="E2258" s="3" t="str">
        <f t="shared" si="2"/>
        <v>person in bed dark skin tone</v>
      </c>
    </row>
    <row r="2259" ht="15.75" customHeight="1">
      <c r="A2259" s="1" t="s">
        <v>5994</v>
      </c>
      <c r="B2259" s="1" t="s">
        <v>5995</v>
      </c>
      <c r="C2259" s="2" t="s">
        <v>5996</v>
      </c>
      <c r="D2259" s="2" t="str">
        <f t="shared" si="37"/>
        <v>người trên giường màu da sáng</v>
      </c>
      <c r="E2259" s="3" t="str">
        <f t="shared" si="2"/>
        <v>person in bed light skin tone</v>
      </c>
    </row>
    <row r="2260" ht="15.75" customHeight="1">
      <c r="A2260" s="1" t="s">
        <v>5997</v>
      </c>
      <c r="B2260" s="1" t="s">
        <v>5998</v>
      </c>
      <c r="C2260" s="2" t="s">
        <v>5999</v>
      </c>
      <c r="D2260" s="2" t="str">
        <f t="shared" si="37"/>
        <v>người trên giường màu da sẫm vừa</v>
      </c>
      <c r="E2260" s="3" t="str">
        <f t="shared" si="2"/>
        <v>person in bed medium-dark skin tone</v>
      </c>
    </row>
    <row r="2261" ht="15.75" customHeight="1">
      <c r="A2261" s="1" t="s">
        <v>6000</v>
      </c>
      <c r="B2261" s="1" t="s">
        <v>6001</v>
      </c>
      <c r="C2261" s="2" t="s">
        <v>6002</v>
      </c>
      <c r="D2261" s="2" t="str">
        <f t="shared" si="37"/>
        <v>người trên giường màu da sáng vừa</v>
      </c>
      <c r="E2261" s="3" t="str">
        <f t="shared" si="2"/>
        <v>person in bed medium-light skin tone</v>
      </c>
    </row>
    <row r="2262" ht="15.75" customHeight="1">
      <c r="A2262" s="1" t="s">
        <v>6003</v>
      </c>
      <c r="B2262" s="1" t="s">
        <v>6004</v>
      </c>
      <c r="C2262" s="2" t="s">
        <v>6005</v>
      </c>
      <c r="D2262" s="2" t="str">
        <f t="shared" si="37"/>
        <v>người trên giường màu da thường</v>
      </c>
      <c r="E2262" s="3" t="str">
        <f t="shared" si="2"/>
        <v>person in bed medium skin tone</v>
      </c>
    </row>
    <row r="2263" ht="15.75" customHeight="1">
      <c r="A2263" s="1" t="s">
        <v>6006</v>
      </c>
      <c r="B2263" s="1" t="s">
        <v>6007</v>
      </c>
      <c r="C2263" s="5" t="s">
        <v>6008</v>
      </c>
      <c r="D2263" s="2" t="str">
        <f t="shared" si="37"/>
        <v>người đang ngồi thiền</v>
      </c>
      <c r="E2263" s="3" t="str">
        <f t="shared" si="2"/>
        <v>person in lotus position</v>
      </c>
    </row>
    <row r="2264" ht="15.75" customHeight="1">
      <c r="A2264" s="1" t="s">
        <v>6009</v>
      </c>
      <c r="B2264" s="1" t="s">
        <v>6010</v>
      </c>
      <c r="C2264" s="5" t="s">
        <v>6011</v>
      </c>
      <c r="D2264" s="2" t="str">
        <f t="shared" si="37"/>
        <v>người màu da sẫm đang ngồi thiền</v>
      </c>
      <c r="E2264" s="3" t="str">
        <f t="shared" si="2"/>
        <v>person in lotus position dark skin tone</v>
      </c>
    </row>
    <row r="2265" ht="15.75" customHeight="1">
      <c r="A2265" s="1" t="s">
        <v>6012</v>
      </c>
      <c r="B2265" s="1" t="s">
        <v>6013</v>
      </c>
      <c r="C2265" s="5" t="s">
        <v>6014</v>
      </c>
      <c r="D2265" s="2" t="str">
        <f t="shared" si="37"/>
        <v>người màu da sáng đang ngồi thiền</v>
      </c>
      <c r="E2265" s="3" t="str">
        <f t="shared" si="2"/>
        <v>person in lotus position light skin tone</v>
      </c>
    </row>
    <row r="2266" ht="15.75" customHeight="1">
      <c r="A2266" s="1" t="s">
        <v>6015</v>
      </c>
      <c r="B2266" s="1" t="s">
        <v>6016</v>
      </c>
      <c r="C2266" s="5" t="s">
        <v>6017</v>
      </c>
      <c r="D2266" s="2" t="str">
        <f t="shared" si="37"/>
        <v>người màu da sẫm vừa đang ngồi thiền</v>
      </c>
      <c r="E2266" s="3" t="str">
        <f t="shared" si="2"/>
        <v>person in lotus position medium-dark skin tone</v>
      </c>
    </row>
    <row r="2267" ht="15.75" customHeight="1">
      <c r="A2267" s="1" t="s">
        <v>6018</v>
      </c>
      <c r="B2267" s="1" t="s">
        <v>6019</v>
      </c>
      <c r="C2267" s="5" t="s">
        <v>6020</v>
      </c>
      <c r="D2267" s="2" t="str">
        <f t="shared" si="37"/>
        <v>người màu da sáng vừa đang ngồi thiền</v>
      </c>
      <c r="E2267" s="3" t="str">
        <f t="shared" si="2"/>
        <v>person in lotus position medium-light skin tone</v>
      </c>
    </row>
    <row r="2268" ht="15.75" customHeight="1">
      <c r="A2268" s="1" t="s">
        <v>6021</v>
      </c>
      <c r="B2268" s="1" t="s">
        <v>6022</v>
      </c>
      <c r="C2268" s="5" t="s">
        <v>6023</v>
      </c>
      <c r="D2268" s="2" t="str">
        <f t="shared" si="37"/>
        <v>người màu da thường đang ngồi thiền</v>
      </c>
      <c r="E2268" s="3" t="str">
        <f t="shared" si="2"/>
        <v>person in lotus position medium skin tone</v>
      </c>
    </row>
    <row r="2269" ht="15.75" customHeight="1">
      <c r="A2269" s="1" t="s">
        <v>6024</v>
      </c>
      <c r="B2269" s="1" t="s">
        <v>6025</v>
      </c>
      <c r="C2269" s="5" t="s">
        <v>6026</v>
      </c>
      <c r="D2269" s="2" t="str">
        <f t="shared" si="37"/>
        <v>người lăn xe lăn bằng tay</v>
      </c>
      <c r="E2269" s="3" t="str">
        <f t="shared" si="2"/>
        <v>person in manual wheelchair</v>
      </c>
    </row>
    <row r="2270" ht="15.75" customHeight="1">
      <c r="A2270" s="1" t="s">
        <v>6027</v>
      </c>
      <c r="B2270" s="1" t="s">
        <v>6028</v>
      </c>
      <c r="C2270" s="5" t="s">
        <v>6029</v>
      </c>
      <c r="D2270" s="2" t="str">
        <f t="shared" si="37"/>
        <v>người màu da sẫm lăn xe lăn bằng tay</v>
      </c>
      <c r="E2270" s="3" t="str">
        <f t="shared" si="2"/>
        <v>person in manual wheelchair dark skin tone</v>
      </c>
    </row>
    <row r="2271" ht="15.75" customHeight="1">
      <c r="A2271" s="1" t="s">
        <v>6030</v>
      </c>
      <c r="B2271" s="1" t="s">
        <v>6031</v>
      </c>
      <c r="C2271" s="5" t="s">
        <v>6032</v>
      </c>
      <c r="D2271" s="2" t="str">
        <f t="shared" si="37"/>
        <v>người màu da sáng lăn xe lăn bằng tay</v>
      </c>
      <c r="E2271" s="3" t="str">
        <f t="shared" si="2"/>
        <v>person in manual wheelchair light skin tone</v>
      </c>
    </row>
    <row r="2272" ht="15.75" customHeight="1">
      <c r="A2272" s="1" t="s">
        <v>6033</v>
      </c>
      <c r="B2272" s="1" t="s">
        <v>6034</v>
      </c>
      <c r="C2272" s="5" t="s">
        <v>6035</v>
      </c>
      <c r="D2272" s="2" t="str">
        <f t="shared" si="37"/>
        <v>người màu da sẫm vừa lăn xe lăn bằng tay</v>
      </c>
      <c r="E2272" s="3" t="str">
        <f t="shared" si="2"/>
        <v>person in manual wheelchair medium-dark skin tone</v>
      </c>
    </row>
    <row r="2273" ht="15.75" customHeight="1">
      <c r="A2273" s="1" t="s">
        <v>6036</v>
      </c>
      <c r="B2273" s="1" t="s">
        <v>6037</v>
      </c>
      <c r="C2273" s="5" t="s">
        <v>6038</v>
      </c>
      <c r="D2273" s="2" t="str">
        <f t="shared" si="37"/>
        <v>người màu da sáng vừa lăn xe lăn bằng tay</v>
      </c>
      <c r="E2273" s="3" t="str">
        <f t="shared" si="2"/>
        <v>person in manual wheelchair medium-light skin tone</v>
      </c>
    </row>
    <row r="2274" ht="15.75" customHeight="1">
      <c r="A2274" s="1" t="s">
        <v>6039</v>
      </c>
      <c r="B2274" s="1" t="s">
        <v>6040</v>
      </c>
      <c r="C2274" s="5" t="s">
        <v>6041</v>
      </c>
      <c r="D2274" s="2" t="str">
        <f t="shared" si="37"/>
        <v>người màu da thường lăn xe lăn bằng tay</v>
      </c>
      <c r="E2274" s="3" t="str">
        <f t="shared" si="2"/>
        <v>person in manual wheelchair medium skin tone</v>
      </c>
    </row>
    <row r="2275" ht="15.75" customHeight="1">
      <c r="A2275" s="1" t="s">
        <v>6042</v>
      </c>
      <c r="B2275" s="1" t="s">
        <v>6043</v>
      </c>
      <c r="C2275" s="5" t="s">
        <v>6044</v>
      </c>
      <c r="D2275" s="2" t="str">
        <f t="shared" si="37"/>
        <v>người trên xe lăn có động cơ</v>
      </c>
      <c r="E2275" s="3" t="str">
        <f t="shared" si="2"/>
        <v>person in motorized wheelchair</v>
      </c>
    </row>
    <row r="2276" ht="15.75" customHeight="1">
      <c r="A2276" s="1" t="s">
        <v>6045</v>
      </c>
      <c r="B2276" s="1" t="s">
        <v>6046</v>
      </c>
      <c r="C2276" s="5" t="s">
        <v>6047</v>
      </c>
      <c r="D2276" s="2" t="str">
        <f t="shared" si="37"/>
        <v>người trên xe lăn có động cơ màu da sẫm</v>
      </c>
      <c r="E2276" s="3" t="str">
        <f t="shared" si="2"/>
        <v>person in motorized wheelchair dark skin tone</v>
      </c>
    </row>
    <row r="2277" ht="15.75" customHeight="1">
      <c r="A2277" s="1" t="s">
        <v>6048</v>
      </c>
      <c r="B2277" s="1" t="s">
        <v>6049</v>
      </c>
      <c r="C2277" s="5" t="s">
        <v>6050</v>
      </c>
      <c r="D2277" s="2" t="str">
        <f t="shared" si="37"/>
        <v>người trên xe lăn có động cơ màu da sáng</v>
      </c>
      <c r="E2277" s="3" t="str">
        <f t="shared" si="2"/>
        <v>person in motorized wheelchair light skin tone</v>
      </c>
    </row>
    <row r="2278" ht="15.75" customHeight="1">
      <c r="A2278" s="1" t="s">
        <v>6051</v>
      </c>
      <c r="B2278" s="1" t="s">
        <v>6052</v>
      </c>
      <c r="C2278" s="5" t="s">
        <v>6053</v>
      </c>
      <c r="D2278" s="2" t="str">
        <f t="shared" si="37"/>
        <v>người trên xe lăn có động cơ màu da sẫm vừa</v>
      </c>
      <c r="E2278" s="3" t="str">
        <f t="shared" si="2"/>
        <v>person in motorized wheelchair medium-dark skin tone</v>
      </c>
    </row>
    <row r="2279" ht="15.75" customHeight="1">
      <c r="A2279" s="1" t="s">
        <v>6054</v>
      </c>
      <c r="B2279" s="1" t="s">
        <v>6055</v>
      </c>
      <c r="C2279" s="5" t="s">
        <v>6056</v>
      </c>
      <c r="D2279" s="2" t="str">
        <f t="shared" si="37"/>
        <v>người trên xe lăn có động cơ màu da sáng vừa</v>
      </c>
      <c r="E2279" s="3" t="str">
        <f t="shared" si="2"/>
        <v>person in motorized wheelchair medium-light skin tone</v>
      </c>
    </row>
    <row r="2280" ht="15.75" customHeight="1">
      <c r="A2280" s="1" t="s">
        <v>6057</v>
      </c>
      <c r="B2280" s="1" t="s">
        <v>6058</v>
      </c>
      <c r="C2280" s="5" t="s">
        <v>6059</v>
      </c>
      <c r="D2280" s="2" t="str">
        <f t="shared" si="37"/>
        <v>người trên xe lăn có động cơ màu da thường</v>
      </c>
      <c r="E2280" s="3" t="str">
        <f t="shared" si="2"/>
        <v>person in motorized wheelchair medium skin tone</v>
      </c>
    </row>
    <row r="2281" ht="15.75" customHeight="1">
      <c r="A2281" s="1" t="s">
        <v>6060</v>
      </c>
      <c r="B2281" s="1" t="s">
        <v>6061</v>
      </c>
      <c r="C2281" s="5" t="s">
        <v>6062</v>
      </c>
      <c r="D2281" s="2" t="str">
        <f t="shared" si="37"/>
        <v>người trong phòng xông hơi</v>
      </c>
      <c r="E2281" s="3" t="str">
        <f t="shared" si="2"/>
        <v>person in steamy room</v>
      </c>
    </row>
    <row r="2282" ht="15.75" customHeight="1">
      <c r="A2282" s="1" t="s">
        <v>6063</v>
      </c>
      <c r="B2282" s="1" t="s">
        <v>6064</v>
      </c>
      <c r="C2282" s="5" t="s">
        <v>6065</v>
      </c>
      <c r="D2282" s="2" t="str">
        <f t="shared" si="37"/>
        <v>người màu da sẫm trong phòng xông hơi</v>
      </c>
      <c r="E2282" s="3" t="str">
        <f t="shared" si="2"/>
        <v>person in steamy room dark skin tone</v>
      </c>
    </row>
    <row r="2283" ht="15.75" customHeight="1">
      <c r="A2283" s="1" t="s">
        <v>6066</v>
      </c>
      <c r="B2283" s="1" t="s">
        <v>6067</v>
      </c>
      <c r="C2283" s="5" t="s">
        <v>6068</v>
      </c>
      <c r="D2283" s="2" t="str">
        <f t="shared" si="37"/>
        <v>người màu da sáng trong phòng xông hơi</v>
      </c>
      <c r="E2283" s="3" t="str">
        <f t="shared" si="2"/>
        <v>person in steamy room light skin tone</v>
      </c>
    </row>
    <row r="2284" ht="15.75" customHeight="1">
      <c r="A2284" s="1" t="s">
        <v>6069</v>
      </c>
      <c r="B2284" s="1" t="s">
        <v>6070</v>
      </c>
      <c r="C2284" s="5" t="s">
        <v>6071</v>
      </c>
      <c r="D2284" s="2" t="str">
        <f t="shared" si="37"/>
        <v>người màu da sẫm vừa trong phòng xông hơi</v>
      </c>
      <c r="E2284" s="3" t="str">
        <f t="shared" si="2"/>
        <v>person in steamy room medium-dark skin tone</v>
      </c>
    </row>
    <row r="2285" ht="15.75" customHeight="1">
      <c r="A2285" s="1" t="s">
        <v>6072</v>
      </c>
      <c r="B2285" s="1" t="s">
        <v>6073</v>
      </c>
      <c r="C2285" s="5" t="s">
        <v>6074</v>
      </c>
      <c r="D2285" s="2" t="str">
        <f t="shared" si="37"/>
        <v>người màu da sáng vừa trong phòng xông hơi</v>
      </c>
      <c r="E2285" s="3" t="str">
        <f t="shared" si="2"/>
        <v>person in steamy room medium-light skin tone</v>
      </c>
    </row>
    <row r="2286" ht="15.75" customHeight="1">
      <c r="A2286" s="1" t="s">
        <v>6075</v>
      </c>
      <c r="B2286" s="1" t="s">
        <v>6076</v>
      </c>
      <c r="C2286" s="5" t="s">
        <v>6077</v>
      </c>
      <c r="D2286" s="2" t="str">
        <f t="shared" si="37"/>
        <v>người màu da thường trong phòng xông hơi</v>
      </c>
      <c r="E2286" s="3" t="str">
        <f t="shared" si="2"/>
        <v>person in steamy room medium skin tone</v>
      </c>
    </row>
    <row r="2287" ht="15.75" customHeight="1">
      <c r="A2287" s="1" t="s">
        <v>6078</v>
      </c>
      <c r="B2287" s="1" t="s">
        <v>6079</v>
      </c>
      <c r="C2287" s="2" t="s">
        <v>6080</v>
      </c>
      <c r="D2287" s="2" t="str">
        <f t="shared" si="37"/>
        <v>người mang com lê bay lên</v>
      </c>
      <c r="E2287" s="3" t="str">
        <f t="shared" si="2"/>
        <v>person in suit levitating</v>
      </c>
    </row>
    <row r="2288" ht="15.75" customHeight="1">
      <c r="A2288" s="1" t="s">
        <v>6081</v>
      </c>
      <c r="B2288" s="1" t="s">
        <v>6082</v>
      </c>
      <c r="C2288" s="2" t="s">
        <v>6083</v>
      </c>
      <c r="D2288" s="2" t="str">
        <f t="shared" si="37"/>
        <v>người mang com lê bay lên màu da sẫm</v>
      </c>
      <c r="E2288" s="3" t="str">
        <f t="shared" si="2"/>
        <v>person in suit levitating dark skin tone</v>
      </c>
    </row>
    <row r="2289" ht="15.75" customHeight="1">
      <c r="A2289" s="1" t="s">
        <v>6084</v>
      </c>
      <c r="B2289" s="1" t="s">
        <v>6085</v>
      </c>
      <c r="C2289" s="2" t="s">
        <v>6086</v>
      </c>
      <c r="D2289" s="2" t="str">
        <f t="shared" si="37"/>
        <v>người mang com lê bay lên màu da sáng</v>
      </c>
      <c r="E2289" s="3" t="str">
        <f t="shared" si="2"/>
        <v>person in suit levitating light skin tone</v>
      </c>
    </row>
    <row r="2290" ht="15.75" customHeight="1">
      <c r="A2290" s="1" t="s">
        <v>6087</v>
      </c>
      <c r="B2290" s="1" t="s">
        <v>6088</v>
      </c>
      <c r="C2290" s="2" t="s">
        <v>6089</v>
      </c>
      <c r="D2290" s="2" t="str">
        <f t="shared" si="37"/>
        <v>người mang com lê bay lên màu da sẫm vừa</v>
      </c>
      <c r="E2290" s="3" t="str">
        <f t="shared" si="2"/>
        <v>person in suit levitating medium-dark skin tone</v>
      </c>
    </row>
    <row r="2291" ht="15.75" customHeight="1">
      <c r="A2291" s="1" t="s">
        <v>6090</v>
      </c>
      <c r="B2291" s="1" t="s">
        <v>6091</v>
      </c>
      <c r="C2291" s="2" t="s">
        <v>6092</v>
      </c>
      <c r="D2291" s="2" t="str">
        <f t="shared" si="37"/>
        <v>người mang com lê bay lên màu da sáng vừa</v>
      </c>
      <c r="E2291" s="3" t="str">
        <f t="shared" si="2"/>
        <v>person in suit levitating medium-light skin tone</v>
      </c>
    </row>
    <row r="2292" ht="15.75" customHeight="1">
      <c r="A2292" s="1" t="s">
        <v>6093</v>
      </c>
      <c r="B2292" s="1" t="s">
        <v>6094</v>
      </c>
      <c r="C2292" s="2" t="s">
        <v>6095</v>
      </c>
      <c r="D2292" s="2" t="str">
        <f t="shared" si="37"/>
        <v>người mang com lê bay lên màu da thường</v>
      </c>
      <c r="E2292" s="3" t="str">
        <f t="shared" si="2"/>
        <v>person in suit levitating medium skin tone</v>
      </c>
    </row>
    <row r="2293" ht="15.75" customHeight="1">
      <c r="A2293" s="1" t="s">
        <v>6096</v>
      </c>
      <c r="B2293" s="1" t="s">
        <v>6097</v>
      </c>
      <c r="C2293" s="5" t="s">
        <v>6098</v>
      </c>
      <c r="D2293" s="2" t="str">
        <f t="shared" si="37"/>
        <v>người mang áo đuôi tôm</v>
      </c>
      <c r="E2293" s="3" t="str">
        <f t="shared" si="2"/>
        <v>person in tuxedo</v>
      </c>
    </row>
    <row r="2294" ht="15.75" customHeight="1">
      <c r="A2294" s="1" t="s">
        <v>6099</v>
      </c>
      <c r="B2294" s="1" t="s">
        <v>6100</v>
      </c>
      <c r="C2294" s="5" t="s">
        <v>6101</v>
      </c>
      <c r="D2294" s="2" t="str">
        <f t="shared" si="37"/>
        <v>người màu da sẫm mang áo đuôi tôm</v>
      </c>
      <c r="E2294" s="3" t="str">
        <f t="shared" si="2"/>
        <v>person in tuxedo dark skin tone</v>
      </c>
    </row>
    <row r="2295" ht="15.75" customHeight="1">
      <c r="A2295" s="1" t="s">
        <v>6102</v>
      </c>
      <c r="B2295" s="1" t="s">
        <v>6103</v>
      </c>
      <c r="C2295" s="5" t="s">
        <v>6104</v>
      </c>
      <c r="D2295" s="2" t="str">
        <f t="shared" si="37"/>
        <v>người màu da sáng mang áo đuôi tôm</v>
      </c>
      <c r="E2295" s="3" t="str">
        <f t="shared" si="2"/>
        <v>person in tuxedo light skin tone</v>
      </c>
    </row>
    <row r="2296" ht="15.75" customHeight="1">
      <c r="A2296" s="1" t="s">
        <v>6105</v>
      </c>
      <c r="B2296" s="1" t="s">
        <v>6106</v>
      </c>
      <c r="C2296" s="5" t="s">
        <v>6107</v>
      </c>
      <c r="D2296" s="2" t="str">
        <f t="shared" si="37"/>
        <v>người màu da sẫm vừa mang áo đuôi tôm</v>
      </c>
      <c r="E2296" s="3" t="str">
        <f t="shared" si="2"/>
        <v>person in tuxedo medium-dark skin tone</v>
      </c>
    </row>
    <row r="2297" ht="15.75" customHeight="1">
      <c r="A2297" s="1" t="s">
        <v>6108</v>
      </c>
      <c r="B2297" s="1" t="s">
        <v>6109</v>
      </c>
      <c r="C2297" s="5" t="s">
        <v>6110</v>
      </c>
      <c r="D2297" s="2" t="str">
        <f t="shared" si="37"/>
        <v>người màu da sáng vừa mang áo đuôi tôm</v>
      </c>
      <c r="E2297" s="3" t="str">
        <f t="shared" si="2"/>
        <v>person in tuxedo medium-light skin tone</v>
      </c>
    </row>
    <row r="2298" ht="15.75" customHeight="1">
      <c r="A2298" s="1" t="s">
        <v>6111</v>
      </c>
      <c r="B2298" s="1" t="s">
        <v>6112</v>
      </c>
      <c r="C2298" s="5" t="s">
        <v>6113</v>
      </c>
      <c r="D2298" s="2" t="str">
        <f t="shared" si="37"/>
        <v>người màu da thường mang áo đuôi tôm</v>
      </c>
      <c r="E2298" s="3" t="str">
        <f t="shared" si="2"/>
        <v>person in tuxedo medium skin tone</v>
      </c>
    </row>
    <row r="2299" ht="15.75" customHeight="1">
      <c r="A2299" s="1" t="s">
        <v>6114</v>
      </c>
      <c r="B2299" s="1" t="s">
        <v>6115</v>
      </c>
      <c r="C2299" s="5" t="s">
        <v>6116</v>
      </c>
      <c r="D2299" s="2" t="str">
        <f t="shared" si="37"/>
        <v>người tung hứng</v>
      </c>
      <c r="E2299" s="3" t="str">
        <f t="shared" si="2"/>
        <v>person juggling</v>
      </c>
    </row>
    <row r="2300" ht="15.75" customHeight="1">
      <c r="A2300" s="1" t="s">
        <v>6117</v>
      </c>
      <c r="B2300" s="1" t="s">
        <v>6118</v>
      </c>
      <c r="C2300" s="5" t="s">
        <v>6119</v>
      </c>
      <c r="D2300" s="2" t="str">
        <f t="shared" si="37"/>
        <v>người màu da sẫm tung hứng</v>
      </c>
      <c r="E2300" s="3" t="str">
        <f t="shared" si="2"/>
        <v>person juggling dark skin tone</v>
      </c>
    </row>
    <row r="2301" ht="15.75" customHeight="1">
      <c r="A2301" s="1" t="s">
        <v>6120</v>
      </c>
      <c r="B2301" s="1" t="s">
        <v>6121</v>
      </c>
      <c r="C2301" s="5" t="s">
        <v>6122</v>
      </c>
      <c r="D2301" s="2" t="str">
        <f t="shared" si="37"/>
        <v>người màu da sáng tung hứng</v>
      </c>
      <c r="E2301" s="3" t="str">
        <f t="shared" si="2"/>
        <v>person juggling light skin tone</v>
      </c>
    </row>
    <row r="2302" ht="15.75" customHeight="1">
      <c r="A2302" s="1" t="s">
        <v>6123</v>
      </c>
      <c r="B2302" s="1" t="s">
        <v>6124</v>
      </c>
      <c r="C2302" s="5" t="s">
        <v>6125</v>
      </c>
      <c r="D2302" s="2" t="str">
        <f t="shared" si="37"/>
        <v>người màu da sẫm vừa tung hứng</v>
      </c>
      <c r="E2302" s="3" t="str">
        <f t="shared" si="2"/>
        <v>person juggling medium-dark skin tone</v>
      </c>
    </row>
    <row r="2303" ht="15.75" customHeight="1">
      <c r="A2303" s="1" t="s">
        <v>6126</v>
      </c>
      <c r="B2303" s="1" t="s">
        <v>6127</v>
      </c>
      <c r="C2303" s="5" t="s">
        <v>6128</v>
      </c>
      <c r="D2303" s="2" t="str">
        <f t="shared" si="37"/>
        <v>người màu da sáng vừa tung hứng</v>
      </c>
      <c r="E2303" s="3" t="str">
        <f t="shared" si="2"/>
        <v>person juggling medium-light skin tone</v>
      </c>
    </row>
    <row r="2304" ht="15.75" customHeight="1">
      <c r="A2304" s="1" t="s">
        <v>6129</v>
      </c>
      <c r="B2304" s="1" t="s">
        <v>6130</v>
      </c>
      <c r="C2304" s="5" t="s">
        <v>6131</v>
      </c>
      <c r="D2304" s="2" t="str">
        <f t="shared" si="37"/>
        <v>người màu da thường tung hứng</v>
      </c>
      <c r="E2304" s="3" t="str">
        <f t="shared" si="2"/>
        <v>person juggling medium skin tone</v>
      </c>
    </row>
    <row r="2305" ht="15.75" customHeight="1">
      <c r="A2305" s="1" t="s">
        <v>6132</v>
      </c>
      <c r="B2305" s="1" t="s">
        <v>6133</v>
      </c>
      <c r="C2305" s="5" t="s">
        <v>6134</v>
      </c>
      <c r="D2305" s="2" t="str">
        <f t="shared" si="37"/>
        <v>người đang quỳ</v>
      </c>
      <c r="E2305" s="3" t="str">
        <f t="shared" si="2"/>
        <v>person kneeling</v>
      </c>
    </row>
    <row r="2306" ht="15.75" customHeight="1">
      <c r="A2306" s="1" t="s">
        <v>6135</v>
      </c>
      <c r="B2306" s="1" t="s">
        <v>6136</v>
      </c>
      <c r="C2306" s="5" t="s">
        <v>6137</v>
      </c>
      <c r="D2306" s="2" t="str">
        <f t="shared" si="37"/>
        <v>người màu da sẫm đang quỳ</v>
      </c>
      <c r="E2306" s="3" t="str">
        <f t="shared" si="2"/>
        <v>person kneeling dark skin tone</v>
      </c>
    </row>
    <row r="2307" ht="15.75" customHeight="1">
      <c r="A2307" s="1" t="s">
        <v>6138</v>
      </c>
      <c r="B2307" s="1" t="s">
        <v>6139</v>
      </c>
      <c r="C2307" s="5" t="s">
        <v>6140</v>
      </c>
      <c r="D2307" s="2" t="str">
        <f t="shared" si="37"/>
        <v>người màu da sáng đang quỳ</v>
      </c>
      <c r="E2307" s="3" t="str">
        <f t="shared" si="2"/>
        <v>person kneeling light skin tone</v>
      </c>
    </row>
    <row r="2308" ht="15.75" customHeight="1">
      <c r="A2308" s="1" t="s">
        <v>6141</v>
      </c>
      <c r="B2308" s="1" t="s">
        <v>6142</v>
      </c>
      <c r="C2308" s="5" t="s">
        <v>6143</v>
      </c>
      <c r="D2308" s="2" t="str">
        <f t="shared" si="37"/>
        <v>người màu da sẫm vừa đang quỳ</v>
      </c>
      <c r="E2308" s="3" t="str">
        <f t="shared" si="2"/>
        <v>person kneeling medium-dark skin tone</v>
      </c>
    </row>
    <row r="2309" ht="15.75" customHeight="1">
      <c r="A2309" s="1" t="s">
        <v>6144</v>
      </c>
      <c r="B2309" s="1" t="s">
        <v>6145</v>
      </c>
      <c r="C2309" s="5" t="s">
        <v>6146</v>
      </c>
      <c r="D2309" s="2" t="str">
        <f t="shared" si="37"/>
        <v>người màu da sáng vừa đang quỳ</v>
      </c>
      <c r="E2309" s="3" t="str">
        <f t="shared" si="2"/>
        <v>person kneeling medium-light skin tone</v>
      </c>
    </row>
    <row r="2310" ht="15.75" customHeight="1">
      <c r="A2310" s="1" t="s">
        <v>6147</v>
      </c>
      <c r="B2310" s="1" t="s">
        <v>6148</v>
      </c>
      <c r="C2310" s="5" t="s">
        <v>6149</v>
      </c>
      <c r="D2310" s="2" t="str">
        <f t="shared" si="37"/>
        <v>người màu da thường đang quỳ</v>
      </c>
      <c r="E2310" s="3" t="str">
        <f t="shared" si="2"/>
        <v>person kneeling medium skin tone</v>
      </c>
    </row>
    <row r="2311" ht="15.75" customHeight="1">
      <c r="A2311" s="1" t="s">
        <v>6150</v>
      </c>
      <c r="B2311" s="1" t="s">
        <v>6151</v>
      </c>
      <c r="C2311" s="5" t="s">
        <v>6152</v>
      </c>
      <c r="D2311" s="2" t="str">
        <f t="shared" si="37"/>
        <v>người nâng tạ</v>
      </c>
      <c r="E2311" s="3" t="str">
        <f t="shared" si="2"/>
        <v>person lifting weights</v>
      </c>
    </row>
    <row r="2312" ht="15.75" customHeight="1">
      <c r="A2312" s="1" t="s">
        <v>6153</v>
      </c>
      <c r="B2312" s="1" t="s">
        <v>6154</v>
      </c>
      <c r="C2312" s="5" t="s">
        <v>6155</v>
      </c>
      <c r="D2312" s="2" t="str">
        <f t="shared" si="37"/>
        <v>người màu da sẫm nâng tạ</v>
      </c>
      <c r="E2312" s="3" t="str">
        <f t="shared" si="2"/>
        <v>person lifting weights dark skin tone</v>
      </c>
    </row>
    <row r="2313" ht="15.75" customHeight="1">
      <c r="A2313" s="1" t="s">
        <v>6156</v>
      </c>
      <c r="B2313" s="1" t="s">
        <v>6157</v>
      </c>
      <c r="C2313" s="5" t="s">
        <v>6158</v>
      </c>
      <c r="D2313" s="2" t="str">
        <f t="shared" si="37"/>
        <v>người màu da sáng nâng tạ</v>
      </c>
      <c r="E2313" s="3" t="str">
        <f t="shared" si="2"/>
        <v>person lifting weights light skin tone</v>
      </c>
    </row>
    <row r="2314" ht="15.75" customHeight="1">
      <c r="A2314" s="1" t="s">
        <v>6159</v>
      </c>
      <c r="B2314" s="1" t="s">
        <v>6160</v>
      </c>
      <c r="C2314" s="5" t="s">
        <v>6161</v>
      </c>
      <c r="D2314" s="2" t="str">
        <f t="shared" si="37"/>
        <v>người màu da sẫm vừa nâng tạ</v>
      </c>
      <c r="E2314" s="3" t="str">
        <f t="shared" si="2"/>
        <v>person lifting weights medium-dark skin tone</v>
      </c>
    </row>
    <row r="2315" ht="15.75" customHeight="1">
      <c r="A2315" s="1" t="s">
        <v>6162</v>
      </c>
      <c r="B2315" s="1" t="s">
        <v>6163</v>
      </c>
      <c r="C2315" s="5" t="s">
        <v>6164</v>
      </c>
      <c r="D2315" s="2" t="str">
        <f t="shared" si="37"/>
        <v>người màu da sáng vừa nâng tạ</v>
      </c>
      <c r="E2315" s="3" t="str">
        <f t="shared" si="2"/>
        <v>person lifting weights medium-light skin tone</v>
      </c>
    </row>
    <row r="2316" ht="15.75" customHeight="1">
      <c r="A2316" s="1" t="s">
        <v>6165</v>
      </c>
      <c r="B2316" s="1" t="s">
        <v>6166</v>
      </c>
      <c r="C2316" s="5" t="s">
        <v>6167</v>
      </c>
      <c r="D2316" s="2" t="str">
        <f t="shared" si="37"/>
        <v>người màu da thường nâng tạ</v>
      </c>
      <c r="E2316" s="3" t="str">
        <f t="shared" si="2"/>
        <v>person lifting weights medium skin tone</v>
      </c>
    </row>
    <row r="2317" ht="15.75" customHeight="1">
      <c r="A2317" s="1" t="s">
        <v>6168</v>
      </c>
      <c r="B2317" s="1" t="s">
        <v>6169</v>
      </c>
      <c r="C2317" s="2" t="s">
        <v>6170</v>
      </c>
      <c r="D2317" s="2" t="str">
        <f t="shared" si="37"/>
        <v>người da sáng</v>
      </c>
      <c r="E2317" s="3" t="str">
        <f t="shared" si="2"/>
        <v>person light skin tone</v>
      </c>
    </row>
    <row r="2318" ht="15.75" customHeight="1">
      <c r="A2318" s="1" t="s">
        <v>6171</v>
      </c>
      <c r="B2318" s="1" t="s">
        <v>6172</v>
      </c>
      <c r="C2318" s="2" t="s">
        <v>6173</v>
      </c>
      <c r="D2318" s="2" t="str">
        <f t="shared" si="37"/>
        <v>người hói da sáng</v>
      </c>
      <c r="E2318" s="3" t="str">
        <f t="shared" si="2"/>
        <v>person light skin tone bald</v>
      </c>
    </row>
    <row r="2319" ht="15.75" customHeight="1">
      <c r="A2319" s="1" t="s">
        <v>6174</v>
      </c>
      <c r="B2319" s="1" t="s">
        <v>6175</v>
      </c>
      <c r="C2319" s="2" t="s">
        <v>6176</v>
      </c>
      <c r="D2319" s="2" t="str">
        <f t="shared" si="37"/>
        <v>người có râu da sáng</v>
      </c>
      <c r="E2319" s="3" t="str">
        <f t="shared" si="2"/>
        <v>person light skin tone beard</v>
      </c>
    </row>
    <row r="2320" ht="15.75" customHeight="1">
      <c r="A2320" s="1" t="s">
        <v>6177</v>
      </c>
      <c r="B2320" s="1" t="s">
        <v>6178</v>
      </c>
      <c r="C2320" s="2" t="s">
        <v>6179</v>
      </c>
      <c r="D2320" s="2" t="str">
        <f t="shared" si="37"/>
        <v>người tóc vàng da sáng</v>
      </c>
      <c r="E2320" s="3" t="str">
        <f t="shared" si="2"/>
        <v>person light skin tone blond hair</v>
      </c>
    </row>
    <row r="2321" ht="15.75" customHeight="1">
      <c r="A2321" s="1" t="s">
        <v>6180</v>
      </c>
      <c r="B2321" s="1" t="s">
        <v>6181</v>
      </c>
      <c r="C2321" s="2" t="s">
        <v>6182</v>
      </c>
      <c r="D2321" s="2" t="str">
        <f t="shared" si="37"/>
        <v>người tóc xoăn da sáng</v>
      </c>
      <c r="E2321" s="3" t="str">
        <f t="shared" si="2"/>
        <v>person light skin tone curly hair</v>
      </c>
    </row>
    <row r="2322" ht="15.75" customHeight="1">
      <c r="A2322" s="1" t="s">
        <v>6183</v>
      </c>
      <c r="B2322" s="1" t="s">
        <v>6184</v>
      </c>
      <c r="C2322" s="2" t="s">
        <v>6185</v>
      </c>
      <c r="D2322" s="2" t="str">
        <f t="shared" si="37"/>
        <v>người tóc đỏ da sáng</v>
      </c>
      <c r="E2322" s="3" t="str">
        <f t="shared" si="2"/>
        <v>person light skin tone red hair</v>
      </c>
    </row>
    <row r="2323" ht="15.75" customHeight="1">
      <c r="A2323" s="1" t="s">
        <v>6186</v>
      </c>
      <c r="B2323" s="1" t="s">
        <v>6187</v>
      </c>
      <c r="C2323" s="2" t="s">
        <v>6188</v>
      </c>
      <c r="D2323" s="2" t="str">
        <f t="shared" si="37"/>
        <v>người tóc trắng da sáng</v>
      </c>
      <c r="E2323" s="3" t="str">
        <f t="shared" si="2"/>
        <v>person light skin tone white hair</v>
      </c>
    </row>
    <row r="2324" ht="15.75" customHeight="1">
      <c r="A2324" s="1" t="s">
        <v>6189</v>
      </c>
      <c r="B2324" s="1" t="s">
        <v>6190</v>
      </c>
      <c r="C2324" s="2" t="s">
        <v>6191</v>
      </c>
      <c r="D2324" s="2" t="str">
        <f t="shared" si="37"/>
        <v>người da sẫm vừa</v>
      </c>
      <c r="E2324" s="3" t="str">
        <f t="shared" si="2"/>
        <v>person medium-dark skin tone</v>
      </c>
    </row>
    <row r="2325" ht="15.75" customHeight="1">
      <c r="A2325" s="1" t="s">
        <v>6192</v>
      </c>
      <c r="B2325" s="1" t="s">
        <v>6193</v>
      </c>
      <c r="C2325" s="2" t="s">
        <v>6194</v>
      </c>
      <c r="D2325" s="2" t="str">
        <f t="shared" si="37"/>
        <v>người hói da sẫm vừa</v>
      </c>
      <c r="E2325" s="3" t="str">
        <f t="shared" si="2"/>
        <v>person medium-dark skin tone bald</v>
      </c>
    </row>
    <row r="2326" ht="15.75" customHeight="1">
      <c r="A2326" s="1" t="s">
        <v>6195</v>
      </c>
      <c r="B2326" s="1" t="s">
        <v>6196</v>
      </c>
      <c r="C2326" s="2" t="s">
        <v>6197</v>
      </c>
      <c r="D2326" s="2" t="str">
        <f t="shared" si="37"/>
        <v>người có râu da sẫm vừa</v>
      </c>
      <c r="E2326" s="3" t="str">
        <f t="shared" si="2"/>
        <v>person medium-dark skin tone beard</v>
      </c>
    </row>
    <row r="2327" ht="15.75" customHeight="1">
      <c r="A2327" s="1" t="s">
        <v>6198</v>
      </c>
      <c r="B2327" s="1" t="s">
        <v>6199</v>
      </c>
      <c r="C2327" s="2" t="s">
        <v>6200</v>
      </c>
      <c r="D2327" s="2" t="str">
        <f t="shared" si="37"/>
        <v>người tóc vàng da sẫm vừa</v>
      </c>
      <c r="E2327" s="3" t="str">
        <f t="shared" si="2"/>
        <v>person medium-dark skin tone blond hair</v>
      </c>
    </row>
    <row r="2328" ht="15.75" customHeight="1">
      <c r="A2328" s="1" t="s">
        <v>6201</v>
      </c>
      <c r="B2328" s="1" t="s">
        <v>6202</v>
      </c>
      <c r="C2328" s="2" t="s">
        <v>6203</v>
      </c>
      <c r="D2328" s="2" t="str">
        <f t="shared" si="37"/>
        <v>người tóc xoăn da sẫm vừa</v>
      </c>
      <c r="E2328" s="3" t="str">
        <f t="shared" si="2"/>
        <v>person medium-dark skin tone curly hair</v>
      </c>
    </row>
    <row r="2329" ht="15.75" customHeight="1">
      <c r="A2329" s="1" t="s">
        <v>6204</v>
      </c>
      <c r="B2329" s="1" t="s">
        <v>6205</v>
      </c>
      <c r="C2329" s="2" t="s">
        <v>6206</v>
      </c>
      <c r="D2329" s="2" t="str">
        <f t="shared" si="37"/>
        <v>người tóc đỏ da sẫm vừa</v>
      </c>
      <c r="E2329" s="3" t="str">
        <f t="shared" si="2"/>
        <v>person medium-dark skin tone red hair</v>
      </c>
    </row>
    <row r="2330" ht="15.75" customHeight="1">
      <c r="A2330" s="1" t="s">
        <v>6207</v>
      </c>
      <c r="B2330" s="1" t="s">
        <v>6208</v>
      </c>
      <c r="C2330" s="2" t="s">
        <v>6209</v>
      </c>
      <c r="D2330" s="2" t="str">
        <f t="shared" si="37"/>
        <v>người tóc trắng da sẫm vừa</v>
      </c>
      <c r="E2330" s="3" t="str">
        <f t="shared" si="2"/>
        <v>person medium-dark skin tone white hair</v>
      </c>
    </row>
    <row r="2331" ht="15.75" customHeight="1">
      <c r="A2331" s="1" t="s">
        <v>6210</v>
      </c>
      <c r="B2331" s="1" t="s">
        <v>6211</v>
      </c>
      <c r="C2331" s="2" t="s">
        <v>6212</v>
      </c>
      <c r="D2331" s="2" t="str">
        <f t="shared" si="37"/>
        <v>người da sáng vừa</v>
      </c>
      <c r="E2331" s="3" t="str">
        <f t="shared" si="2"/>
        <v>person medium-light skin tone</v>
      </c>
    </row>
    <row r="2332" ht="15.75" customHeight="1">
      <c r="A2332" s="1" t="s">
        <v>6213</v>
      </c>
      <c r="B2332" s="1" t="s">
        <v>6214</v>
      </c>
      <c r="C2332" s="2" t="s">
        <v>6215</v>
      </c>
      <c r="D2332" s="2" t="str">
        <f t="shared" si="37"/>
        <v>người hói da sáng vừa</v>
      </c>
      <c r="E2332" s="3" t="str">
        <f t="shared" si="2"/>
        <v>person medium-light skin tone bald</v>
      </c>
    </row>
    <row r="2333" ht="15.75" customHeight="1">
      <c r="A2333" s="1" t="s">
        <v>6216</v>
      </c>
      <c r="B2333" s="1" t="s">
        <v>6217</v>
      </c>
      <c r="C2333" s="2" t="s">
        <v>6218</v>
      </c>
      <c r="D2333" s="2" t="str">
        <f t="shared" si="37"/>
        <v>người có râu da sáng vừa</v>
      </c>
      <c r="E2333" s="3" t="str">
        <f t="shared" si="2"/>
        <v>person medium-light skin tone beard</v>
      </c>
    </row>
    <row r="2334" ht="15.75" customHeight="1">
      <c r="A2334" s="1" t="s">
        <v>6219</v>
      </c>
      <c r="B2334" s="1" t="s">
        <v>6220</v>
      </c>
      <c r="C2334" s="2" t="s">
        <v>6221</v>
      </c>
      <c r="D2334" s="2" t="str">
        <f t="shared" si="37"/>
        <v>người tóc vàng da sáng vừa</v>
      </c>
      <c r="E2334" s="3" t="str">
        <f t="shared" si="2"/>
        <v>person medium-light skin tone blond hair</v>
      </c>
    </row>
    <row r="2335" ht="15.75" customHeight="1">
      <c r="A2335" s="1" t="s">
        <v>6222</v>
      </c>
      <c r="B2335" s="1" t="s">
        <v>6223</v>
      </c>
      <c r="C2335" s="2" t="s">
        <v>6224</v>
      </c>
      <c r="D2335" s="2" t="str">
        <f t="shared" si="37"/>
        <v>người tóc xoăn da sáng vừa</v>
      </c>
      <c r="E2335" s="3" t="str">
        <f t="shared" si="2"/>
        <v>person medium-light skin tone curly hair</v>
      </c>
    </row>
    <row r="2336" ht="15.75" customHeight="1">
      <c r="A2336" s="1" t="s">
        <v>6225</v>
      </c>
      <c r="B2336" s="1" t="s">
        <v>6226</v>
      </c>
      <c r="C2336" s="2" t="s">
        <v>6227</v>
      </c>
      <c r="D2336" s="2" t="str">
        <f t="shared" si="37"/>
        <v>người tóc đỏ da sáng vừa</v>
      </c>
      <c r="E2336" s="3" t="str">
        <f t="shared" si="2"/>
        <v>person medium-light skin tone red hair</v>
      </c>
    </row>
    <row r="2337" ht="15.75" customHeight="1">
      <c r="A2337" s="1" t="s">
        <v>6228</v>
      </c>
      <c r="B2337" s="1" t="s">
        <v>6229</v>
      </c>
      <c r="C2337" s="2" t="s">
        <v>6230</v>
      </c>
      <c r="D2337" s="2" t="str">
        <f t="shared" si="37"/>
        <v>người tóc trắng da sáng vừa</v>
      </c>
      <c r="E2337" s="3" t="str">
        <f t="shared" si="2"/>
        <v>person medium-light skin tone white hair</v>
      </c>
    </row>
    <row r="2338" ht="15.75" customHeight="1">
      <c r="A2338" s="1" t="s">
        <v>6231</v>
      </c>
      <c r="B2338" s="1" t="s">
        <v>6232</v>
      </c>
      <c r="C2338" s="2" t="s">
        <v>6233</v>
      </c>
      <c r="D2338" s="2" t="str">
        <f t="shared" si="37"/>
        <v>người da thường</v>
      </c>
      <c r="E2338" s="3" t="str">
        <f t="shared" si="2"/>
        <v>person medium skin tone</v>
      </c>
    </row>
    <row r="2339" ht="15.75" customHeight="1">
      <c r="A2339" s="1" t="s">
        <v>6234</v>
      </c>
      <c r="B2339" s="1" t="s">
        <v>6235</v>
      </c>
      <c r="C2339" s="2" t="s">
        <v>6236</v>
      </c>
      <c r="D2339" s="2" t="str">
        <f t="shared" si="37"/>
        <v>người hói da thường</v>
      </c>
      <c r="E2339" s="3" t="str">
        <f t="shared" si="2"/>
        <v>person medium skin tone bald</v>
      </c>
    </row>
    <row r="2340" ht="15.75" customHeight="1">
      <c r="A2340" s="1" t="s">
        <v>6237</v>
      </c>
      <c r="B2340" s="1" t="s">
        <v>6238</v>
      </c>
      <c r="C2340" s="2" t="s">
        <v>6239</v>
      </c>
      <c r="D2340" s="2" t="str">
        <f t="shared" si="37"/>
        <v>người có râu da thường</v>
      </c>
      <c r="E2340" s="3" t="str">
        <f t="shared" si="2"/>
        <v>person medium skin tone beard</v>
      </c>
    </row>
    <row r="2341" ht="15.75" customHeight="1">
      <c r="A2341" s="1" t="s">
        <v>6240</v>
      </c>
      <c r="B2341" s="1" t="s">
        <v>6241</v>
      </c>
      <c r="C2341" s="2" t="s">
        <v>6242</v>
      </c>
      <c r="D2341" s="2" t="str">
        <f t="shared" si="37"/>
        <v>người tóc vàng da thường</v>
      </c>
      <c r="E2341" s="3" t="str">
        <f t="shared" si="2"/>
        <v>person medium skin tone blond hair</v>
      </c>
    </row>
    <row r="2342" ht="15.75" customHeight="1">
      <c r="A2342" s="1" t="s">
        <v>6243</v>
      </c>
      <c r="B2342" s="1" t="s">
        <v>6244</v>
      </c>
      <c r="C2342" s="2" t="s">
        <v>6245</v>
      </c>
      <c r="D2342" s="2" t="str">
        <f t="shared" si="37"/>
        <v>người tóc xoăn da thường</v>
      </c>
      <c r="E2342" s="3" t="str">
        <f t="shared" si="2"/>
        <v>person medium skin tone curly hair</v>
      </c>
    </row>
    <row r="2343" ht="15.75" customHeight="1">
      <c r="A2343" s="1" t="s">
        <v>6246</v>
      </c>
      <c r="B2343" s="1" t="s">
        <v>6247</v>
      </c>
      <c r="C2343" s="2" t="s">
        <v>6248</v>
      </c>
      <c r="D2343" s="2" t="str">
        <f t="shared" si="37"/>
        <v>người tóc đỏ da thường</v>
      </c>
      <c r="E2343" s="3" t="str">
        <f t="shared" si="2"/>
        <v>person medium skin tone red hair</v>
      </c>
    </row>
    <row r="2344" ht="15.75" customHeight="1">
      <c r="A2344" s="1" t="s">
        <v>6249</v>
      </c>
      <c r="B2344" s="1" t="s">
        <v>6250</v>
      </c>
      <c r="C2344" s="2" t="s">
        <v>6251</v>
      </c>
      <c r="D2344" s="2" t="str">
        <f t="shared" si="37"/>
        <v>người tóc trắng da thường</v>
      </c>
      <c r="E2344" s="3" t="str">
        <f t="shared" si="2"/>
        <v>person medium skin tone white hair</v>
      </c>
    </row>
    <row r="2345" ht="15.75" customHeight="1">
      <c r="A2345" s="1" t="s">
        <v>6252</v>
      </c>
      <c r="B2345" s="1" t="s">
        <v>6253</v>
      </c>
      <c r="C2345" s="5" t="s">
        <v>6254</v>
      </c>
      <c r="D2345" s="2" t="str">
        <f t="shared" si="37"/>
        <v>người đi xe đạp leo núi</v>
      </c>
      <c r="E2345" s="3" t="str">
        <f t="shared" si="2"/>
        <v>person mountain biking</v>
      </c>
    </row>
    <row r="2346" ht="15.75" customHeight="1">
      <c r="A2346" s="1" t="s">
        <v>6255</v>
      </c>
      <c r="B2346" s="1" t="s">
        <v>6256</v>
      </c>
      <c r="C2346" s="5" t="s">
        <v>6257</v>
      </c>
      <c r="D2346" s="2" t="str">
        <f t="shared" si="37"/>
        <v>người màu da sẫm đi xe đạp leo núi</v>
      </c>
      <c r="E2346" s="3" t="str">
        <f t="shared" si="2"/>
        <v>person mountain biking dark skin tone</v>
      </c>
    </row>
    <row r="2347" ht="15.75" customHeight="1">
      <c r="A2347" s="1" t="s">
        <v>6258</v>
      </c>
      <c r="B2347" s="1" t="s">
        <v>6259</v>
      </c>
      <c r="C2347" s="5" t="s">
        <v>6260</v>
      </c>
      <c r="D2347" s="2" t="str">
        <f t="shared" si="37"/>
        <v>người màu da sáng đi xe đạp leo núi</v>
      </c>
      <c r="E2347" s="3" t="str">
        <f t="shared" si="2"/>
        <v>person mountain biking light skin tone</v>
      </c>
    </row>
    <row r="2348" ht="15.75" customHeight="1">
      <c r="A2348" s="1" t="s">
        <v>6261</v>
      </c>
      <c r="B2348" s="1" t="s">
        <v>6262</v>
      </c>
      <c r="C2348" s="5" t="s">
        <v>6263</v>
      </c>
      <c r="D2348" s="2" t="str">
        <f t="shared" si="37"/>
        <v>người màu da sẫm vừa đi xe đạp leo núi</v>
      </c>
      <c r="E2348" s="3" t="str">
        <f t="shared" si="2"/>
        <v>person mountain biking medium-dark skin tone</v>
      </c>
    </row>
    <row r="2349" ht="15.75" customHeight="1">
      <c r="A2349" s="1" t="s">
        <v>6264</v>
      </c>
      <c r="B2349" s="1" t="s">
        <v>6265</v>
      </c>
      <c r="C2349" s="5" t="s">
        <v>6266</v>
      </c>
      <c r="D2349" s="2" t="str">
        <f t="shared" si="37"/>
        <v>người màu da sáng vừa đi xe đạp leo núi</v>
      </c>
      <c r="E2349" s="3" t="str">
        <f t="shared" si="2"/>
        <v>person mountain biking medium-light skin tone</v>
      </c>
    </row>
    <row r="2350" ht="15.75" customHeight="1">
      <c r="A2350" s="1" t="s">
        <v>6267</v>
      </c>
      <c r="B2350" s="1" t="s">
        <v>6268</v>
      </c>
      <c r="C2350" s="5" t="s">
        <v>6269</v>
      </c>
      <c r="D2350" s="2" t="str">
        <f t="shared" si="37"/>
        <v>người màu da thường đi xe đạp leo núi</v>
      </c>
      <c r="E2350" s="3" t="str">
        <f t="shared" si="2"/>
        <v>person mountain biking medium skin tone</v>
      </c>
    </row>
    <row r="2351" ht="15.75" customHeight="1">
      <c r="A2351" s="1" t="s">
        <v>6270</v>
      </c>
      <c r="B2351" s="1" t="s">
        <v>6271</v>
      </c>
      <c r="C2351" s="5" t="s">
        <v>6272</v>
      </c>
      <c r="D2351" s="2" t="str">
        <f t="shared" si="37"/>
        <v>người chơi bóng ném</v>
      </c>
      <c r="E2351" s="3" t="str">
        <f t="shared" si="2"/>
        <v>person playing handball</v>
      </c>
    </row>
    <row r="2352" ht="15.75" customHeight="1">
      <c r="A2352" s="1" t="s">
        <v>6273</v>
      </c>
      <c r="B2352" s="1" t="s">
        <v>6274</v>
      </c>
      <c r="C2352" s="5" t="s">
        <v>6275</v>
      </c>
      <c r="D2352" s="2" t="str">
        <f t="shared" si="37"/>
        <v>người màu da sẫm chơi bóng ném</v>
      </c>
      <c r="E2352" s="3" t="str">
        <f t="shared" si="2"/>
        <v>person playing handball dark skin tone</v>
      </c>
    </row>
    <row r="2353" ht="15.75" customHeight="1">
      <c r="A2353" s="1" t="s">
        <v>6276</v>
      </c>
      <c r="B2353" s="1" t="s">
        <v>6277</v>
      </c>
      <c r="C2353" s="5" t="s">
        <v>6278</v>
      </c>
      <c r="D2353" s="2" t="str">
        <f t="shared" si="37"/>
        <v>người màu da sáng chơi bóng ném</v>
      </c>
      <c r="E2353" s="3" t="str">
        <f t="shared" si="2"/>
        <v>person playing handball light skin tone</v>
      </c>
    </row>
    <row r="2354" ht="15.75" customHeight="1">
      <c r="A2354" s="1" t="s">
        <v>6279</v>
      </c>
      <c r="B2354" s="1" t="s">
        <v>6280</v>
      </c>
      <c r="C2354" s="5" t="s">
        <v>6281</v>
      </c>
      <c r="D2354" s="2" t="str">
        <f t="shared" si="37"/>
        <v>người màu da sẫm vừa chơi bóng ném</v>
      </c>
      <c r="E2354" s="3" t="str">
        <f t="shared" si="2"/>
        <v>person playing handball medium-dark skin tone</v>
      </c>
    </row>
    <row r="2355" ht="15.75" customHeight="1">
      <c r="A2355" s="1" t="s">
        <v>6282</v>
      </c>
      <c r="B2355" s="1" t="s">
        <v>6283</v>
      </c>
      <c r="C2355" s="5" t="s">
        <v>6284</v>
      </c>
      <c r="D2355" s="2" t="str">
        <f t="shared" si="37"/>
        <v>người màu da sáng vừa chơi bóng ném</v>
      </c>
      <c r="E2355" s="3" t="str">
        <f t="shared" si="2"/>
        <v>person playing handball medium-light skin tone</v>
      </c>
    </row>
    <row r="2356" ht="15.75" customHeight="1">
      <c r="A2356" s="1" t="s">
        <v>6285</v>
      </c>
      <c r="B2356" s="1" t="s">
        <v>6286</v>
      </c>
      <c r="C2356" s="5" t="s">
        <v>6287</v>
      </c>
      <c r="D2356" s="2" t="str">
        <f t="shared" si="37"/>
        <v>người màu da thường chơi bóng ném</v>
      </c>
      <c r="E2356" s="3" t="str">
        <f t="shared" si="2"/>
        <v>person playing handball medium skin tone</v>
      </c>
    </row>
    <row r="2357" ht="15.75" customHeight="1">
      <c r="A2357" s="1" t="s">
        <v>6288</v>
      </c>
      <c r="B2357" s="1" t="s">
        <v>6289</v>
      </c>
      <c r="C2357" s="5" t="s">
        <v>6290</v>
      </c>
      <c r="D2357" s="2" t="str">
        <f t="shared" si="37"/>
        <v>người chơi bóng nước</v>
      </c>
      <c r="E2357" s="3" t="str">
        <f t="shared" si="2"/>
        <v>person playing water polo</v>
      </c>
    </row>
    <row r="2358" ht="15.75" customHeight="1">
      <c r="A2358" s="1" t="s">
        <v>6291</v>
      </c>
      <c r="B2358" s="1" t="s">
        <v>6292</v>
      </c>
      <c r="C2358" s="5" t="s">
        <v>6293</v>
      </c>
      <c r="D2358" s="2" t="str">
        <f t="shared" si="37"/>
        <v>người màu da sẫm chơi bóng nước</v>
      </c>
      <c r="E2358" s="3" t="str">
        <f t="shared" si="2"/>
        <v>person playing water polo dark skin tone</v>
      </c>
    </row>
    <row r="2359" ht="15.75" customHeight="1">
      <c r="A2359" s="1" t="s">
        <v>6294</v>
      </c>
      <c r="B2359" s="1" t="s">
        <v>6295</v>
      </c>
      <c r="C2359" s="5" t="s">
        <v>6296</v>
      </c>
      <c r="D2359" s="2" t="str">
        <f t="shared" si="37"/>
        <v>người màu da sáng chơi bóng nước</v>
      </c>
      <c r="E2359" s="3" t="str">
        <f t="shared" si="2"/>
        <v>person playing water polo light skin tone</v>
      </c>
    </row>
    <row r="2360" ht="15.75" customHeight="1">
      <c r="A2360" s="1" t="s">
        <v>6297</v>
      </c>
      <c r="B2360" s="1" t="s">
        <v>6298</v>
      </c>
      <c r="C2360" s="5" t="s">
        <v>6299</v>
      </c>
      <c r="D2360" s="2" t="str">
        <f t="shared" si="37"/>
        <v>người màu da sẫm vừa chơi bóng nước</v>
      </c>
      <c r="E2360" s="3" t="str">
        <f t="shared" si="2"/>
        <v>person playing water polo medium-dark skin tone</v>
      </c>
    </row>
    <row r="2361" ht="15.75" customHeight="1">
      <c r="A2361" s="1" t="s">
        <v>6300</v>
      </c>
      <c r="B2361" s="1" t="s">
        <v>6301</v>
      </c>
      <c r="C2361" s="5" t="s">
        <v>6302</v>
      </c>
      <c r="D2361" s="2" t="str">
        <f t="shared" si="37"/>
        <v>người màu da sáng vừa chơi bóng nước</v>
      </c>
      <c r="E2361" s="3" t="str">
        <f t="shared" si="2"/>
        <v>person playing water polo medium-light skin tone</v>
      </c>
    </row>
    <row r="2362" ht="15.75" customHeight="1">
      <c r="A2362" s="1" t="s">
        <v>6303</v>
      </c>
      <c r="B2362" s="1" t="s">
        <v>6304</v>
      </c>
      <c r="C2362" s="5" t="s">
        <v>6305</v>
      </c>
      <c r="D2362" s="2" t="str">
        <f t="shared" si="37"/>
        <v>người màu da thường chơi bóng nước</v>
      </c>
      <c r="E2362" s="3" t="str">
        <f t="shared" si="2"/>
        <v>person playing water polo medium skin tone</v>
      </c>
    </row>
    <row r="2363" ht="15.75" customHeight="1">
      <c r="A2363" s="1" t="s">
        <v>6306</v>
      </c>
      <c r="B2363" s="1" t="s">
        <v>6307</v>
      </c>
      <c r="C2363" s="5" t="s">
        <v>6308</v>
      </c>
      <c r="D2363" s="2" t="str">
        <f t="shared" si="37"/>
        <v>người bĩu môi</v>
      </c>
      <c r="E2363" s="3" t="str">
        <f t="shared" si="2"/>
        <v>person pouting</v>
      </c>
    </row>
    <row r="2364" ht="15.75" customHeight="1">
      <c r="A2364" s="1" t="s">
        <v>6309</v>
      </c>
      <c r="B2364" s="1" t="s">
        <v>6310</v>
      </c>
      <c r="C2364" s="5" t="s">
        <v>6311</v>
      </c>
      <c r="D2364" s="2" t="str">
        <f t="shared" si="37"/>
        <v>người màu da sẫm bĩu môi</v>
      </c>
      <c r="E2364" s="3" t="str">
        <f t="shared" si="2"/>
        <v>person pouting dark skin tone</v>
      </c>
    </row>
    <row r="2365" ht="15.75" customHeight="1">
      <c r="A2365" s="1" t="s">
        <v>6312</v>
      </c>
      <c r="B2365" s="1" t="s">
        <v>6313</v>
      </c>
      <c r="C2365" s="5" t="s">
        <v>6314</v>
      </c>
      <c r="D2365" s="2" t="str">
        <f t="shared" si="37"/>
        <v>người màu da sáng bĩu môi</v>
      </c>
      <c r="E2365" s="3" t="str">
        <f t="shared" si="2"/>
        <v>person pouting light skin tone</v>
      </c>
    </row>
    <row r="2366" ht="15.75" customHeight="1">
      <c r="A2366" s="1" t="s">
        <v>6315</v>
      </c>
      <c r="B2366" s="1" t="s">
        <v>6316</v>
      </c>
      <c r="C2366" s="5" t="s">
        <v>6317</v>
      </c>
      <c r="D2366" s="2" t="str">
        <f t="shared" si="37"/>
        <v>người màu da sẫm vừa bĩu môi</v>
      </c>
      <c r="E2366" s="3" t="str">
        <f t="shared" si="2"/>
        <v>person pouting medium-dark skin tone</v>
      </c>
    </row>
    <row r="2367" ht="15.75" customHeight="1">
      <c r="A2367" s="1" t="s">
        <v>6318</v>
      </c>
      <c r="B2367" s="1" t="s">
        <v>6319</v>
      </c>
      <c r="C2367" s="5" t="s">
        <v>6320</v>
      </c>
      <c r="D2367" s="2" t="str">
        <f t="shared" si="37"/>
        <v>người màu da sáng vừa bĩu môi</v>
      </c>
      <c r="E2367" s="3" t="str">
        <f t="shared" si="2"/>
        <v>person pouting medium-light skin tone</v>
      </c>
    </row>
    <row r="2368" ht="15.75" customHeight="1">
      <c r="A2368" s="1" t="s">
        <v>6321</v>
      </c>
      <c r="B2368" s="1" t="s">
        <v>6322</v>
      </c>
      <c r="C2368" s="5" t="s">
        <v>6323</v>
      </c>
      <c r="D2368" s="2" t="str">
        <f t="shared" si="37"/>
        <v>người màu da thường bĩu môi</v>
      </c>
      <c r="E2368" s="3" t="str">
        <f t="shared" si="2"/>
        <v>person pouting medium skin tone</v>
      </c>
    </row>
    <row r="2369" ht="15.75" customHeight="1">
      <c r="A2369" s="1" t="s">
        <v>6324</v>
      </c>
      <c r="B2369" s="1" t="s">
        <v>6325</v>
      </c>
      <c r="C2369" s="5" t="s">
        <v>6326</v>
      </c>
      <c r="D2369" s="2" t="str">
        <f t="shared" si="37"/>
        <v>người giơ tay</v>
      </c>
      <c r="E2369" s="3" t="str">
        <f t="shared" si="2"/>
        <v>person raising hand</v>
      </c>
    </row>
    <row r="2370" ht="15.75" customHeight="1">
      <c r="A2370" s="1" t="s">
        <v>6327</v>
      </c>
      <c r="B2370" s="1" t="s">
        <v>6328</v>
      </c>
      <c r="C2370" s="5" t="s">
        <v>6329</v>
      </c>
      <c r="D2370" s="2" t="str">
        <f t="shared" si="37"/>
        <v>người màu da sẫm giơ tay</v>
      </c>
      <c r="E2370" s="3" t="str">
        <f t="shared" si="2"/>
        <v>person raising hand dark skin tone</v>
      </c>
    </row>
    <row r="2371" ht="15.75" customHeight="1">
      <c r="A2371" s="1" t="s">
        <v>6330</v>
      </c>
      <c r="B2371" s="1" t="s">
        <v>6331</v>
      </c>
      <c r="C2371" s="5" t="s">
        <v>6332</v>
      </c>
      <c r="D2371" s="2" t="str">
        <f t="shared" si="37"/>
        <v>người màu da sáng giơ tay</v>
      </c>
      <c r="E2371" s="3" t="str">
        <f t="shared" si="2"/>
        <v>person raising hand light skin tone</v>
      </c>
    </row>
    <row r="2372" ht="15.75" customHeight="1">
      <c r="A2372" s="1" t="s">
        <v>6333</v>
      </c>
      <c r="B2372" s="1" t="s">
        <v>6334</v>
      </c>
      <c r="C2372" s="5" t="s">
        <v>6335</v>
      </c>
      <c r="D2372" s="2" t="str">
        <f t="shared" si="37"/>
        <v>người màu da sẫm vừa giơ tay</v>
      </c>
      <c r="E2372" s="3" t="str">
        <f t="shared" si="2"/>
        <v>person raising hand medium-dark skin tone</v>
      </c>
    </row>
    <row r="2373" ht="15.75" customHeight="1">
      <c r="A2373" s="1" t="s">
        <v>6336</v>
      </c>
      <c r="B2373" s="1" t="s">
        <v>6337</v>
      </c>
      <c r="C2373" s="5" t="s">
        <v>6338</v>
      </c>
      <c r="D2373" s="2" t="str">
        <f t="shared" si="37"/>
        <v>người màu da sáng vừa giơ tay</v>
      </c>
      <c r="E2373" s="3" t="str">
        <f t="shared" si="2"/>
        <v>person raising hand medium-light skin tone</v>
      </c>
    </row>
    <row r="2374" ht="15.75" customHeight="1">
      <c r="A2374" s="1" t="s">
        <v>6339</v>
      </c>
      <c r="B2374" s="1" t="s">
        <v>6340</v>
      </c>
      <c r="C2374" s="5" t="s">
        <v>6341</v>
      </c>
      <c r="D2374" s="2" t="str">
        <f t="shared" si="37"/>
        <v>người màu da thường giơ tay</v>
      </c>
      <c r="E2374" s="3" t="str">
        <f t="shared" si="2"/>
        <v>person raising hand medium skin tone</v>
      </c>
    </row>
    <row r="2375" ht="15.75" customHeight="1">
      <c r="A2375" s="1" t="s">
        <v>6342</v>
      </c>
      <c r="B2375" s="1" t="s">
        <v>6343</v>
      </c>
      <c r="C2375" s="5" t="str">
        <f>IFERROR(__xludf.DUMMYFUNCTION("GOOGLETRANSLATE(E2375, ""en"",""vi"")"),"người tóc đỏ")</f>
        <v>người tóc đỏ</v>
      </c>
      <c r="D2375" s="2" t="str">
        <f t="shared" si="37"/>
        <v>người tóc đỏ</v>
      </c>
      <c r="E2375" s="3" t="str">
        <f t="shared" si="2"/>
        <v>person red hair</v>
      </c>
    </row>
    <row r="2376" ht="15.75" customHeight="1">
      <c r="A2376" s="1" t="s">
        <v>6344</v>
      </c>
      <c r="B2376" s="1" t="s">
        <v>6345</v>
      </c>
      <c r="C2376" s="5" t="s">
        <v>6346</v>
      </c>
      <c r="D2376" s="2" t="str">
        <f t="shared" si="37"/>
        <v>người chèo thuyền</v>
      </c>
      <c r="E2376" s="3" t="str">
        <f t="shared" si="2"/>
        <v>person rowing boat</v>
      </c>
    </row>
    <row r="2377" ht="15.75" customHeight="1">
      <c r="A2377" s="1" t="s">
        <v>6347</v>
      </c>
      <c r="B2377" s="1" t="s">
        <v>6348</v>
      </c>
      <c r="C2377" s="5" t="s">
        <v>6349</v>
      </c>
      <c r="D2377" s="2" t="str">
        <f t="shared" si="37"/>
        <v>người màu da sẫm chèo thuyền</v>
      </c>
      <c r="E2377" s="3" t="str">
        <f t="shared" si="2"/>
        <v>person rowing boat dark skin tone</v>
      </c>
    </row>
    <row r="2378" ht="15.75" customHeight="1">
      <c r="A2378" s="1" t="s">
        <v>6350</v>
      </c>
      <c r="B2378" s="1" t="s">
        <v>6351</v>
      </c>
      <c r="C2378" s="5" t="s">
        <v>6352</v>
      </c>
      <c r="D2378" s="2" t="str">
        <f t="shared" si="37"/>
        <v>người màu da sáng chèo thuyền</v>
      </c>
      <c r="E2378" s="3" t="str">
        <f t="shared" si="2"/>
        <v>person rowing boat light skin tone</v>
      </c>
    </row>
    <row r="2379" ht="15.75" customHeight="1">
      <c r="A2379" s="1" t="s">
        <v>6353</v>
      </c>
      <c r="B2379" s="1" t="s">
        <v>6354</v>
      </c>
      <c r="C2379" s="5" t="s">
        <v>6355</v>
      </c>
      <c r="D2379" s="2" t="str">
        <f t="shared" si="37"/>
        <v>người màu da sẫm vừa chèo thuyền</v>
      </c>
      <c r="E2379" s="3" t="str">
        <f t="shared" si="2"/>
        <v>person rowing boat medium-dark skin tone</v>
      </c>
    </row>
    <row r="2380" ht="15.75" customHeight="1">
      <c r="A2380" s="1" t="s">
        <v>6356</v>
      </c>
      <c r="B2380" s="1" t="s">
        <v>6357</v>
      </c>
      <c r="C2380" s="5" t="s">
        <v>6358</v>
      </c>
      <c r="D2380" s="2" t="str">
        <f t="shared" si="37"/>
        <v>người màu da sáng vừa chèo thuyền</v>
      </c>
      <c r="E2380" s="3" t="str">
        <f t="shared" si="2"/>
        <v>person rowing boat medium-light skin tone</v>
      </c>
    </row>
    <row r="2381" ht="15.75" customHeight="1">
      <c r="A2381" s="1" t="s">
        <v>6359</v>
      </c>
      <c r="B2381" s="1" t="s">
        <v>6360</v>
      </c>
      <c r="C2381" s="5" t="s">
        <v>6361</v>
      </c>
      <c r="D2381" s="2" t="str">
        <f t="shared" si="37"/>
        <v>người màu da thường chèo thuyền</v>
      </c>
      <c r="E2381" s="3" t="str">
        <f t="shared" si="2"/>
        <v>person rowing boat medium skin tone</v>
      </c>
    </row>
    <row r="2382" ht="15.75" customHeight="1">
      <c r="A2382" s="1" t="s">
        <v>6362</v>
      </c>
      <c r="B2382" s="1" t="s">
        <v>6363</v>
      </c>
      <c r="C2382" s="5" t="s">
        <v>6364</v>
      </c>
      <c r="D2382" s="2" t="str">
        <f t="shared" si="37"/>
        <v>người chạy</v>
      </c>
      <c r="E2382" s="3" t="str">
        <f t="shared" si="2"/>
        <v>person running</v>
      </c>
    </row>
    <row r="2383" ht="15.75" customHeight="1">
      <c r="A2383" s="1" t="s">
        <v>6365</v>
      </c>
      <c r="B2383" s="1" t="s">
        <v>6366</v>
      </c>
      <c r="C2383" s="5" t="s">
        <v>6367</v>
      </c>
      <c r="D2383" s="2" t="str">
        <f t="shared" si="37"/>
        <v>người màu da sẫm chạy</v>
      </c>
      <c r="E2383" s="3" t="str">
        <f t="shared" si="2"/>
        <v>person running dark skin tone</v>
      </c>
    </row>
    <row r="2384" ht="15.75" customHeight="1">
      <c r="A2384" s="1" t="s">
        <v>6368</v>
      </c>
      <c r="B2384" s="1" t="s">
        <v>6369</v>
      </c>
      <c r="C2384" s="5" t="s">
        <v>6370</v>
      </c>
      <c r="D2384" s="2" t="str">
        <f t="shared" si="37"/>
        <v>người màu da sáng chạy</v>
      </c>
      <c r="E2384" s="3" t="str">
        <f t="shared" si="2"/>
        <v>person running light skin tone</v>
      </c>
    </row>
    <row r="2385" ht="15.75" customHeight="1">
      <c r="A2385" s="1" t="s">
        <v>6371</v>
      </c>
      <c r="B2385" s="1" t="s">
        <v>6372</v>
      </c>
      <c r="C2385" s="5" t="s">
        <v>6373</v>
      </c>
      <c r="D2385" s="2" t="str">
        <f t="shared" si="37"/>
        <v>người màu da sẫm vừa chạy</v>
      </c>
      <c r="E2385" s="3" t="str">
        <f t="shared" si="2"/>
        <v>person running medium-dark skin tone</v>
      </c>
    </row>
    <row r="2386" ht="15.75" customHeight="1">
      <c r="A2386" s="1" t="s">
        <v>6374</v>
      </c>
      <c r="B2386" s="1" t="s">
        <v>6375</v>
      </c>
      <c r="C2386" s="5" t="s">
        <v>6376</v>
      </c>
      <c r="D2386" s="2" t="str">
        <f t="shared" si="37"/>
        <v>người màu da sáng vừa chạy</v>
      </c>
      <c r="E2386" s="3" t="str">
        <f t="shared" si="2"/>
        <v>person running medium-light skin tone</v>
      </c>
    </row>
    <row r="2387" ht="15.75" customHeight="1">
      <c r="A2387" s="1" t="s">
        <v>6377</v>
      </c>
      <c r="B2387" s="1" t="s">
        <v>6378</v>
      </c>
      <c r="C2387" s="5" t="s">
        <v>6379</v>
      </c>
      <c r="D2387" s="2" t="str">
        <f t="shared" si="37"/>
        <v>người màu da thường chạy</v>
      </c>
      <c r="E2387" s="3" t="str">
        <f t="shared" si="2"/>
        <v>person running medium skin tone</v>
      </c>
    </row>
    <row r="2388" ht="15.75" customHeight="1">
      <c r="A2388" s="1" t="s">
        <v>6380</v>
      </c>
      <c r="B2388" s="1" t="s">
        <v>6381</v>
      </c>
      <c r="C2388" s="5" t="s">
        <v>6382</v>
      </c>
      <c r="D2388" s="2" t="str">
        <f t="shared" si="37"/>
        <v>người nhún vai</v>
      </c>
      <c r="E2388" s="3" t="str">
        <f t="shared" si="2"/>
        <v>person shrugging</v>
      </c>
    </row>
    <row r="2389" ht="15.75" customHeight="1">
      <c r="A2389" s="1" t="s">
        <v>6383</v>
      </c>
      <c r="B2389" s="1" t="s">
        <v>6384</v>
      </c>
      <c r="C2389" s="5" t="s">
        <v>6385</v>
      </c>
      <c r="D2389" s="2" t="str">
        <f t="shared" si="37"/>
        <v>người màu da sẫm nhún vai</v>
      </c>
      <c r="E2389" s="3" t="str">
        <f t="shared" si="2"/>
        <v>person shrugging dark skin tone</v>
      </c>
    </row>
    <row r="2390" ht="15.75" customHeight="1">
      <c r="A2390" s="1" t="s">
        <v>6386</v>
      </c>
      <c r="B2390" s="1" t="s">
        <v>6387</v>
      </c>
      <c r="C2390" s="5" t="s">
        <v>6388</v>
      </c>
      <c r="D2390" s="2" t="str">
        <f t="shared" si="37"/>
        <v>người màu da sáng nhún vai</v>
      </c>
      <c r="E2390" s="3" t="str">
        <f t="shared" si="2"/>
        <v>person shrugging light skin tone</v>
      </c>
    </row>
    <row r="2391" ht="15.75" customHeight="1">
      <c r="A2391" s="1" t="s">
        <v>6389</v>
      </c>
      <c r="B2391" s="1" t="s">
        <v>6390</v>
      </c>
      <c r="C2391" s="5" t="s">
        <v>6391</v>
      </c>
      <c r="D2391" s="2" t="str">
        <f t="shared" si="37"/>
        <v>người màu da sẫm vừa nhún vai</v>
      </c>
      <c r="E2391" s="3" t="str">
        <f t="shared" si="2"/>
        <v>person shrugging medium-dark skin tone</v>
      </c>
    </row>
    <row r="2392" ht="15.75" customHeight="1">
      <c r="A2392" s="1" t="s">
        <v>6392</v>
      </c>
      <c r="B2392" s="1" t="s">
        <v>6393</v>
      </c>
      <c r="C2392" s="5" t="s">
        <v>6394</v>
      </c>
      <c r="D2392" s="2" t="str">
        <f t="shared" si="37"/>
        <v>người màu da sáng vừa nhún vai</v>
      </c>
      <c r="E2392" s="3" t="str">
        <f t="shared" si="2"/>
        <v>person shrugging medium-light skin tone</v>
      </c>
    </row>
    <row r="2393" ht="15.75" customHeight="1">
      <c r="A2393" s="1" t="s">
        <v>6395</v>
      </c>
      <c r="B2393" s="1" t="s">
        <v>6396</v>
      </c>
      <c r="C2393" s="5" t="s">
        <v>6397</v>
      </c>
      <c r="D2393" s="2" t="str">
        <f t="shared" si="37"/>
        <v>người màu da thường nhún vai</v>
      </c>
      <c r="E2393" s="3" t="str">
        <f t="shared" si="2"/>
        <v>person shrugging medium skin tone</v>
      </c>
    </row>
    <row r="2394" ht="15.75" customHeight="1">
      <c r="A2394" s="1" t="s">
        <v>6398</v>
      </c>
      <c r="B2394" s="1" t="s">
        <v>6399</v>
      </c>
      <c r="C2394" s="5" t="s">
        <v>6400</v>
      </c>
      <c r="D2394" s="2" t="str">
        <f t="shared" si="37"/>
        <v>người đứng</v>
      </c>
      <c r="E2394" s="3" t="str">
        <f t="shared" si="2"/>
        <v>person standing</v>
      </c>
    </row>
    <row r="2395" ht="15.75" customHeight="1">
      <c r="A2395" s="1" t="s">
        <v>6401</v>
      </c>
      <c r="B2395" s="1" t="s">
        <v>6402</v>
      </c>
      <c r="C2395" s="5" t="s">
        <v>6403</v>
      </c>
      <c r="D2395" s="2" t="str">
        <f t="shared" si="37"/>
        <v>người màu da sẫm đứng</v>
      </c>
      <c r="E2395" s="3" t="str">
        <f t="shared" si="2"/>
        <v>person standing dark skin tone</v>
      </c>
    </row>
    <row r="2396" ht="15.75" customHeight="1">
      <c r="A2396" s="1" t="s">
        <v>6404</v>
      </c>
      <c r="B2396" s="1" t="s">
        <v>6405</v>
      </c>
      <c r="C2396" s="5" t="s">
        <v>6406</v>
      </c>
      <c r="D2396" s="2" t="str">
        <f t="shared" si="37"/>
        <v>người màu da sáng đứng</v>
      </c>
      <c r="E2396" s="3" t="str">
        <f t="shared" si="2"/>
        <v>person standing light skin tone</v>
      </c>
    </row>
    <row r="2397" ht="15.75" customHeight="1">
      <c r="A2397" s="1" t="s">
        <v>6407</v>
      </c>
      <c r="B2397" s="1" t="s">
        <v>6408</v>
      </c>
      <c r="C2397" s="5" t="s">
        <v>6409</v>
      </c>
      <c r="D2397" s="2" t="str">
        <f t="shared" si="37"/>
        <v>người màu da sẫm vừa đứng</v>
      </c>
      <c r="E2397" s="3" t="str">
        <f t="shared" si="2"/>
        <v>person standing medium-dark skin tone</v>
      </c>
    </row>
    <row r="2398" ht="15.75" customHeight="1">
      <c r="A2398" s="1" t="s">
        <v>6410</v>
      </c>
      <c r="B2398" s="1" t="s">
        <v>6411</v>
      </c>
      <c r="C2398" s="5" t="s">
        <v>6412</v>
      </c>
      <c r="D2398" s="2" t="str">
        <f t="shared" si="37"/>
        <v>người màu da sáng vừa đứng</v>
      </c>
      <c r="E2398" s="3" t="str">
        <f t="shared" si="2"/>
        <v>person standing medium-light skin tone</v>
      </c>
    </row>
    <row r="2399" ht="15.75" customHeight="1">
      <c r="A2399" s="1" t="s">
        <v>6413</v>
      </c>
      <c r="B2399" s="1" t="s">
        <v>6414</v>
      </c>
      <c r="C2399" s="5" t="s">
        <v>6415</v>
      </c>
      <c r="D2399" s="2" t="str">
        <f t="shared" si="37"/>
        <v>người màu da thường đứng</v>
      </c>
      <c r="E2399" s="3" t="str">
        <f t="shared" si="2"/>
        <v>person standing medium skin tone</v>
      </c>
    </row>
    <row r="2400" ht="15.75" customHeight="1">
      <c r="A2400" s="1" t="s">
        <v>6416</v>
      </c>
      <c r="B2400" s="1" t="s">
        <v>6417</v>
      </c>
      <c r="C2400" s="5" t="s">
        <v>6418</v>
      </c>
      <c r="D2400" s="2" t="str">
        <f t="shared" si="37"/>
        <v>người lướt sóng</v>
      </c>
      <c r="E2400" s="3" t="str">
        <f t="shared" si="2"/>
        <v>person surfing</v>
      </c>
    </row>
    <row r="2401" ht="15.75" customHeight="1">
      <c r="A2401" s="1" t="s">
        <v>6419</v>
      </c>
      <c r="B2401" s="1" t="s">
        <v>6420</v>
      </c>
      <c r="C2401" s="5" t="s">
        <v>6421</v>
      </c>
      <c r="D2401" s="2" t="str">
        <f t="shared" si="37"/>
        <v>người màu da sẫm lướt sóng</v>
      </c>
      <c r="E2401" s="3" t="str">
        <f t="shared" si="2"/>
        <v>person surfing dark skin tone</v>
      </c>
    </row>
    <row r="2402" ht="15.75" customHeight="1">
      <c r="A2402" s="1" t="s">
        <v>6422</v>
      </c>
      <c r="B2402" s="1" t="s">
        <v>6423</v>
      </c>
      <c r="C2402" s="5" t="s">
        <v>6424</v>
      </c>
      <c r="D2402" s="2" t="str">
        <f t="shared" si="37"/>
        <v>người màu da sáng lướt sóng</v>
      </c>
      <c r="E2402" s="3" t="str">
        <f t="shared" si="2"/>
        <v>person surfing light skin tone</v>
      </c>
    </row>
    <row r="2403" ht="15.75" customHeight="1">
      <c r="A2403" s="1" t="s">
        <v>6425</v>
      </c>
      <c r="B2403" s="1" t="s">
        <v>6426</v>
      </c>
      <c r="C2403" s="5" t="s">
        <v>6427</v>
      </c>
      <c r="D2403" s="2" t="str">
        <f t="shared" si="37"/>
        <v>người màu da sẫm vừa lướt sóng</v>
      </c>
      <c r="E2403" s="3" t="str">
        <f t="shared" si="2"/>
        <v>person surfing medium-dark skin tone</v>
      </c>
    </row>
    <row r="2404" ht="15.75" customHeight="1">
      <c r="A2404" s="1" t="s">
        <v>6428</v>
      </c>
      <c r="B2404" s="1" t="s">
        <v>6429</v>
      </c>
      <c r="C2404" s="5" t="s">
        <v>6430</v>
      </c>
      <c r="D2404" s="2" t="str">
        <f t="shared" si="37"/>
        <v>người màu da sáng vừa lướt sóng</v>
      </c>
      <c r="E2404" s="3" t="str">
        <f t="shared" si="2"/>
        <v>person surfing medium-light skin tone</v>
      </c>
    </row>
    <row r="2405" ht="15.75" customHeight="1">
      <c r="A2405" s="1" t="s">
        <v>6431</v>
      </c>
      <c r="B2405" s="1" t="s">
        <v>6432</v>
      </c>
      <c r="C2405" s="5" t="s">
        <v>6433</v>
      </c>
      <c r="D2405" s="2" t="str">
        <f t="shared" si="37"/>
        <v>người màu da thường lướt sóng</v>
      </c>
      <c r="E2405" s="3" t="str">
        <f t="shared" si="2"/>
        <v>person surfing medium skin tone</v>
      </c>
    </row>
    <row r="2406" ht="15.75" customHeight="1">
      <c r="A2406" s="1" t="s">
        <v>6434</v>
      </c>
      <c r="B2406" s="1" t="s">
        <v>6435</v>
      </c>
      <c r="C2406" s="5" t="s">
        <v>6436</v>
      </c>
      <c r="D2406" s="2" t="str">
        <f t="shared" si="37"/>
        <v>người bơi</v>
      </c>
      <c r="E2406" s="3" t="str">
        <f t="shared" si="2"/>
        <v>person swimming</v>
      </c>
    </row>
    <row r="2407" ht="15.75" customHeight="1">
      <c r="A2407" s="1" t="s">
        <v>6437</v>
      </c>
      <c r="B2407" s="1" t="s">
        <v>6438</v>
      </c>
      <c r="C2407" s="5" t="s">
        <v>6439</v>
      </c>
      <c r="D2407" s="2" t="str">
        <f t="shared" si="37"/>
        <v>người màu da sẫm bơi</v>
      </c>
      <c r="E2407" s="3" t="str">
        <f t="shared" si="2"/>
        <v>person swimming dark skin tone</v>
      </c>
    </row>
    <row r="2408" ht="15.75" customHeight="1">
      <c r="A2408" s="1" t="s">
        <v>6440</v>
      </c>
      <c r="B2408" s="1" t="s">
        <v>6441</v>
      </c>
      <c r="C2408" s="5" t="s">
        <v>6442</v>
      </c>
      <c r="D2408" s="2" t="str">
        <f t="shared" si="37"/>
        <v>người màu da sáng bơi</v>
      </c>
      <c r="E2408" s="3" t="str">
        <f t="shared" si="2"/>
        <v>person swimming light skin tone</v>
      </c>
    </row>
    <row r="2409" ht="15.75" customHeight="1">
      <c r="A2409" s="1" t="s">
        <v>6443</v>
      </c>
      <c r="B2409" s="1" t="s">
        <v>6444</v>
      </c>
      <c r="C2409" s="5" t="s">
        <v>6445</v>
      </c>
      <c r="D2409" s="2" t="str">
        <f t="shared" si="37"/>
        <v>người màu da sẫm vừa bơi</v>
      </c>
      <c r="E2409" s="3" t="str">
        <f t="shared" si="2"/>
        <v>person swimming medium-dark skin tone</v>
      </c>
    </row>
    <row r="2410" ht="15.75" customHeight="1">
      <c r="A2410" s="1" t="s">
        <v>6446</v>
      </c>
      <c r="B2410" s="1" t="s">
        <v>6447</v>
      </c>
      <c r="C2410" s="5" t="s">
        <v>6448</v>
      </c>
      <c r="D2410" s="2" t="str">
        <f t="shared" si="37"/>
        <v>người màu da sáng vừa bơi</v>
      </c>
      <c r="E2410" s="3" t="str">
        <f t="shared" si="2"/>
        <v>person swimming medium-light skin tone</v>
      </c>
    </row>
    <row r="2411" ht="15.75" customHeight="1">
      <c r="A2411" s="1" t="s">
        <v>6449</v>
      </c>
      <c r="B2411" s="1" t="s">
        <v>6450</v>
      </c>
      <c r="C2411" s="5" t="s">
        <v>6451</v>
      </c>
      <c r="D2411" s="2" t="str">
        <f t="shared" si="37"/>
        <v>người màu da thường bơi</v>
      </c>
      <c r="E2411" s="3" t="str">
        <f t="shared" si="2"/>
        <v>person swimming medium skin tone</v>
      </c>
    </row>
    <row r="2412" ht="15.75" customHeight="1">
      <c r="A2412" s="1" t="s">
        <v>6452</v>
      </c>
      <c r="B2412" s="1" t="s">
        <v>6453</v>
      </c>
      <c r="C2412" s="2" t="s">
        <v>6454</v>
      </c>
      <c r="D2412" s="2" t="str">
        <f t="shared" si="37"/>
        <v>người đi tắm</v>
      </c>
      <c r="E2412" s="3" t="str">
        <f t="shared" si="2"/>
        <v>person taking bath</v>
      </c>
    </row>
    <row r="2413" ht="15.75" customHeight="1">
      <c r="A2413" s="1" t="s">
        <v>6455</v>
      </c>
      <c r="B2413" s="1" t="s">
        <v>6456</v>
      </c>
      <c r="C2413" s="2" t="s">
        <v>6457</v>
      </c>
      <c r="D2413" s="2" t="str">
        <f t="shared" si="37"/>
        <v>người màu da sẫm đi tắm</v>
      </c>
      <c r="E2413" s="3" t="str">
        <f t="shared" si="2"/>
        <v>person taking bath dark skin tone</v>
      </c>
    </row>
    <row r="2414" ht="15.75" customHeight="1">
      <c r="A2414" s="1" t="s">
        <v>6458</v>
      </c>
      <c r="B2414" s="1" t="s">
        <v>6459</v>
      </c>
      <c r="C2414" s="2" t="s">
        <v>6460</v>
      </c>
      <c r="D2414" s="2" t="str">
        <f t="shared" si="37"/>
        <v>người màu da sáng đi tắm</v>
      </c>
      <c r="E2414" s="3" t="str">
        <f t="shared" si="2"/>
        <v>person taking bath light skin tone</v>
      </c>
    </row>
    <row r="2415" ht="15.75" customHeight="1">
      <c r="A2415" s="1" t="s">
        <v>6461</v>
      </c>
      <c r="B2415" s="1" t="s">
        <v>6462</v>
      </c>
      <c r="C2415" s="2" t="s">
        <v>6463</v>
      </c>
      <c r="D2415" s="2" t="str">
        <f t="shared" si="37"/>
        <v>người màu da sẫm vừa đi tắm</v>
      </c>
      <c r="E2415" s="3" t="str">
        <f t="shared" si="2"/>
        <v>person taking bath medium-dark skin tone</v>
      </c>
    </row>
    <row r="2416" ht="15.75" customHeight="1">
      <c r="A2416" s="1" t="s">
        <v>6464</v>
      </c>
      <c r="B2416" s="1" t="s">
        <v>6465</v>
      </c>
      <c r="C2416" s="2" t="s">
        <v>6466</v>
      </c>
      <c r="D2416" s="2" t="str">
        <f t="shared" si="37"/>
        <v>người màu da sáng vừa đi tắm</v>
      </c>
      <c r="E2416" s="3" t="str">
        <f t="shared" si="2"/>
        <v>person taking bath medium-light skin tone</v>
      </c>
    </row>
    <row r="2417" ht="15.75" customHeight="1">
      <c r="A2417" s="1" t="s">
        <v>6467</v>
      </c>
      <c r="B2417" s="1" t="s">
        <v>6468</v>
      </c>
      <c r="C2417" s="2" t="s">
        <v>6469</v>
      </c>
      <c r="D2417" s="2" t="str">
        <f t="shared" si="37"/>
        <v>người màu da thường đi tắm</v>
      </c>
      <c r="E2417" s="3" t="str">
        <f t="shared" si="2"/>
        <v>person taking bath medium skin tone</v>
      </c>
    </row>
    <row r="2418" ht="15.75" customHeight="1">
      <c r="A2418" s="1" t="s">
        <v>6470</v>
      </c>
      <c r="B2418" s="1" t="s">
        <v>6471</v>
      </c>
      <c r="C2418" s="5" t="s">
        <v>6472</v>
      </c>
      <c r="D2418" s="2" t="str">
        <f t="shared" si="37"/>
        <v>người sấp bàn tay</v>
      </c>
      <c r="E2418" s="3" t="str">
        <f t="shared" si="2"/>
        <v>person tipping hand</v>
      </c>
    </row>
    <row r="2419" ht="15.75" customHeight="1">
      <c r="A2419" s="1" t="s">
        <v>6473</v>
      </c>
      <c r="B2419" s="1" t="s">
        <v>6474</v>
      </c>
      <c r="C2419" s="5" t="s">
        <v>6475</v>
      </c>
      <c r="D2419" s="2" t="str">
        <f t="shared" si="37"/>
        <v>người màu da sẫm sấp bàn tay</v>
      </c>
      <c r="E2419" s="3" t="str">
        <f t="shared" si="2"/>
        <v>person tipping hand dark skin tone</v>
      </c>
    </row>
    <row r="2420" ht="15.75" customHeight="1">
      <c r="A2420" s="1" t="s">
        <v>6476</v>
      </c>
      <c r="B2420" s="1" t="s">
        <v>6477</v>
      </c>
      <c r="C2420" s="5" t="s">
        <v>6478</v>
      </c>
      <c r="D2420" s="2" t="str">
        <f t="shared" si="37"/>
        <v>người màu da sáng sấp bàn tay</v>
      </c>
      <c r="E2420" s="3" t="str">
        <f t="shared" si="2"/>
        <v>person tipping hand light skin tone</v>
      </c>
    </row>
    <row r="2421" ht="15.75" customHeight="1">
      <c r="A2421" s="1" t="s">
        <v>6479</v>
      </c>
      <c r="B2421" s="1" t="s">
        <v>6480</v>
      </c>
      <c r="C2421" s="5" t="s">
        <v>6481</v>
      </c>
      <c r="D2421" s="2" t="str">
        <f t="shared" si="37"/>
        <v>người màu da sẫm vừa sấp bàn tay</v>
      </c>
      <c r="E2421" s="3" t="str">
        <f t="shared" si="2"/>
        <v>person tipping hand medium-dark skin tone</v>
      </c>
    </row>
    <row r="2422" ht="15.75" customHeight="1">
      <c r="A2422" s="1" t="s">
        <v>6482</v>
      </c>
      <c r="B2422" s="1" t="s">
        <v>6483</v>
      </c>
      <c r="C2422" s="5" t="s">
        <v>6484</v>
      </c>
      <c r="D2422" s="2" t="str">
        <f t="shared" si="37"/>
        <v>người màu da sáng vừa sấp bàn tay</v>
      </c>
      <c r="E2422" s="3" t="str">
        <f t="shared" si="2"/>
        <v>person tipping hand medium-light skin tone</v>
      </c>
    </row>
    <row r="2423" ht="15.75" customHeight="1">
      <c r="A2423" s="1" t="s">
        <v>6485</v>
      </c>
      <c r="B2423" s="1" t="s">
        <v>6486</v>
      </c>
      <c r="C2423" s="5" t="s">
        <v>6487</v>
      </c>
      <c r="D2423" s="2" t="str">
        <f t="shared" si="37"/>
        <v>người màu da thường sấp bàn tay</v>
      </c>
      <c r="E2423" s="3" t="str">
        <f t="shared" si="2"/>
        <v>person tipping hand medium skin tone</v>
      </c>
    </row>
    <row r="2424" ht="15.75" customHeight="1">
      <c r="A2424" s="1" t="s">
        <v>6488</v>
      </c>
      <c r="B2424" s="1" t="s">
        <v>6489</v>
      </c>
      <c r="C2424" s="5" t="s">
        <v>6490</v>
      </c>
      <c r="D2424" s="2" t="str">
        <f t="shared" si="37"/>
        <v>người đi bộ</v>
      </c>
      <c r="E2424" s="3" t="str">
        <f t="shared" si="2"/>
        <v>person walking</v>
      </c>
    </row>
    <row r="2425" ht="15.75" customHeight="1">
      <c r="A2425" s="1" t="s">
        <v>6491</v>
      </c>
      <c r="B2425" s="1" t="s">
        <v>6492</v>
      </c>
      <c r="C2425" s="5" t="s">
        <v>6493</v>
      </c>
      <c r="D2425" s="2" t="str">
        <f t="shared" si="37"/>
        <v>người màu da sẫm đi bộ</v>
      </c>
      <c r="E2425" s="3" t="str">
        <f t="shared" si="2"/>
        <v>person walking dark skin tone</v>
      </c>
    </row>
    <row r="2426" ht="15.75" customHeight="1">
      <c r="A2426" s="1" t="s">
        <v>6494</v>
      </c>
      <c r="B2426" s="1" t="s">
        <v>6495</v>
      </c>
      <c r="C2426" s="5" t="s">
        <v>6496</v>
      </c>
      <c r="D2426" s="2" t="str">
        <f t="shared" si="37"/>
        <v>người màu da sáng đi bộ</v>
      </c>
      <c r="E2426" s="3" t="str">
        <f t="shared" si="2"/>
        <v>person walking light skin tone</v>
      </c>
    </row>
    <row r="2427" ht="15.75" customHeight="1">
      <c r="A2427" s="1" t="s">
        <v>6497</v>
      </c>
      <c r="B2427" s="1" t="s">
        <v>6498</v>
      </c>
      <c r="C2427" s="5" t="s">
        <v>6499</v>
      </c>
      <c r="D2427" s="2" t="str">
        <f t="shared" si="37"/>
        <v>người màu da sẫm vừa đi bộ</v>
      </c>
      <c r="E2427" s="3" t="str">
        <f t="shared" si="2"/>
        <v>person walking medium-dark skin tone</v>
      </c>
    </row>
    <row r="2428" ht="15.75" customHeight="1">
      <c r="A2428" s="1" t="s">
        <v>6500</v>
      </c>
      <c r="B2428" s="1" t="s">
        <v>6501</v>
      </c>
      <c r="C2428" s="5" t="s">
        <v>6502</v>
      </c>
      <c r="D2428" s="2" t="str">
        <f t="shared" si="37"/>
        <v>người màu da sáng vừa đi bộ</v>
      </c>
      <c r="E2428" s="3" t="str">
        <f t="shared" si="2"/>
        <v>person walking medium-light skin tone</v>
      </c>
    </row>
    <row r="2429" ht="15.75" customHeight="1">
      <c r="A2429" s="1" t="s">
        <v>6503</v>
      </c>
      <c r="B2429" s="1" t="s">
        <v>6504</v>
      </c>
      <c r="C2429" s="5" t="s">
        <v>6505</v>
      </c>
      <c r="D2429" s="2" t="str">
        <f t="shared" si="37"/>
        <v>người màu da thường đi bộ</v>
      </c>
      <c r="E2429" s="3" t="str">
        <f t="shared" si="2"/>
        <v>person walking medium skin tone</v>
      </c>
    </row>
    <row r="2430" ht="15.75" customHeight="1">
      <c r="A2430" s="1" t="s">
        <v>6506</v>
      </c>
      <c r="B2430" s="1" t="s">
        <v>6507</v>
      </c>
      <c r="C2430" s="5" t="s">
        <v>6508</v>
      </c>
      <c r="D2430" s="2" t="str">
        <f t="shared" si="37"/>
        <v>người đội khăn xếp</v>
      </c>
      <c r="E2430" s="3" t="str">
        <f t="shared" si="2"/>
        <v>person wearing turban</v>
      </c>
    </row>
    <row r="2431" ht="15.75" customHeight="1">
      <c r="A2431" s="1" t="s">
        <v>6509</v>
      </c>
      <c r="B2431" s="1" t="s">
        <v>6510</v>
      </c>
      <c r="C2431" s="5" t="s">
        <v>6511</v>
      </c>
      <c r="D2431" s="2" t="str">
        <f t="shared" si="37"/>
        <v>người màu da sẫm đội khăn xếp</v>
      </c>
      <c r="E2431" s="3" t="str">
        <f t="shared" si="2"/>
        <v>person wearing turban dark skin tone</v>
      </c>
    </row>
    <row r="2432" ht="15.75" customHeight="1">
      <c r="A2432" s="1" t="s">
        <v>6512</v>
      </c>
      <c r="B2432" s="1" t="s">
        <v>6513</v>
      </c>
      <c r="C2432" s="5" t="s">
        <v>6514</v>
      </c>
      <c r="D2432" s="2" t="str">
        <f t="shared" si="37"/>
        <v>người màu da sáng đội khăn xếp</v>
      </c>
      <c r="E2432" s="3" t="str">
        <f t="shared" si="2"/>
        <v>person wearing turban light skin tone</v>
      </c>
    </row>
    <row r="2433" ht="15.75" customHeight="1">
      <c r="A2433" s="1" t="s">
        <v>6515</v>
      </c>
      <c r="B2433" s="1" t="s">
        <v>6516</v>
      </c>
      <c r="C2433" s="5" t="s">
        <v>6517</v>
      </c>
      <c r="D2433" s="2" t="str">
        <f t="shared" si="37"/>
        <v>người màu da sẫm vừa đội khăn xếp</v>
      </c>
      <c r="E2433" s="3" t="str">
        <f t="shared" si="2"/>
        <v>person wearing turban medium-dark skin tone</v>
      </c>
    </row>
    <row r="2434" ht="15.75" customHeight="1">
      <c r="A2434" s="1" t="s">
        <v>6518</v>
      </c>
      <c r="B2434" s="1" t="s">
        <v>6519</v>
      </c>
      <c r="C2434" s="5" t="s">
        <v>6520</v>
      </c>
      <c r="D2434" s="2" t="str">
        <f t="shared" si="37"/>
        <v>người màu da sáng vừa đội khăn xếp</v>
      </c>
      <c r="E2434" s="3" t="str">
        <f t="shared" si="2"/>
        <v>person wearing turban medium-light skin tone</v>
      </c>
    </row>
    <row r="2435" ht="15.75" customHeight="1">
      <c r="A2435" s="1" t="s">
        <v>6521</v>
      </c>
      <c r="B2435" s="1" t="s">
        <v>6522</v>
      </c>
      <c r="C2435" s="5" t="s">
        <v>6523</v>
      </c>
      <c r="D2435" s="2" t="str">
        <f t="shared" si="37"/>
        <v>người màu da thường đội khăn xếp</v>
      </c>
      <c r="E2435" s="3" t="str">
        <f t="shared" si="2"/>
        <v>person wearing turban medium skin tone</v>
      </c>
    </row>
    <row r="2436" ht="15.75" customHeight="1">
      <c r="A2436" s="1" t="s">
        <v>6524</v>
      </c>
      <c r="B2436" s="1" t="s">
        <v>6525</v>
      </c>
      <c r="C2436" s="5" t="str">
        <f>IFERROR(__xludf.DUMMYFUNCTION("GOOGLETRANSLATE(E2436, ""en"",""vi"")"),"người tóc trắng")</f>
        <v>người tóc trắng</v>
      </c>
      <c r="D2436" s="2" t="str">
        <f t="shared" si="37"/>
        <v>người tóc trắng</v>
      </c>
      <c r="E2436" s="3" t="str">
        <f t="shared" si="2"/>
        <v>person white hair</v>
      </c>
    </row>
    <row r="2437" ht="15.75" customHeight="1">
      <c r="A2437" s="1" t="s">
        <v>6526</v>
      </c>
      <c r="B2437" s="1" t="s">
        <v>6527</v>
      </c>
      <c r="C2437" s="2" t="s">
        <v>6528</v>
      </c>
      <c r="D2437" s="2" t="str">
        <f t="shared" si="37"/>
        <v>người đội mũ trung quốc</v>
      </c>
      <c r="E2437" s="3" t="str">
        <f t="shared" si="2"/>
        <v>person with skullcap</v>
      </c>
    </row>
    <row r="2438" ht="15.75" customHeight="1">
      <c r="A2438" s="1" t="s">
        <v>6529</v>
      </c>
      <c r="B2438" s="1" t="s">
        <v>6530</v>
      </c>
      <c r="C2438" s="2" t="s">
        <v>6531</v>
      </c>
      <c r="D2438" s="2" t="str">
        <f t="shared" si="37"/>
        <v>người màu da sẫm đội mũ trung quốc</v>
      </c>
      <c r="E2438" s="3" t="str">
        <f t="shared" si="2"/>
        <v>person with skullcap dark skin tone</v>
      </c>
    </row>
    <row r="2439" ht="15.75" customHeight="1">
      <c r="A2439" s="1" t="s">
        <v>6532</v>
      </c>
      <c r="B2439" s="1" t="s">
        <v>6533</v>
      </c>
      <c r="C2439" s="2" t="s">
        <v>6534</v>
      </c>
      <c r="D2439" s="2" t="str">
        <f t="shared" si="37"/>
        <v>người màu da sáng đội mũ trung quốc</v>
      </c>
      <c r="E2439" s="3" t="str">
        <f t="shared" si="2"/>
        <v>person with skullcap light skin tone</v>
      </c>
    </row>
    <row r="2440" ht="15.75" customHeight="1">
      <c r="A2440" s="1" t="s">
        <v>6535</v>
      </c>
      <c r="B2440" s="1" t="s">
        <v>6536</v>
      </c>
      <c r="C2440" s="2" t="s">
        <v>6537</v>
      </c>
      <c r="D2440" s="2" t="str">
        <f t="shared" si="37"/>
        <v>người màu da sẫm vừa đội mũ trung quốc</v>
      </c>
      <c r="E2440" s="3" t="str">
        <f t="shared" si="2"/>
        <v>person with skullcap medium-dark skin tone</v>
      </c>
    </row>
    <row r="2441" ht="15.75" customHeight="1">
      <c r="A2441" s="1" t="s">
        <v>6538</v>
      </c>
      <c r="B2441" s="1" t="s">
        <v>6539</v>
      </c>
      <c r="C2441" s="2" t="s">
        <v>6540</v>
      </c>
      <c r="D2441" s="2" t="str">
        <f t="shared" si="37"/>
        <v>người màu da sáng vừa đội mũ trung quốc</v>
      </c>
      <c r="E2441" s="3" t="str">
        <f t="shared" si="2"/>
        <v>person with skullcap medium-light skin tone</v>
      </c>
    </row>
    <row r="2442" ht="15.75" customHeight="1">
      <c r="A2442" s="1" t="s">
        <v>6541</v>
      </c>
      <c r="B2442" s="1" t="s">
        <v>6542</v>
      </c>
      <c r="C2442" s="2" t="s">
        <v>6543</v>
      </c>
      <c r="D2442" s="2" t="str">
        <f t="shared" si="37"/>
        <v>người màu da thường đội mũ trung quốc</v>
      </c>
      <c r="E2442" s="3" t="str">
        <f t="shared" si="2"/>
        <v>person with skullcap medium skin tone</v>
      </c>
    </row>
    <row r="2443" ht="15.75" customHeight="1">
      <c r="A2443" s="1" t="s">
        <v>6544</v>
      </c>
      <c r="B2443" s="1" t="s">
        <v>6545</v>
      </c>
      <c r="C2443" s="5" t="s">
        <v>6546</v>
      </c>
      <c r="D2443" s="2" t="str">
        <f t="shared" si="37"/>
        <v>người với tấm màn che</v>
      </c>
      <c r="E2443" s="3" t="str">
        <f t="shared" si="2"/>
        <v>person with veil</v>
      </c>
    </row>
    <row r="2444" ht="15.75" customHeight="1">
      <c r="A2444" s="1" t="s">
        <v>6547</v>
      </c>
      <c r="B2444" s="1" t="s">
        <v>6548</v>
      </c>
      <c r="C2444" s="5" t="s">
        <v>6549</v>
      </c>
      <c r="D2444" s="2" t="str">
        <f t="shared" si="37"/>
        <v>người màu da sẫm với tấm màn che</v>
      </c>
      <c r="E2444" s="3" t="str">
        <f t="shared" si="2"/>
        <v>person with veil dark skin tone</v>
      </c>
    </row>
    <row r="2445" ht="15.75" customHeight="1">
      <c r="A2445" s="1" t="s">
        <v>6550</v>
      </c>
      <c r="B2445" s="1" t="s">
        <v>6551</v>
      </c>
      <c r="C2445" s="5" t="s">
        <v>6552</v>
      </c>
      <c r="D2445" s="2" t="str">
        <f t="shared" si="37"/>
        <v>người màu da sáng với tấm màn che</v>
      </c>
      <c r="E2445" s="3" t="str">
        <f t="shared" si="2"/>
        <v>person with veil light skin tone</v>
      </c>
    </row>
    <row r="2446" ht="15.75" customHeight="1">
      <c r="A2446" s="1" t="s">
        <v>6553</v>
      </c>
      <c r="B2446" s="1" t="s">
        <v>6554</v>
      </c>
      <c r="C2446" s="5" t="s">
        <v>6555</v>
      </c>
      <c r="D2446" s="2" t="str">
        <f t="shared" si="37"/>
        <v>người màu da sẫm vừa với tấm màn che</v>
      </c>
      <c r="E2446" s="3" t="str">
        <f t="shared" si="2"/>
        <v>person with veil medium-dark skin tone</v>
      </c>
    </row>
    <row r="2447" ht="15.75" customHeight="1">
      <c r="A2447" s="1" t="s">
        <v>6556</v>
      </c>
      <c r="B2447" s="1" t="s">
        <v>6557</v>
      </c>
      <c r="C2447" s="5" t="s">
        <v>6558</v>
      </c>
      <c r="D2447" s="2" t="str">
        <f t="shared" si="37"/>
        <v>người màu da sáng vừa với tấm màn che</v>
      </c>
      <c r="E2447" s="3" t="str">
        <f t="shared" si="2"/>
        <v>person with veil medium-light skin tone</v>
      </c>
    </row>
    <row r="2448" ht="15.75" customHeight="1">
      <c r="A2448" s="1" t="s">
        <v>6559</v>
      </c>
      <c r="B2448" s="1" t="s">
        <v>6560</v>
      </c>
      <c r="C2448" s="5" t="s">
        <v>6561</v>
      </c>
      <c r="D2448" s="2" t="str">
        <f t="shared" si="37"/>
        <v>người màu da thường với tấm màn che</v>
      </c>
      <c r="E2448" s="3" t="str">
        <f t="shared" si="2"/>
        <v>person with veil medium skin tone</v>
      </c>
    </row>
    <row r="2449" ht="15.75" customHeight="1">
      <c r="A2449" s="1" t="s">
        <v>6562</v>
      </c>
      <c r="B2449" s="1" t="s">
        <v>6563</v>
      </c>
      <c r="C2449" s="5" t="s">
        <v>6564</v>
      </c>
      <c r="D2449" s="2" t="str">
        <f t="shared" si="37"/>
        <v>người với cây ba toong trắng</v>
      </c>
      <c r="E2449" s="3" t="str">
        <f t="shared" si="2"/>
        <v>person with white cane</v>
      </c>
    </row>
    <row r="2450" ht="15.75" customHeight="1">
      <c r="A2450" s="1" t="s">
        <v>6565</v>
      </c>
      <c r="B2450" s="1" t="s">
        <v>6566</v>
      </c>
      <c r="C2450" s="5" t="s">
        <v>6567</v>
      </c>
      <c r="D2450" s="2" t="str">
        <f t="shared" si="37"/>
        <v>người màu da sẫm với cây ba toong trắng</v>
      </c>
      <c r="E2450" s="3" t="str">
        <f t="shared" si="2"/>
        <v>person with white cane dark skin tone</v>
      </c>
    </row>
    <row r="2451" ht="15.75" customHeight="1">
      <c r="A2451" s="1" t="s">
        <v>6568</v>
      </c>
      <c r="B2451" s="1" t="s">
        <v>6569</v>
      </c>
      <c r="C2451" s="5" t="s">
        <v>6570</v>
      </c>
      <c r="D2451" s="2" t="str">
        <f t="shared" si="37"/>
        <v>người màu da sáng với cây ba toong trắng</v>
      </c>
      <c r="E2451" s="3" t="str">
        <f t="shared" si="2"/>
        <v>person with white cane light skin tone</v>
      </c>
    </row>
    <row r="2452" ht="15.75" customHeight="1">
      <c r="A2452" s="1" t="s">
        <v>6571</v>
      </c>
      <c r="B2452" s="1" t="s">
        <v>6572</v>
      </c>
      <c r="C2452" s="5" t="s">
        <v>6573</v>
      </c>
      <c r="D2452" s="2" t="str">
        <f t="shared" si="37"/>
        <v>người màu da sẫm vừa với cây ba toong trắng</v>
      </c>
      <c r="E2452" s="3" t="str">
        <f t="shared" si="2"/>
        <v>person with white cane medium-dark skin tone</v>
      </c>
    </row>
    <row r="2453" ht="15.75" customHeight="1">
      <c r="A2453" s="1" t="s">
        <v>6574</v>
      </c>
      <c r="B2453" s="1" t="s">
        <v>6575</v>
      </c>
      <c r="C2453" s="5" t="s">
        <v>6576</v>
      </c>
      <c r="D2453" s="2" t="str">
        <f t="shared" si="37"/>
        <v>người màu da sáng vừa với cây ba toong trắng</v>
      </c>
      <c r="E2453" s="3" t="str">
        <f t="shared" si="2"/>
        <v>person with white cane medium-light skin tone</v>
      </c>
    </row>
    <row r="2454" ht="15.75" customHeight="1">
      <c r="A2454" s="1" t="s">
        <v>6577</v>
      </c>
      <c r="B2454" s="1" t="s">
        <v>6578</v>
      </c>
      <c r="C2454" s="5" t="s">
        <v>6579</v>
      </c>
      <c r="D2454" s="2" t="str">
        <f t="shared" si="37"/>
        <v>người màu da thường với cây ba toong trắng</v>
      </c>
      <c r="E2454" s="3" t="str">
        <f t="shared" si="2"/>
        <v>person with white cane medium skin tone</v>
      </c>
    </row>
    <row r="2455" ht="15.75" customHeight="1">
      <c r="A2455" s="1" t="s">
        <v>6580</v>
      </c>
      <c r="B2455" s="1" t="s">
        <v>6581</v>
      </c>
      <c r="C2455" s="2" t="s">
        <v>6582</v>
      </c>
      <c r="D2455" s="2" t="str">
        <f t="shared" si="37"/>
        <v>đĩa petri</v>
      </c>
      <c r="E2455" s="3" t="str">
        <f t="shared" si="2"/>
        <v>petri dish</v>
      </c>
    </row>
    <row r="2456" ht="15.75" customHeight="1">
      <c r="A2456" s="1" t="s">
        <v>6583</v>
      </c>
      <c r="B2456" s="1" t="s">
        <v>6584</v>
      </c>
      <c r="C2456" s="2" t="s">
        <v>6585</v>
      </c>
      <c r="D2456" s="2" t="str">
        <f t="shared" si="37"/>
        <v>cuốc</v>
      </c>
      <c r="E2456" s="3" t="str">
        <f t="shared" si="2"/>
        <v>pick</v>
      </c>
    </row>
    <row r="2457" ht="15.75" customHeight="1">
      <c r="A2457" s="1" t="s">
        <v>6586</v>
      </c>
      <c r="B2457" s="1" t="s">
        <v>6587</v>
      </c>
      <c r="C2457" s="2" t="str">
        <f>IFERROR(__xludf.DUMMYFUNCTION("GOOGLETRANSLATE(E2457, ""en"",""vi"")"),"xe bán tải")</f>
        <v>xe bán tải</v>
      </c>
      <c r="D2457" s="2" t="str">
        <f t="shared" si="37"/>
        <v>xe bán tải</v>
      </c>
      <c r="E2457" s="3" t="str">
        <f t="shared" si="2"/>
        <v>pickup truck</v>
      </c>
    </row>
    <row r="2458" ht="15.75" customHeight="1">
      <c r="A2458" s="1" t="s">
        <v>6588</v>
      </c>
      <c r="B2458" s="1" t="s">
        <v>6589</v>
      </c>
      <c r="C2458" s="2" t="str">
        <f>IFERROR(__xludf.DUMMYFUNCTION("GOOGLETRANSLATE(E2458, ""en"",""vi"")"),"bánh")</f>
        <v>bánh</v>
      </c>
      <c r="D2458" s="2" t="str">
        <f t="shared" si="37"/>
        <v>bánh</v>
      </c>
      <c r="E2458" s="3" t="str">
        <f t="shared" si="2"/>
        <v>pie</v>
      </c>
    </row>
    <row r="2459" ht="15.75" customHeight="1">
      <c r="A2459" s="1" t="s">
        <v>6590</v>
      </c>
      <c r="B2459" s="1" t="s">
        <v>6591</v>
      </c>
      <c r="C2459" s="2" t="s">
        <v>6592</v>
      </c>
      <c r="D2459" s="2" t="str">
        <f t="shared" si="37"/>
        <v>con lợn</v>
      </c>
      <c r="E2459" s="3" t="str">
        <f t="shared" si="2"/>
        <v>pig</v>
      </c>
    </row>
    <row r="2460" ht="15.75" customHeight="1">
      <c r="A2460" s="1" t="s">
        <v>6593</v>
      </c>
      <c r="B2460" s="1" t="s">
        <v>6594</v>
      </c>
      <c r="C2460" s="2" t="str">
        <f>IFERROR(__xludf.DUMMYFUNCTION("GOOGLETRANSLATE(E2460, ""en"",""vi"")"),"mặt lợn")</f>
        <v>mặt lợn</v>
      </c>
      <c r="D2460" s="2" t="str">
        <f t="shared" si="37"/>
        <v>mặt lợn</v>
      </c>
      <c r="E2460" s="3" t="str">
        <f t="shared" si="2"/>
        <v>pig face</v>
      </c>
    </row>
    <row r="2461" ht="15.75" customHeight="1">
      <c r="A2461" s="1" t="s">
        <v>6595</v>
      </c>
      <c r="B2461" s="1" t="s">
        <v>6596</v>
      </c>
      <c r="C2461" s="2" t="s">
        <v>6597</v>
      </c>
      <c r="D2461" s="2" t="str">
        <f t="shared" si="37"/>
        <v>mũi lợn</v>
      </c>
      <c r="E2461" s="3" t="str">
        <f t="shared" si="2"/>
        <v>pig nose</v>
      </c>
    </row>
    <row r="2462" ht="15.75" customHeight="1">
      <c r="A2462" s="1" t="s">
        <v>6598</v>
      </c>
      <c r="B2462" s="1" t="s">
        <v>6599</v>
      </c>
      <c r="C2462" s="2" t="s">
        <v>6600</v>
      </c>
      <c r="D2462" s="2" t="str">
        <f t="shared" si="37"/>
        <v>đống phân</v>
      </c>
      <c r="E2462" s="3" t="str">
        <f t="shared" si="2"/>
        <v>pile of poo</v>
      </c>
    </row>
    <row r="2463" ht="15.75" customHeight="1">
      <c r="A2463" s="1" t="s">
        <v>6601</v>
      </c>
      <c r="B2463" s="1" t="s">
        <v>6602</v>
      </c>
      <c r="C2463" s="2" t="str">
        <f>IFERROR(__xludf.DUMMYFUNCTION("GOOGLETRANSLATE(E2463, ""en"",""vi"")"),"viên thuốc")</f>
        <v>viên thuốc</v>
      </c>
      <c r="D2463" s="2" t="str">
        <f t="shared" si="37"/>
        <v>viên thuốc</v>
      </c>
      <c r="E2463" s="3" t="str">
        <f t="shared" si="2"/>
        <v>pill</v>
      </c>
    </row>
    <row r="2464" ht="15.75" customHeight="1">
      <c r="A2464" s="1" t="s">
        <v>6603</v>
      </c>
      <c r="B2464" s="1" t="s">
        <v>6604</v>
      </c>
      <c r="C2464" s="2" t="s">
        <v>6605</v>
      </c>
      <c r="D2464" s="2" t="str">
        <f t="shared" si="37"/>
        <v>phi công</v>
      </c>
      <c r="E2464" s="3" t="str">
        <f t="shared" si="2"/>
        <v>pilot</v>
      </c>
    </row>
    <row r="2465" ht="15.75" customHeight="1">
      <c r="A2465" s="1" t="s">
        <v>6606</v>
      </c>
      <c r="B2465" s="1" t="s">
        <v>6607</v>
      </c>
      <c r="C2465" s="2" t="s">
        <v>6608</v>
      </c>
      <c r="D2465" s="2" t="str">
        <f t="shared" si="37"/>
        <v>phi công màu da sẫm</v>
      </c>
      <c r="E2465" s="3" t="str">
        <f t="shared" si="2"/>
        <v>pilot dark skin tone</v>
      </c>
    </row>
    <row r="2466" ht="15.75" customHeight="1">
      <c r="A2466" s="1" t="s">
        <v>6609</v>
      </c>
      <c r="B2466" s="1" t="s">
        <v>6610</v>
      </c>
      <c r="C2466" s="2" t="s">
        <v>6611</v>
      </c>
      <c r="D2466" s="2" t="str">
        <f t="shared" si="37"/>
        <v>phi công màu da sáng</v>
      </c>
      <c r="E2466" s="3" t="str">
        <f t="shared" si="2"/>
        <v>pilot light skin tone</v>
      </c>
    </row>
    <row r="2467" ht="15.75" customHeight="1">
      <c r="A2467" s="1" t="s">
        <v>6612</v>
      </c>
      <c r="B2467" s="1" t="s">
        <v>6613</v>
      </c>
      <c r="C2467" s="2" t="s">
        <v>6614</v>
      </c>
      <c r="D2467" s="2" t="str">
        <f t="shared" si="37"/>
        <v>phi công màu da sẫm vừa</v>
      </c>
      <c r="E2467" s="3" t="str">
        <f t="shared" si="2"/>
        <v>pilot medium-dark skin tone</v>
      </c>
    </row>
    <row r="2468" ht="15.75" customHeight="1">
      <c r="A2468" s="1" t="s">
        <v>6615</v>
      </c>
      <c r="B2468" s="1" t="s">
        <v>6616</v>
      </c>
      <c r="C2468" s="2" t="s">
        <v>6617</v>
      </c>
      <c r="D2468" s="2" t="str">
        <f t="shared" si="37"/>
        <v>phi công màu da sáng vừa</v>
      </c>
      <c r="E2468" s="3" t="str">
        <f t="shared" si="2"/>
        <v>pilot medium-light skin tone</v>
      </c>
    </row>
    <row r="2469" ht="15.75" customHeight="1">
      <c r="A2469" s="1" t="s">
        <v>6618</v>
      </c>
      <c r="B2469" s="1" t="s">
        <v>6619</v>
      </c>
      <c r="C2469" s="2" t="s">
        <v>6620</v>
      </c>
      <c r="D2469" s="2" t="str">
        <f t="shared" si="37"/>
        <v>phi công màu da thường</v>
      </c>
      <c r="E2469" s="3" t="str">
        <f t="shared" si="2"/>
        <v>pilot medium skin tone</v>
      </c>
    </row>
    <row r="2470" ht="15.75" customHeight="1">
      <c r="A2470" s="1" t="s">
        <v>6621</v>
      </c>
      <c r="B2470" s="1" t="s">
        <v>6622</v>
      </c>
      <c r="C2470" s="2" t="s">
        <v>6623</v>
      </c>
      <c r="D2470" s="2" t="str">
        <f t="shared" si="37"/>
        <v>ngón tay khum lại</v>
      </c>
      <c r="E2470" s="3" t="str">
        <f t="shared" si="2"/>
        <v>pinched fingers</v>
      </c>
    </row>
    <row r="2471" ht="15.75" customHeight="1">
      <c r="A2471" s="1" t="s">
        <v>6624</v>
      </c>
      <c r="B2471" s="1" t="s">
        <v>6625</v>
      </c>
      <c r="C2471" s="2" t="s">
        <v>6626</v>
      </c>
      <c r="D2471" s="2" t="str">
        <f t="shared" si="37"/>
        <v>ngón tay khum lại màu da sẫm</v>
      </c>
      <c r="E2471" s="3" t="str">
        <f t="shared" si="2"/>
        <v>pinched fingers dark skin tone</v>
      </c>
    </row>
    <row r="2472" ht="15.75" customHeight="1">
      <c r="A2472" s="1" t="s">
        <v>6627</v>
      </c>
      <c r="B2472" s="1" t="s">
        <v>6628</v>
      </c>
      <c r="C2472" s="2" t="s">
        <v>6629</v>
      </c>
      <c r="D2472" s="2" t="str">
        <f t="shared" si="37"/>
        <v>ngón tay khum lại màu da sáng</v>
      </c>
      <c r="E2472" s="3" t="str">
        <f t="shared" si="2"/>
        <v>pinched fingers light skin tone</v>
      </c>
    </row>
    <row r="2473" ht="15.75" customHeight="1">
      <c r="A2473" s="1" t="s">
        <v>6630</v>
      </c>
      <c r="B2473" s="1" t="s">
        <v>6631</v>
      </c>
      <c r="C2473" s="2" t="s">
        <v>6632</v>
      </c>
      <c r="D2473" s="2" t="str">
        <f t="shared" si="37"/>
        <v>ngón tay khum lại màu da sẫm vừa</v>
      </c>
      <c r="E2473" s="3" t="str">
        <f t="shared" si="2"/>
        <v>pinched fingers medium-dark skin tone</v>
      </c>
    </row>
    <row r="2474" ht="15.75" customHeight="1">
      <c r="A2474" s="1" t="s">
        <v>6633</v>
      </c>
      <c r="B2474" s="1" t="s">
        <v>6634</v>
      </c>
      <c r="C2474" s="2" t="s">
        <v>6635</v>
      </c>
      <c r="D2474" s="2" t="str">
        <f t="shared" si="37"/>
        <v>ngón tay khum lại màu da sáng vừa</v>
      </c>
      <c r="E2474" s="3" t="str">
        <f t="shared" si="2"/>
        <v>pinched fingers medium-light skin tone</v>
      </c>
    </row>
    <row r="2475" ht="15.75" customHeight="1">
      <c r="A2475" s="1" t="s">
        <v>6636</v>
      </c>
      <c r="B2475" s="1" t="s">
        <v>6637</v>
      </c>
      <c r="C2475" s="2" t="s">
        <v>6638</v>
      </c>
      <c r="D2475" s="2" t="str">
        <f t="shared" si="37"/>
        <v>ngón tay khum lại màu da thường</v>
      </c>
      <c r="E2475" s="3" t="str">
        <f t="shared" si="2"/>
        <v>pinched fingers medium skin tone</v>
      </c>
    </row>
    <row r="2476" ht="15.75" customHeight="1">
      <c r="A2476" s="1" t="s">
        <v>6639</v>
      </c>
      <c r="B2476" s="1" t="s">
        <v>6640</v>
      </c>
      <c r="C2476" s="2" t="s">
        <v>6641</v>
      </c>
      <c r="D2476" s="2" t="str">
        <f t="shared" si="37"/>
        <v>ngón tay đang khum lại</v>
      </c>
      <c r="E2476" s="3" t="str">
        <f t="shared" si="2"/>
        <v>pinching hand</v>
      </c>
    </row>
    <row r="2477" ht="15.75" customHeight="1">
      <c r="A2477" s="1" t="s">
        <v>6642</v>
      </c>
      <c r="B2477" s="1" t="s">
        <v>6643</v>
      </c>
      <c r="C2477" s="2" t="s">
        <v>6644</v>
      </c>
      <c r="D2477" s="2" t="str">
        <f t="shared" si="37"/>
        <v>ngón tay đang khum lại màu da sẫm</v>
      </c>
      <c r="E2477" s="3" t="str">
        <f t="shared" si="2"/>
        <v>pinching hand dark skin tone</v>
      </c>
    </row>
    <row r="2478" ht="15.75" customHeight="1">
      <c r="A2478" s="1" t="s">
        <v>6645</v>
      </c>
      <c r="B2478" s="1" t="s">
        <v>6646</v>
      </c>
      <c r="C2478" s="2" t="s">
        <v>6647</v>
      </c>
      <c r="D2478" s="2" t="str">
        <f t="shared" si="37"/>
        <v>ngón tay đang khum lại màu da sáng</v>
      </c>
      <c r="E2478" s="3" t="str">
        <f t="shared" si="2"/>
        <v>pinching hand light skin tone</v>
      </c>
    </row>
    <row r="2479" ht="15.75" customHeight="1">
      <c r="A2479" s="1" t="s">
        <v>6648</v>
      </c>
      <c r="B2479" s="1" t="s">
        <v>6649</v>
      </c>
      <c r="C2479" s="2" t="s">
        <v>6650</v>
      </c>
      <c r="D2479" s="2" t="str">
        <f t="shared" si="37"/>
        <v>ngón tay đang khum lại màu da sẫm vừa</v>
      </c>
      <c r="E2479" s="3" t="str">
        <f t="shared" si="2"/>
        <v>pinching hand medium-dark skin tone</v>
      </c>
    </row>
    <row r="2480" ht="15.75" customHeight="1">
      <c r="A2480" s="1" t="s">
        <v>6651</v>
      </c>
      <c r="B2480" s="1" t="s">
        <v>6652</v>
      </c>
      <c r="C2480" s="2" t="s">
        <v>6653</v>
      </c>
      <c r="D2480" s="2" t="str">
        <f t="shared" si="37"/>
        <v>ngón tay đang khum lại màu da sáng vừa</v>
      </c>
      <c r="E2480" s="3" t="str">
        <f t="shared" si="2"/>
        <v>pinching hand medium-light skin tone</v>
      </c>
    </row>
    <row r="2481" ht="15.75" customHeight="1">
      <c r="A2481" s="1" t="s">
        <v>6654</v>
      </c>
      <c r="B2481" s="1" t="s">
        <v>6655</v>
      </c>
      <c r="C2481" s="2" t="s">
        <v>6656</v>
      </c>
      <c r="D2481" s="2" t="str">
        <f t="shared" si="37"/>
        <v>ngón tay đang khum lại màu da thường</v>
      </c>
      <c r="E2481" s="3" t="str">
        <f t="shared" si="2"/>
        <v>pinching hand medium skin tone</v>
      </c>
    </row>
    <row r="2482" ht="15.75" customHeight="1">
      <c r="A2482" s="1" t="s">
        <v>6657</v>
      </c>
      <c r="B2482" s="1" t="s">
        <v>6658</v>
      </c>
      <c r="C2482" s="2" t="s">
        <v>6659</v>
      </c>
      <c r="D2482" s="2" t="str">
        <f t="shared" si="37"/>
        <v>thông trang trí</v>
      </c>
      <c r="E2482" s="3" t="str">
        <f t="shared" si="2"/>
        <v>pine decoration</v>
      </c>
    </row>
    <row r="2483" ht="15.75" customHeight="1">
      <c r="A2483" s="1" t="s">
        <v>6660</v>
      </c>
      <c r="B2483" s="1" t="s">
        <v>6661</v>
      </c>
      <c r="C2483" s="2" t="str">
        <f>IFERROR(__xludf.DUMMYFUNCTION("GOOGLETRANSLATE(E2483, ""en"",""vi"")"),"quả dứa")</f>
        <v>quả dứa</v>
      </c>
      <c r="D2483" s="2" t="str">
        <f t="shared" si="37"/>
        <v>quả dứa</v>
      </c>
      <c r="E2483" s="3" t="str">
        <f t="shared" si="2"/>
        <v>pineapple</v>
      </c>
    </row>
    <row r="2484" ht="15.75" customHeight="1">
      <c r="A2484" s="1" t="s">
        <v>6662</v>
      </c>
      <c r="B2484" s="1" t="s">
        <v>6663</v>
      </c>
      <c r="C2484" s="2" t="str">
        <f>IFERROR(__xludf.DUMMYFUNCTION("GOOGLETRANSLATE(E2484, ""en"",""vi"")"),"bóng bàn")</f>
        <v>bóng bàn</v>
      </c>
      <c r="D2484" s="2" t="str">
        <f t="shared" si="37"/>
        <v>bóng bàn</v>
      </c>
      <c r="E2484" s="3" t="str">
        <f t="shared" si="2"/>
        <v>ping pong</v>
      </c>
    </row>
    <row r="2485" ht="15.75" customHeight="1">
      <c r="A2485" s="1" t="s">
        <v>6664</v>
      </c>
      <c r="B2485" s="1" t="s">
        <v>6665</v>
      </c>
      <c r="C2485" s="2" t="str">
        <f>IFERROR(__xludf.DUMMYFUNCTION("GOOGLETRANSLATE(E2485, ""en"",""vi"")"),"cờ cướp biển")</f>
        <v>cờ cướp biển</v>
      </c>
      <c r="D2485" s="2" t="str">
        <f t="shared" si="37"/>
        <v>cờ cướp biển</v>
      </c>
      <c r="E2485" s="3" t="str">
        <f t="shared" si="2"/>
        <v>pirate flag</v>
      </c>
    </row>
    <row r="2486" ht="15.75" customHeight="1">
      <c r="A2486" s="1" t="s">
        <v>6666</v>
      </c>
      <c r="B2486" s="1" t="s">
        <v>6667</v>
      </c>
      <c r="C2486" s="2" t="str">
        <f>IFERROR(__xludf.DUMMYFUNCTION("GOOGLETRANSLATE(E2486, ""en"",""vi"")"),"bánh pizza")</f>
        <v>bánh pizza</v>
      </c>
      <c r="D2486" s="2" t="str">
        <f t="shared" si="37"/>
        <v>bánh pizza</v>
      </c>
      <c r="E2486" s="3" t="str">
        <f t="shared" si="2"/>
        <v>pizza</v>
      </c>
    </row>
    <row r="2487" ht="15.75" customHeight="1">
      <c r="A2487" s="1" t="s">
        <v>6668</v>
      </c>
      <c r="B2487" s="1" t="s">
        <v>6669</v>
      </c>
      <c r="C2487" s="2" t="s">
        <v>6670</v>
      </c>
      <c r="D2487" s="2" t="str">
        <f t="shared" si="37"/>
        <v>pinata</v>
      </c>
      <c r="E2487" s="3" t="str">
        <f t="shared" si="2"/>
        <v>piñata</v>
      </c>
    </row>
    <row r="2488" ht="15.75" customHeight="1">
      <c r="A2488" s="1" t="s">
        <v>6671</v>
      </c>
      <c r="B2488" s="1" t="s">
        <v>6672</v>
      </c>
      <c r="C2488" s="2" t="s">
        <v>6673</v>
      </c>
      <c r="D2488" s="2" t="str">
        <f t="shared" si="37"/>
        <v>tấm biển</v>
      </c>
      <c r="E2488" s="3" t="str">
        <f t="shared" si="2"/>
        <v>placard</v>
      </c>
    </row>
    <row r="2489" ht="15.75" customHeight="1">
      <c r="A2489" s="1" t="s">
        <v>6674</v>
      </c>
      <c r="B2489" s="1" t="s">
        <v>6675</v>
      </c>
      <c r="C2489" s="2" t="str">
        <f>IFERROR(__xludf.DUMMYFUNCTION("GOOGLETRANSLATE(E2489, ""en"",""vi"")"),"nơi thờ cúng")</f>
        <v>nơi thờ cúng</v>
      </c>
      <c r="D2489" s="2" t="str">
        <f t="shared" si="37"/>
        <v>nơi thờ cúng</v>
      </c>
      <c r="E2489" s="3" t="str">
        <f t="shared" si="2"/>
        <v>place of worship</v>
      </c>
    </row>
    <row r="2490" ht="15.75" customHeight="1">
      <c r="A2490" s="1" t="s">
        <v>6676</v>
      </c>
      <c r="B2490" s="1" t="s">
        <v>6677</v>
      </c>
      <c r="C2490" s="2" t="str">
        <f>IFERROR(__xludf.DUMMYFUNCTION("GOOGLETRANSLATE(E2490, ""en"",""vi"")"),"nút phát")</f>
        <v>nút phát</v>
      </c>
      <c r="D2490" s="2" t="str">
        <f t="shared" si="37"/>
        <v>nút phát</v>
      </c>
      <c r="E2490" s="3" t="str">
        <f t="shared" si="2"/>
        <v>play button</v>
      </c>
    </row>
    <row r="2491" ht="15.75" customHeight="1">
      <c r="A2491" s="1" t="s">
        <v>6678</v>
      </c>
      <c r="B2491" s="1" t="s">
        <v>6679</v>
      </c>
      <c r="C2491" s="2" t="str">
        <f>IFERROR(__xludf.DUMMYFUNCTION("GOOGLETRANSLATE(E2491, ""en"",""vi"")"),"nút phát hoặc tạm dừng")</f>
        <v>nút phát hoặc tạm dừng</v>
      </c>
      <c r="D2491" s="2" t="str">
        <f t="shared" si="37"/>
        <v>nút phát hoặc tạm dừng</v>
      </c>
      <c r="E2491" s="3" t="str">
        <f t="shared" si="2"/>
        <v>play or pause button</v>
      </c>
    </row>
    <row r="2492" ht="15.75" customHeight="1">
      <c r="A2492" s="1" t="s">
        <v>6680</v>
      </c>
      <c r="B2492" s="1" t="s">
        <v>6681</v>
      </c>
      <c r="C2492" s="2" t="str">
        <f>IFERROR(__xludf.DUMMYFUNCTION("GOOGLETRANSLATE(E2492, ""en"",""vi"")"),"khuôn mặt cầu xin")</f>
        <v>khuôn mặt cầu xin</v>
      </c>
      <c r="D2492" s="2" t="str">
        <f t="shared" si="37"/>
        <v>khuôn mặt cầu xin</v>
      </c>
      <c r="E2492" s="3" t="str">
        <f t="shared" si="2"/>
        <v>pleading face</v>
      </c>
    </row>
    <row r="2493" ht="15.75" customHeight="1">
      <c r="A2493" s="1" t="s">
        <v>6682</v>
      </c>
      <c r="B2493" s="1" t="s">
        <v>6683</v>
      </c>
      <c r="C2493" s="2" t="str">
        <f>IFERROR(__xludf.DUMMYFUNCTION("GOOGLETRANSLATE(E2493, ""en"",""vi"")"),"cái pít tông")</f>
        <v>cái pít tông</v>
      </c>
      <c r="D2493" s="2" t="str">
        <f t="shared" si="37"/>
        <v>cái pít tông</v>
      </c>
      <c r="E2493" s="3" t="str">
        <f t="shared" si="2"/>
        <v>plunger</v>
      </c>
    </row>
    <row r="2494" ht="15.75" customHeight="1">
      <c r="A2494" s="1" t="s">
        <v>6684</v>
      </c>
      <c r="B2494" s="1" t="s">
        <v>6685</v>
      </c>
      <c r="C2494" s="2" t="s">
        <v>6686</v>
      </c>
      <c r="D2494" s="2" t="str">
        <f t="shared" si="37"/>
        <v>cộng</v>
      </c>
      <c r="E2494" s="3" t="str">
        <f t="shared" si="2"/>
        <v>plus</v>
      </c>
    </row>
    <row r="2495" ht="15.75" customHeight="1">
      <c r="A2495" s="1" t="s">
        <v>6687</v>
      </c>
      <c r="B2495" s="1" t="s">
        <v>6688</v>
      </c>
      <c r="C2495" s="2" t="str">
        <f>IFERROR(__xludf.DUMMYFUNCTION("GOOGLETRANSLATE(E2495, ""en"",""vi"")"),"gấu bắc cực")</f>
        <v>gấu bắc cực</v>
      </c>
      <c r="D2495" s="2" t="str">
        <f t="shared" si="37"/>
        <v>gấu bắc cực</v>
      </c>
      <c r="E2495" s="3" t="str">
        <f t="shared" si="2"/>
        <v>polar bear</v>
      </c>
    </row>
    <row r="2496" ht="15.75" customHeight="1">
      <c r="A2496" s="1" t="s">
        <v>6689</v>
      </c>
      <c r="B2496" s="1" t="s">
        <v>6690</v>
      </c>
      <c r="C2496" s="2" t="str">
        <f>IFERROR(__xludf.DUMMYFUNCTION("GOOGLETRANSLATE(E2496, ""en"",""vi"")"),"xe cảnh sát")</f>
        <v>xe cảnh sát</v>
      </c>
      <c r="D2496" s="2" t="str">
        <f t="shared" si="37"/>
        <v>xe cảnh sát</v>
      </c>
      <c r="E2496" s="3" t="str">
        <f t="shared" si="2"/>
        <v>police car</v>
      </c>
    </row>
    <row r="2497" ht="15.75" customHeight="1">
      <c r="A2497" s="1" t="s">
        <v>6691</v>
      </c>
      <c r="B2497" s="1" t="s">
        <v>6692</v>
      </c>
      <c r="C2497" s="2" t="s">
        <v>6693</v>
      </c>
      <c r="D2497" s="2" t="str">
        <f t="shared" si="37"/>
        <v>đèn xe cảnh sát</v>
      </c>
      <c r="E2497" s="3" t="str">
        <f t="shared" si="2"/>
        <v>police car light</v>
      </c>
    </row>
    <row r="2498" ht="15.75" customHeight="1">
      <c r="A2498" s="1" t="s">
        <v>6694</v>
      </c>
      <c r="B2498" s="1" t="s">
        <v>6695</v>
      </c>
      <c r="C2498" s="2" t="s">
        <v>6696</v>
      </c>
      <c r="D2498" s="2" t="str">
        <f t="shared" si="37"/>
        <v>cảnh sát</v>
      </c>
      <c r="E2498" s="3" t="str">
        <f t="shared" si="2"/>
        <v>police officer</v>
      </c>
    </row>
    <row r="2499" ht="15.75" customHeight="1">
      <c r="A2499" s="1" t="s">
        <v>6697</v>
      </c>
      <c r="B2499" s="1" t="s">
        <v>6698</v>
      </c>
      <c r="C2499" s="2" t="s">
        <v>6699</v>
      </c>
      <c r="D2499" s="2" t="str">
        <f t="shared" si="37"/>
        <v>cảnh sát màu da sẫm</v>
      </c>
      <c r="E2499" s="3" t="str">
        <f t="shared" si="2"/>
        <v>police officer dark skin tone</v>
      </c>
    </row>
    <row r="2500" ht="15.75" customHeight="1">
      <c r="A2500" s="1" t="s">
        <v>6700</v>
      </c>
      <c r="B2500" s="1" t="s">
        <v>6701</v>
      </c>
      <c r="C2500" s="2" t="s">
        <v>6702</v>
      </c>
      <c r="D2500" s="2" t="str">
        <f t="shared" si="37"/>
        <v>cảnh sát màu da sáng</v>
      </c>
      <c r="E2500" s="3" t="str">
        <f t="shared" si="2"/>
        <v>police officer light skin tone</v>
      </c>
    </row>
    <row r="2501" ht="15.75" customHeight="1">
      <c r="A2501" s="1" t="s">
        <v>6703</v>
      </c>
      <c r="B2501" s="1" t="s">
        <v>6704</v>
      </c>
      <c r="C2501" s="2" t="s">
        <v>6705</v>
      </c>
      <c r="D2501" s="2" t="str">
        <f t="shared" si="37"/>
        <v>cảnh sát màu da sẫm vừa</v>
      </c>
      <c r="E2501" s="3" t="str">
        <f t="shared" si="2"/>
        <v>police officer medium-dark skin tone</v>
      </c>
    </row>
    <row r="2502" ht="15.75" customHeight="1">
      <c r="A2502" s="1" t="s">
        <v>6706</v>
      </c>
      <c r="B2502" s="1" t="s">
        <v>6707</v>
      </c>
      <c r="C2502" s="2" t="s">
        <v>6708</v>
      </c>
      <c r="D2502" s="2" t="str">
        <f t="shared" si="37"/>
        <v>cảnh sát màu da sáng vừa</v>
      </c>
      <c r="E2502" s="3" t="str">
        <f t="shared" si="2"/>
        <v>police officer medium-light skin tone</v>
      </c>
    </row>
    <row r="2503" ht="15.75" customHeight="1">
      <c r="A2503" s="1" t="s">
        <v>6709</v>
      </c>
      <c r="B2503" s="1" t="s">
        <v>6710</v>
      </c>
      <c r="C2503" s="2" t="s">
        <v>6711</v>
      </c>
      <c r="D2503" s="2" t="str">
        <f t="shared" si="37"/>
        <v>cảnh sát màu da thường</v>
      </c>
      <c r="E2503" s="3" t="str">
        <f t="shared" si="2"/>
        <v>police officer medium skin tone</v>
      </c>
    </row>
    <row r="2504" ht="15.75" customHeight="1">
      <c r="A2504" s="1" t="s">
        <v>6712</v>
      </c>
      <c r="B2504" s="1" t="s">
        <v>6713</v>
      </c>
      <c r="C2504" s="2" t="s">
        <v>6714</v>
      </c>
      <c r="D2504" s="2" t="str">
        <f t="shared" si="37"/>
        <v>chó xù</v>
      </c>
      <c r="E2504" s="3" t="str">
        <f t="shared" si="2"/>
        <v>poodle</v>
      </c>
    </row>
    <row r="2505" ht="15.75" customHeight="1">
      <c r="A2505" s="1" t="s">
        <v>6715</v>
      </c>
      <c r="B2505" s="1" t="s">
        <v>6716</v>
      </c>
      <c r="C2505" s="2" t="s">
        <v>6717</v>
      </c>
      <c r="D2505" s="2" t="str">
        <f t="shared" si="37"/>
        <v>bi 8 lỗ</v>
      </c>
      <c r="E2505" s="3" t="str">
        <f t="shared" si="2"/>
        <v>pool 8 ball</v>
      </c>
    </row>
    <row r="2506" ht="15.75" customHeight="1">
      <c r="A2506" s="1" t="s">
        <v>6718</v>
      </c>
      <c r="B2506" s="1" t="s">
        <v>6719</v>
      </c>
      <c r="C2506" s="2" t="str">
        <f>IFERROR(__xludf.DUMMYFUNCTION("GOOGLETRANSLATE(E2506, ""en"",""vi"")"),"bỏng ngô")</f>
        <v>bỏng ngô</v>
      </c>
      <c r="D2506" s="2" t="str">
        <f t="shared" si="37"/>
        <v>bỏng ngô</v>
      </c>
      <c r="E2506" s="3" t="str">
        <f t="shared" si="2"/>
        <v>popcorn</v>
      </c>
    </row>
    <row r="2507" ht="15.75" customHeight="1">
      <c r="A2507" s="1" t="s">
        <v>6720</v>
      </c>
      <c r="B2507" s="1" t="s">
        <v>6721</v>
      </c>
      <c r="C2507" s="2" t="str">
        <f>IFERROR(__xludf.DUMMYFUNCTION("GOOGLETRANSLATE(E2507, ""en"",""vi"")"),"bưu điện")</f>
        <v>bưu điện</v>
      </c>
      <c r="D2507" s="2" t="str">
        <f t="shared" si="37"/>
        <v>bưu điện</v>
      </c>
      <c r="E2507" s="3" t="str">
        <f t="shared" si="2"/>
        <v>post office</v>
      </c>
    </row>
    <row r="2508" ht="15.75" customHeight="1">
      <c r="A2508" s="1" t="s">
        <v>6722</v>
      </c>
      <c r="B2508" s="1" t="s">
        <v>6723</v>
      </c>
      <c r="C2508" s="2" t="s">
        <v>6724</v>
      </c>
      <c r="D2508" s="2" t="str">
        <f t="shared" si="37"/>
        <v>còi bưu điện</v>
      </c>
      <c r="E2508" s="3" t="str">
        <f t="shared" si="2"/>
        <v>postal horn</v>
      </c>
    </row>
    <row r="2509" ht="15.75" customHeight="1">
      <c r="A2509" s="1" t="s">
        <v>6725</v>
      </c>
      <c r="B2509" s="1" t="s">
        <v>6726</v>
      </c>
      <c r="C2509" s="2" t="s">
        <v>6727</v>
      </c>
      <c r="D2509" s="2" t="str">
        <f t="shared" si="37"/>
        <v>hộp thư</v>
      </c>
      <c r="E2509" s="3" t="str">
        <f t="shared" si="2"/>
        <v>postbox</v>
      </c>
    </row>
    <row r="2510" ht="15.75" customHeight="1">
      <c r="A2510" s="1" t="s">
        <v>6728</v>
      </c>
      <c r="B2510" s="1" t="s">
        <v>6729</v>
      </c>
      <c r="C2510" s="2" t="str">
        <f>IFERROR(__xludf.DUMMYFUNCTION("GOOGLETRANSLATE(E2510, ""en"",""vi"")"),"nồi thức ăn")</f>
        <v>nồi thức ăn</v>
      </c>
      <c r="D2510" s="2" t="str">
        <f t="shared" si="37"/>
        <v>nồi thức ăn</v>
      </c>
      <c r="E2510" s="3" t="str">
        <f t="shared" si="2"/>
        <v>pot of food</v>
      </c>
    </row>
    <row r="2511" ht="15.75" customHeight="1">
      <c r="A2511" s="1" t="s">
        <v>6730</v>
      </c>
      <c r="B2511" s="1" t="s">
        <v>6731</v>
      </c>
      <c r="C2511" s="2" t="str">
        <f>IFERROR(__xludf.DUMMYFUNCTION("GOOGLETRANSLATE(E2511, ""en"",""vi"")"),"nước uống")</f>
        <v>nước uống</v>
      </c>
      <c r="D2511" s="2" t="str">
        <f t="shared" si="37"/>
        <v>nước uống</v>
      </c>
      <c r="E2511" s="3" t="str">
        <f t="shared" si="2"/>
        <v>potable water</v>
      </c>
    </row>
    <row r="2512" ht="15.75" customHeight="1">
      <c r="A2512" s="1" t="s">
        <v>6732</v>
      </c>
      <c r="B2512" s="1" t="s">
        <v>6733</v>
      </c>
      <c r="C2512" s="2" t="str">
        <f>IFERROR(__xludf.DUMMYFUNCTION("GOOGLETRANSLATE(E2512, ""en"",""vi"")"),"khoai tây")</f>
        <v>khoai tây</v>
      </c>
      <c r="D2512" s="2" t="str">
        <f t="shared" si="37"/>
        <v>khoai tây</v>
      </c>
      <c r="E2512" s="3" t="str">
        <f t="shared" si="2"/>
        <v>potato</v>
      </c>
    </row>
    <row r="2513" ht="15.75" customHeight="1">
      <c r="A2513" s="1" t="s">
        <v>6734</v>
      </c>
      <c r="B2513" s="1" t="s">
        <v>6735</v>
      </c>
      <c r="C2513" s="2" t="str">
        <f>IFERROR(__xludf.DUMMYFUNCTION("GOOGLETRANSLATE(E2513, ""en"",""vi"")"),"cây trồng trong chậu")</f>
        <v>cây trồng trong chậu</v>
      </c>
      <c r="D2513" s="2" t="str">
        <f t="shared" si="37"/>
        <v>cây trồng trong chậu</v>
      </c>
      <c r="E2513" s="3" t="str">
        <f t="shared" si="2"/>
        <v>potted plant</v>
      </c>
    </row>
    <row r="2514" ht="15.75" customHeight="1">
      <c r="A2514" s="1" t="s">
        <v>6736</v>
      </c>
      <c r="B2514" s="1" t="s">
        <v>6737</v>
      </c>
      <c r="C2514" s="2" t="s">
        <v>6738</v>
      </c>
      <c r="D2514" s="2" t="str">
        <f t="shared" si="37"/>
        <v>chân gia cầm</v>
      </c>
      <c r="E2514" s="3" t="str">
        <f t="shared" si="2"/>
        <v>poultry leg</v>
      </c>
    </row>
    <row r="2515" ht="15.75" customHeight="1">
      <c r="A2515" s="1" t="s">
        <v>6739</v>
      </c>
      <c r="B2515" s="1" t="s">
        <v>6740</v>
      </c>
      <c r="C2515" s="2" t="s">
        <v>6741</v>
      </c>
      <c r="D2515" s="2" t="str">
        <f t="shared" si="37"/>
        <v>tiền giấy pao</v>
      </c>
      <c r="E2515" s="3" t="str">
        <f t="shared" si="2"/>
        <v>pound banknote</v>
      </c>
    </row>
    <row r="2516" ht="15.75" customHeight="1">
      <c r="A2516" s="1" t="s">
        <v>6742</v>
      </c>
      <c r="B2516" s="1" t="s">
        <v>6743</v>
      </c>
      <c r="C2516" s="2" t="str">
        <f>IFERROR(__xludf.DUMMYFUNCTION("GOOGLETRANSLATE(E2516, ""en"",""vi"")"),"con mèo bĩu môi")</f>
        <v>con mèo bĩu môi</v>
      </c>
      <c r="D2516" s="2" t="str">
        <f t="shared" si="37"/>
        <v>con mèo bĩu môi</v>
      </c>
      <c r="E2516" s="3" t="str">
        <f t="shared" si="2"/>
        <v>pouting cat</v>
      </c>
    </row>
    <row r="2517" ht="15.75" customHeight="1">
      <c r="A2517" s="1" t="s">
        <v>6744</v>
      </c>
      <c r="B2517" s="1" t="s">
        <v>6745</v>
      </c>
      <c r="C2517" s="2" t="str">
        <f>IFERROR(__xludf.DUMMYFUNCTION("GOOGLETRANSLATE(E2517, ""en"",""vi"")"),"mặt bĩu môi")</f>
        <v>mặt bĩu môi</v>
      </c>
      <c r="D2517" s="2" t="str">
        <f t="shared" si="37"/>
        <v>mặt bĩu môi</v>
      </c>
      <c r="E2517" s="3" t="str">
        <f t="shared" si="2"/>
        <v>pouting face</v>
      </c>
    </row>
    <row r="2518" ht="15.75" customHeight="1">
      <c r="A2518" s="1" t="s">
        <v>6746</v>
      </c>
      <c r="B2518" s="1" t="s">
        <v>6747</v>
      </c>
      <c r="C2518" s="2" t="str">
        <f>IFERROR(__xludf.DUMMYFUNCTION("GOOGLETRANSLATE(E2518, ""en"",""vi"")"),"chuỗi hạt cầu nguyện")</f>
        <v>chuỗi hạt cầu nguyện</v>
      </c>
      <c r="D2518" s="2" t="str">
        <f t="shared" si="37"/>
        <v>chuỗi hạt cầu nguyện</v>
      </c>
      <c r="E2518" s="3" t="str">
        <f t="shared" si="2"/>
        <v>prayer beads</v>
      </c>
    </row>
    <row r="2519" ht="15.75" customHeight="1">
      <c r="A2519" s="1" t="s">
        <v>6748</v>
      </c>
      <c r="B2519" s="1" t="s">
        <v>6749</v>
      </c>
      <c r="C2519" s="2" t="s">
        <v>6750</v>
      </c>
      <c r="D2519" s="2" t="str">
        <f t="shared" si="37"/>
        <v>phụ nữ có thai</v>
      </c>
      <c r="E2519" s="3" t="str">
        <f t="shared" si="2"/>
        <v>pregnant woman</v>
      </c>
    </row>
    <row r="2520" ht="15.75" customHeight="1">
      <c r="A2520" s="1" t="s">
        <v>6751</v>
      </c>
      <c r="B2520" s="1" t="s">
        <v>6752</v>
      </c>
      <c r="C2520" s="2" t="s">
        <v>6753</v>
      </c>
      <c r="D2520" s="2" t="str">
        <f t="shared" si="37"/>
        <v>phụ nữ có thai màu da sẫm</v>
      </c>
      <c r="E2520" s="3" t="str">
        <f t="shared" si="2"/>
        <v>pregnant woman dark skin tone</v>
      </c>
    </row>
    <row r="2521" ht="15.75" customHeight="1">
      <c r="A2521" s="1" t="s">
        <v>6754</v>
      </c>
      <c r="B2521" s="1" t="s">
        <v>6755</v>
      </c>
      <c r="C2521" s="2" t="s">
        <v>6756</v>
      </c>
      <c r="D2521" s="2" t="str">
        <f t="shared" si="37"/>
        <v>phụ nữ có thai màu da sáng</v>
      </c>
      <c r="E2521" s="3" t="str">
        <f t="shared" si="2"/>
        <v>pregnant woman light skin tone</v>
      </c>
    </row>
    <row r="2522" ht="15.75" customHeight="1">
      <c r="A2522" s="1" t="s">
        <v>6757</v>
      </c>
      <c r="B2522" s="1" t="s">
        <v>6758</v>
      </c>
      <c r="C2522" s="2" t="s">
        <v>6759</v>
      </c>
      <c r="D2522" s="2" t="str">
        <f t="shared" si="37"/>
        <v>phụ nữ có thai màu da sẫm vừa</v>
      </c>
      <c r="E2522" s="3" t="str">
        <f t="shared" si="2"/>
        <v>pregnant woman medium-dark skin tone</v>
      </c>
    </row>
    <row r="2523" ht="15.75" customHeight="1">
      <c r="A2523" s="1" t="s">
        <v>6760</v>
      </c>
      <c r="B2523" s="1" t="s">
        <v>6761</v>
      </c>
      <c r="C2523" s="2" t="s">
        <v>6762</v>
      </c>
      <c r="D2523" s="2" t="str">
        <f t="shared" si="37"/>
        <v>phụ nữ có thai màu da sáng vừa</v>
      </c>
      <c r="E2523" s="3" t="str">
        <f t="shared" si="2"/>
        <v>pregnant woman medium-light skin tone</v>
      </c>
    </row>
    <row r="2524" ht="15.75" customHeight="1">
      <c r="A2524" s="1" t="s">
        <v>6763</v>
      </c>
      <c r="B2524" s="1" t="s">
        <v>6764</v>
      </c>
      <c r="C2524" s="2" t="s">
        <v>6765</v>
      </c>
      <c r="D2524" s="2" t="str">
        <f t="shared" si="37"/>
        <v>phụ nữ có thai màu da thường</v>
      </c>
      <c r="E2524" s="3" t="str">
        <f t="shared" si="2"/>
        <v>pregnant woman medium skin tone</v>
      </c>
    </row>
    <row r="2525" ht="15.75" customHeight="1">
      <c r="A2525" s="1" t="s">
        <v>6766</v>
      </c>
      <c r="B2525" s="1" t="s">
        <v>6767</v>
      </c>
      <c r="C2525" s="2" t="s">
        <v>6768</v>
      </c>
      <c r="D2525" s="2" t="str">
        <f t="shared" si="37"/>
        <v>bánh quy cây</v>
      </c>
      <c r="E2525" s="3" t="str">
        <f t="shared" si="2"/>
        <v>pretzel</v>
      </c>
    </row>
    <row r="2526" ht="15.75" customHeight="1">
      <c r="A2526" s="1" t="s">
        <v>6769</v>
      </c>
      <c r="B2526" s="1" t="s">
        <v>6770</v>
      </c>
      <c r="C2526" s="2" t="s">
        <v>6771</v>
      </c>
      <c r="D2526" s="2" t="str">
        <f t="shared" si="37"/>
        <v>hoàng tử</v>
      </c>
      <c r="E2526" s="3" t="str">
        <f t="shared" si="2"/>
        <v>prince</v>
      </c>
    </row>
    <row r="2527" ht="15.75" customHeight="1">
      <c r="A2527" s="1" t="s">
        <v>6772</v>
      </c>
      <c r="B2527" s="1" t="s">
        <v>6773</v>
      </c>
      <c r="C2527" s="2" t="s">
        <v>6774</v>
      </c>
      <c r="D2527" s="2" t="str">
        <f t="shared" si="37"/>
        <v>hoàng tử màu da sẫm</v>
      </c>
      <c r="E2527" s="3" t="str">
        <f t="shared" si="2"/>
        <v>prince dark skin tone</v>
      </c>
    </row>
    <row r="2528" ht="15.75" customHeight="1">
      <c r="A2528" s="1" t="s">
        <v>6775</v>
      </c>
      <c r="B2528" s="1" t="s">
        <v>6776</v>
      </c>
      <c r="C2528" s="2" t="s">
        <v>6777</v>
      </c>
      <c r="D2528" s="2" t="str">
        <f t="shared" si="37"/>
        <v>hoàng tử màu da sáng</v>
      </c>
      <c r="E2528" s="3" t="str">
        <f t="shared" si="2"/>
        <v>prince light skin tone</v>
      </c>
    </row>
    <row r="2529" ht="15.75" customHeight="1">
      <c r="A2529" s="1" t="s">
        <v>6778</v>
      </c>
      <c r="B2529" s="1" t="s">
        <v>6779</v>
      </c>
      <c r="C2529" s="2" t="s">
        <v>6780</v>
      </c>
      <c r="D2529" s="2" t="str">
        <f t="shared" si="37"/>
        <v>hoàng tử màu da sẫm vừa</v>
      </c>
      <c r="E2529" s="3" t="str">
        <f t="shared" si="2"/>
        <v>prince medium-dark skin tone</v>
      </c>
    </row>
    <row r="2530" ht="15.75" customHeight="1">
      <c r="A2530" s="1" t="s">
        <v>6781</v>
      </c>
      <c r="B2530" s="1" t="s">
        <v>6782</v>
      </c>
      <c r="C2530" s="2" t="s">
        <v>6783</v>
      </c>
      <c r="D2530" s="2" t="str">
        <f t="shared" si="37"/>
        <v>hoàng tử màu da sáng vừa</v>
      </c>
      <c r="E2530" s="3" t="str">
        <f t="shared" si="2"/>
        <v>prince medium-light skin tone</v>
      </c>
    </row>
    <row r="2531" ht="15.75" customHeight="1">
      <c r="A2531" s="1" t="s">
        <v>6784</v>
      </c>
      <c r="B2531" s="1" t="s">
        <v>6785</v>
      </c>
      <c r="C2531" s="2" t="s">
        <v>6786</v>
      </c>
      <c r="D2531" s="2" t="str">
        <f t="shared" si="37"/>
        <v>hoàng tử màu da thường</v>
      </c>
      <c r="E2531" s="3" t="str">
        <f t="shared" si="2"/>
        <v>prince medium skin tone</v>
      </c>
    </row>
    <row r="2532" ht="15.75" customHeight="1">
      <c r="A2532" s="1" t="s">
        <v>6787</v>
      </c>
      <c r="B2532" s="1" t="s">
        <v>6788</v>
      </c>
      <c r="C2532" s="2" t="s">
        <v>6789</v>
      </c>
      <c r="D2532" s="2" t="str">
        <f t="shared" si="37"/>
        <v>công chúa</v>
      </c>
      <c r="E2532" s="3" t="str">
        <f t="shared" si="2"/>
        <v>princess</v>
      </c>
    </row>
    <row r="2533" ht="15.75" customHeight="1">
      <c r="A2533" s="1" t="s">
        <v>6790</v>
      </c>
      <c r="B2533" s="1" t="s">
        <v>6791</v>
      </c>
      <c r="C2533" s="2" t="s">
        <v>6792</v>
      </c>
      <c r="D2533" s="2" t="str">
        <f t="shared" si="37"/>
        <v>công chúa màu da sẫm</v>
      </c>
      <c r="E2533" s="3" t="str">
        <f t="shared" si="2"/>
        <v>princess dark skin tone</v>
      </c>
    </row>
    <row r="2534" ht="15.75" customHeight="1">
      <c r="A2534" s="1" t="s">
        <v>6793</v>
      </c>
      <c r="B2534" s="1" t="s">
        <v>6794</v>
      </c>
      <c r="C2534" s="2" t="s">
        <v>6795</v>
      </c>
      <c r="D2534" s="2" t="str">
        <f t="shared" si="37"/>
        <v>công chúa màu da sáng</v>
      </c>
      <c r="E2534" s="3" t="str">
        <f t="shared" si="2"/>
        <v>princess light skin tone</v>
      </c>
    </row>
    <row r="2535" ht="15.75" customHeight="1">
      <c r="A2535" s="1" t="s">
        <v>6796</v>
      </c>
      <c r="B2535" s="1" t="s">
        <v>6797</v>
      </c>
      <c r="C2535" s="2" t="s">
        <v>6798</v>
      </c>
      <c r="D2535" s="2" t="str">
        <f t="shared" si="37"/>
        <v>công chúa màu da sẫm vừa</v>
      </c>
      <c r="E2535" s="3" t="str">
        <f t="shared" si="2"/>
        <v>princess medium-dark skin tone</v>
      </c>
    </row>
    <row r="2536" ht="15.75" customHeight="1">
      <c r="A2536" s="1" t="s">
        <v>6799</v>
      </c>
      <c r="B2536" s="1" t="s">
        <v>6800</v>
      </c>
      <c r="C2536" s="2" t="s">
        <v>6801</v>
      </c>
      <c r="D2536" s="2" t="str">
        <f t="shared" si="37"/>
        <v>công chúa màu da sáng vừa</v>
      </c>
      <c r="E2536" s="3" t="str">
        <f t="shared" si="2"/>
        <v>princess medium-light skin tone</v>
      </c>
    </row>
    <row r="2537" ht="15.75" customHeight="1">
      <c r="A2537" s="1" t="s">
        <v>6802</v>
      </c>
      <c r="B2537" s="1" t="s">
        <v>6803</v>
      </c>
      <c r="C2537" s="2" t="s">
        <v>6804</v>
      </c>
      <c r="D2537" s="2" t="str">
        <f t="shared" si="37"/>
        <v>công chúa màu da thường</v>
      </c>
      <c r="E2537" s="3" t="str">
        <f t="shared" si="2"/>
        <v>princess medium skin tone</v>
      </c>
    </row>
    <row r="2538" ht="15.75" customHeight="1">
      <c r="A2538" s="1" t="s">
        <v>6805</v>
      </c>
      <c r="B2538" s="1" t="s">
        <v>6806</v>
      </c>
      <c r="C2538" s="2" t="str">
        <f>IFERROR(__xludf.DUMMYFUNCTION("GOOGLETRANSLATE(E2538, ""en"",""vi"")"),"máy in")</f>
        <v>máy in</v>
      </c>
      <c r="D2538" s="2" t="str">
        <f t="shared" si="37"/>
        <v>máy in</v>
      </c>
      <c r="E2538" s="3" t="str">
        <f t="shared" si="2"/>
        <v>printer</v>
      </c>
    </row>
    <row r="2539" ht="15.75" customHeight="1">
      <c r="A2539" s="1" t="s">
        <v>6807</v>
      </c>
      <c r="B2539" s="1" t="s">
        <v>6808</v>
      </c>
      <c r="C2539" s="2" t="str">
        <f>IFERROR(__xludf.DUMMYFUNCTION("GOOGLETRANSLATE(E2539, ""en"",""vi"")"),"bị cấm")</f>
        <v>bị cấm</v>
      </c>
      <c r="D2539" s="2" t="str">
        <f t="shared" si="37"/>
        <v>bị cấm</v>
      </c>
      <c r="E2539" s="3" t="str">
        <f t="shared" si="2"/>
        <v>prohibited</v>
      </c>
    </row>
    <row r="2540" ht="15.75" customHeight="1">
      <c r="A2540" s="1" t="s">
        <v>6809</v>
      </c>
      <c r="B2540" s="1" t="s">
        <v>6810</v>
      </c>
      <c r="C2540" s="2" t="str">
        <f>IFERROR(__xludf.DUMMYFUNCTION("GOOGLETRANSLATE(E2540, ""en"",""vi"")"),"vòng tròn màu tím")</f>
        <v>vòng tròn màu tím</v>
      </c>
      <c r="D2540" s="2" t="str">
        <f t="shared" si="37"/>
        <v>vòng tròn màu tím</v>
      </c>
      <c r="E2540" s="3" t="str">
        <f t="shared" si="2"/>
        <v>purple circle</v>
      </c>
    </row>
    <row r="2541" ht="15.75" customHeight="1">
      <c r="A2541" s="1" t="s">
        <v>6811</v>
      </c>
      <c r="B2541" s="1" t="s">
        <v>6812</v>
      </c>
      <c r="C2541" s="2" t="str">
        <f>IFERROR(__xludf.DUMMYFUNCTION("GOOGLETRANSLATE(E2541, ""en"",""vi"")"),"trái tim màu tím")</f>
        <v>trái tim màu tím</v>
      </c>
      <c r="D2541" s="2" t="str">
        <f t="shared" si="37"/>
        <v>trái tim màu tím</v>
      </c>
      <c r="E2541" s="3" t="str">
        <f t="shared" si="2"/>
        <v>purple heart</v>
      </c>
    </row>
    <row r="2542" ht="15.75" customHeight="1">
      <c r="A2542" s="1" t="s">
        <v>6813</v>
      </c>
      <c r="B2542" s="1" t="s">
        <v>6814</v>
      </c>
      <c r="C2542" s="2" t="s">
        <v>6815</v>
      </c>
      <c r="D2542" s="2" t="str">
        <f t="shared" si="37"/>
        <v>hình vuông màu tím</v>
      </c>
      <c r="E2542" s="3" t="str">
        <f t="shared" si="2"/>
        <v>purple square</v>
      </c>
    </row>
    <row r="2543" ht="15.75" customHeight="1">
      <c r="A2543" s="1" t="s">
        <v>6816</v>
      </c>
      <c r="B2543" s="1" t="s">
        <v>6817</v>
      </c>
      <c r="C2543" s="2" t="str">
        <f>IFERROR(__xludf.DUMMYFUNCTION("GOOGLETRANSLATE(E2543, ""en"",""vi"")"),"cái ví")</f>
        <v>cái ví</v>
      </c>
      <c r="D2543" s="2" t="str">
        <f t="shared" si="37"/>
        <v>cái ví</v>
      </c>
      <c r="E2543" s="3" t="str">
        <f t="shared" si="2"/>
        <v>purse</v>
      </c>
    </row>
    <row r="2544" ht="15.75" customHeight="1">
      <c r="A2544" s="1" t="s">
        <v>6818</v>
      </c>
      <c r="B2544" s="1" t="s">
        <v>6819</v>
      </c>
      <c r="C2544" s="2" t="s">
        <v>6820</v>
      </c>
      <c r="D2544" s="2" t="str">
        <f t="shared" si="37"/>
        <v>đinh ghim</v>
      </c>
      <c r="E2544" s="3" t="str">
        <f t="shared" si="2"/>
        <v>pushpin</v>
      </c>
    </row>
    <row r="2545" ht="15.75" customHeight="1">
      <c r="A2545" s="1" t="s">
        <v>6821</v>
      </c>
      <c r="B2545" s="1" t="s">
        <v>6822</v>
      </c>
      <c r="C2545" s="2" t="str">
        <f>IFERROR(__xludf.DUMMYFUNCTION("GOOGLETRANSLATE(E2545, ""en"",""vi"")"),"mảnh ghép")</f>
        <v>mảnh ghép</v>
      </c>
      <c r="D2545" s="2" t="str">
        <f t="shared" si="37"/>
        <v>mảnh ghép</v>
      </c>
      <c r="E2545" s="3" t="str">
        <f t="shared" si="2"/>
        <v>puzzle piece</v>
      </c>
    </row>
    <row r="2546" ht="15.75" customHeight="1">
      <c r="A2546" s="1" t="s">
        <v>6823</v>
      </c>
      <c r="B2546" s="1" t="s">
        <v>6824</v>
      </c>
      <c r="C2546" s="2" t="str">
        <f>IFERROR(__xludf.DUMMYFUNCTION("GOOGLETRANSLATE(E2546, ""en"",""vi"")"),"con thỏ")</f>
        <v>con thỏ</v>
      </c>
      <c r="D2546" s="2" t="str">
        <f t="shared" si="37"/>
        <v>con thỏ</v>
      </c>
      <c r="E2546" s="3" t="str">
        <f t="shared" si="2"/>
        <v>rabbit</v>
      </c>
    </row>
    <row r="2547" ht="15.75" customHeight="1">
      <c r="A2547" s="1" t="s">
        <v>6825</v>
      </c>
      <c r="B2547" s="1" t="s">
        <v>6826</v>
      </c>
      <c r="C2547" s="2" t="str">
        <f>IFERROR(__xludf.DUMMYFUNCTION("GOOGLETRANSLATE(E2547, ""en"",""vi"")"),"mặt thỏ")</f>
        <v>mặt thỏ</v>
      </c>
      <c r="D2547" s="2" t="str">
        <f t="shared" si="37"/>
        <v>mặt thỏ</v>
      </c>
      <c r="E2547" s="3" t="str">
        <f t="shared" si="2"/>
        <v>rabbit face</v>
      </c>
    </row>
    <row r="2548" ht="15.75" customHeight="1">
      <c r="A2548" s="1" t="s">
        <v>6827</v>
      </c>
      <c r="B2548" s="1" t="s">
        <v>6828</v>
      </c>
      <c r="C2548" s="2" t="s">
        <v>6829</v>
      </c>
      <c r="D2548" s="2" t="str">
        <f t="shared" si="37"/>
        <v>gấu mèo</v>
      </c>
      <c r="E2548" s="3" t="str">
        <f t="shared" si="2"/>
        <v>raccoon</v>
      </c>
    </row>
    <row r="2549" ht="15.75" customHeight="1">
      <c r="A2549" s="1" t="s">
        <v>6830</v>
      </c>
      <c r="B2549" s="1" t="s">
        <v>6831</v>
      </c>
      <c r="C2549" s="2" t="str">
        <f>IFERROR(__xludf.DUMMYFUNCTION("GOOGLETRANSLATE(E2549, ""en"",""vi"")"),"xe đua")</f>
        <v>xe đua</v>
      </c>
      <c r="D2549" s="2" t="str">
        <f t="shared" si="37"/>
        <v>xe đua</v>
      </c>
      <c r="E2549" s="3" t="str">
        <f t="shared" si="2"/>
        <v>racing car</v>
      </c>
    </row>
    <row r="2550" ht="15.75" customHeight="1">
      <c r="A2550" s="1" t="s">
        <v>6832</v>
      </c>
      <c r="B2550" s="1" t="s">
        <v>6833</v>
      </c>
      <c r="C2550" s="2" t="str">
        <f>IFERROR(__xludf.DUMMYFUNCTION("GOOGLETRANSLATE(E2550, ""en"",""vi"")"),"radio")</f>
        <v>radio</v>
      </c>
      <c r="D2550" s="2" t="str">
        <f t="shared" si="37"/>
        <v>radio</v>
      </c>
      <c r="E2550" s="3" t="str">
        <f t="shared" si="2"/>
        <v>radio</v>
      </c>
    </row>
    <row r="2551" ht="15.75" customHeight="1">
      <c r="A2551" s="1" t="s">
        <v>6834</v>
      </c>
      <c r="B2551" s="1" t="s">
        <v>6835</v>
      </c>
      <c r="C2551" s="2" t="str">
        <f>IFERROR(__xludf.DUMMYFUNCTION("GOOGLETRANSLATE(E2551, ""en"",""vi"")"),"nút radio")</f>
        <v>nút radio</v>
      </c>
      <c r="D2551" s="2" t="str">
        <f t="shared" si="37"/>
        <v>nút radio</v>
      </c>
      <c r="E2551" s="3" t="str">
        <f t="shared" si="2"/>
        <v>radio button</v>
      </c>
    </row>
    <row r="2552" ht="15.75" customHeight="1">
      <c r="A2552" s="1" t="s">
        <v>6836</v>
      </c>
      <c r="B2552" s="1" t="s">
        <v>6837</v>
      </c>
      <c r="C2552" s="2" t="s">
        <v>6838</v>
      </c>
      <c r="D2552" s="2" t="str">
        <f t="shared" si="37"/>
        <v>phóng xạ</v>
      </c>
      <c r="E2552" s="3" t="str">
        <f t="shared" si="2"/>
        <v>radioactive</v>
      </c>
    </row>
    <row r="2553" ht="15.75" customHeight="1">
      <c r="A2553" s="1" t="s">
        <v>6839</v>
      </c>
      <c r="B2553" s="1" t="s">
        <v>6840</v>
      </c>
      <c r="C2553" s="2" t="str">
        <f>IFERROR(__xludf.DUMMYFUNCTION("GOOGLETRANSLATE(E2553, ""en"",""vi"")"),"toa tàu hỏa")</f>
        <v>toa tàu hỏa</v>
      </c>
      <c r="D2553" s="2" t="str">
        <f t="shared" si="37"/>
        <v>toa tàu hỏa</v>
      </c>
      <c r="E2553" s="3" t="str">
        <f t="shared" si="2"/>
        <v>railway car</v>
      </c>
    </row>
    <row r="2554" ht="15.75" customHeight="1">
      <c r="A2554" s="1" t="s">
        <v>6841</v>
      </c>
      <c r="B2554" s="1" t="s">
        <v>6842</v>
      </c>
      <c r="C2554" s="2" t="str">
        <f>IFERROR(__xludf.DUMMYFUNCTION("GOOGLETRANSLATE(E2554, ""en"",""vi"")"),"đường ray xe lửa")</f>
        <v>đường ray xe lửa</v>
      </c>
      <c r="D2554" s="2" t="str">
        <f t="shared" si="37"/>
        <v>đường ray xe lửa</v>
      </c>
      <c r="E2554" s="3" t="str">
        <f t="shared" si="2"/>
        <v>railway track</v>
      </c>
    </row>
    <row r="2555" ht="15.75" customHeight="1">
      <c r="A2555" s="1" t="s">
        <v>6843</v>
      </c>
      <c r="B2555" s="1" t="s">
        <v>6844</v>
      </c>
      <c r="C2555" s="2" t="str">
        <f>IFERROR(__xludf.DUMMYFUNCTION("GOOGLETRANSLATE(E2555, ""en"",""vi"")"),"cầu vồng")</f>
        <v>cầu vồng</v>
      </c>
      <c r="D2555" s="2" t="str">
        <f t="shared" si="37"/>
        <v>cầu vồng</v>
      </c>
      <c r="E2555" s="3" t="str">
        <f t="shared" si="2"/>
        <v>rainbow</v>
      </c>
    </row>
    <row r="2556" ht="15.75" customHeight="1">
      <c r="A2556" s="1" t="s">
        <v>6845</v>
      </c>
      <c r="B2556" s="1" t="s">
        <v>6846</v>
      </c>
      <c r="C2556" s="2" t="str">
        <f>IFERROR(__xludf.DUMMYFUNCTION("GOOGLETRANSLATE(E2556, ""en"",""vi"")"),"cờ cầu vồng")</f>
        <v>cờ cầu vồng</v>
      </c>
      <c r="D2556" s="2" t="str">
        <f t="shared" si="37"/>
        <v>cờ cầu vồng</v>
      </c>
      <c r="E2556" s="3" t="str">
        <f t="shared" si="2"/>
        <v>rainbow flag</v>
      </c>
    </row>
    <row r="2557" ht="15.75" customHeight="1">
      <c r="A2557" s="1" t="s">
        <v>6847</v>
      </c>
      <c r="B2557" s="1" t="s">
        <v>6848</v>
      </c>
      <c r="C2557" s="2" t="s">
        <v>6849</v>
      </c>
      <c r="D2557" s="2" t="str">
        <f t="shared" si="37"/>
        <v>mặt sau bàn tay giơ lên</v>
      </c>
      <c r="E2557" s="3" t="str">
        <f t="shared" si="2"/>
        <v>raised back of hand</v>
      </c>
    </row>
    <row r="2558" ht="15.75" customHeight="1">
      <c r="A2558" s="1" t="s">
        <v>6850</v>
      </c>
      <c r="B2558" s="1" t="s">
        <v>6851</v>
      </c>
      <c r="C2558" s="2" t="s">
        <v>6852</v>
      </c>
      <c r="D2558" s="2" t="str">
        <f t="shared" si="37"/>
        <v>mặt sau bàn tay giơ lên màu da sẫm</v>
      </c>
      <c r="E2558" s="3" t="str">
        <f t="shared" si="2"/>
        <v>raised back of hand dark skin tone</v>
      </c>
    </row>
    <row r="2559" ht="15.75" customHeight="1">
      <c r="A2559" s="1" t="s">
        <v>6853</v>
      </c>
      <c r="B2559" s="1" t="s">
        <v>6854</v>
      </c>
      <c r="C2559" s="2" t="s">
        <v>6855</v>
      </c>
      <c r="D2559" s="2" t="str">
        <f t="shared" si="37"/>
        <v>mặt sau bàn tay giơ lên màu da sáng</v>
      </c>
      <c r="E2559" s="3" t="str">
        <f t="shared" si="2"/>
        <v>raised back of hand light skin tone</v>
      </c>
    </row>
    <row r="2560" ht="15.75" customHeight="1">
      <c r="A2560" s="1" t="s">
        <v>6856</v>
      </c>
      <c r="B2560" s="1" t="s">
        <v>6857</v>
      </c>
      <c r="C2560" s="2" t="s">
        <v>6858</v>
      </c>
      <c r="D2560" s="2" t="str">
        <f t="shared" si="37"/>
        <v>mặt sau bàn tay giơ lên màu da sẫm vừa</v>
      </c>
      <c r="E2560" s="3" t="str">
        <f t="shared" si="2"/>
        <v>raised back of hand medium-dark skin tone</v>
      </c>
    </row>
    <row r="2561" ht="15.75" customHeight="1">
      <c r="A2561" s="1" t="s">
        <v>6859</v>
      </c>
      <c r="B2561" s="1" t="s">
        <v>6860</v>
      </c>
      <c r="C2561" s="2" t="s">
        <v>6861</v>
      </c>
      <c r="D2561" s="2" t="str">
        <f t="shared" si="37"/>
        <v>mặt sau bàn tay giơ lên màu da sáng vừa</v>
      </c>
      <c r="E2561" s="3" t="str">
        <f t="shared" si="2"/>
        <v>raised back of hand medium-light skin tone</v>
      </c>
    </row>
    <row r="2562" ht="15.75" customHeight="1">
      <c r="A2562" s="1" t="s">
        <v>6862</v>
      </c>
      <c r="B2562" s="1" t="s">
        <v>6863</v>
      </c>
      <c r="C2562" s="2" t="s">
        <v>6864</v>
      </c>
      <c r="D2562" s="2" t="str">
        <f t="shared" si="37"/>
        <v>mặt sau bàn tay giơ lên màu da thường</v>
      </c>
      <c r="E2562" s="3" t="str">
        <f t="shared" si="2"/>
        <v>raised back of hand medium skin tone</v>
      </c>
    </row>
    <row r="2563" ht="15.75" customHeight="1">
      <c r="A2563" s="1" t="s">
        <v>6865</v>
      </c>
      <c r="B2563" s="1" t="s">
        <v>6866</v>
      </c>
      <c r="C2563" s="2" t="s">
        <v>6867</v>
      </c>
      <c r="D2563" s="2" t="str">
        <f t="shared" si="37"/>
        <v>nắm tay giơ lên</v>
      </c>
      <c r="E2563" s="3" t="str">
        <f t="shared" si="2"/>
        <v>raised fist</v>
      </c>
    </row>
    <row r="2564" ht="15.75" customHeight="1">
      <c r="A2564" s="1" t="s">
        <v>6868</v>
      </c>
      <c r="B2564" s="1" t="s">
        <v>6869</v>
      </c>
      <c r="C2564" s="2" t="s">
        <v>6870</v>
      </c>
      <c r="D2564" s="2" t="str">
        <f t="shared" si="37"/>
        <v>nắm tay giơ lên màu da sẫm</v>
      </c>
      <c r="E2564" s="3" t="str">
        <f t="shared" si="2"/>
        <v>raised fist dark skin tone</v>
      </c>
    </row>
    <row r="2565" ht="15.75" customHeight="1">
      <c r="A2565" s="1" t="s">
        <v>6871</v>
      </c>
      <c r="B2565" s="1" t="s">
        <v>6872</v>
      </c>
      <c r="C2565" s="2" t="s">
        <v>6873</v>
      </c>
      <c r="D2565" s="2" t="str">
        <f t="shared" si="37"/>
        <v>nắm tay giơ lên màu da sáng</v>
      </c>
      <c r="E2565" s="3" t="str">
        <f t="shared" si="2"/>
        <v>raised fist light skin tone</v>
      </c>
    </row>
    <row r="2566" ht="15.75" customHeight="1">
      <c r="A2566" s="1" t="s">
        <v>6874</v>
      </c>
      <c r="B2566" s="1" t="s">
        <v>6875</v>
      </c>
      <c r="C2566" s="2" t="s">
        <v>6876</v>
      </c>
      <c r="D2566" s="2" t="str">
        <f t="shared" si="37"/>
        <v>nắm tay giơ lên màu da sẫm vừa</v>
      </c>
      <c r="E2566" s="3" t="str">
        <f t="shared" si="2"/>
        <v>raised fist medium-dark skin tone</v>
      </c>
    </row>
    <row r="2567" ht="15.75" customHeight="1">
      <c r="A2567" s="1" t="s">
        <v>6877</v>
      </c>
      <c r="B2567" s="1" t="s">
        <v>6878</v>
      </c>
      <c r="C2567" s="2" t="s">
        <v>6879</v>
      </c>
      <c r="D2567" s="2" t="str">
        <f t="shared" si="37"/>
        <v>nắm tay giơ lên màu da sáng vừa</v>
      </c>
      <c r="E2567" s="3" t="str">
        <f t="shared" si="2"/>
        <v>raised fist medium-light skin tone</v>
      </c>
    </row>
    <row r="2568" ht="15.75" customHeight="1">
      <c r="A2568" s="1" t="s">
        <v>6880</v>
      </c>
      <c r="B2568" s="1" t="s">
        <v>6881</v>
      </c>
      <c r="C2568" s="2" t="s">
        <v>6882</v>
      </c>
      <c r="D2568" s="2" t="str">
        <f t="shared" si="37"/>
        <v>nắm tay giơ lên màu da thường</v>
      </c>
      <c r="E2568" s="3" t="str">
        <f t="shared" si="2"/>
        <v>raised fist medium skin tone</v>
      </c>
    </row>
    <row r="2569" ht="15.75" customHeight="1">
      <c r="A2569" s="1" t="s">
        <v>6883</v>
      </c>
      <c r="B2569" s="1" t="s">
        <v>6884</v>
      </c>
      <c r="C2569" s="2" t="s">
        <v>6885</v>
      </c>
      <c r="D2569" s="2" t="str">
        <f t="shared" si="37"/>
        <v>mặt trước bàn tay giơ lên</v>
      </c>
      <c r="E2569" s="3" t="str">
        <f t="shared" si="2"/>
        <v>raised hand</v>
      </c>
    </row>
    <row r="2570" ht="15.75" customHeight="1">
      <c r="A2570" s="1" t="s">
        <v>6886</v>
      </c>
      <c r="B2570" s="1" t="s">
        <v>6887</v>
      </c>
      <c r="C2570" s="2" t="s">
        <v>6888</v>
      </c>
      <c r="D2570" s="2" t="str">
        <f t="shared" si="37"/>
        <v>mặt trước bàn tay giơ lên màu da sẫm</v>
      </c>
      <c r="E2570" s="3" t="str">
        <f t="shared" si="2"/>
        <v>raised hand dark skin tone</v>
      </c>
    </row>
    <row r="2571" ht="15.75" customHeight="1">
      <c r="A2571" s="1" t="s">
        <v>6889</v>
      </c>
      <c r="B2571" s="1" t="s">
        <v>6890</v>
      </c>
      <c r="C2571" s="2" t="s">
        <v>6891</v>
      </c>
      <c r="D2571" s="2" t="str">
        <f t="shared" si="37"/>
        <v>mặt trước bàn tay giơ lên màu da sáng</v>
      </c>
      <c r="E2571" s="3" t="str">
        <f t="shared" si="2"/>
        <v>raised hand light skin tone</v>
      </c>
    </row>
    <row r="2572" ht="15.75" customHeight="1">
      <c r="A2572" s="1" t="s">
        <v>6892</v>
      </c>
      <c r="B2572" s="1" t="s">
        <v>6893</v>
      </c>
      <c r="C2572" s="2" t="s">
        <v>6894</v>
      </c>
      <c r="D2572" s="2" t="str">
        <f t="shared" si="37"/>
        <v>mặt trước bàn tay giơ lên màu da sẫm vừa</v>
      </c>
      <c r="E2572" s="3" t="str">
        <f t="shared" si="2"/>
        <v>raised hand medium-dark skin tone</v>
      </c>
    </row>
    <row r="2573" ht="15.75" customHeight="1">
      <c r="A2573" s="1" t="s">
        <v>6895</v>
      </c>
      <c r="B2573" s="1" t="s">
        <v>6896</v>
      </c>
      <c r="C2573" s="2" t="s">
        <v>6897</v>
      </c>
      <c r="D2573" s="2" t="str">
        <f t="shared" si="37"/>
        <v>mặt trước bàn tay giơ lên màu da sáng vừa</v>
      </c>
      <c r="E2573" s="3" t="str">
        <f t="shared" si="2"/>
        <v>raised hand medium-light skin tone</v>
      </c>
    </row>
    <row r="2574" ht="15.75" customHeight="1">
      <c r="A2574" s="1" t="s">
        <v>6898</v>
      </c>
      <c r="B2574" s="1" t="s">
        <v>6899</v>
      </c>
      <c r="C2574" s="2" t="s">
        <v>6900</v>
      </c>
      <c r="D2574" s="2" t="str">
        <f t="shared" si="37"/>
        <v>mặt trước bàn tay giơ lên màu da thường</v>
      </c>
      <c r="E2574" s="3" t="str">
        <f t="shared" si="2"/>
        <v>raised hand medium skin tone</v>
      </c>
    </row>
    <row r="2575" ht="15.75" customHeight="1">
      <c r="A2575" s="1" t="s">
        <v>6901</v>
      </c>
      <c r="B2575" s="1" t="s">
        <v>6902</v>
      </c>
      <c r="C2575" s="2" t="s">
        <v>6903</v>
      </c>
      <c r="D2575" s="2" t="str">
        <f t="shared" si="37"/>
        <v>hai bàn tay giơ lên</v>
      </c>
      <c r="E2575" s="3" t="str">
        <f t="shared" si="2"/>
        <v>raising hands</v>
      </c>
    </row>
    <row r="2576" ht="15.75" customHeight="1">
      <c r="A2576" s="1" t="s">
        <v>6904</v>
      </c>
      <c r="B2576" s="1" t="s">
        <v>6905</v>
      </c>
      <c r="C2576" s="2" t="s">
        <v>6906</v>
      </c>
      <c r="D2576" s="2" t="str">
        <f t="shared" si="37"/>
        <v>hai bàn tay giơ lên màu da sẫm</v>
      </c>
      <c r="E2576" s="3" t="str">
        <f t="shared" si="2"/>
        <v>raising hands dark skin tone</v>
      </c>
    </row>
    <row r="2577" ht="15.75" customHeight="1">
      <c r="A2577" s="1" t="s">
        <v>6907</v>
      </c>
      <c r="B2577" s="1" t="s">
        <v>6908</v>
      </c>
      <c r="C2577" s="2" t="s">
        <v>6909</v>
      </c>
      <c r="D2577" s="2" t="str">
        <f t="shared" si="37"/>
        <v>hai bàn tay giơ lên màu da sáng</v>
      </c>
      <c r="E2577" s="3" t="str">
        <f t="shared" si="2"/>
        <v>raising hands light skin tone</v>
      </c>
    </row>
    <row r="2578" ht="15.75" customHeight="1">
      <c r="A2578" s="1" t="s">
        <v>6910</v>
      </c>
      <c r="B2578" s="1" t="s">
        <v>6911</v>
      </c>
      <c r="C2578" s="2" t="s">
        <v>6912</v>
      </c>
      <c r="D2578" s="2" t="str">
        <f t="shared" si="37"/>
        <v>hai bàn tay giơ lên màu da sẫm vừa</v>
      </c>
      <c r="E2578" s="3" t="str">
        <f t="shared" si="2"/>
        <v>raising hands medium-dark skin tone</v>
      </c>
    </row>
    <row r="2579" ht="15.75" customHeight="1">
      <c r="A2579" s="1" t="s">
        <v>6913</v>
      </c>
      <c r="B2579" s="1" t="s">
        <v>6914</v>
      </c>
      <c r="C2579" s="2" t="s">
        <v>6915</v>
      </c>
      <c r="D2579" s="2" t="str">
        <f t="shared" si="37"/>
        <v>hai bàn tay giơ lên màu da sáng vừa</v>
      </c>
      <c r="E2579" s="3" t="str">
        <f t="shared" si="2"/>
        <v>raising hands medium-light skin tone</v>
      </c>
    </row>
    <row r="2580" ht="15.75" customHeight="1">
      <c r="A2580" s="1" t="s">
        <v>6916</v>
      </c>
      <c r="B2580" s="1" t="s">
        <v>6917</v>
      </c>
      <c r="C2580" s="2" t="s">
        <v>6918</v>
      </c>
      <c r="D2580" s="2" t="str">
        <f t="shared" si="37"/>
        <v>hai bàn tay giơ lên màu da thường</v>
      </c>
      <c r="E2580" s="3" t="str">
        <f t="shared" si="2"/>
        <v>raising hands medium skin tone</v>
      </c>
    </row>
    <row r="2581" ht="15.75" customHeight="1">
      <c r="A2581" s="1" t="s">
        <v>6919</v>
      </c>
      <c r="B2581" s="1" t="s">
        <v>6920</v>
      </c>
      <c r="C2581" s="2" t="s">
        <v>6921</v>
      </c>
      <c r="D2581" s="2" t="str">
        <f t="shared" si="37"/>
        <v>cừu nhà</v>
      </c>
      <c r="E2581" s="3" t="str">
        <f t="shared" si="2"/>
        <v>ram</v>
      </c>
    </row>
    <row r="2582" ht="15.75" customHeight="1">
      <c r="A2582" s="1" t="s">
        <v>6922</v>
      </c>
      <c r="B2582" s="1" t="s">
        <v>6923</v>
      </c>
      <c r="C2582" s="2" t="str">
        <f>IFERROR(__xludf.DUMMYFUNCTION("GOOGLETRANSLATE(E2582, ""en"",""vi"")"),"con chuột")</f>
        <v>con chuột</v>
      </c>
      <c r="D2582" s="2" t="str">
        <f t="shared" si="37"/>
        <v>con chuột</v>
      </c>
      <c r="E2582" s="3" t="str">
        <f t="shared" si="2"/>
        <v>rat</v>
      </c>
    </row>
    <row r="2583" ht="15.75" customHeight="1">
      <c r="A2583" s="1" t="s">
        <v>6924</v>
      </c>
      <c r="B2583" s="1" t="s">
        <v>6925</v>
      </c>
      <c r="C2583" s="2" t="str">
        <f>IFERROR(__xludf.DUMMYFUNCTION("GOOGLETRANSLATE(E2583, ""en"",""vi"")"),"dao cạo")</f>
        <v>dao cạo</v>
      </c>
      <c r="D2583" s="2" t="str">
        <f t="shared" si="37"/>
        <v>dao cạo</v>
      </c>
      <c r="E2583" s="3" t="str">
        <f t="shared" si="2"/>
        <v>razor</v>
      </c>
    </row>
    <row r="2584" ht="15.75" customHeight="1">
      <c r="A2584" s="1" t="s">
        <v>6926</v>
      </c>
      <c r="B2584" s="1" t="s">
        <v>6927</v>
      </c>
      <c r="C2584" s="2" t="str">
        <f>IFERROR(__xludf.DUMMYFUNCTION("GOOGLETRANSLATE(E2584, ""en"",""vi"")"),"biên lai")</f>
        <v>biên lai</v>
      </c>
      <c r="D2584" s="2" t="str">
        <f t="shared" si="37"/>
        <v>biên lai</v>
      </c>
      <c r="E2584" s="3" t="str">
        <f t="shared" si="2"/>
        <v>receipt</v>
      </c>
    </row>
    <row r="2585" ht="15.75" customHeight="1">
      <c r="A2585" s="1" t="s">
        <v>6928</v>
      </c>
      <c r="B2585" s="1" t="s">
        <v>6929</v>
      </c>
      <c r="C2585" s="2" t="str">
        <f>IFERROR(__xludf.DUMMYFUNCTION("GOOGLETRANSLATE(E2585, ""en"",""vi"")"),"nút ghi âm")</f>
        <v>nút ghi âm</v>
      </c>
      <c r="D2585" s="2" t="str">
        <f t="shared" si="37"/>
        <v>nút ghi âm</v>
      </c>
      <c r="E2585" s="3" t="str">
        <f t="shared" si="2"/>
        <v>record button</v>
      </c>
    </row>
    <row r="2586" ht="15.75" customHeight="1">
      <c r="A2586" s="1" t="s">
        <v>6930</v>
      </c>
      <c r="B2586" s="1" t="s">
        <v>6931</v>
      </c>
      <c r="C2586" s="2" t="str">
        <f>IFERROR(__xludf.DUMMYFUNCTION("GOOGLETRANSLATE(E2586, ""en"",""vi"")"),"biểu tượng tái chế")</f>
        <v>biểu tượng tái chế</v>
      </c>
      <c r="D2586" s="2" t="str">
        <f t="shared" si="37"/>
        <v>biểu tượng tái chế</v>
      </c>
      <c r="E2586" s="3" t="str">
        <f t="shared" si="2"/>
        <v>recycling symbol</v>
      </c>
    </row>
    <row r="2587" ht="15.75" customHeight="1">
      <c r="A2587" s="1" t="s">
        <v>6932</v>
      </c>
      <c r="B2587" s="1" t="s">
        <v>6933</v>
      </c>
      <c r="C2587" s="2" t="str">
        <f>IFERROR(__xludf.DUMMYFUNCTION("GOOGLETRANSLATE(E2587, ""en"",""vi"")"),"táo đỏ")</f>
        <v>táo đỏ</v>
      </c>
      <c r="D2587" s="2" t="str">
        <f t="shared" si="37"/>
        <v>táo đỏ</v>
      </c>
      <c r="E2587" s="3" t="str">
        <f t="shared" si="2"/>
        <v>red apple</v>
      </c>
    </row>
    <row r="2588" ht="15.75" customHeight="1">
      <c r="A2588" s="1" t="s">
        <v>6934</v>
      </c>
      <c r="B2588" s="1" t="s">
        <v>6935</v>
      </c>
      <c r="C2588" s="2" t="str">
        <f>IFERROR(__xludf.DUMMYFUNCTION("GOOGLETRANSLATE(E2588, ""en"",""vi"")"),"vòng tròn màu đỏ")</f>
        <v>vòng tròn màu đỏ</v>
      </c>
      <c r="D2588" s="2" t="str">
        <f t="shared" si="37"/>
        <v>vòng tròn màu đỏ</v>
      </c>
      <c r="E2588" s="3" t="str">
        <f t="shared" si="2"/>
        <v>red circle</v>
      </c>
    </row>
    <row r="2589" ht="15.75" customHeight="1">
      <c r="A2589" s="1" t="s">
        <v>6936</v>
      </c>
      <c r="B2589" s="1" t="s">
        <v>6937</v>
      </c>
      <c r="C2589" s="2" t="str">
        <f>IFERROR(__xludf.DUMMYFUNCTION("GOOGLETRANSLATE(E2589, ""en"",""vi"")"),"phong bì đỏ")</f>
        <v>phong bì đỏ</v>
      </c>
      <c r="D2589" s="2" t="str">
        <f t="shared" si="37"/>
        <v>phong bì đỏ</v>
      </c>
      <c r="E2589" s="3" t="str">
        <f t="shared" si="2"/>
        <v>red envelope</v>
      </c>
    </row>
    <row r="2590" ht="15.75" customHeight="1">
      <c r="A2590" s="1" t="s">
        <v>6938</v>
      </c>
      <c r="B2590" s="1" t="s">
        <v>6939</v>
      </c>
      <c r="C2590" s="2" t="str">
        <f>IFERROR(__xludf.DUMMYFUNCTION("GOOGLETRANSLATE(E2590, ""en"",""vi"")"),"dấu chấm than màu đỏ")</f>
        <v>dấu chấm than màu đỏ</v>
      </c>
      <c r="D2590" s="2" t="str">
        <f t="shared" si="37"/>
        <v>dấu chấm than màu đỏ</v>
      </c>
      <c r="E2590" s="3" t="str">
        <f t="shared" si="2"/>
        <v>red exclamation mark</v>
      </c>
    </row>
    <row r="2591" ht="15.75" customHeight="1">
      <c r="A2591" s="1" t="s">
        <v>6940</v>
      </c>
      <c r="B2591" s="1" t="s">
        <v>6941</v>
      </c>
      <c r="C2591" s="2" t="str">
        <f>IFERROR(__xludf.DUMMYFUNCTION("GOOGLETRANSLATE(E2591, ""en"",""vi"")"),"tóc đỏ")</f>
        <v>tóc đỏ</v>
      </c>
      <c r="D2591" s="2" t="str">
        <f t="shared" si="37"/>
        <v>tóc đỏ</v>
      </c>
      <c r="E2591" s="3" t="str">
        <f t="shared" si="2"/>
        <v>red hair</v>
      </c>
    </row>
    <row r="2592" ht="15.75" customHeight="1">
      <c r="A2592" s="1" t="s">
        <v>6942</v>
      </c>
      <c r="B2592" s="1" t="s">
        <v>6943</v>
      </c>
      <c r="C2592" s="2" t="str">
        <f>IFERROR(__xludf.DUMMYFUNCTION("GOOGLETRANSLATE(E2592, ""en"",""vi"")"),"trái tim đỏ")</f>
        <v>trái tim đỏ</v>
      </c>
      <c r="D2592" s="2" t="str">
        <f t="shared" si="37"/>
        <v>trái tim đỏ</v>
      </c>
      <c r="E2592" s="3" t="str">
        <f t="shared" si="2"/>
        <v>red heart</v>
      </c>
    </row>
    <row r="2593" ht="15.75" customHeight="1">
      <c r="A2593" s="1" t="s">
        <v>6944</v>
      </c>
      <c r="B2593" s="1" t="s">
        <v>6945</v>
      </c>
      <c r="C2593" s="2" t="str">
        <f>IFERROR(__xludf.DUMMYFUNCTION("GOOGLETRANSLATE(E2593, ""en"",""vi"")"),"đèn lồng giấy đỏ")</f>
        <v>đèn lồng giấy đỏ</v>
      </c>
      <c r="D2593" s="2" t="str">
        <f t="shared" si="37"/>
        <v>đèn lồng giấy đỏ</v>
      </c>
      <c r="E2593" s="3" t="str">
        <f t="shared" si="2"/>
        <v>red paper lantern</v>
      </c>
    </row>
    <row r="2594" ht="15.75" customHeight="1">
      <c r="A2594" s="1" t="s">
        <v>6946</v>
      </c>
      <c r="B2594" s="1" t="s">
        <v>6947</v>
      </c>
      <c r="C2594" s="2" t="str">
        <f>IFERROR(__xludf.DUMMYFUNCTION("GOOGLETRANSLATE(E2594, ""en"",""vi"")"),"dấu chấm hỏi màu đỏ")</f>
        <v>dấu chấm hỏi màu đỏ</v>
      </c>
      <c r="D2594" s="2" t="str">
        <f t="shared" si="37"/>
        <v>dấu chấm hỏi màu đỏ</v>
      </c>
      <c r="E2594" s="3" t="str">
        <f t="shared" si="2"/>
        <v>red question mark</v>
      </c>
    </row>
    <row r="2595" ht="15.75" customHeight="1">
      <c r="A2595" s="1" t="s">
        <v>6948</v>
      </c>
      <c r="B2595" s="1" t="s">
        <v>6949</v>
      </c>
      <c r="C2595" s="2" t="str">
        <f>IFERROR(__xludf.DUMMYFUNCTION("GOOGLETRANSLATE(E2595, ""en"",""vi"")"),"hình vuông màu đỏ")</f>
        <v>hình vuông màu đỏ</v>
      </c>
      <c r="D2595" s="2" t="str">
        <f t="shared" si="37"/>
        <v>hình vuông màu đỏ</v>
      </c>
      <c r="E2595" s="3" t="str">
        <f t="shared" si="2"/>
        <v>red square</v>
      </c>
    </row>
    <row r="2596" ht="15.75" customHeight="1">
      <c r="A2596" s="1" t="s">
        <v>6950</v>
      </c>
      <c r="B2596" s="1" t="s">
        <v>6951</v>
      </c>
      <c r="C2596" s="2" t="str">
        <f>IFERROR(__xludf.DUMMYFUNCTION("GOOGLETRANSLATE(E2596, ""en"",""vi"")"),"hình tam giác màu đỏ hướng xuống")</f>
        <v>hình tam giác màu đỏ hướng xuống</v>
      </c>
      <c r="D2596" s="2" t="str">
        <f t="shared" si="37"/>
        <v>hình tam giác màu đỏ hướng xuống</v>
      </c>
      <c r="E2596" s="3" t="str">
        <f t="shared" si="2"/>
        <v>red triangle pointed down</v>
      </c>
    </row>
    <row r="2597" ht="15.75" customHeight="1">
      <c r="A2597" s="1" t="s">
        <v>6952</v>
      </c>
      <c r="B2597" s="1" t="s">
        <v>6953</v>
      </c>
      <c r="C2597" s="2" t="str">
        <f>IFERROR(__xludf.DUMMYFUNCTION("GOOGLETRANSLATE(E2597, ""en"",""vi"")"),"hình tam giác màu đỏ hướng lên trên")</f>
        <v>hình tam giác màu đỏ hướng lên trên</v>
      </c>
      <c r="D2597" s="2" t="str">
        <f t="shared" si="37"/>
        <v>hình tam giác màu đỏ hướng lên trên</v>
      </c>
      <c r="E2597" s="3" t="str">
        <f t="shared" si="2"/>
        <v>red triangle pointed up</v>
      </c>
    </row>
    <row r="2598" ht="15.75" customHeight="1">
      <c r="A2598" s="1" t="s">
        <v>6954</v>
      </c>
      <c r="B2598" s="1" t="s">
        <v>6955</v>
      </c>
      <c r="C2598" s="2" t="str">
        <f>IFERROR(__xludf.DUMMYFUNCTION("GOOGLETRANSLATE(E2598, ""en"",""vi"")"),"đăng ký")</f>
        <v>đăng ký</v>
      </c>
      <c r="D2598" s="2" t="str">
        <f t="shared" si="37"/>
        <v>đăng ký</v>
      </c>
      <c r="E2598" s="3" t="str">
        <f t="shared" si="2"/>
        <v>registered</v>
      </c>
    </row>
    <row r="2599" ht="15.75" customHeight="1">
      <c r="A2599" s="1" t="s">
        <v>6956</v>
      </c>
      <c r="B2599" s="1" t="s">
        <v>6957</v>
      </c>
      <c r="C2599" s="2" t="str">
        <f>IFERROR(__xludf.DUMMYFUNCTION("GOOGLETRANSLATE(E2599, ""en"",""vi"")"),"khuôn mặt nhẹ nhõm")</f>
        <v>khuôn mặt nhẹ nhõm</v>
      </c>
      <c r="D2599" s="2" t="str">
        <f t="shared" si="37"/>
        <v>khuôn mặt nhẹ nhõm</v>
      </c>
      <c r="E2599" s="3" t="str">
        <f t="shared" si="2"/>
        <v>relieved face</v>
      </c>
    </row>
    <row r="2600" ht="15.75" customHeight="1">
      <c r="A2600" s="1" t="s">
        <v>6958</v>
      </c>
      <c r="B2600" s="1" t="s">
        <v>6959</v>
      </c>
      <c r="C2600" s="2" t="s">
        <v>6960</v>
      </c>
      <c r="D2600" s="2" t="str">
        <f t="shared" si="37"/>
        <v>ruy-băng nhắc nhở</v>
      </c>
      <c r="E2600" s="3" t="str">
        <f t="shared" si="2"/>
        <v>reminder ribbon</v>
      </c>
    </row>
    <row r="2601" ht="15.75" customHeight="1">
      <c r="A2601" s="1" t="s">
        <v>6961</v>
      </c>
      <c r="B2601" s="1" t="s">
        <v>6962</v>
      </c>
      <c r="C2601" s="2" t="str">
        <f>IFERROR(__xludf.DUMMYFUNCTION("GOOGLETRANSLATE(E2601, ""en"",""vi"")"),"nút lặp lại")</f>
        <v>nút lặp lại</v>
      </c>
      <c r="D2601" s="2" t="str">
        <f t="shared" si="37"/>
        <v>nút lặp lại</v>
      </c>
      <c r="E2601" s="3" t="str">
        <f t="shared" si="2"/>
        <v>repeat button</v>
      </c>
    </row>
    <row r="2602" ht="15.75" customHeight="1">
      <c r="A2602" s="1" t="s">
        <v>6963</v>
      </c>
      <c r="B2602" s="1" t="s">
        <v>6964</v>
      </c>
      <c r="C2602" s="2" t="s">
        <v>6965</v>
      </c>
      <c r="D2602" s="2" t="str">
        <f t="shared" si="37"/>
        <v>nút lặp lại đơn</v>
      </c>
      <c r="E2602" s="3" t="str">
        <f t="shared" si="2"/>
        <v>repeat single button</v>
      </c>
    </row>
    <row r="2603" ht="15.75" customHeight="1">
      <c r="A2603" s="1" t="s">
        <v>6966</v>
      </c>
      <c r="B2603" s="1" t="s">
        <v>6967</v>
      </c>
      <c r="C2603" s="2" t="str">
        <f>IFERROR(__xludf.DUMMYFUNCTION("GOOGLETRANSLATE(E2603, ""en"",""vi"")"),"mũ bảo hiểm của nhân viên cứu hộ")</f>
        <v>mũ bảo hiểm của nhân viên cứu hộ</v>
      </c>
      <c r="D2603" s="2" t="str">
        <f t="shared" si="37"/>
        <v>mũ bảo hiểm của nhân viên cứu hộ</v>
      </c>
      <c r="E2603" s="3" t="str">
        <f t="shared" si="2"/>
        <v>rescue worker’s helmet</v>
      </c>
    </row>
    <row r="2604" ht="15.75" customHeight="1">
      <c r="A2604" s="1" t="s">
        <v>6968</v>
      </c>
      <c r="B2604" s="1" t="s">
        <v>6969</v>
      </c>
      <c r="C2604" s="2" t="str">
        <f>IFERROR(__xludf.DUMMYFUNCTION("GOOGLETRANSLATE(E2604, ""en"",""vi"")"),"nhà vệ sinh")</f>
        <v>nhà vệ sinh</v>
      </c>
      <c r="D2604" s="2" t="str">
        <f t="shared" si="37"/>
        <v>nhà vệ sinh</v>
      </c>
      <c r="E2604" s="3" t="str">
        <f t="shared" si="2"/>
        <v>restroom</v>
      </c>
    </row>
    <row r="2605" ht="15.75" customHeight="1">
      <c r="A2605" s="1" t="s">
        <v>6970</v>
      </c>
      <c r="B2605" s="1" t="s">
        <v>6971</v>
      </c>
      <c r="C2605" s="2" t="s">
        <v>6972</v>
      </c>
      <c r="D2605" s="2" t="str">
        <f t="shared" si="37"/>
        <v>nút đảo ngược</v>
      </c>
      <c r="E2605" s="3" t="str">
        <f t="shared" si="2"/>
        <v>reverse button</v>
      </c>
    </row>
    <row r="2606" ht="15.75" customHeight="1">
      <c r="A2606" s="1" t="s">
        <v>6973</v>
      </c>
      <c r="B2606" s="1" t="s">
        <v>6974</v>
      </c>
      <c r="C2606" s="2" t="str">
        <f>IFERROR(__xludf.DUMMYFUNCTION("GOOGLETRANSLATE(E2606, ""en"",""vi"")"),"trái tim xoay tròn")</f>
        <v>trái tim xoay tròn</v>
      </c>
      <c r="D2606" s="2" t="str">
        <f t="shared" si="37"/>
        <v>trái tim xoay tròn</v>
      </c>
      <c r="E2606" s="3" t="str">
        <f t="shared" si="2"/>
        <v>revolving hearts</v>
      </c>
    </row>
    <row r="2607" ht="15.75" customHeight="1">
      <c r="A2607" s="1" t="s">
        <v>6975</v>
      </c>
      <c r="B2607" s="1" t="s">
        <v>6976</v>
      </c>
      <c r="C2607" s="2" t="str">
        <f>IFERROR(__xludf.DUMMYFUNCTION("GOOGLETRANSLATE(E2607, ""en"",""vi"")"),"tê giác")</f>
        <v>tê giác</v>
      </c>
      <c r="D2607" s="2" t="str">
        <f t="shared" si="37"/>
        <v>tê giác</v>
      </c>
      <c r="E2607" s="3" t="str">
        <f t="shared" si="2"/>
        <v>rhinoceros</v>
      </c>
    </row>
    <row r="2608" ht="15.75" customHeight="1">
      <c r="A2608" s="1" t="s">
        <v>6977</v>
      </c>
      <c r="B2608" s="1" t="s">
        <v>6978</v>
      </c>
      <c r="C2608" s="2" t="str">
        <f>IFERROR(__xludf.DUMMYFUNCTION("GOOGLETRANSLATE(E2608, ""en"",""vi"")"),"ruy-băng")</f>
        <v>ruy-băng</v>
      </c>
      <c r="D2608" s="2" t="str">
        <f t="shared" si="37"/>
        <v>ruy-băng</v>
      </c>
      <c r="E2608" s="3" t="str">
        <f t="shared" si="2"/>
        <v>ribbon</v>
      </c>
    </row>
    <row r="2609" ht="15.75" customHeight="1">
      <c r="A2609" s="1" t="s">
        <v>6979</v>
      </c>
      <c r="B2609" s="1" t="s">
        <v>6980</v>
      </c>
      <c r="C2609" s="2" t="s">
        <v>6981</v>
      </c>
      <c r="D2609" s="2" t="str">
        <f t="shared" si="37"/>
        <v>nắm cơm</v>
      </c>
      <c r="E2609" s="3" t="str">
        <f t="shared" si="2"/>
        <v>rice ball</v>
      </c>
    </row>
    <row r="2610" ht="15.75" customHeight="1">
      <c r="A2610" s="1" t="s">
        <v>6982</v>
      </c>
      <c r="B2610" s="1" t="s">
        <v>6983</v>
      </c>
      <c r="C2610" s="2" t="str">
        <f>IFERROR(__xludf.DUMMYFUNCTION("GOOGLETRANSLATE(E2610, ""en"",""vi"")"),"bánh gạo")</f>
        <v>bánh gạo</v>
      </c>
      <c r="D2610" s="2" t="str">
        <f t="shared" si="37"/>
        <v>bánh gạo</v>
      </c>
      <c r="E2610" s="3" t="str">
        <f t="shared" si="2"/>
        <v>rice cracker</v>
      </c>
    </row>
    <row r="2611" ht="15.75" customHeight="1">
      <c r="A2611" s="1" t="s">
        <v>6984</v>
      </c>
      <c r="B2611" s="1" t="s">
        <v>6985</v>
      </c>
      <c r="C2611" s="2" t="s">
        <v>6986</v>
      </c>
      <c r="D2611" s="2" t="str">
        <f t="shared" si="37"/>
        <v>nắm tay hướng phải</v>
      </c>
      <c r="E2611" s="3" t="str">
        <f t="shared" si="2"/>
        <v>right-facing fist</v>
      </c>
    </row>
    <row r="2612" ht="15.75" customHeight="1">
      <c r="A2612" s="1" t="s">
        <v>6987</v>
      </c>
      <c r="B2612" s="1" t="s">
        <v>6988</v>
      </c>
      <c r="C2612" s="2" t="s">
        <v>6989</v>
      </c>
      <c r="D2612" s="2" t="str">
        <f t="shared" si="37"/>
        <v>nắm tay hướng phải màu da sẫm</v>
      </c>
      <c r="E2612" s="3" t="str">
        <f t="shared" si="2"/>
        <v>right-facing fist dark skin tone</v>
      </c>
    </row>
    <row r="2613" ht="15.75" customHeight="1">
      <c r="A2613" s="1" t="s">
        <v>6990</v>
      </c>
      <c r="B2613" s="1" t="s">
        <v>6991</v>
      </c>
      <c r="C2613" s="2" t="s">
        <v>6992</v>
      </c>
      <c r="D2613" s="2" t="str">
        <f t="shared" si="37"/>
        <v>nắm tay hướng phải màu da sáng</v>
      </c>
      <c r="E2613" s="3" t="str">
        <f t="shared" si="2"/>
        <v>right-facing fist light skin tone</v>
      </c>
    </row>
    <row r="2614" ht="15.75" customHeight="1">
      <c r="A2614" s="1" t="s">
        <v>6993</v>
      </c>
      <c r="B2614" s="1" t="s">
        <v>6994</v>
      </c>
      <c r="C2614" s="2" t="s">
        <v>6995</v>
      </c>
      <c r="D2614" s="2" t="str">
        <f t="shared" si="37"/>
        <v>nắm tay hướng phải màu da sẫm vừa</v>
      </c>
      <c r="E2614" s="3" t="str">
        <f t="shared" si="2"/>
        <v>right-facing fist medium-dark skin tone</v>
      </c>
    </row>
    <row r="2615" ht="15.75" customHeight="1">
      <c r="A2615" s="1" t="s">
        <v>6996</v>
      </c>
      <c r="B2615" s="1" t="s">
        <v>6997</v>
      </c>
      <c r="C2615" s="2" t="s">
        <v>6998</v>
      </c>
      <c r="D2615" s="2" t="str">
        <f t="shared" si="37"/>
        <v>nắm tay hướng phải màu da sáng vừa</v>
      </c>
      <c r="E2615" s="3" t="str">
        <f t="shared" si="2"/>
        <v>right-facing fist medium-light skin tone</v>
      </c>
    </row>
    <row r="2616" ht="15.75" customHeight="1">
      <c r="A2616" s="1" t="s">
        <v>6999</v>
      </c>
      <c r="B2616" s="1" t="s">
        <v>7000</v>
      </c>
      <c r="C2616" s="2" t="s">
        <v>7001</v>
      </c>
      <c r="D2616" s="2" t="str">
        <f t="shared" si="37"/>
        <v>nắm tay hướng phải màu da thường</v>
      </c>
      <c r="E2616" s="3" t="str">
        <f t="shared" si="2"/>
        <v>right-facing fist medium skin tone</v>
      </c>
    </row>
    <row r="2617" ht="15.75" customHeight="1">
      <c r="A2617" s="1" t="s">
        <v>7002</v>
      </c>
      <c r="B2617" s="1" t="s">
        <v>7003</v>
      </c>
      <c r="C2617" s="2" t="s">
        <v>7004</v>
      </c>
      <c r="D2617" s="2" t="str">
        <f t="shared" si="37"/>
        <v>bong bóng giận dữ bên phải</v>
      </c>
      <c r="E2617" s="3" t="str">
        <f t="shared" si="2"/>
        <v>right anger bubble</v>
      </c>
    </row>
    <row r="2618" ht="15.75" customHeight="1">
      <c r="A2618" s="1" t="s">
        <v>7005</v>
      </c>
      <c r="B2618" s="1" t="s">
        <v>7006</v>
      </c>
      <c r="C2618" s="2" t="str">
        <f>IFERROR(__xludf.DUMMYFUNCTION("GOOGLETRANSLATE(E2618, ""en"",""vi"")"),"mũi tên phải")</f>
        <v>mũi tên phải</v>
      </c>
      <c r="D2618" s="2" t="str">
        <f t="shared" si="37"/>
        <v>mũi tên phải</v>
      </c>
      <c r="E2618" s="3" t="str">
        <f t="shared" si="2"/>
        <v>right arrow</v>
      </c>
    </row>
    <row r="2619" ht="15.75" customHeight="1">
      <c r="A2619" s="1" t="s">
        <v>7007</v>
      </c>
      <c r="B2619" s="1" t="s">
        <v>7008</v>
      </c>
      <c r="C2619" s="2" t="str">
        <f>IFERROR(__xludf.DUMMYFUNCTION("GOOGLETRANSLATE(E2619, ""en"",""vi"")"),"mũi tên phải cong xuống")</f>
        <v>mũi tên phải cong xuống</v>
      </c>
      <c r="D2619" s="2" t="str">
        <f t="shared" si="37"/>
        <v>mũi tên phải cong xuống</v>
      </c>
      <c r="E2619" s="3" t="str">
        <f t="shared" si="2"/>
        <v>right arrow curving down</v>
      </c>
    </row>
    <row r="2620" ht="15.75" customHeight="1">
      <c r="A2620" s="1" t="s">
        <v>7009</v>
      </c>
      <c r="B2620" s="1" t="s">
        <v>7010</v>
      </c>
      <c r="C2620" s="2" t="str">
        <f>IFERROR(__xludf.DUMMYFUNCTION("GOOGLETRANSLATE(E2620, ""en"",""vi"")"),"mũi tên phải cong sang trái")</f>
        <v>mũi tên phải cong sang trái</v>
      </c>
      <c r="D2620" s="2" t="str">
        <f t="shared" si="37"/>
        <v>mũi tên phải cong sang trái</v>
      </c>
      <c r="E2620" s="3" t="str">
        <f t="shared" si="2"/>
        <v>right arrow curving left</v>
      </c>
    </row>
    <row r="2621" ht="15.75" customHeight="1">
      <c r="A2621" s="1" t="s">
        <v>7011</v>
      </c>
      <c r="B2621" s="1" t="s">
        <v>7012</v>
      </c>
      <c r="C2621" s="2" t="str">
        <f>IFERROR(__xludf.DUMMYFUNCTION("GOOGLETRANSLATE(E2621, ""en"",""vi"")"),"mũi tên phải cong lên")</f>
        <v>mũi tên phải cong lên</v>
      </c>
      <c r="D2621" s="2" t="str">
        <f t="shared" si="37"/>
        <v>mũi tên phải cong lên</v>
      </c>
      <c r="E2621" s="3" t="str">
        <f t="shared" si="2"/>
        <v>right arrow curving up</v>
      </c>
    </row>
    <row r="2622" ht="15.75" customHeight="1">
      <c r="A2622" s="1" t="s">
        <v>7013</v>
      </c>
      <c r="B2622" s="1" t="s">
        <v>7014</v>
      </c>
      <c r="C2622" s="2" t="str">
        <f>IFERROR(__xludf.DUMMYFUNCTION("GOOGLETRANSLATE(E2622, ""en"",""vi"")"),"nhẫn")</f>
        <v>nhẫn</v>
      </c>
      <c r="D2622" s="2" t="str">
        <f t="shared" si="37"/>
        <v>nhẫn</v>
      </c>
      <c r="E2622" s="3" t="str">
        <f t="shared" si="2"/>
        <v>ring</v>
      </c>
    </row>
    <row r="2623" ht="15.75" customHeight="1">
      <c r="A2623" s="1" t="s">
        <v>7015</v>
      </c>
      <c r="B2623" s="1" t="s">
        <v>7016</v>
      </c>
      <c r="C2623" s="2" t="s">
        <v>7017</v>
      </c>
      <c r="D2623" s="2" t="str">
        <f t="shared" si="37"/>
        <v>hành tinh có vành đai</v>
      </c>
      <c r="E2623" s="3" t="str">
        <f t="shared" si="2"/>
        <v>ringed planet</v>
      </c>
    </row>
    <row r="2624" ht="15.75" customHeight="1">
      <c r="A2624" s="1" t="s">
        <v>7018</v>
      </c>
      <c r="B2624" s="1" t="s">
        <v>7019</v>
      </c>
      <c r="C2624" s="2" t="str">
        <f>IFERROR(__xludf.DUMMYFUNCTION("GOOGLETRANSLATE(E2624, ""en"",""vi"")"),"khoai lang nướng")</f>
        <v>khoai lang nướng</v>
      </c>
      <c r="D2624" s="2" t="str">
        <f t="shared" si="37"/>
        <v>khoai lang nướng</v>
      </c>
      <c r="E2624" s="3" t="str">
        <f t="shared" si="2"/>
        <v>roasted sweet potato</v>
      </c>
    </row>
    <row r="2625" ht="15.75" customHeight="1">
      <c r="A2625" s="1" t="s">
        <v>7020</v>
      </c>
      <c r="B2625" s="1" t="s">
        <v>7021</v>
      </c>
      <c r="C2625" s="2" t="s">
        <v>7022</v>
      </c>
      <c r="D2625" s="2" t="str">
        <f t="shared" si="37"/>
        <v>robot</v>
      </c>
      <c r="E2625" s="3" t="str">
        <f t="shared" si="2"/>
        <v>robot</v>
      </c>
    </row>
    <row r="2626" ht="15.75" customHeight="1">
      <c r="A2626" s="1" t="s">
        <v>7023</v>
      </c>
      <c r="B2626" s="1" t="s">
        <v>7024</v>
      </c>
      <c r="C2626" s="2" t="str">
        <f>IFERROR(__xludf.DUMMYFUNCTION("GOOGLETRANSLATE(E2626, ""en"",""vi"")"),"đá")</f>
        <v>đá</v>
      </c>
      <c r="D2626" s="2" t="str">
        <f t="shared" si="37"/>
        <v>đá</v>
      </c>
      <c r="E2626" s="3" t="str">
        <f t="shared" si="2"/>
        <v>rock</v>
      </c>
    </row>
    <row r="2627" ht="15.75" customHeight="1">
      <c r="A2627" s="1" t="s">
        <v>7025</v>
      </c>
      <c r="B2627" s="1" t="s">
        <v>7026</v>
      </c>
      <c r="C2627" s="2" t="s">
        <v>7027</v>
      </c>
      <c r="D2627" s="2" t="str">
        <f t="shared" si="37"/>
        <v>tên lửa</v>
      </c>
      <c r="E2627" s="3" t="str">
        <f t="shared" si="2"/>
        <v>rocket</v>
      </c>
    </row>
    <row r="2628" ht="15.75" customHeight="1">
      <c r="A2628" s="1" t="s">
        <v>7028</v>
      </c>
      <c r="B2628" s="1" t="s">
        <v>7029</v>
      </c>
      <c r="C2628" s="2" t="str">
        <f>IFERROR(__xludf.DUMMYFUNCTION("GOOGLETRANSLATE(E2628, ""en"",""vi"")"),"cuộn giấy")</f>
        <v>cuộn giấy</v>
      </c>
      <c r="D2628" s="2" t="str">
        <f t="shared" si="37"/>
        <v>cuộn giấy</v>
      </c>
      <c r="E2628" s="3" t="str">
        <f t="shared" si="2"/>
        <v>roll of paper</v>
      </c>
    </row>
    <row r="2629" ht="15.75" customHeight="1">
      <c r="A2629" s="1" t="s">
        <v>7030</v>
      </c>
      <c r="B2629" s="1" t="s">
        <v>7031</v>
      </c>
      <c r="C2629" s="2" t="str">
        <f>IFERROR(__xludf.DUMMYFUNCTION("GOOGLETRANSLATE(E2629, ""en"",""vi"")"),"tờ báo cuộn tròn")</f>
        <v>tờ báo cuộn tròn</v>
      </c>
      <c r="D2629" s="2" t="str">
        <f t="shared" si="37"/>
        <v>tờ báo cuộn tròn</v>
      </c>
      <c r="E2629" s="3" t="str">
        <f t="shared" si="2"/>
        <v>rolled-up newspaper</v>
      </c>
    </row>
    <row r="2630" ht="15.75" customHeight="1">
      <c r="A2630" s="1" t="s">
        <v>7032</v>
      </c>
      <c r="B2630" s="1" t="s">
        <v>7033</v>
      </c>
      <c r="C2630" s="2" t="str">
        <f>IFERROR(__xludf.DUMMYFUNCTION("GOOGLETRANSLATE(E2630, ""en"",""vi"")"),"tàu lượn siêu tốc")</f>
        <v>tàu lượn siêu tốc</v>
      </c>
      <c r="D2630" s="2" t="str">
        <f t="shared" si="37"/>
        <v>tàu lượn siêu tốc</v>
      </c>
      <c r="E2630" s="3" t="str">
        <f t="shared" si="2"/>
        <v>roller coaster</v>
      </c>
    </row>
    <row r="2631" ht="15.75" customHeight="1">
      <c r="A2631" s="1" t="s">
        <v>7034</v>
      </c>
      <c r="B2631" s="1" t="s">
        <v>7035</v>
      </c>
      <c r="C2631" s="2" t="s">
        <v>7036</v>
      </c>
      <c r="D2631" s="2" t="str">
        <f t="shared" si="37"/>
        <v>lướt ván siêu tốc</v>
      </c>
      <c r="E2631" s="3" t="str">
        <f t="shared" si="2"/>
        <v>roller skate</v>
      </c>
    </row>
    <row r="2632" ht="15.75" customHeight="1">
      <c r="A2632" s="1" t="s">
        <v>7037</v>
      </c>
      <c r="B2632" s="1" t="s">
        <v>7038</v>
      </c>
      <c r="C2632" s="2" t="str">
        <f>IFERROR(__xludf.DUMMYFUNCTION("GOOGLETRANSLATE(E2632, ""en"",""vi"")"),"lăn trên sàn cười")</f>
        <v>lăn trên sàn cười</v>
      </c>
      <c r="D2632" s="2" t="str">
        <f t="shared" si="37"/>
        <v>lăn trên sàn cười</v>
      </c>
      <c r="E2632" s="3" t="str">
        <f t="shared" si="2"/>
        <v>rolling on the floor laughing</v>
      </c>
    </row>
    <row r="2633" ht="15.75" customHeight="1">
      <c r="A2633" s="1" t="s">
        <v>7039</v>
      </c>
      <c r="B2633" s="1" t="s">
        <v>7040</v>
      </c>
      <c r="C2633" s="2" t="str">
        <f>IFERROR(__xludf.DUMMYFUNCTION("GOOGLETRANSLATE(E2633, ""en"",""vi"")"),"gà trống")</f>
        <v>gà trống</v>
      </c>
      <c r="D2633" s="2" t="str">
        <f t="shared" si="37"/>
        <v>gà trống</v>
      </c>
      <c r="E2633" s="3" t="str">
        <f t="shared" si="2"/>
        <v>rooster</v>
      </c>
    </row>
    <row r="2634" ht="15.75" customHeight="1">
      <c r="A2634" s="1" t="s">
        <v>7041</v>
      </c>
      <c r="B2634" s="1" t="s">
        <v>7042</v>
      </c>
      <c r="C2634" s="2" t="str">
        <f>IFERROR(__xludf.DUMMYFUNCTION("GOOGLETRANSLATE(E2634, ""en"",""vi"")"),"hoa hồng")</f>
        <v>hoa hồng</v>
      </c>
      <c r="D2634" s="2" t="str">
        <f t="shared" si="37"/>
        <v>hoa hồng</v>
      </c>
      <c r="E2634" s="3" t="str">
        <f t="shared" si="2"/>
        <v>rose</v>
      </c>
    </row>
    <row r="2635" ht="15.75" customHeight="1">
      <c r="A2635" s="1" t="s">
        <v>7043</v>
      </c>
      <c r="B2635" s="1" t="s">
        <v>7044</v>
      </c>
      <c r="C2635" s="2" t="s">
        <v>7045</v>
      </c>
      <c r="D2635" s="2" t="str">
        <f t="shared" si="37"/>
        <v>hoa thị</v>
      </c>
      <c r="E2635" s="3" t="str">
        <f t="shared" si="2"/>
        <v>rosette</v>
      </c>
    </row>
    <row r="2636" ht="15.75" customHeight="1">
      <c r="A2636" s="1" t="s">
        <v>7046</v>
      </c>
      <c r="B2636" s="1" t="s">
        <v>7047</v>
      </c>
      <c r="C2636" s="2" t="s">
        <v>7048</v>
      </c>
      <c r="D2636" s="2" t="str">
        <f t="shared" si="37"/>
        <v>đinh ghim tròn</v>
      </c>
      <c r="E2636" s="3" t="str">
        <f t="shared" si="2"/>
        <v>round pushpin</v>
      </c>
    </row>
    <row r="2637" ht="15.75" customHeight="1">
      <c r="A2637" s="1" t="s">
        <v>7049</v>
      </c>
      <c r="B2637" s="1" t="s">
        <v>7050</v>
      </c>
      <c r="C2637" s="2" t="s">
        <v>7051</v>
      </c>
      <c r="D2637" s="2" t="str">
        <f t="shared" si="37"/>
        <v>bóng bầu dục</v>
      </c>
      <c r="E2637" s="3" t="str">
        <f t="shared" si="2"/>
        <v>rugby football</v>
      </c>
    </row>
    <row r="2638" ht="15.75" customHeight="1">
      <c r="A2638" s="1" t="s">
        <v>7052</v>
      </c>
      <c r="B2638" s="1" t="s">
        <v>7053</v>
      </c>
      <c r="C2638" s="2" t="s">
        <v>7054</v>
      </c>
      <c r="D2638" s="2" t="str">
        <f t="shared" si="37"/>
        <v>áo chạy</v>
      </c>
      <c r="E2638" s="3" t="str">
        <f t="shared" si="2"/>
        <v>running shirt</v>
      </c>
    </row>
    <row r="2639" ht="15.75" customHeight="1">
      <c r="A2639" s="1" t="s">
        <v>7055</v>
      </c>
      <c r="B2639" s="1" t="s">
        <v>7056</v>
      </c>
      <c r="C2639" s="2" t="str">
        <f>IFERROR(__xludf.DUMMYFUNCTION("GOOGLETRANSLATE(E2639, ""en"",""vi"")"),"giày chạy bộ")</f>
        <v>giày chạy bộ</v>
      </c>
      <c r="D2639" s="2" t="str">
        <f t="shared" si="37"/>
        <v>giày chạy bộ</v>
      </c>
      <c r="E2639" s="3" t="str">
        <f t="shared" si="2"/>
        <v>running shoe</v>
      </c>
    </row>
    <row r="2640" ht="15.75" customHeight="1">
      <c r="A2640" s="1" t="s">
        <v>7057</v>
      </c>
      <c r="B2640" s="1" t="s">
        <v>7058</v>
      </c>
      <c r="C2640" s="2" t="s">
        <v>7059</v>
      </c>
      <c r="D2640" s="2" t="str">
        <f t="shared" si="37"/>
        <v>mặt buồn nhưng nhẹ nhõm</v>
      </c>
      <c r="E2640" s="3" t="str">
        <f t="shared" si="2"/>
        <v>sad but relieved face</v>
      </c>
    </row>
    <row r="2641" ht="15.75" customHeight="1">
      <c r="A2641" s="1" t="s">
        <v>7060</v>
      </c>
      <c r="B2641" s="1" t="s">
        <v>7061</v>
      </c>
      <c r="C2641" s="2" t="s">
        <v>7062</v>
      </c>
      <c r="D2641" s="2" t="str">
        <f t="shared" si="37"/>
        <v>kim băng</v>
      </c>
      <c r="E2641" s="3" t="str">
        <f t="shared" si="2"/>
        <v>safety pin</v>
      </c>
    </row>
    <row r="2642" ht="15.75" customHeight="1">
      <c r="A2642" s="1" t="s">
        <v>7063</v>
      </c>
      <c r="B2642" s="1" t="s">
        <v>7064</v>
      </c>
      <c r="C2642" s="2" t="str">
        <f>IFERROR(__xludf.DUMMYFUNCTION("GOOGLETRANSLATE(E2642, ""en"",""vi"")"),"áo an toàn")</f>
        <v>áo an toàn</v>
      </c>
      <c r="D2642" s="2" t="str">
        <f t="shared" si="37"/>
        <v>áo an toàn</v>
      </c>
      <c r="E2642" s="3" t="str">
        <f t="shared" si="2"/>
        <v>safety vest</v>
      </c>
    </row>
    <row r="2643" ht="15.75" customHeight="1">
      <c r="A2643" s="1" t="s">
        <v>7065</v>
      </c>
      <c r="B2643" s="1" t="s">
        <v>7066</v>
      </c>
      <c r="C2643" s="2" t="s">
        <v>7067</v>
      </c>
      <c r="D2643" s="2" t="str">
        <f t="shared" si="37"/>
        <v>thuyền buồm</v>
      </c>
      <c r="E2643" s="3" t="str">
        <f t="shared" si="2"/>
        <v>sailboat</v>
      </c>
    </row>
    <row r="2644" ht="15.75" customHeight="1">
      <c r="A2644" s="1" t="s">
        <v>7068</v>
      </c>
      <c r="B2644" s="1" t="s">
        <v>7069</v>
      </c>
      <c r="C2644" s="2" t="s">
        <v>7070</v>
      </c>
      <c r="D2644" s="2" t="str">
        <f t="shared" si="37"/>
        <v>rượu sake</v>
      </c>
      <c r="E2644" s="3" t="str">
        <f t="shared" si="2"/>
        <v>sake</v>
      </c>
    </row>
    <row r="2645" ht="15.75" customHeight="1">
      <c r="A2645" s="1" t="s">
        <v>7071</v>
      </c>
      <c r="B2645" s="1" t="s">
        <v>7072</v>
      </c>
      <c r="C2645" s="2" t="str">
        <f>IFERROR(__xludf.DUMMYFUNCTION("GOOGLETRANSLATE(E2645, ""en"",""vi"")"),"muối")</f>
        <v>muối</v>
      </c>
      <c r="D2645" s="2" t="str">
        <f t="shared" si="37"/>
        <v>muối</v>
      </c>
      <c r="E2645" s="3" t="str">
        <f t="shared" si="2"/>
        <v>salt</v>
      </c>
    </row>
    <row r="2646" ht="15.75" customHeight="1">
      <c r="A2646" s="1" t="s">
        <v>7073</v>
      </c>
      <c r="B2646" s="1" t="s">
        <v>7074</v>
      </c>
      <c r="C2646" s="2" t="str">
        <f>IFERROR(__xludf.DUMMYFUNCTION("GOOGLETRANSLATE(E2646, ""en"",""vi"")"),"sandwich")</f>
        <v>sandwich</v>
      </c>
      <c r="D2646" s="2" t="str">
        <f t="shared" si="37"/>
        <v>sandwich</v>
      </c>
      <c r="E2646" s="3" t="str">
        <f t="shared" si="2"/>
        <v>sandwich</v>
      </c>
    </row>
    <row r="2647" ht="15.75" customHeight="1">
      <c r="A2647" s="1" t="s">
        <v>7075</v>
      </c>
      <c r="B2647" s="1" t="s">
        <v>7076</v>
      </c>
      <c r="C2647" s="2" t="s">
        <v>7077</v>
      </c>
      <c r="D2647" s="2" t="str">
        <f t="shared" si="37"/>
        <v>sari</v>
      </c>
      <c r="E2647" s="3" t="str">
        <f t="shared" si="2"/>
        <v>sari</v>
      </c>
    </row>
    <row r="2648" ht="15.75" customHeight="1">
      <c r="A2648" s="1" t="s">
        <v>7078</v>
      </c>
      <c r="B2648" s="1" t="s">
        <v>7079</v>
      </c>
      <c r="C2648" s="2" t="str">
        <f>IFERROR(__xludf.DUMMYFUNCTION("GOOGLETRANSLATE(E2648, ""en"",""vi"")"),"vệ tinh")</f>
        <v>vệ tinh</v>
      </c>
      <c r="D2648" s="2" t="str">
        <f t="shared" si="37"/>
        <v>vệ tinh</v>
      </c>
      <c r="E2648" s="3" t="str">
        <f t="shared" si="2"/>
        <v>satellite</v>
      </c>
    </row>
    <row r="2649" ht="15.75" customHeight="1">
      <c r="A2649" s="1" t="s">
        <v>7080</v>
      </c>
      <c r="B2649" s="1" t="s">
        <v>7081</v>
      </c>
      <c r="C2649" s="2" t="str">
        <f>IFERROR(__xludf.DUMMYFUNCTION("GOOGLETRANSLATE(E2649, ""en"",""vi"")"),"Ăng ten vệ tinh")</f>
        <v>Ăng ten vệ tinh</v>
      </c>
      <c r="D2649" s="2" t="str">
        <f t="shared" si="37"/>
        <v>ăng ten vệ tinh</v>
      </c>
      <c r="E2649" s="3" t="str">
        <f t="shared" si="2"/>
        <v>satellite antenna</v>
      </c>
    </row>
    <row r="2650" ht="15.75" customHeight="1">
      <c r="A2650" s="1" t="s">
        <v>7082</v>
      </c>
      <c r="B2650" s="1" t="s">
        <v>7083</v>
      </c>
      <c r="C2650" s="2" t="s">
        <v>7084</v>
      </c>
      <c r="D2650" s="2" t="str">
        <f t="shared" si="37"/>
        <v>khủng long chân thằn lằn</v>
      </c>
      <c r="E2650" s="3" t="str">
        <f t="shared" si="2"/>
        <v>sauropod</v>
      </c>
    </row>
    <row r="2651" ht="15.75" customHeight="1">
      <c r="A2651" s="1" t="s">
        <v>7085</v>
      </c>
      <c r="B2651" s="1" t="s">
        <v>7086</v>
      </c>
      <c r="C2651" s="2" t="s">
        <v>7087</v>
      </c>
      <c r="D2651" s="2" t="str">
        <f t="shared" si="37"/>
        <v>saxophone</v>
      </c>
      <c r="E2651" s="3" t="str">
        <f t="shared" si="2"/>
        <v>saxophone</v>
      </c>
    </row>
    <row r="2652" ht="15.75" customHeight="1">
      <c r="A2652" s="1" t="s">
        <v>7088</v>
      </c>
      <c r="B2652" s="1" t="s">
        <v>7089</v>
      </c>
      <c r="C2652" s="2" t="str">
        <f>IFERROR(__xludf.DUMMYFUNCTION("GOOGLETRANSLATE(E2652, ""en"",""vi"")"),"khăn quàng cổ")</f>
        <v>khăn quàng cổ</v>
      </c>
      <c r="D2652" s="2" t="str">
        <f t="shared" si="37"/>
        <v>khăn quàng cổ</v>
      </c>
      <c r="E2652" s="3" t="str">
        <f t="shared" si="2"/>
        <v>scarf</v>
      </c>
    </row>
    <row r="2653" ht="15.75" customHeight="1">
      <c r="A2653" s="1" t="s">
        <v>7090</v>
      </c>
      <c r="B2653" s="1" t="s">
        <v>7091</v>
      </c>
      <c r="C2653" s="2" t="str">
        <f>IFERROR(__xludf.DUMMYFUNCTION("GOOGLETRANSLATE(E2653, ""en"",""vi"")"),"trường học")</f>
        <v>trường học</v>
      </c>
      <c r="D2653" s="2" t="str">
        <f t="shared" si="37"/>
        <v>trường học</v>
      </c>
      <c r="E2653" s="3" t="str">
        <f t="shared" si="2"/>
        <v>school</v>
      </c>
    </row>
    <row r="2654" ht="15.75" customHeight="1">
      <c r="A2654" s="1" t="s">
        <v>7092</v>
      </c>
      <c r="B2654" s="1" t="s">
        <v>7093</v>
      </c>
      <c r="C2654" s="2" t="s">
        <v>7094</v>
      </c>
      <c r="D2654" s="2" t="str">
        <f t="shared" si="37"/>
        <v>nhà khoa học</v>
      </c>
      <c r="E2654" s="3" t="str">
        <f t="shared" si="2"/>
        <v>scientist</v>
      </c>
    </row>
    <row r="2655" ht="15.75" customHeight="1">
      <c r="A2655" s="1" t="s">
        <v>7095</v>
      </c>
      <c r="B2655" s="1" t="s">
        <v>7096</v>
      </c>
      <c r="C2655" s="2" t="s">
        <v>7097</v>
      </c>
      <c r="D2655" s="2" t="str">
        <f t="shared" si="37"/>
        <v>nhà khoa học màu da sẫm</v>
      </c>
      <c r="E2655" s="3" t="str">
        <f t="shared" si="2"/>
        <v>scientist dark skin tone</v>
      </c>
    </row>
    <row r="2656" ht="15.75" customHeight="1">
      <c r="A2656" s="1" t="s">
        <v>7098</v>
      </c>
      <c r="B2656" s="1" t="s">
        <v>7099</v>
      </c>
      <c r="C2656" s="2" t="s">
        <v>7100</v>
      </c>
      <c r="D2656" s="2" t="str">
        <f t="shared" si="37"/>
        <v>nhà khoa học màu da sáng</v>
      </c>
      <c r="E2656" s="3" t="str">
        <f t="shared" si="2"/>
        <v>scientist light skin tone</v>
      </c>
    </row>
    <row r="2657" ht="15.75" customHeight="1">
      <c r="A2657" s="1" t="s">
        <v>7101</v>
      </c>
      <c r="B2657" s="1" t="s">
        <v>7102</v>
      </c>
      <c r="C2657" s="2" t="s">
        <v>7103</v>
      </c>
      <c r="D2657" s="2" t="str">
        <f t="shared" si="37"/>
        <v>nhà khoa học màu da sẫm vừa</v>
      </c>
      <c r="E2657" s="3" t="str">
        <f t="shared" si="2"/>
        <v>scientist medium-dark skin tone</v>
      </c>
    </row>
    <row r="2658" ht="15.75" customHeight="1">
      <c r="A2658" s="1" t="s">
        <v>7104</v>
      </c>
      <c r="B2658" s="1" t="s">
        <v>7105</v>
      </c>
      <c r="C2658" s="2" t="s">
        <v>7106</v>
      </c>
      <c r="D2658" s="2" t="str">
        <f t="shared" si="37"/>
        <v>nhà khoa học màu da sáng vừa</v>
      </c>
      <c r="E2658" s="3" t="str">
        <f t="shared" si="2"/>
        <v>scientist medium-light skin tone</v>
      </c>
    </row>
    <row r="2659" ht="15.75" customHeight="1">
      <c r="A2659" s="1" t="s">
        <v>7107</v>
      </c>
      <c r="B2659" s="1" t="s">
        <v>7108</v>
      </c>
      <c r="C2659" s="2" t="s">
        <v>7109</v>
      </c>
      <c r="D2659" s="2" t="str">
        <f t="shared" si="37"/>
        <v>nhà khoa học màu da thường</v>
      </c>
      <c r="E2659" s="3" t="str">
        <f t="shared" si="2"/>
        <v>scientist medium skin tone</v>
      </c>
    </row>
    <row r="2660" ht="15.75" customHeight="1">
      <c r="A2660" s="1" t="s">
        <v>7110</v>
      </c>
      <c r="B2660" s="1" t="s">
        <v>7111</v>
      </c>
      <c r="C2660" s="2" t="str">
        <f>IFERROR(__xludf.DUMMYFUNCTION("GOOGLETRANSLATE(E2660, ""en"",""vi"")"),"kéo")</f>
        <v>kéo</v>
      </c>
      <c r="D2660" s="2" t="str">
        <f t="shared" si="37"/>
        <v>kéo</v>
      </c>
      <c r="E2660" s="3" t="str">
        <f t="shared" si="2"/>
        <v>scissors</v>
      </c>
    </row>
    <row r="2661" ht="15.75" customHeight="1">
      <c r="A2661" s="1" t="s">
        <v>7112</v>
      </c>
      <c r="B2661" s="1" t="s">
        <v>7113</v>
      </c>
      <c r="C2661" s="2" t="str">
        <f>IFERROR(__xludf.DUMMYFUNCTION("GOOGLETRANSLATE(E2661, ""en"",""vi"")"),"bọ cạp")</f>
        <v>bọ cạp</v>
      </c>
      <c r="D2661" s="2" t="str">
        <f t="shared" si="37"/>
        <v>bọ cạp</v>
      </c>
      <c r="E2661" s="3" t="str">
        <f t="shared" si="2"/>
        <v>scorpion</v>
      </c>
    </row>
    <row r="2662" ht="15.75" customHeight="1">
      <c r="A2662" s="1" t="s">
        <v>7114</v>
      </c>
      <c r="B2662" s="1" t="s">
        <v>7115</v>
      </c>
      <c r="C2662" s="2" t="str">
        <f>IFERROR(__xludf.DUMMYFUNCTION("GOOGLETRANSLATE(E2662, ""en"",""vi"")"),"tua vít")</f>
        <v>tua vít</v>
      </c>
      <c r="D2662" s="2" t="str">
        <f t="shared" si="37"/>
        <v>tua vít</v>
      </c>
      <c r="E2662" s="3" t="str">
        <f t="shared" si="2"/>
        <v>screwdriver</v>
      </c>
    </row>
    <row r="2663" ht="15.75" customHeight="1">
      <c r="A2663" s="1" t="s">
        <v>7116</v>
      </c>
      <c r="B2663" s="1" t="s">
        <v>7117</v>
      </c>
      <c r="C2663" s="2" t="str">
        <f>IFERROR(__xludf.DUMMYFUNCTION("GOOGLETRANSLATE(E2663, ""en"",""vi"")"),"cuộn")</f>
        <v>cuộn</v>
      </c>
      <c r="D2663" s="2" t="str">
        <f t="shared" si="37"/>
        <v>cuộn</v>
      </c>
      <c r="E2663" s="3" t="str">
        <f t="shared" si="2"/>
        <v>scroll</v>
      </c>
    </row>
    <row r="2664" ht="15.75" customHeight="1">
      <c r="A2664" s="1" t="s">
        <v>7118</v>
      </c>
      <c r="B2664" s="1" t="s">
        <v>7119</v>
      </c>
      <c r="C2664" s="2" t="str">
        <f>IFERROR(__xludf.DUMMYFUNCTION("GOOGLETRANSLATE(E2664, ""en"",""vi"")"),"niêm phong")</f>
        <v>niêm phong</v>
      </c>
      <c r="D2664" s="2" t="str">
        <f t="shared" si="37"/>
        <v>niêm phong</v>
      </c>
      <c r="E2664" s="3" t="str">
        <f t="shared" si="2"/>
        <v>seal</v>
      </c>
    </row>
    <row r="2665" ht="15.75" customHeight="1">
      <c r="A2665" s="1" t="s">
        <v>7120</v>
      </c>
      <c r="B2665" s="1" t="s">
        <v>7121</v>
      </c>
      <c r="C2665" s="2" t="str">
        <f>IFERROR(__xludf.DUMMYFUNCTION("GOOGLETRANSLATE(E2665, ""en"",""vi"")"),"ghế")</f>
        <v>ghế</v>
      </c>
      <c r="D2665" s="2" t="str">
        <f t="shared" si="37"/>
        <v>ghế</v>
      </c>
      <c r="E2665" s="3" t="str">
        <f t="shared" si="2"/>
        <v>seat</v>
      </c>
    </row>
    <row r="2666" ht="15.75" customHeight="1">
      <c r="A2666" s="1" t="s">
        <v>7122</v>
      </c>
      <c r="B2666" s="1" t="s">
        <v>7123</v>
      </c>
      <c r="C2666" s="2" t="s">
        <v>7124</v>
      </c>
      <c r="D2666" s="2" t="str">
        <f t="shared" si="37"/>
        <v>khỉ bịt mắt</v>
      </c>
      <c r="E2666" s="3" t="str">
        <f t="shared" si="2"/>
        <v>see-no-evil monkey</v>
      </c>
    </row>
    <row r="2667" ht="15.75" customHeight="1">
      <c r="A2667" s="1" t="s">
        <v>7125</v>
      </c>
      <c r="B2667" s="1" t="s">
        <v>7126</v>
      </c>
      <c r="C2667" s="2" t="str">
        <f>IFERROR(__xludf.DUMMYFUNCTION("GOOGLETRANSLATE(E2667, ""en"",""vi"")"),"cây giống")</f>
        <v>cây giống</v>
      </c>
      <c r="D2667" s="2" t="str">
        <f t="shared" si="37"/>
        <v>cây giống</v>
      </c>
      <c r="E2667" s="3" t="str">
        <f t="shared" si="2"/>
        <v>seedling</v>
      </c>
    </row>
    <row r="2668" ht="15.75" customHeight="1">
      <c r="A2668" s="1" t="s">
        <v>7127</v>
      </c>
      <c r="B2668" s="1" t="s">
        <v>7128</v>
      </c>
      <c r="C2668" s="2" t="s">
        <v>7129</v>
      </c>
      <c r="D2668" s="2" t="str">
        <f t="shared" si="37"/>
        <v>chụp ảnh tự sướng</v>
      </c>
      <c r="E2668" s="3" t="str">
        <f t="shared" si="2"/>
        <v>selfie</v>
      </c>
    </row>
    <row r="2669" ht="15.75" customHeight="1">
      <c r="A2669" s="1" t="s">
        <v>7130</v>
      </c>
      <c r="B2669" s="1" t="s">
        <v>7131</v>
      </c>
      <c r="C2669" s="2" t="s">
        <v>7132</v>
      </c>
      <c r="D2669" s="2" t="str">
        <f t="shared" si="37"/>
        <v>chụp ảnh tự sướng màu da sẫm</v>
      </c>
      <c r="E2669" s="3" t="str">
        <f t="shared" si="2"/>
        <v>selfie dark skin tone</v>
      </c>
    </row>
    <row r="2670" ht="15.75" customHeight="1">
      <c r="A2670" s="1" t="s">
        <v>7133</v>
      </c>
      <c r="B2670" s="1" t="s">
        <v>7134</v>
      </c>
      <c r="C2670" s="2" t="s">
        <v>7135</v>
      </c>
      <c r="D2670" s="2" t="str">
        <f t="shared" si="37"/>
        <v>chụp ảnh tự sướng màu da sáng</v>
      </c>
      <c r="E2670" s="3" t="str">
        <f t="shared" si="2"/>
        <v>selfie light skin tone</v>
      </c>
    </row>
    <row r="2671" ht="15.75" customHeight="1">
      <c r="A2671" s="1" t="s">
        <v>7136</v>
      </c>
      <c r="B2671" s="1" t="s">
        <v>7137</v>
      </c>
      <c r="C2671" s="2" t="s">
        <v>7138</v>
      </c>
      <c r="D2671" s="2" t="str">
        <f t="shared" si="37"/>
        <v>chụp ảnh tự sướng màu da sẫm vừa</v>
      </c>
      <c r="E2671" s="3" t="str">
        <f t="shared" si="2"/>
        <v>selfie medium-dark skin tone</v>
      </c>
    </row>
    <row r="2672" ht="15.75" customHeight="1">
      <c r="A2672" s="1" t="s">
        <v>7139</v>
      </c>
      <c r="B2672" s="1" t="s">
        <v>7140</v>
      </c>
      <c r="C2672" s="2" t="s">
        <v>7141</v>
      </c>
      <c r="D2672" s="2" t="str">
        <f t="shared" si="37"/>
        <v>chụp ảnh tự sướng màu da sáng vừa</v>
      </c>
      <c r="E2672" s="3" t="str">
        <f t="shared" si="2"/>
        <v>selfie medium-light skin tone</v>
      </c>
    </row>
    <row r="2673" ht="15.75" customHeight="1">
      <c r="A2673" s="1" t="s">
        <v>7142</v>
      </c>
      <c r="B2673" s="1" t="s">
        <v>7143</v>
      </c>
      <c r="C2673" s="2" t="s">
        <v>7144</v>
      </c>
      <c r="D2673" s="2" t="str">
        <f t="shared" si="37"/>
        <v>chụp ảnh tự sướng màu da thường</v>
      </c>
      <c r="E2673" s="3" t="str">
        <f t="shared" si="2"/>
        <v>selfie medium skin tone</v>
      </c>
    </row>
    <row r="2674" ht="15.75" customHeight="1">
      <c r="A2674" s="1" t="s">
        <v>7145</v>
      </c>
      <c r="B2674" s="1" t="s">
        <v>7146</v>
      </c>
      <c r="C2674" s="2" t="str">
        <f>IFERROR(__xludf.DUMMYFUNCTION("GOOGLETRANSLATE(E2674, ""en"",""vi"")"),"chó nghiệp vụ")</f>
        <v>chó nghiệp vụ</v>
      </c>
      <c r="D2674" s="2" t="str">
        <f t="shared" si="37"/>
        <v>chó nghiệp vụ</v>
      </c>
      <c r="E2674" s="3" t="str">
        <f t="shared" si="2"/>
        <v>service dog</v>
      </c>
    </row>
    <row r="2675" ht="15.75" customHeight="1">
      <c r="A2675" s="1" t="s">
        <v>7147</v>
      </c>
      <c r="B2675" s="1" t="s">
        <v>7148</v>
      </c>
      <c r="C2675" s="2" t="str">
        <f>IFERROR(__xludf.DUMMYFUNCTION("GOOGLETRANSLATE(E2675, ""en"",""vi"")"),"bảy giờ ba mươi")</f>
        <v>bảy giờ ba mươi</v>
      </c>
      <c r="D2675" s="2" t="str">
        <f t="shared" si="37"/>
        <v>bảy giờ ba mươi</v>
      </c>
      <c r="E2675" s="3" t="str">
        <f t="shared" si="2"/>
        <v>seven-thirty</v>
      </c>
    </row>
    <row r="2676" ht="15.75" customHeight="1">
      <c r="A2676" s="1" t="s">
        <v>7149</v>
      </c>
      <c r="B2676" s="1" t="s">
        <v>7150</v>
      </c>
      <c r="C2676" s="2" t="str">
        <f>IFERROR(__xludf.DUMMYFUNCTION("GOOGLETRANSLATE(E2676, ""en"",""vi"")"),"bảy giờ")</f>
        <v>bảy giờ</v>
      </c>
      <c r="D2676" s="2" t="str">
        <f t="shared" si="37"/>
        <v>bảy giờ</v>
      </c>
      <c r="E2676" s="3" t="str">
        <f t="shared" si="2"/>
        <v>seven o’clock</v>
      </c>
    </row>
    <row r="2677" ht="15.75" customHeight="1">
      <c r="A2677" s="1" t="s">
        <v>7151</v>
      </c>
      <c r="B2677" s="1" t="s">
        <v>7152</v>
      </c>
      <c r="C2677" s="2" t="str">
        <f>IFERROR(__xludf.DUMMYFUNCTION("GOOGLETRANSLATE(E2677, ""en"",""vi"")"),"kim khâu")</f>
        <v>kim khâu</v>
      </c>
      <c r="D2677" s="2" t="str">
        <f t="shared" si="37"/>
        <v>kim khâu</v>
      </c>
      <c r="E2677" s="3" t="str">
        <f t="shared" si="2"/>
        <v>sewing needle</v>
      </c>
    </row>
    <row r="2678" ht="15.75" customHeight="1">
      <c r="A2678" s="1" t="s">
        <v>7153</v>
      </c>
      <c r="B2678" s="1" t="s">
        <v>7154</v>
      </c>
      <c r="C2678" s="2" t="str">
        <f>IFERROR(__xludf.DUMMYFUNCTION("GOOGLETRANSLATE(E2678, ""en"",""vi"")"),"chảo nông đựng thức ăn")</f>
        <v>chảo nông đựng thức ăn</v>
      </c>
      <c r="D2678" s="2" t="str">
        <f t="shared" si="37"/>
        <v>chảo nông đựng thức ăn</v>
      </c>
      <c r="E2678" s="3" t="str">
        <f t="shared" si="2"/>
        <v>shallow pan of food</v>
      </c>
    </row>
    <row r="2679" ht="15.75" customHeight="1">
      <c r="A2679" s="1" t="s">
        <v>7155</v>
      </c>
      <c r="B2679" s="1" t="s">
        <v>7156</v>
      </c>
      <c r="C2679" s="2" t="str">
        <f>IFERROR(__xludf.DUMMYFUNCTION("GOOGLETRANSLATE(E2679, ""en"",""vi"")"),"cây cỏ ba lá")</f>
        <v>cây cỏ ba lá</v>
      </c>
      <c r="D2679" s="2" t="str">
        <f t="shared" si="37"/>
        <v>cây cỏ ba lá</v>
      </c>
      <c r="E2679" s="3" t="str">
        <f t="shared" si="2"/>
        <v>shamrock</v>
      </c>
    </row>
    <row r="2680" ht="15.75" customHeight="1">
      <c r="A2680" s="1" t="s">
        <v>7157</v>
      </c>
      <c r="B2680" s="1" t="s">
        <v>7158</v>
      </c>
      <c r="C2680" s="2" t="str">
        <f>IFERROR(__xludf.DUMMYFUNCTION("GOOGLETRANSLATE(E2680, ""en"",""vi"")"),"cá mập")</f>
        <v>cá mập</v>
      </c>
      <c r="D2680" s="2" t="str">
        <f t="shared" si="37"/>
        <v>cá mập</v>
      </c>
      <c r="E2680" s="3" t="str">
        <f t="shared" si="2"/>
        <v>shark</v>
      </c>
    </row>
    <row r="2681" ht="15.75" customHeight="1">
      <c r="A2681" s="1" t="s">
        <v>7159</v>
      </c>
      <c r="B2681" s="1" t="s">
        <v>7160</v>
      </c>
      <c r="C2681" s="2" t="str">
        <f>IFERROR(__xludf.DUMMYFUNCTION("GOOGLETRANSLATE(E2681, ""en"",""vi"")"),"đá bào")</f>
        <v>đá bào</v>
      </c>
      <c r="D2681" s="2" t="str">
        <f t="shared" si="37"/>
        <v>đá bào</v>
      </c>
      <c r="E2681" s="3" t="str">
        <f t="shared" si="2"/>
        <v>shaved ice</v>
      </c>
    </row>
    <row r="2682" ht="15.75" customHeight="1">
      <c r="A2682" s="1" t="s">
        <v>7161</v>
      </c>
      <c r="B2682" s="1" t="s">
        <v>7162</v>
      </c>
      <c r="C2682" s="2" t="s">
        <v>7163</v>
      </c>
      <c r="D2682" s="2" t="str">
        <f t="shared" si="37"/>
        <v>bó lá gạo</v>
      </c>
      <c r="E2682" s="3" t="str">
        <f t="shared" si="2"/>
        <v>sheaf of rice</v>
      </c>
    </row>
    <row r="2683" ht="15.75" customHeight="1">
      <c r="A2683" s="1" t="s">
        <v>7164</v>
      </c>
      <c r="B2683" s="1" t="s">
        <v>7165</v>
      </c>
      <c r="C2683" s="2" t="str">
        <f>IFERROR(__xludf.DUMMYFUNCTION("GOOGLETRANSLATE(E2683, ""en"",""vi"")"),"lá chắn")</f>
        <v>lá chắn</v>
      </c>
      <c r="D2683" s="2" t="str">
        <f t="shared" si="37"/>
        <v>lá chắn</v>
      </c>
      <c r="E2683" s="3" t="str">
        <f t="shared" si="2"/>
        <v>shield</v>
      </c>
    </row>
    <row r="2684" ht="15.75" customHeight="1">
      <c r="A2684" s="1" t="s">
        <v>7166</v>
      </c>
      <c r="B2684" s="1" t="s">
        <v>7167</v>
      </c>
      <c r="C2684" s="2" t="str">
        <f>IFERROR(__xludf.DUMMYFUNCTION("GOOGLETRANSLATE(E2684, ""en"",""vi"")"),"đền thờ thần đạo Shinto")</f>
        <v>đền thờ thần đạo Shinto</v>
      </c>
      <c r="D2684" s="2" t="str">
        <f t="shared" si="37"/>
        <v>đền thờ thần đạo shinto</v>
      </c>
      <c r="E2684" s="3" t="str">
        <f t="shared" si="2"/>
        <v>shinto shrine</v>
      </c>
    </row>
    <row r="2685" ht="15.75" customHeight="1">
      <c r="A2685" s="1" t="s">
        <v>7168</v>
      </c>
      <c r="B2685" s="1" t="s">
        <v>7169</v>
      </c>
      <c r="C2685" s="2" t="s">
        <v>7170</v>
      </c>
      <c r="D2685" s="2" t="str">
        <f t="shared" si="37"/>
        <v>tàu thuỷ</v>
      </c>
      <c r="E2685" s="3" t="str">
        <f t="shared" si="2"/>
        <v>ship</v>
      </c>
    </row>
    <row r="2686" ht="15.75" customHeight="1">
      <c r="A2686" s="1" t="s">
        <v>7171</v>
      </c>
      <c r="B2686" s="1" t="s">
        <v>7172</v>
      </c>
      <c r="C2686" s="2" t="str">
        <f>IFERROR(__xludf.DUMMYFUNCTION("GOOGLETRANSLATE(E2686, ""en"",""vi"")"),"sao băng")</f>
        <v>sao băng</v>
      </c>
      <c r="D2686" s="2" t="str">
        <f t="shared" si="37"/>
        <v>sao băng</v>
      </c>
      <c r="E2686" s="3" t="str">
        <f t="shared" si="2"/>
        <v>shooting star</v>
      </c>
    </row>
    <row r="2687" ht="15.75" customHeight="1">
      <c r="A2687" s="1" t="s">
        <v>7173</v>
      </c>
      <c r="B2687" s="1" t="s">
        <v>7174</v>
      </c>
      <c r="C2687" s="2" t="str">
        <f>IFERROR(__xludf.DUMMYFUNCTION("GOOGLETRANSLATE(E2687, ""en"",""vi"")"),"túi mua sắm")</f>
        <v>túi mua sắm</v>
      </c>
      <c r="D2687" s="2" t="str">
        <f t="shared" si="37"/>
        <v>túi mua sắm</v>
      </c>
      <c r="E2687" s="3" t="str">
        <f t="shared" si="2"/>
        <v>shopping bags</v>
      </c>
    </row>
    <row r="2688" ht="15.75" customHeight="1">
      <c r="A2688" s="1" t="s">
        <v>7175</v>
      </c>
      <c r="B2688" s="1" t="s">
        <v>7176</v>
      </c>
      <c r="C2688" s="2" t="str">
        <f>IFERROR(__xludf.DUMMYFUNCTION("GOOGLETRANSLATE(E2688, ""en"",""vi"")"),"giỏ hàng")</f>
        <v>giỏ hàng</v>
      </c>
      <c r="D2688" s="2" t="str">
        <f t="shared" si="37"/>
        <v>giỏ hàng</v>
      </c>
      <c r="E2688" s="3" t="str">
        <f t="shared" si="2"/>
        <v>shopping cart</v>
      </c>
    </row>
    <row r="2689" ht="15.75" customHeight="1">
      <c r="A2689" s="1" t="s">
        <v>7177</v>
      </c>
      <c r="B2689" s="1" t="s">
        <v>7178</v>
      </c>
      <c r="C2689" s="2" t="s">
        <v>7179</v>
      </c>
      <c r="D2689" s="2" t="str">
        <f t="shared" si="37"/>
        <v>bánh bơ giòn</v>
      </c>
      <c r="E2689" s="3" t="str">
        <f t="shared" si="2"/>
        <v>shortcake</v>
      </c>
    </row>
    <row r="2690" ht="15.75" customHeight="1">
      <c r="A2690" s="1" t="s">
        <v>7180</v>
      </c>
      <c r="B2690" s="1" t="s">
        <v>7181</v>
      </c>
      <c r="C2690" s="2" t="str">
        <f>IFERROR(__xludf.DUMMYFUNCTION("GOOGLETRANSLATE(E2690, ""en"",""vi"")"),"quần short")</f>
        <v>quần short</v>
      </c>
      <c r="D2690" s="2" t="str">
        <f t="shared" si="37"/>
        <v>quần short</v>
      </c>
      <c r="E2690" s="3" t="str">
        <f t="shared" si="2"/>
        <v>shorts</v>
      </c>
    </row>
    <row r="2691" ht="15.75" customHeight="1">
      <c r="A2691" s="1" t="s">
        <v>7182</v>
      </c>
      <c r="B2691" s="1" t="s">
        <v>7183</v>
      </c>
      <c r="C2691" s="2" t="str">
        <f>IFERROR(__xludf.DUMMYFUNCTION("GOOGLETRANSLATE(E2691, ""en"",""vi"")"),"vòi sen")</f>
        <v>vòi sen</v>
      </c>
      <c r="D2691" s="2" t="str">
        <f t="shared" si="37"/>
        <v>vòi sen</v>
      </c>
      <c r="E2691" s="3" t="str">
        <f t="shared" si="2"/>
        <v>shower</v>
      </c>
    </row>
    <row r="2692" ht="15.75" customHeight="1">
      <c r="A2692" s="1" t="s">
        <v>7184</v>
      </c>
      <c r="B2692" s="1" t="s">
        <v>7185</v>
      </c>
      <c r="C2692" s="2" t="str">
        <f>IFERROR(__xludf.DUMMYFUNCTION("GOOGLETRANSLATE(E2692, ""en"",""vi"")"),"con tôm")</f>
        <v>con tôm</v>
      </c>
      <c r="D2692" s="2" t="str">
        <f t="shared" si="37"/>
        <v>con tôm</v>
      </c>
      <c r="E2692" s="3" t="str">
        <f t="shared" si="2"/>
        <v>shrimp</v>
      </c>
    </row>
    <row r="2693" ht="15.75" customHeight="1">
      <c r="A2693" s="1" t="s">
        <v>7186</v>
      </c>
      <c r="B2693" s="1" t="s">
        <v>7187</v>
      </c>
      <c r="C2693" s="2" t="str">
        <f>IFERROR(__xludf.DUMMYFUNCTION("GOOGLETRANSLATE(E2693, ""en"",""vi"")"),"nút xáo trộn các bản nhạc")</f>
        <v>nút xáo trộn các bản nhạc</v>
      </c>
      <c r="D2693" s="2" t="str">
        <f t="shared" si="37"/>
        <v>nút xáo trộn các bản nhạc</v>
      </c>
      <c r="E2693" s="3" t="str">
        <f t="shared" si="2"/>
        <v>shuffle tracks button</v>
      </c>
    </row>
    <row r="2694" ht="15.75" customHeight="1">
      <c r="A2694" s="1" t="s">
        <v>7188</v>
      </c>
      <c r="B2694" s="1" t="s">
        <v>7189</v>
      </c>
      <c r="C2694" s="2" t="str">
        <f>IFERROR(__xludf.DUMMYFUNCTION("GOOGLETRANSLATE(E2694, ""en"",""vi"")"),"mặt im lặng")</f>
        <v>mặt im lặng</v>
      </c>
      <c r="D2694" s="2" t="str">
        <f t="shared" si="37"/>
        <v>mặt im lặng</v>
      </c>
      <c r="E2694" s="3" t="str">
        <f t="shared" si="2"/>
        <v>shushing face</v>
      </c>
    </row>
    <row r="2695" ht="15.75" customHeight="1">
      <c r="A2695" s="1" t="s">
        <v>7190</v>
      </c>
      <c r="B2695" s="1" t="s">
        <v>7191</v>
      </c>
      <c r="C2695" s="2" t="s">
        <v>7192</v>
      </c>
      <c r="D2695" s="2" t="str">
        <f t="shared" si="37"/>
        <v>dấu hiện sừng</v>
      </c>
      <c r="E2695" s="3" t="str">
        <f t="shared" si="2"/>
        <v>sign of the horns</v>
      </c>
    </row>
    <row r="2696" ht="15.75" customHeight="1">
      <c r="A2696" s="1" t="s">
        <v>7193</v>
      </c>
      <c r="B2696" s="1" t="s">
        <v>7194</v>
      </c>
      <c r="C2696" s="2" t="s">
        <v>7195</v>
      </c>
      <c r="D2696" s="2" t="str">
        <f t="shared" si="37"/>
        <v>dấu hiện sừng màu da sẫm</v>
      </c>
      <c r="E2696" s="3" t="str">
        <f t="shared" si="2"/>
        <v>sign of the horns dark skin tone</v>
      </c>
    </row>
    <row r="2697" ht="15.75" customHeight="1">
      <c r="A2697" s="1" t="s">
        <v>7196</v>
      </c>
      <c r="B2697" s="1" t="s">
        <v>7197</v>
      </c>
      <c r="C2697" s="2" t="s">
        <v>7198</v>
      </c>
      <c r="D2697" s="2" t="str">
        <f t="shared" si="37"/>
        <v>dấu hiện sừng màu da sáng</v>
      </c>
      <c r="E2697" s="3" t="str">
        <f t="shared" si="2"/>
        <v>sign of the horns light skin tone</v>
      </c>
    </row>
    <row r="2698" ht="15.75" customHeight="1">
      <c r="A2698" s="1" t="s">
        <v>7199</v>
      </c>
      <c r="B2698" s="1" t="s">
        <v>7200</v>
      </c>
      <c r="C2698" s="2" t="s">
        <v>7201</v>
      </c>
      <c r="D2698" s="2" t="str">
        <f t="shared" si="37"/>
        <v>dấu hiện sừng màu da sẫm vừa</v>
      </c>
      <c r="E2698" s="3" t="str">
        <f t="shared" si="2"/>
        <v>sign of the horns medium-dark skin tone</v>
      </c>
    </row>
    <row r="2699" ht="15.75" customHeight="1">
      <c r="A2699" s="1" t="s">
        <v>7202</v>
      </c>
      <c r="B2699" s="1" t="s">
        <v>7203</v>
      </c>
      <c r="C2699" s="2" t="s">
        <v>7204</v>
      </c>
      <c r="D2699" s="2" t="str">
        <f t="shared" si="37"/>
        <v>dấu hiện sừng màu da sáng vừa</v>
      </c>
      <c r="E2699" s="3" t="str">
        <f t="shared" si="2"/>
        <v>sign of the horns medium-light skin tone</v>
      </c>
    </row>
    <row r="2700" ht="15.75" customHeight="1">
      <c r="A2700" s="1" t="s">
        <v>7205</v>
      </c>
      <c r="B2700" s="1" t="s">
        <v>7206</v>
      </c>
      <c r="C2700" s="2" t="s">
        <v>7207</v>
      </c>
      <c r="D2700" s="2" t="str">
        <f t="shared" si="37"/>
        <v>dấu hiện sừng màu da thường</v>
      </c>
      <c r="E2700" s="3" t="str">
        <f t="shared" si="2"/>
        <v>sign of the horns medium skin tone</v>
      </c>
    </row>
    <row r="2701" ht="15.75" customHeight="1">
      <c r="A2701" s="1" t="s">
        <v>7208</v>
      </c>
      <c r="B2701" s="1" t="s">
        <v>7209</v>
      </c>
      <c r="C2701" s="2" t="s">
        <v>7210</v>
      </c>
      <c r="D2701" s="2" t="str">
        <f t="shared" si="37"/>
        <v>ca sĩ</v>
      </c>
      <c r="E2701" s="3" t="str">
        <f t="shared" si="2"/>
        <v>singer</v>
      </c>
    </row>
    <row r="2702" ht="15.75" customHeight="1">
      <c r="A2702" s="1" t="s">
        <v>7211</v>
      </c>
      <c r="B2702" s="1" t="s">
        <v>7212</v>
      </c>
      <c r="C2702" s="2" t="s">
        <v>7213</v>
      </c>
      <c r="D2702" s="2" t="str">
        <f t="shared" si="37"/>
        <v>ca sĩ màu da sẫm</v>
      </c>
      <c r="E2702" s="3" t="str">
        <f t="shared" si="2"/>
        <v>singer dark skin tone</v>
      </c>
    </row>
    <row r="2703" ht="15.75" customHeight="1">
      <c r="A2703" s="1" t="s">
        <v>7214</v>
      </c>
      <c r="B2703" s="1" t="s">
        <v>7215</v>
      </c>
      <c r="C2703" s="2" t="s">
        <v>7216</v>
      </c>
      <c r="D2703" s="2" t="str">
        <f t="shared" si="37"/>
        <v>ca sĩ màu da sáng</v>
      </c>
      <c r="E2703" s="3" t="str">
        <f t="shared" si="2"/>
        <v>singer light skin tone</v>
      </c>
    </row>
    <row r="2704" ht="15.75" customHeight="1">
      <c r="A2704" s="1" t="s">
        <v>7217</v>
      </c>
      <c r="B2704" s="1" t="s">
        <v>7218</v>
      </c>
      <c r="C2704" s="2" t="s">
        <v>7219</v>
      </c>
      <c r="D2704" s="2" t="str">
        <f t="shared" si="37"/>
        <v>ca sĩ màu da sẫm vừa</v>
      </c>
      <c r="E2704" s="3" t="str">
        <f t="shared" si="2"/>
        <v>singer medium-dark skin tone</v>
      </c>
    </row>
    <row r="2705" ht="15.75" customHeight="1">
      <c r="A2705" s="1" t="s">
        <v>7220</v>
      </c>
      <c r="B2705" s="1" t="s">
        <v>7221</v>
      </c>
      <c r="C2705" s="2" t="s">
        <v>7222</v>
      </c>
      <c r="D2705" s="2" t="str">
        <f t="shared" si="37"/>
        <v>ca sĩ màu da sáng vừa</v>
      </c>
      <c r="E2705" s="3" t="str">
        <f t="shared" si="2"/>
        <v>singer medium-light skin tone</v>
      </c>
    </row>
    <row r="2706" ht="15.75" customHeight="1">
      <c r="A2706" s="1" t="s">
        <v>7223</v>
      </c>
      <c r="B2706" s="1" t="s">
        <v>7224</v>
      </c>
      <c r="C2706" s="2" t="s">
        <v>7225</v>
      </c>
      <c r="D2706" s="2" t="str">
        <f t="shared" si="37"/>
        <v>ca sĩ màu da thường</v>
      </c>
      <c r="E2706" s="3" t="str">
        <f t="shared" si="2"/>
        <v>singer medium skin tone</v>
      </c>
    </row>
    <row r="2707" ht="15.75" customHeight="1">
      <c r="A2707" s="1" t="s">
        <v>7226</v>
      </c>
      <c r="B2707" s="1" t="s">
        <v>7227</v>
      </c>
      <c r="C2707" s="2" t="str">
        <f>IFERROR(__xludf.DUMMYFUNCTION("GOOGLETRANSLATE(E2707, ""en"",""vi"")"),"sáu giờ ba mươi")</f>
        <v>sáu giờ ba mươi</v>
      </c>
      <c r="D2707" s="2" t="str">
        <f t="shared" si="37"/>
        <v>sáu giờ ba mươi</v>
      </c>
      <c r="E2707" s="3" t="str">
        <f t="shared" si="2"/>
        <v>six-thirty</v>
      </c>
    </row>
    <row r="2708" ht="15.75" customHeight="1">
      <c r="A2708" s="1" t="s">
        <v>7228</v>
      </c>
      <c r="B2708" s="1" t="s">
        <v>7229</v>
      </c>
      <c r="C2708" s="2" t="str">
        <f>IFERROR(__xludf.DUMMYFUNCTION("GOOGLETRANSLATE(E2708, ""en"",""vi"")"),"sáu giờ")</f>
        <v>sáu giờ</v>
      </c>
      <c r="D2708" s="2" t="str">
        <f t="shared" si="37"/>
        <v>sáu giờ</v>
      </c>
      <c r="E2708" s="3" t="str">
        <f t="shared" si="2"/>
        <v>six o’clock</v>
      </c>
    </row>
    <row r="2709" ht="15.75" customHeight="1">
      <c r="A2709" s="1" t="s">
        <v>7230</v>
      </c>
      <c r="B2709" s="1" t="s">
        <v>7231</v>
      </c>
      <c r="C2709" s="2" t="str">
        <f>IFERROR(__xludf.DUMMYFUNCTION("GOOGLETRANSLATE(E2709, ""en"",""vi"")"),"ván trượt")</f>
        <v>ván trượt</v>
      </c>
      <c r="D2709" s="2" t="str">
        <f t="shared" si="37"/>
        <v>ván trượt</v>
      </c>
      <c r="E2709" s="3" t="str">
        <f t="shared" si="2"/>
        <v>skateboard</v>
      </c>
    </row>
    <row r="2710" ht="15.75" customHeight="1">
      <c r="A2710" s="1" t="s">
        <v>7232</v>
      </c>
      <c r="B2710" s="1" t="s">
        <v>7233</v>
      </c>
      <c r="C2710" s="2" t="str">
        <f>IFERROR(__xludf.DUMMYFUNCTION("GOOGLETRANSLATE(E2710, ""en"",""vi"")"),"người trượt tuyết")</f>
        <v>người trượt tuyết</v>
      </c>
      <c r="D2710" s="2" t="str">
        <f t="shared" si="37"/>
        <v>người trượt tuyết</v>
      </c>
      <c r="E2710" s="3" t="str">
        <f t="shared" si="2"/>
        <v>skier</v>
      </c>
    </row>
    <row r="2711" ht="15.75" customHeight="1">
      <c r="A2711" s="1" t="s">
        <v>7234</v>
      </c>
      <c r="B2711" s="1" t="s">
        <v>7235</v>
      </c>
      <c r="C2711" s="2" t="str">
        <f>IFERROR(__xludf.DUMMYFUNCTION("GOOGLETRANSLATE(E2711, ""en"",""vi"")"),"ván trượt tuyết")</f>
        <v>ván trượt tuyết</v>
      </c>
      <c r="D2711" s="2" t="str">
        <f t="shared" si="37"/>
        <v>ván trượt tuyết</v>
      </c>
      <c r="E2711" s="3" t="str">
        <f t="shared" si="2"/>
        <v>skis</v>
      </c>
    </row>
    <row r="2712" ht="15.75" customHeight="1">
      <c r="A2712" s="1" t="s">
        <v>7236</v>
      </c>
      <c r="B2712" s="1" t="s">
        <v>7237</v>
      </c>
      <c r="C2712" s="2" t="str">
        <f>IFERROR(__xludf.DUMMYFUNCTION("GOOGLETRANSLATE(E2712, ""en"",""vi"")"),"hộp sọ")</f>
        <v>hộp sọ</v>
      </c>
      <c r="D2712" s="2" t="str">
        <f t="shared" si="37"/>
        <v>hộp sọ</v>
      </c>
      <c r="E2712" s="3" t="str">
        <f t="shared" si="2"/>
        <v>skull</v>
      </c>
    </row>
    <row r="2713" ht="15.75" customHeight="1">
      <c r="A2713" s="1" t="s">
        <v>7238</v>
      </c>
      <c r="B2713" s="1" t="s">
        <v>7239</v>
      </c>
      <c r="C2713" s="2" t="str">
        <f>IFERROR(__xludf.DUMMYFUNCTION("GOOGLETRANSLATE(E2713, ""en"",""vi"")"),"đầu lâu và xương chéo")</f>
        <v>đầu lâu và xương chéo</v>
      </c>
      <c r="D2713" s="2" t="str">
        <f t="shared" si="37"/>
        <v>đầu lâu và xương chéo</v>
      </c>
      <c r="E2713" s="3" t="str">
        <f t="shared" si="2"/>
        <v>skull and crossbones</v>
      </c>
    </row>
    <row r="2714" ht="15.75" customHeight="1">
      <c r="A2714" s="1" t="s">
        <v>7240</v>
      </c>
      <c r="B2714" s="1" t="s">
        <v>7241</v>
      </c>
      <c r="C2714" s="2" t="s">
        <v>7242</v>
      </c>
      <c r="D2714" s="2" t="str">
        <f t="shared" si="37"/>
        <v>chồn hôi</v>
      </c>
      <c r="E2714" s="3" t="str">
        <f t="shared" si="2"/>
        <v>skunk</v>
      </c>
    </row>
    <row r="2715" ht="15.75" customHeight="1">
      <c r="A2715" s="1" t="s">
        <v>7243</v>
      </c>
      <c r="B2715" s="1" t="s">
        <v>7244</v>
      </c>
      <c r="C2715" s="2" t="s">
        <v>7245</v>
      </c>
      <c r="D2715" s="2" t="str">
        <f t="shared" si="37"/>
        <v>trượt tuyết</v>
      </c>
      <c r="E2715" s="3" t="str">
        <f t="shared" si="2"/>
        <v>sled</v>
      </c>
    </row>
    <row r="2716" ht="15.75" customHeight="1">
      <c r="A2716" s="1" t="s">
        <v>7246</v>
      </c>
      <c r="B2716" s="1" t="s">
        <v>7247</v>
      </c>
      <c r="C2716" s="2" t="str">
        <f>IFERROR(__xludf.DUMMYFUNCTION("GOOGLETRANSLATE(E2716, ""en"",""vi"")"),"khuôn mặt ngủ")</f>
        <v>khuôn mặt ngủ</v>
      </c>
      <c r="D2716" s="2" t="str">
        <f t="shared" si="37"/>
        <v>khuôn mặt ngủ</v>
      </c>
      <c r="E2716" s="3" t="str">
        <f t="shared" si="2"/>
        <v>sleeping face</v>
      </c>
    </row>
    <row r="2717" ht="15.75" customHeight="1">
      <c r="A2717" s="1" t="s">
        <v>7248</v>
      </c>
      <c r="B2717" s="1" t="s">
        <v>7249</v>
      </c>
      <c r="C2717" s="2" t="str">
        <f>IFERROR(__xludf.DUMMYFUNCTION("GOOGLETRANSLATE(E2717, ""en"",""vi"")"),"khuôn mặt buồn ngủ")</f>
        <v>khuôn mặt buồn ngủ</v>
      </c>
      <c r="D2717" s="2" t="str">
        <f t="shared" si="37"/>
        <v>khuôn mặt buồn ngủ</v>
      </c>
      <c r="E2717" s="3" t="str">
        <f t="shared" si="2"/>
        <v>sleepy face</v>
      </c>
    </row>
    <row r="2718" ht="15.75" customHeight="1">
      <c r="A2718" s="1" t="s">
        <v>7250</v>
      </c>
      <c r="B2718" s="1" t="s">
        <v>7251</v>
      </c>
      <c r="C2718" s="2" t="str">
        <f>IFERROR(__xludf.DUMMYFUNCTION("GOOGLETRANSLATE(E2718, ""en"",""vi"")"),"khuôn mặt hơi cau có")</f>
        <v>khuôn mặt hơi cau có</v>
      </c>
      <c r="D2718" s="2" t="str">
        <f t="shared" si="37"/>
        <v>khuôn mặt hơi cau có</v>
      </c>
      <c r="E2718" s="3" t="str">
        <f t="shared" si="2"/>
        <v>slightly frowning face</v>
      </c>
    </row>
    <row r="2719" ht="15.75" customHeight="1">
      <c r="A2719" s="1" t="s">
        <v>7252</v>
      </c>
      <c r="B2719" s="1" t="s">
        <v>7253</v>
      </c>
      <c r="C2719" s="2" t="str">
        <f>IFERROR(__xludf.DUMMYFUNCTION("GOOGLETRANSLATE(E2719, ""en"",""vi"")"),"khuôn mặt hơi mỉm cười")</f>
        <v>khuôn mặt hơi mỉm cười</v>
      </c>
      <c r="D2719" s="2" t="str">
        <f t="shared" si="37"/>
        <v>khuôn mặt hơi mỉm cười</v>
      </c>
      <c r="E2719" s="3" t="str">
        <f t="shared" si="2"/>
        <v>slightly smiling face</v>
      </c>
    </row>
    <row r="2720" ht="15.75" customHeight="1">
      <c r="A2720" s="1" t="s">
        <v>7254</v>
      </c>
      <c r="B2720" s="1" t="s">
        <v>7255</v>
      </c>
      <c r="C2720" s="2" t="s">
        <v>7256</v>
      </c>
      <c r="D2720" s="2" t="str">
        <f t="shared" si="37"/>
        <v>máy đánh bạc</v>
      </c>
      <c r="E2720" s="3" t="str">
        <f t="shared" si="2"/>
        <v>slot machine</v>
      </c>
    </row>
    <row r="2721" ht="15.75" customHeight="1">
      <c r="A2721" s="1" t="s">
        <v>7257</v>
      </c>
      <c r="B2721" s="1" t="s">
        <v>7258</v>
      </c>
      <c r="C2721" s="2" t="str">
        <f>IFERROR(__xludf.DUMMYFUNCTION("GOOGLETRANSLATE(E2721, ""en"",""vi"")"),"lười biếng")</f>
        <v>lười biếng</v>
      </c>
      <c r="D2721" s="2" t="str">
        <f t="shared" si="37"/>
        <v>lười biếng</v>
      </c>
      <c r="E2721" s="3" t="str">
        <f t="shared" si="2"/>
        <v>sloth</v>
      </c>
    </row>
    <row r="2722" ht="15.75" customHeight="1">
      <c r="A2722" s="1" t="s">
        <v>7259</v>
      </c>
      <c r="B2722" s="1" t="s">
        <v>7260</v>
      </c>
      <c r="C2722" s="2" t="str">
        <f>IFERROR(__xludf.DUMMYFUNCTION("GOOGLETRANSLATE(E2722, ""en"",""vi"")"),"máy bay nhỏ")</f>
        <v>máy bay nhỏ</v>
      </c>
      <c r="D2722" s="2" t="str">
        <f t="shared" si="37"/>
        <v>máy bay nhỏ</v>
      </c>
      <c r="E2722" s="3" t="str">
        <f t="shared" si="2"/>
        <v>small airplane</v>
      </c>
    </row>
    <row r="2723" ht="15.75" customHeight="1">
      <c r="A2723" s="1" t="s">
        <v>7261</v>
      </c>
      <c r="B2723" s="1" t="s">
        <v>7262</v>
      </c>
      <c r="C2723" s="2" t="str">
        <f>IFERROR(__xludf.DUMMYFUNCTION("GOOGLETRANSLATE(E2723, ""en"",""vi"")"),"viên kim cương xanh nhỏ")</f>
        <v>viên kim cương xanh nhỏ</v>
      </c>
      <c r="D2723" s="2" t="str">
        <f t="shared" si="37"/>
        <v>viên kim cương xanh nhỏ</v>
      </c>
      <c r="E2723" s="3" t="str">
        <f t="shared" si="2"/>
        <v>small blue diamond</v>
      </c>
    </row>
    <row r="2724" ht="15.75" customHeight="1">
      <c r="A2724" s="1" t="s">
        <v>7263</v>
      </c>
      <c r="B2724" s="1" t="s">
        <v>7264</v>
      </c>
      <c r="C2724" s="2" t="str">
        <f>IFERROR(__xludf.DUMMYFUNCTION("GOOGLETRANSLATE(E2724, ""en"",""vi"")"),"viên kim cương nhỏ màu cam")</f>
        <v>viên kim cương nhỏ màu cam</v>
      </c>
      <c r="D2724" s="2" t="str">
        <f t="shared" si="37"/>
        <v>viên kim cương nhỏ màu cam</v>
      </c>
      <c r="E2724" s="3" t="str">
        <f t="shared" si="2"/>
        <v>small orange diamond</v>
      </c>
    </row>
    <row r="2725" ht="15.75" customHeight="1">
      <c r="A2725" s="1" t="s">
        <v>7265</v>
      </c>
      <c r="B2725" s="1" t="s">
        <v>7266</v>
      </c>
      <c r="C2725" s="2" t="str">
        <f>IFERROR(__xludf.DUMMYFUNCTION("GOOGLETRANSLATE(E2725, ""en"",""vi"")"),"mèo cười với đôi mắt hình trái tim")</f>
        <v>mèo cười với đôi mắt hình trái tim</v>
      </c>
      <c r="D2725" s="2" t="str">
        <f t="shared" si="37"/>
        <v>mèo cười với đôi mắt hình trái tim</v>
      </c>
      <c r="E2725" s="3" t="str">
        <f t="shared" si="2"/>
        <v>smiling cat with heart-eyes</v>
      </c>
    </row>
    <row r="2726" ht="15.75" customHeight="1">
      <c r="A2726" s="1" t="s">
        <v>7267</v>
      </c>
      <c r="B2726" s="1" t="s">
        <v>7268</v>
      </c>
      <c r="C2726" s="2" t="str">
        <f>IFERROR(__xludf.DUMMYFUNCTION("GOOGLETRANSLATE(E2726, ""en"",""vi"")"),"khuôn mặt tươi cười")</f>
        <v>khuôn mặt tươi cười</v>
      </c>
      <c r="D2726" s="2" t="str">
        <f t="shared" si="37"/>
        <v>khuôn mặt tươi cười</v>
      </c>
      <c r="E2726" s="3" t="str">
        <f t="shared" si="2"/>
        <v>smiling face</v>
      </c>
    </row>
    <row r="2727" ht="15.75" customHeight="1">
      <c r="A2727" s="1" t="s">
        <v>7269</v>
      </c>
      <c r="B2727" s="1" t="s">
        <v>7270</v>
      </c>
      <c r="C2727" s="2" t="str">
        <f>IFERROR(__xludf.DUMMYFUNCTION("GOOGLETRANSLATE(E2727, ""en"",""vi"")"),"khuôn mặt tươi cười với vầng hào quang")</f>
        <v>khuôn mặt tươi cười với vầng hào quang</v>
      </c>
      <c r="D2727" s="2" t="str">
        <f t="shared" si="37"/>
        <v>khuôn mặt tươi cười với vầng hào quang</v>
      </c>
      <c r="E2727" s="3" t="str">
        <f t="shared" si="2"/>
        <v>smiling face with halo</v>
      </c>
    </row>
    <row r="2728" ht="15.75" customHeight="1">
      <c r="A2728" s="1" t="s">
        <v>7271</v>
      </c>
      <c r="B2728" s="1" t="s">
        <v>7272</v>
      </c>
      <c r="C2728" s="2" t="s">
        <v>7273</v>
      </c>
      <c r="D2728" s="2" t="str">
        <f t="shared" si="37"/>
        <v>mặt cười với đôi mắt trái tim</v>
      </c>
      <c r="E2728" s="3" t="str">
        <f t="shared" si="2"/>
        <v>smiling face with heart-eyes</v>
      </c>
    </row>
    <row r="2729" ht="15.75" customHeight="1">
      <c r="A2729" s="1" t="s">
        <v>7274</v>
      </c>
      <c r="B2729" s="1" t="s">
        <v>7275</v>
      </c>
      <c r="C2729" s="2" t="str">
        <f>IFERROR(__xludf.DUMMYFUNCTION("GOOGLETRANSLATE(E2729, ""en"",""vi"")"),"khuôn mặt tươi cười với trái tim")</f>
        <v>khuôn mặt tươi cười với trái tim</v>
      </c>
      <c r="D2729" s="2" t="str">
        <f t="shared" si="37"/>
        <v>khuôn mặt tươi cười với trái tim</v>
      </c>
      <c r="E2729" s="3" t="str">
        <f t="shared" si="2"/>
        <v>smiling face with hearts</v>
      </c>
    </row>
    <row r="2730" ht="15.75" customHeight="1">
      <c r="A2730" s="1" t="s">
        <v>7276</v>
      </c>
      <c r="B2730" s="1" t="s">
        <v>7277</v>
      </c>
      <c r="C2730" s="2" t="str">
        <f>IFERROR(__xludf.DUMMYFUNCTION("GOOGLETRANSLATE(E2730, ""en"",""vi"")"),"khuôn mặt tươi cười có sừng")</f>
        <v>khuôn mặt tươi cười có sừng</v>
      </c>
      <c r="D2730" s="2" t="str">
        <f t="shared" si="37"/>
        <v>khuôn mặt tươi cười có sừng</v>
      </c>
      <c r="E2730" s="3" t="str">
        <f t="shared" si="2"/>
        <v>smiling face with horns</v>
      </c>
    </row>
    <row r="2731" ht="15.75" customHeight="1">
      <c r="A2731" s="1" t="s">
        <v>7278</v>
      </c>
      <c r="B2731" s="1" t="s">
        <v>7279</v>
      </c>
      <c r="C2731" s="2" t="str">
        <f>IFERROR(__xludf.DUMMYFUNCTION("GOOGLETRANSLATE(E2731, ""en"",""vi"")"),"khuôn mặt tươi cười với đôi mắt tươi cười")</f>
        <v>khuôn mặt tươi cười với đôi mắt tươi cười</v>
      </c>
      <c r="D2731" s="2" t="str">
        <f t="shared" si="37"/>
        <v>khuôn mặt tươi cười với đôi mắt tươi cười</v>
      </c>
      <c r="E2731" s="3" t="str">
        <f t="shared" si="2"/>
        <v>smiling face with smiling eyes</v>
      </c>
    </row>
    <row r="2732" ht="15.75" customHeight="1">
      <c r="A2732" s="1" t="s">
        <v>7280</v>
      </c>
      <c r="B2732" s="1" t="s">
        <v>7281</v>
      </c>
      <c r="C2732" s="2" t="str">
        <f>IFERROR(__xludf.DUMMYFUNCTION("GOOGLETRANSLATE(E2732, ""en"",""vi"")"),"khuôn mặt tươi cười với kính râm")</f>
        <v>khuôn mặt tươi cười với kính râm</v>
      </c>
      <c r="D2732" s="2" t="str">
        <f t="shared" si="37"/>
        <v>khuôn mặt tươi cười với kính râm</v>
      </c>
      <c r="E2732" s="3" t="str">
        <f t="shared" si="2"/>
        <v>smiling face with sunglasses</v>
      </c>
    </row>
    <row r="2733" ht="15.75" customHeight="1">
      <c r="A2733" s="1" t="s">
        <v>7282</v>
      </c>
      <c r="B2733" s="1" t="s">
        <v>7283</v>
      </c>
      <c r="C2733" s="2" t="str">
        <f>IFERROR(__xludf.DUMMYFUNCTION("GOOGLETRANSLATE(E2733, ""en"",""vi"")"),"khuôn mặt tươi cười với nước mắt")</f>
        <v>khuôn mặt tươi cười với nước mắt</v>
      </c>
      <c r="D2733" s="2" t="str">
        <f t="shared" si="37"/>
        <v>khuôn mặt tươi cười với nước mắt</v>
      </c>
      <c r="E2733" s="3" t="str">
        <f t="shared" si="2"/>
        <v>smiling face with tear</v>
      </c>
    </row>
    <row r="2734" ht="15.75" customHeight="1">
      <c r="A2734" s="1" t="s">
        <v>7284</v>
      </c>
      <c r="B2734" s="1" t="s">
        <v>7285</v>
      </c>
      <c r="C2734" s="2" t="str">
        <f>IFERROR(__xludf.DUMMYFUNCTION("GOOGLETRANSLATE(E2734, ""en"",""vi"")"),"khuôn mặt cười khẩy")</f>
        <v>khuôn mặt cười khẩy</v>
      </c>
      <c r="D2734" s="2" t="str">
        <f t="shared" si="37"/>
        <v>khuôn mặt cười khẩy</v>
      </c>
      <c r="E2734" s="3" t="str">
        <f t="shared" si="2"/>
        <v>smirking face</v>
      </c>
    </row>
    <row r="2735" ht="15.75" customHeight="1">
      <c r="A2735" s="1" t="s">
        <v>7286</v>
      </c>
      <c r="B2735" s="1" t="s">
        <v>7287</v>
      </c>
      <c r="C2735" s="2" t="str">
        <f>IFERROR(__xludf.DUMMYFUNCTION("GOOGLETRANSLATE(E2735, ""en"",""vi"")"),"ốc sên")</f>
        <v>ốc sên</v>
      </c>
      <c r="D2735" s="2" t="str">
        <f t="shared" si="37"/>
        <v>ốc sên</v>
      </c>
      <c r="E2735" s="3" t="str">
        <f t="shared" si="2"/>
        <v>snail</v>
      </c>
    </row>
    <row r="2736" ht="15.75" customHeight="1">
      <c r="A2736" s="1" t="s">
        <v>7288</v>
      </c>
      <c r="B2736" s="1" t="s">
        <v>7289</v>
      </c>
      <c r="C2736" s="2" t="str">
        <f>IFERROR(__xludf.DUMMYFUNCTION("GOOGLETRANSLATE(E2736, ""en"",""vi"")"),"rắn")</f>
        <v>rắn</v>
      </c>
      <c r="D2736" s="2" t="str">
        <f t="shared" si="37"/>
        <v>rắn</v>
      </c>
      <c r="E2736" s="3" t="str">
        <f t="shared" si="2"/>
        <v>snake</v>
      </c>
    </row>
    <row r="2737" ht="15.75" customHeight="1">
      <c r="A2737" s="1" t="s">
        <v>7290</v>
      </c>
      <c r="B2737" s="1" t="s">
        <v>7291</v>
      </c>
      <c r="C2737" s="2" t="str">
        <f>IFERROR(__xludf.DUMMYFUNCTION("GOOGLETRANSLATE(E2737, ""en"",""vi"")"),"mặt hắt hơi")</f>
        <v>mặt hắt hơi</v>
      </c>
      <c r="D2737" s="2" t="str">
        <f t="shared" si="37"/>
        <v>mặt hắt hơi</v>
      </c>
      <c r="E2737" s="3" t="str">
        <f t="shared" si="2"/>
        <v>sneezing face</v>
      </c>
    </row>
    <row r="2738" ht="15.75" customHeight="1">
      <c r="A2738" s="1" t="s">
        <v>7292</v>
      </c>
      <c r="B2738" s="1" t="s">
        <v>7293</v>
      </c>
      <c r="C2738" s="2" t="str">
        <f>IFERROR(__xludf.DUMMYFUNCTION("GOOGLETRANSLATE(E2738, ""en"",""vi"")"),"ngọn núi phủ tuyết")</f>
        <v>ngọn núi phủ tuyết</v>
      </c>
      <c r="D2738" s="2" t="str">
        <f t="shared" si="37"/>
        <v>ngọn núi phủ tuyết</v>
      </c>
      <c r="E2738" s="3" t="str">
        <f t="shared" si="2"/>
        <v>snow-capped mountain</v>
      </c>
    </row>
    <row r="2739" ht="15.75" customHeight="1">
      <c r="A2739" s="1" t="s">
        <v>7294</v>
      </c>
      <c r="B2739" s="1" t="s">
        <v>7295</v>
      </c>
      <c r="C2739" s="2" t="s">
        <v>7296</v>
      </c>
      <c r="D2739" s="2" t="str">
        <f t="shared" si="37"/>
        <v>người trượt tuyết</v>
      </c>
      <c r="E2739" s="3" t="str">
        <f t="shared" si="2"/>
        <v>snowboarder</v>
      </c>
    </row>
    <row r="2740" ht="15.75" customHeight="1">
      <c r="A2740" s="1" t="s">
        <v>7297</v>
      </c>
      <c r="B2740" s="1" t="s">
        <v>7298</v>
      </c>
      <c r="C2740" s="2" t="s">
        <v>7299</v>
      </c>
      <c r="D2740" s="2" t="str">
        <f t="shared" si="37"/>
        <v>người trượt tuyết màu da sẫm</v>
      </c>
      <c r="E2740" s="3" t="str">
        <f t="shared" si="2"/>
        <v>snowboarder dark skin tone</v>
      </c>
    </row>
    <row r="2741" ht="15.75" customHeight="1">
      <c r="A2741" s="1" t="s">
        <v>7300</v>
      </c>
      <c r="B2741" s="1" t="s">
        <v>7301</v>
      </c>
      <c r="C2741" s="2" t="s">
        <v>7302</v>
      </c>
      <c r="D2741" s="2" t="str">
        <f t="shared" si="37"/>
        <v>người trượt tuyết màu da sáng</v>
      </c>
      <c r="E2741" s="3" t="str">
        <f t="shared" si="2"/>
        <v>snowboarder light skin tone</v>
      </c>
    </row>
    <row r="2742" ht="15.75" customHeight="1">
      <c r="A2742" s="1" t="s">
        <v>7303</v>
      </c>
      <c r="B2742" s="1" t="s">
        <v>7304</v>
      </c>
      <c r="C2742" s="2" t="s">
        <v>7305</v>
      </c>
      <c r="D2742" s="2" t="str">
        <f t="shared" si="37"/>
        <v>người trượt tuyết màu da sẫm vừa</v>
      </c>
      <c r="E2742" s="3" t="str">
        <f t="shared" si="2"/>
        <v>snowboarder medium-dark skin tone</v>
      </c>
    </row>
    <row r="2743" ht="15.75" customHeight="1">
      <c r="A2743" s="1" t="s">
        <v>7306</v>
      </c>
      <c r="B2743" s="1" t="s">
        <v>7307</v>
      </c>
      <c r="C2743" s="2" t="s">
        <v>7308</v>
      </c>
      <c r="D2743" s="2" t="str">
        <f t="shared" si="37"/>
        <v>người trượt tuyết màu da sáng vừa</v>
      </c>
      <c r="E2743" s="3" t="str">
        <f t="shared" si="2"/>
        <v>snowboarder medium-light skin tone</v>
      </c>
    </row>
    <row r="2744" ht="15.75" customHeight="1">
      <c r="A2744" s="1" t="s">
        <v>7309</v>
      </c>
      <c r="B2744" s="1" t="s">
        <v>7310</v>
      </c>
      <c r="C2744" s="2" t="s">
        <v>7311</v>
      </c>
      <c r="D2744" s="2" t="str">
        <f t="shared" si="37"/>
        <v>người trượt tuyết màu da thường</v>
      </c>
      <c r="E2744" s="3" t="str">
        <f t="shared" si="2"/>
        <v>snowboarder medium skin tone</v>
      </c>
    </row>
    <row r="2745" ht="15.75" customHeight="1">
      <c r="A2745" s="1" t="s">
        <v>7312</v>
      </c>
      <c r="B2745" s="1" t="s">
        <v>7313</v>
      </c>
      <c r="C2745" s="2" t="str">
        <f>IFERROR(__xludf.DUMMYFUNCTION("GOOGLETRANSLATE(E2745, ""en"",""vi"")"),"bông tuyết")</f>
        <v>bông tuyết</v>
      </c>
      <c r="D2745" s="2" t="str">
        <f t="shared" si="37"/>
        <v>bông tuyết</v>
      </c>
      <c r="E2745" s="3" t="str">
        <f t="shared" si="2"/>
        <v>snowflake</v>
      </c>
    </row>
    <row r="2746" ht="15.75" customHeight="1">
      <c r="A2746" s="1" t="s">
        <v>7314</v>
      </c>
      <c r="B2746" s="1" t="s">
        <v>7315</v>
      </c>
      <c r="C2746" s="2" t="str">
        <f>IFERROR(__xludf.DUMMYFUNCTION("GOOGLETRANSLATE(E2746, ""en"",""vi"")"),"người tuyết")</f>
        <v>người tuyết</v>
      </c>
      <c r="D2746" s="2" t="str">
        <f t="shared" si="37"/>
        <v>người tuyết</v>
      </c>
      <c r="E2746" s="3" t="str">
        <f t="shared" si="2"/>
        <v>snowman</v>
      </c>
    </row>
    <row r="2747" ht="15.75" customHeight="1">
      <c r="A2747" s="1" t="s">
        <v>7316</v>
      </c>
      <c r="B2747" s="1" t="s">
        <v>7317</v>
      </c>
      <c r="C2747" s="2" t="str">
        <f>IFERROR(__xludf.DUMMYFUNCTION("GOOGLETRANSLATE(E2747, ""en"",""vi"")"),"người tuyết không có tuyết")</f>
        <v>người tuyết không có tuyết</v>
      </c>
      <c r="D2747" s="2" t="str">
        <f t="shared" si="37"/>
        <v>người tuyết không có tuyết</v>
      </c>
      <c r="E2747" s="3" t="str">
        <f t="shared" si="2"/>
        <v>snowman without snow</v>
      </c>
    </row>
    <row r="2748" ht="15.75" customHeight="1">
      <c r="A2748" s="1" t="s">
        <v>7318</v>
      </c>
      <c r="B2748" s="1" t="s">
        <v>7319</v>
      </c>
      <c r="C2748" s="2" t="str">
        <f>IFERROR(__xludf.DUMMYFUNCTION("GOOGLETRANSLATE(E2748, ""en"",""vi"")"),"xà phòng")</f>
        <v>xà phòng</v>
      </c>
      <c r="D2748" s="2" t="str">
        <f t="shared" si="37"/>
        <v>xà phòng</v>
      </c>
      <c r="E2748" s="3" t="str">
        <f t="shared" si="2"/>
        <v>soap</v>
      </c>
    </row>
    <row r="2749" ht="15.75" customHeight="1">
      <c r="A2749" s="1" t="s">
        <v>7320</v>
      </c>
      <c r="B2749" s="1" t="s">
        <v>7321</v>
      </c>
      <c r="C2749" s="2" t="str">
        <f>IFERROR(__xludf.DUMMYFUNCTION("GOOGLETRANSLATE(E2749, ""en"",""vi"")"),"quả bóng đá")</f>
        <v>quả bóng đá</v>
      </c>
      <c r="D2749" s="2" t="str">
        <f t="shared" si="37"/>
        <v>quả bóng đá</v>
      </c>
      <c r="E2749" s="3" t="str">
        <f t="shared" si="2"/>
        <v>soccer ball</v>
      </c>
    </row>
    <row r="2750" ht="15.75" customHeight="1">
      <c r="A2750" s="1" t="s">
        <v>7322</v>
      </c>
      <c r="B2750" s="1" t="s">
        <v>7323</v>
      </c>
      <c r="C2750" s="2" t="str">
        <f>IFERROR(__xludf.DUMMYFUNCTION("GOOGLETRANSLATE(E2750, ""en"",""vi"")"),"tất")</f>
        <v>tất</v>
      </c>
      <c r="D2750" s="2" t="str">
        <f t="shared" si="37"/>
        <v>tất</v>
      </c>
      <c r="E2750" s="3" t="str">
        <f t="shared" si="2"/>
        <v>socks</v>
      </c>
    </row>
    <row r="2751" ht="15.75" customHeight="1">
      <c r="A2751" s="1" t="s">
        <v>7324</v>
      </c>
      <c r="B2751" s="1" t="s">
        <v>7325</v>
      </c>
      <c r="C2751" s="2" t="str">
        <f>IFERROR(__xludf.DUMMYFUNCTION("GOOGLETRANSLATE(E2751, ""en"",""vi"")"),"kem mềm")</f>
        <v>kem mềm</v>
      </c>
      <c r="D2751" s="2" t="str">
        <f t="shared" si="37"/>
        <v>kem mềm</v>
      </c>
      <c r="E2751" s="3" t="str">
        <f t="shared" si="2"/>
        <v>soft ice cream</v>
      </c>
    </row>
    <row r="2752" ht="15.75" customHeight="1">
      <c r="A2752" s="1" t="s">
        <v>7326</v>
      </c>
      <c r="B2752" s="1" t="s">
        <v>7327</v>
      </c>
      <c r="C2752" s="2" t="str">
        <f>IFERROR(__xludf.DUMMYFUNCTION("GOOGLETRANSLATE(E2752, ""en"",""vi"")"),"bóng mềm")</f>
        <v>bóng mềm</v>
      </c>
      <c r="D2752" s="2" t="str">
        <f t="shared" si="37"/>
        <v>bóng mềm</v>
      </c>
      <c r="E2752" s="3" t="str">
        <f t="shared" si="2"/>
        <v>softball</v>
      </c>
    </row>
    <row r="2753" ht="15.75" customHeight="1">
      <c r="A2753" s="1" t="s">
        <v>7328</v>
      </c>
      <c r="B2753" s="1" t="s">
        <v>7329</v>
      </c>
      <c r="C2753" s="2" t="s">
        <v>7330</v>
      </c>
      <c r="D2753" s="2" t="str">
        <f t="shared" si="37"/>
        <v>lá bài bích</v>
      </c>
      <c r="E2753" s="3" t="str">
        <f t="shared" si="2"/>
        <v>spade suit</v>
      </c>
    </row>
    <row r="2754" ht="15.75" customHeight="1">
      <c r="A2754" s="1" t="s">
        <v>7331</v>
      </c>
      <c r="B2754" s="1" t="s">
        <v>7332</v>
      </c>
      <c r="C2754" s="2" t="s">
        <v>7333</v>
      </c>
      <c r="D2754" s="2" t="str">
        <f t="shared" si="37"/>
        <v>mì ý</v>
      </c>
      <c r="E2754" s="3" t="str">
        <f t="shared" si="2"/>
        <v>spaghetti</v>
      </c>
    </row>
    <row r="2755" ht="15.75" customHeight="1">
      <c r="A2755" s="1" t="s">
        <v>7334</v>
      </c>
      <c r="B2755" s="1" t="s">
        <v>7335</v>
      </c>
      <c r="C2755" s="2" t="str">
        <f>IFERROR(__xludf.DUMMYFUNCTION("GOOGLETRANSLATE(E2755, ""en"",""vi"")"),"lấp lánh")</f>
        <v>lấp lánh</v>
      </c>
      <c r="D2755" s="2" t="str">
        <f t="shared" si="37"/>
        <v>lấp lánh</v>
      </c>
      <c r="E2755" s="3" t="str">
        <f t="shared" si="2"/>
        <v>sparkle</v>
      </c>
    </row>
    <row r="2756" ht="15.75" customHeight="1">
      <c r="A2756" s="1" t="s">
        <v>7336</v>
      </c>
      <c r="B2756" s="1" t="s">
        <v>7337</v>
      </c>
      <c r="C2756" s="2" t="str">
        <f>IFERROR(__xludf.DUMMYFUNCTION("GOOGLETRANSLATE(E2756, ""en"",""vi"")"),"pháo hoa")</f>
        <v>pháo hoa</v>
      </c>
      <c r="D2756" s="2" t="str">
        <f t="shared" si="37"/>
        <v>pháo hoa</v>
      </c>
      <c r="E2756" s="3" t="str">
        <f t="shared" si="2"/>
        <v>sparkler</v>
      </c>
    </row>
    <row r="2757" ht="15.75" customHeight="1">
      <c r="A2757" s="1" t="s">
        <v>7338</v>
      </c>
      <c r="B2757" s="1" t="s">
        <v>7339</v>
      </c>
      <c r="C2757" s="2" t="s">
        <v>7340</v>
      </c>
      <c r="D2757" s="2" t="str">
        <f t="shared" si="37"/>
        <v>các lấp lánh</v>
      </c>
      <c r="E2757" s="3" t="str">
        <f t="shared" si="2"/>
        <v>sparkles</v>
      </c>
    </row>
    <row r="2758" ht="15.75" customHeight="1">
      <c r="A2758" s="1" t="s">
        <v>7341</v>
      </c>
      <c r="B2758" s="1" t="s">
        <v>7342</v>
      </c>
      <c r="C2758" s="2" t="str">
        <f>IFERROR(__xludf.DUMMYFUNCTION("GOOGLETRANSLATE(E2758, ""en"",""vi"")"),"trái tim lấp lánh")</f>
        <v>trái tim lấp lánh</v>
      </c>
      <c r="D2758" s="2" t="str">
        <f t="shared" si="37"/>
        <v>trái tim lấp lánh</v>
      </c>
      <c r="E2758" s="3" t="str">
        <f t="shared" si="2"/>
        <v>sparkling heart</v>
      </c>
    </row>
    <row r="2759" ht="15.75" customHeight="1">
      <c r="A2759" s="1" t="s">
        <v>7343</v>
      </c>
      <c r="B2759" s="1" t="s">
        <v>7344</v>
      </c>
      <c r="C2759" s="2" t="s">
        <v>7345</v>
      </c>
      <c r="D2759" s="2" t="str">
        <f t="shared" si="37"/>
        <v>khỉ bịt miệng</v>
      </c>
      <c r="E2759" s="3" t="str">
        <f t="shared" si="2"/>
        <v>speak-no-evil monkey</v>
      </c>
    </row>
    <row r="2760" ht="15.75" customHeight="1">
      <c r="A2760" s="1" t="s">
        <v>7346</v>
      </c>
      <c r="B2760" s="1" t="s">
        <v>7347</v>
      </c>
      <c r="C2760" s="2" t="s">
        <v>7348</v>
      </c>
      <c r="D2760" s="2" t="str">
        <f t="shared" si="37"/>
        <v>loa âm lượng cao</v>
      </c>
      <c r="E2760" s="3" t="str">
        <f t="shared" si="2"/>
        <v>speaker high volume</v>
      </c>
    </row>
    <row r="2761" ht="15.75" customHeight="1">
      <c r="A2761" s="1" t="s">
        <v>7349</v>
      </c>
      <c r="B2761" s="1" t="s">
        <v>7350</v>
      </c>
      <c r="C2761" s="2" t="s">
        <v>7351</v>
      </c>
      <c r="D2761" s="2" t="str">
        <f t="shared" si="37"/>
        <v>loa âm lượng thấp</v>
      </c>
      <c r="E2761" s="3" t="str">
        <f t="shared" si="2"/>
        <v>speaker low volume</v>
      </c>
    </row>
    <row r="2762" ht="15.75" customHeight="1">
      <c r="A2762" s="1" t="s">
        <v>7352</v>
      </c>
      <c r="B2762" s="1" t="s">
        <v>7353</v>
      </c>
      <c r="C2762" s="2" t="s">
        <v>7354</v>
      </c>
      <c r="D2762" s="2" t="str">
        <f t="shared" si="37"/>
        <v>loa âm lượng vừa</v>
      </c>
      <c r="E2762" s="3" t="str">
        <f t="shared" si="2"/>
        <v>speaker medium volume</v>
      </c>
    </row>
    <row r="2763" ht="15.75" customHeight="1">
      <c r="A2763" s="1" t="s">
        <v>7355</v>
      </c>
      <c r="B2763" s="1" t="s">
        <v>7356</v>
      </c>
      <c r="C2763" s="2" t="s">
        <v>7357</v>
      </c>
      <c r="D2763" s="2" t="str">
        <f t="shared" si="37"/>
        <v>đầu đang nói</v>
      </c>
      <c r="E2763" s="3" t="str">
        <f t="shared" si="2"/>
        <v>speaking head</v>
      </c>
    </row>
    <row r="2764" ht="15.75" customHeight="1">
      <c r="A2764" s="1" t="s">
        <v>7358</v>
      </c>
      <c r="B2764" s="1" t="s">
        <v>7359</v>
      </c>
      <c r="C2764" s="2" t="s">
        <v>7360</v>
      </c>
      <c r="D2764" s="2" t="str">
        <f t="shared" si="37"/>
        <v>bóng bay lời nói</v>
      </c>
      <c r="E2764" s="3" t="str">
        <f t="shared" si="2"/>
        <v>speech balloon</v>
      </c>
    </row>
    <row r="2765" ht="15.75" customHeight="1">
      <c r="A2765" s="1" t="s">
        <v>7361</v>
      </c>
      <c r="B2765" s="1" t="s">
        <v>7362</v>
      </c>
      <c r="C2765" s="2" t="str">
        <f>IFERROR(__xludf.DUMMYFUNCTION("GOOGLETRANSLATE(E2765, ""en"",""vi"")"),"tàu cao tốc")</f>
        <v>tàu cao tốc</v>
      </c>
      <c r="D2765" s="2" t="str">
        <f t="shared" si="37"/>
        <v>tàu cao tốc</v>
      </c>
      <c r="E2765" s="3" t="str">
        <f t="shared" si="2"/>
        <v>speedboat</v>
      </c>
    </row>
    <row r="2766" ht="15.75" customHeight="1">
      <c r="A2766" s="1" t="s">
        <v>7363</v>
      </c>
      <c r="B2766" s="1" t="s">
        <v>7364</v>
      </c>
      <c r="C2766" s="2" t="str">
        <f>IFERROR(__xludf.DUMMYFUNCTION("GOOGLETRANSLATE(E2766, ""en"",""vi"")"),"con nhện")</f>
        <v>con nhện</v>
      </c>
      <c r="D2766" s="2" t="str">
        <f t="shared" si="37"/>
        <v>con nhện</v>
      </c>
      <c r="E2766" s="3" t="str">
        <f t="shared" si="2"/>
        <v>spider</v>
      </c>
    </row>
    <row r="2767" ht="15.75" customHeight="1">
      <c r="A2767" s="1" t="s">
        <v>7365</v>
      </c>
      <c r="B2767" s="1" t="s">
        <v>7366</v>
      </c>
      <c r="C2767" s="2" t="str">
        <f>IFERROR(__xludf.DUMMYFUNCTION("GOOGLETRANSLATE(E2767, ""en"",""vi"")"),"mạng nhện")</f>
        <v>mạng nhện</v>
      </c>
      <c r="D2767" s="2" t="str">
        <f t="shared" si="37"/>
        <v>mạng nhện</v>
      </c>
      <c r="E2767" s="3" t="str">
        <f t="shared" si="2"/>
        <v>spider web</v>
      </c>
    </row>
    <row r="2768" ht="15.75" customHeight="1">
      <c r="A2768" s="1" t="s">
        <v>7367</v>
      </c>
      <c r="B2768" s="1" t="s">
        <v>7368</v>
      </c>
      <c r="C2768" s="2" t="s">
        <v>7369</v>
      </c>
      <c r="D2768" s="2" t="str">
        <f t="shared" si="37"/>
        <v>lịch xoắn ốc</v>
      </c>
      <c r="E2768" s="3" t="str">
        <f t="shared" si="2"/>
        <v>spiral calendar</v>
      </c>
    </row>
    <row r="2769" ht="15.75" customHeight="1">
      <c r="A2769" s="1" t="s">
        <v>7370</v>
      </c>
      <c r="B2769" s="1" t="s">
        <v>7371</v>
      </c>
      <c r="C2769" s="2" t="s">
        <v>7372</v>
      </c>
      <c r="D2769" s="2" t="str">
        <f t="shared" si="37"/>
        <v>sổ tay xoắn ốc</v>
      </c>
      <c r="E2769" s="3" t="str">
        <f t="shared" si="2"/>
        <v>spiral notepad</v>
      </c>
    </row>
    <row r="2770" ht="15.75" customHeight="1">
      <c r="A2770" s="1" t="s">
        <v>7373</v>
      </c>
      <c r="B2770" s="1" t="s">
        <v>7374</v>
      </c>
      <c r="C2770" s="2" t="str">
        <f>IFERROR(__xludf.DUMMYFUNCTION("GOOGLETRANSLATE(E2770, ""en"",""vi"")"),"vỏ xoắn ốc")</f>
        <v>vỏ xoắn ốc</v>
      </c>
      <c r="D2770" s="2" t="str">
        <f t="shared" si="37"/>
        <v>vỏ xoắn ốc</v>
      </c>
      <c r="E2770" s="3" t="str">
        <f t="shared" si="2"/>
        <v>spiral shell</v>
      </c>
    </row>
    <row r="2771" ht="15.75" customHeight="1">
      <c r="A2771" s="1" t="s">
        <v>7375</v>
      </c>
      <c r="B2771" s="1" t="s">
        <v>7376</v>
      </c>
      <c r="C2771" s="2" t="str">
        <f>IFERROR(__xludf.DUMMYFUNCTION("GOOGLETRANSLATE(E2771, ""en"",""vi"")"),"miếng bọt biển")</f>
        <v>miếng bọt biển</v>
      </c>
      <c r="D2771" s="2" t="str">
        <f t="shared" si="37"/>
        <v>miếng bọt biển</v>
      </c>
      <c r="E2771" s="3" t="str">
        <f t="shared" si="2"/>
        <v>sponge</v>
      </c>
    </row>
    <row r="2772" ht="15.75" customHeight="1">
      <c r="A2772" s="1" t="s">
        <v>7377</v>
      </c>
      <c r="B2772" s="1" t="s">
        <v>7378</v>
      </c>
      <c r="C2772" s="2" t="str">
        <f>IFERROR(__xludf.DUMMYFUNCTION("GOOGLETRANSLATE(E2772, ""en"",""vi"")"),"thìa")</f>
        <v>thìa</v>
      </c>
      <c r="D2772" s="2" t="str">
        <f t="shared" si="37"/>
        <v>thìa</v>
      </c>
      <c r="E2772" s="3" t="str">
        <f t="shared" si="2"/>
        <v>spoon</v>
      </c>
    </row>
    <row r="2773" ht="15.75" customHeight="1">
      <c r="A2773" s="1" t="s">
        <v>7379</v>
      </c>
      <c r="B2773" s="1" t="s">
        <v>7380</v>
      </c>
      <c r="C2773" s="2" t="str">
        <f>IFERROR(__xludf.DUMMYFUNCTION("GOOGLETRANSLATE(E2773, ""en"",""vi"")"),"xe thể thao đa dụng")</f>
        <v>xe thể thao đa dụng</v>
      </c>
      <c r="D2773" s="2" t="str">
        <f t="shared" si="37"/>
        <v>xe thể thao đa dụng</v>
      </c>
      <c r="E2773" s="3" t="str">
        <f t="shared" si="2"/>
        <v>sport utility vehicle</v>
      </c>
    </row>
    <row r="2774" ht="15.75" customHeight="1">
      <c r="A2774" s="1" t="s">
        <v>7381</v>
      </c>
      <c r="B2774" s="1" t="s">
        <v>7382</v>
      </c>
      <c r="C2774" s="2" t="s">
        <v>7383</v>
      </c>
      <c r="D2774" s="2" t="str">
        <f t="shared" si="37"/>
        <v>huy chương thể thao</v>
      </c>
      <c r="E2774" s="3" t="str">
        <f t="shared" si="2"/>
        <v>sports medal</v>
      </c>
    </row>
    <row r="2775" ht="15.75" customHeight="1">
      <c r="A2775" s="1" t="s">
        <v>7384</v>
      </c>
      <c r="B2775" s="1" t="s">
        <v>7385</v>
      </c>
      <c r="C2775" s="2" t="s">
        <v>7386</v>
      </c>
      <c r="D2775" s="2" t="str">
        <f t="shared" si="37"/>
        <v>cá voi phun nước</v>
      </c>
      <c r="E2775" s="3" t="str">
        <f t="shared" si="2"/>
        <v>spouting whale</v>
      </c>
    </row>
    <row r="2776" ht="15.75" customHeight="1">
      <c r="A2776" s="1" t="s">
        <v>7387</v>
      </c>
      <c r="B2776" s="1" t="s">
        <v>7388</v>
      </c>
      <c r="C2776" s="2" t="str">
        <f>IFERROR(__xludf.DUMMYFUNCTION("GOOGLETRANSLATE(E2776, ""en"",""vi"")"),"mực ống")</f>
        <v>mực ống</v>
      </c>
      <c r="D2776" s="2" t="str">
        <f t="shared" si="37"/>
        <v>mực ống</v>
      </c>
      <c r="E2776" s="3" t="str">
        <f t="shared" si="2"/>
        <v>squid</v>
      </c>
    </row>
    <row r="2777" ht="15.75" customHeight="1">
      <c r="A2777" s="1" t="s">
        <v>7389</v>
      </c>
      <c r="B2777" s="1" t="s">
        <v>7390</v>
      </c>
      <c r="C2777" s="2" t="str">
        <f>IFERROR(__xludf.DUMMYFUNCTION("GOOGLETRANSLATE(E2777, ""en"",""vi"")"),"nhăn mặt với lưỡi")</f>
        <v>nhăn mặt với lưỡi</v>
      </c>
      <c r="D2777" s="2" t="str">
        <f t="shared" si="37"/>
        <v>nhăn mặt với lưỡi</v>
      </c>
      <c r="E2777" s="3" t="str">
        <f t="shared" si="2"/>
        <v>squinting face with tongue</v>
      </c>
    </row>
    <row r="2778" ht="15.75" customHeight="1">
      <c r="A2778" s="1" t="s">
        <v>7391</v>
      </c>
      <c r="B2778" s="1" t="s">
        <v>7392</v>
      </c>
      <c r="C2778" s="2" t="str">
        <f>IFERROR(__xludf.DUMMYFUNCTION("GOOGLETRANSLATE(E2778, ""en"",""vi"")"),"sân vận động")</f>
        <v>sân vận động</v>
      </c>
      <c r="D2778" s="2" t="str">
        <f t="shared" si="37"/>
        <v>sân vận động</v>
      </c>
      <c r="E2778" s="3" t="str">
        <f t="shared" si="2"/>
        <v>stadium</v>
      </c>
    </row>
    <row r="2779" ht="15.75" customHeight="1">
      <c r="A2779" s="1" t="s">
        <v>7393</v>
      </c>
      <c r="B2779" s="1" t="s">
        <v>7394</v>
      </c>
      <c r="C2779" s="2" t="str">
        <f>IFERROR(__xludf.DUMMYFUNCTION("GOOGLETRANSLATE(E2779, ""en"",""vi"")"),"ngôi sao")</f>
        <v>ngôi sao</v>
      </c>
      <c r="D2779" s="2" t="str">
        <f t="shared" si="37"/>
        <v>ngôi sao</v>
      </c>
      <c r="E2779" s="3" t="str">
        <f t="shared" si="2"/>
        <v>star</v>
      </c>
    </row>
    <row r="2780" ht="15.75" customHeight="1">
      <c r="A2780" s="1" t="s">
        <v>7395</v>
      </c>
      <c r="B2780" s="1" t="s">
        <v>7396</v>
      </c>
      <c r="C2780" s="2" t="s">
        <v>7397</v>
      </c>
      <c r="D2780" s="2" t="str">
        <f t="shared" si="37"/>
        <v>muốn thành ngôi sao</v>
      </c>
      <c r="E2780" s="3" t="str">
        <f t="shared" si="2"/>
        <v>star-struck</v>
      </c>
    </row>
    <row r="2781" ht="15.75" customHeight="1">
      <c r="A2781" s="1" t="s">
        <v>7398</v>
      </c>
      <c r="B2781" s="1" t="s">
        <v>7399</v>
      </c>
      <c r="C2781" s="2" t="str">
        <f>IFERROR(__xludf.DUMMYFUNCTION("GOOGLETRANSLATE(E2781, ""en"",""vi"")"),"ngôi sao và lưỡi liềm")</f>
        <v>ngôi sao và lưỡi liềm</v>
      </c>
      <c r="D2781" s="2" t="str">
        <f t="shared" si="37"/>
        <v>ngôi sao và lưỡi liềm</v>
      </c>
      <c r="E2781" s="3" t="str">
        <f t="shared" si="2"/>
        <v>star and crescent</v>
      </c>
    </row>
    <row r="2782" ht="15.75" customHeight="1">
      <c r="A2782" s="1" t="s">
        <v>7400</v>
      </c>
      <c r="B2782" s="1" t="s">
        <v>7401</v>
      </c>
      <c r="C2782" s="2" t="str">
        <f>IFERROR(__xludf.DUMMYFUNCTION("GOOGLETRANSLATE(E2782, ""en"",""vi"")"),"ngôi sao David")</f>
        <v>ngôi sao David</v>
      </c>
      <c r="D2782" s="2" t="str">
        <f t="shared" si="37"/>
        <v>ngôi sao david</v>
      </c>
      <c r="E2782" s="3" t="str">
        <f t="shared" si="2"/>
        <v>star of David</v>
      </c>
    </row>
    <row r="2783" ht="15.75" customHeight="1">
      <c r="A2783" s="1" t="s">
        <v>7402</v>
      </c>
      <c r="B2783" s="1" t="s">
        <v>7403</v>
      </c>
      <c r="C2783" s="2" t="str">
        <f>IFERROR(__xludf.DUMMYFUNCTION("GOOGLETRANSLATE(E2783, ""en"",""vi"")"),"ga tàu")</f>
        <v>ga tàu</v>
      </c>
      <c r="D2783" s="2" t="str">
        <f t="shared" si="37"/>
        <v>ga tàu</v>
      </c>
      <c r="E2783" s="3" t="str">
        <f t="shared" si="2"/>
        <v>station</v>
      </c>
    </row>
    <row r="2784" ht="15.75" customHeight="1">
      <c r="A2784" s="1" t="s">
        <v>7404</v>
      </c>
      <c r="B2784" s="1" t="s">
        <v>7405</v>
      </c>
      <c r="C2784" s="2" t="str">
        <f>IFERROR(__xludf.DUMMYFUNCTION("GOOGLETRANSLATE(E2784, ""en"",""vi"")"),"bát hấp")</f>
        <v>bát hấp</v>
      </c>
      <c r="D2784" s="2" t="str">
        <f t="shared" si="37"/>
        <v>bát hấp</v>
      </c>
      <c r="E2784" s="3" t="str">
        <f t="shared" si="2"/>
        <v>steaming bowl</v>
      </c>
    </row>
    <row r="2785" ht="15.75" customHeight="1">
      <c r="A2785" s="1" t="s">
        <v>7406</v>
      </c>
      <c r="B2785" s="1" t="s">
        <v>7407</v>
      </c>
      <c r="C2785" s="2" t="str">
        <f>IFERROR(__xludf.DUMMYFUNCTION("GOOGLETRANSLATE(E2785, ""en"",""vi"")"),"ống nghe")</f>
        <v>ống nghe</v>
      </c>
      <c r="D2785" s="2" t="str">
        <f t="shared" si="37"/>
        <v>ống nghe</v>
      </c>
      <c r="E2785" s="3" t="str">
        <f t="shared" si="2"/>
        <v>stethoscope</v>
      </c>
    </row>
    <row r="2786" ht="15.75" customHeight="1">
      <c r="A2786" s="1" t="s">
        <v>7408</v>
      </c>
      <c r="B2786" s="1" t="s">
        <v>7409</v>
      </c>
      <c r="C2786" s="2" t="str">
        <f>IFERROR(__xludf.DUMMYFUNCTION("GOOGLETRANSLATE(E2786, ""en"",""vi"")"),"nút dừng")</f>
        <v>nút dừng</v>
      </c>
      <c r="D2786" s="2" t="str">
        <f t="shared" si="37"/>
        <v>nút dừng</v>
      </c>
      <c r="E2786" s="3" t="str">
        <f t="shared" si="2"/>
        <v>stop button</v>
      </c>
    </row>
    <row r="2787" ht="15.75" customHeight="1">
      <c r="A2787" s="1" t="s">
        <v>7410</v>
      </c>
      <c r="B2787" s="1" t="s">
        <v>7411</v>
      </c>
      <c r="C2787" s="2" t="str">
        <f>IFERROR(__xludf.DUMMYFUNCTION("GOOGLETRANSLATE(E2787, ""en"",""vi"")"),"biển báo dừng lại")</f>
        <v>biển báo dừng lại</v>
      </c>
      <c r="D2787" s="2" t="str">
        <f t="shared" si="37"/>
        <v>biển báo dừng lại</v>
      </c>
      <c r="E2787" s="3" t="str">
        <f t="shared" si="2"/>
        <v>stop sign</v>
      </c>
    </row>
    <row r="2788" ht="15.75" customHeight="1">
      <c r="A2788" s="1" t="s">
        <v>7412</v>
      </c>
      <c r="B2788" s="1" t="s">
        <v>7413</v>
      </c>
      <c r="C2788" s="2" t="str">
        <f>IFERROR(__xludf.DUMMYFUNCTION("GOOGLETRANSLATE(E2788, ""en"",""vi"")"),"đồng hồ bấm giờ")</f>
        <v>đồng hồ bấm giờ</v>
      </c>
      <c r="D2788" s="2" t="str">
        <f t="shared" si="37"/>
        <v>đồng hồ bấm giờ</v>
      </c>
      <c r="E2788" s="3" t="str">
        <f t="shared" si="2"/>
        <v>stopwatch</v>
      </c>
    </row>
    <row r="2789" ht="15.75" customHeight="1">
      <c r="A2789" s="1" t="s">
        <v>7414</v>
      </c>
      <c r="B2789" s="1" t="s">
        <v>7415</v>
      </c>
      <c r="C2789" s="2" t="str">
        <f>IFERROR(__xludf.DUMMYFUNCTION("GOOGLETRANSLATE(E2789, ""en"",""vi"")"),"thước thẳng")</f>
        <v>thước thẳng</v>
      </c>
      <c r="D2789" s="2" t="str">
        <f t="shared" si="37"/>
        <v>thước thẳng</v>
      </c>
      <c r="E2789" s="3" t="str">
        <f t="shared" si="2"/>
        <v>straight ruler</v>
      </c>
    </row>
    <row r="2790" ht="15.75" customHeight="1">
      <c r="A2790" s="1" t="s">
        <v>7416</v>
      </c>
      <c r="B2790" s="1" t="s">
        <v>7417</v>
      </c>
      <c r="C2790" s="2" t="str">
        <f>IFERROR(__xludf.DUMMYFUNCTION("GOOGLETRANSLATE(E2790, ""en"",""vi"")"),"quả dâu")</f>
        <v>quả dâu</v>
      </c>
      <c r="D2790" s="2" t="str">
        <f t="shared" si="37"/>
        <v>quả dâu</v>
      </c>
      <c r="E2790" s="3" t="str">
        <f t="shared" si="2"/>
        <v>strawberry</v>
      </c>
    </row>
    <row r="2791" ht="15.75" customHeight="1">
      <c r="A2791" s="1" t="s">
        <v>7418</v>
      </c>
      <c r="B2791" s="1" t="s">
        <v>7419</v>
      </c>
      <c r="C2791" s="2" t="s">
        <v>7420</v>
      </c>
      <c r="D2791" s="2" t="str">
        <f t="shared" si="37"/>
        <v>sinh viên</v>
      </c>
      <c r="E2791" s="3" t="str">
        <f t="shared" si="2"/>
        <v>student</v>
      </c>
    </row>
    <row r="2792" ht="15.75" customHeight="1">
      <c r="A2792" s="1" t="s">
        <v>7421</v>
      </c>
      <c r="B2792" s="1" t="s">
        <v>7422</v>
      </c>
      <c r="C2792" s="2" t="s">
        <v>7423</v>
      </c>
      <c r="D2792" s="2" t="str">
        <f t="shared" si="37"/>
        <v>sinh viên màu da sẫm</v>
      </c>
      <c r="E2792" s="3" t="str">
        <f t="shared" si="2"/>
        <v>student dark skin tone</v>
      </c>
    </row>
    <row r="2793" ht="15.75" customHeight="1">
      <c r="A2793" s="1" t="s">
        <v>7424</v>
      </c>
      <c r="B2793" s="1" t="s">
        <v>7425</v>
      </c>
      <c r="C2793" s="2" t="s">
        <v>7426</v>
      </c>
      <c r="D2793" s="2" t="str">
        <f t="shared" si="37"/>
        <v>sinh viên màu da sáng</v>
      </c>
      <c r="E2793" s="3" t="str">
        <f t="shared" si="2"/>
        <v>student light skin tone</v>
      </c>
    </row>
    <row r="2794" ht="15.75" customHeight="1">
      <c r="A2794" s="1" t="s">
        <v>7427</v>
      </c>
      <c r="B2794" s="1" t="s">
        <v>7428</v>
      </c>
      <c r="C2794" s="2" t="s">
        <v>7429</v>
      </c>
      <c r="D2794" s="2" t="str">
        <f t="shared" si="37"/>
        <v>sinh viên màu da sẫm vừa</v>
      </c>
      <c r="E2794" s="3" t="str">
        <f t="shared" si="2"/>
        <v>student medium-dark skin tone</v>
      </c>
    </row>
    <row r="2795" ht="15.75" customHeight="1">
      <c r="A2795" s="1" t="s">
        <v>7430</v>
      </c>
      <c r="B2795" s="1" t="s">
        <v>7431</v>
      </c>
      <c r="C2795" s="2" t="s">
        <v>7432</v>
      </c>
      <c r="D2795" s="2" t="str">
        <f t="shared" si="37"/>
        <v>sinh viên màu da sáng vừa</v>
      </c>
      <c r="E2795" s="3" t="str">
        <f t="shared" si="2"/>
        <v>student medium-light skin tone</v>
      </c>
    </row>
    <row r="2796" ht="15.75" customHeight="1">
      <c r="A2796" s="1" t="s">
        <v>7433</v>
      </c>
      <c r="B2796" s="1" t="s">
        <v>7434</v>
      </c>
      <c r="C2796" s="2" t="s">
        <v>7435</v>
      </c>
      <c r="D2796" s="2" t="str">
        <f t="shared" si="37"/>
        <v>sinh viên màu da thường</v>
      </c>
      <c r="E2796" s="3" t="str">
        <f t="shared" si="2"/>
        <v>student medium skin tone</v>
      </c>
    </row>
    <row r="2797" ht="15.75" customHeight="1">
      <c r="A2797" s="1" t="s">
        <v>7436</v>
      </c>
      <c r="B2797" s="1" t="s">
        <v>7437</v>
      </c>
      <c r="C2797" s="2" t="s">
        <v>7438</v>
      </c>
      <c r="D2797" s="2" t="str">
        <f t="shared" si="37"/>
        <v>míc cờ rô phòng thu</v>
      </c>
      <c r="E2797" s="3" t="str">
        <f t="shared" si="2"/>
        <v>studio microphone</v>
      </c>
    </row>
    <row r="2798" ht="15.75" customHeight="1">
      <c r="A2798" s="1" t="s">
        <v>7439</v>
      </c>
      <c r="B2798" s="1" t="s">
        <v>7440</v>
      </c>
      <c r="C2798" s="2" t="s">
        <v>7441</v>
      </c>
      <c r="D2798" s="2" t="str">
        <f t="shared" si="37"/>
        <v>bánh nan</v>
      </c>
      <c r="E2798" s="3" t="str">
        <f t="shared" si="2"/>
        <v>stuffed flatbread</v>
      </c>
    </row>
    <row r="2799" ht="15.75" customHeight="1">
      <c r="A2799" s="1" t="s">
        <v>7442</v>
      </c>
      <c r="B2799" s="1" t="s">
        <v>7443</v>
      </c>
      <c r="C2799" s="2" t="str">
        <f>IFERROR(__xludf.DUMMYFUNCTION("GOOGLETRANSLATE(E2799, ""en"",""vi"")"),"mặt trời")</f>
        <v>mặt trời</v>
      </c>
      <c r="D2799" s="2" t="str">
        <f t="shared" si="37"/>
        <v>mặt trời</v>
      </c>
      <c r="E2799" s="3" t="str">
        <f t="shared" si="2"/>
        <v>sun</v>
      </c>
    </row>
    <row r="2800" ht="15.75" customHeight="1">
      <c r="A2800" s="1" t="s">
        <v>7444</v>
      </c>
      <c r="B2800" s="1" t="s">
        <v>7445</v>
      </c>
      <c r="C2800" s="2" t="s">
        <v>7446</v>
      </c>
      <c r="D2800" s="2" t="s">
        <v>7446</v>
      </c>
      <c r="E2800" s="3" t="str">
        <f t="shared" si="2"/>
        <v>sun behind cloud</v>
      </c>
    </row>
    <row r="2801" ht="15.75" customHeight="1">
      <c r="A2801" s="1" t="s">
        <v>7447</v>
      </c>
      <c r="B2801" s="1" t="s">
        <v>7448</v>
      </c>
      <c r="C2801" s="2" t="str">
        <f>IFERROR(__xludf.DUMMYFUNCTION("GOOGLETRANSLATE(E2801, ""en"",""vi"")"),"mặt trời sau đám mây lớn")</f>
        <v>mặt trời sau đám mây lớn</v>
      </c>
      <c r="D2801" s="2" t="str">
        <f t="shared" ref="D2801:D2991" si="38">LOWER(C2801)</f>
        <v>mặt trời sau đám mây lớn</v>
      </c>
      <c r="E2801" s="3" t="str">
        <f t="shared" si="2"/>
        <v>sun behind large cloud</v>
      </c>
    </row>
    <row r="2802" ht="15.75" customHeight="1">
      <c r="A2802" s="1" t="s">
        <v>7449</v>
      </c>
      <c r="B2802" s="1" t="s">
        <v>7450</v>
      </c>
      <c r="C2802" s="2" t="s">
        <v>7451</v>
      </c>
      <c r="D2802" s="2" t="str">
        <f t="shared" si="38"/>
        <v>mặt trời đằng sau đám mây mưa</v>
      </c>
      <c r="E2802" s="3" t="str">
        <f t="shared" si="2"/>
        <v>sun behind rain cloud</v>
      </c>
    </row>
    <row r="2803" ht="15.75" customHeight="1">
      <c r="A2803" s="1" t="s">
        <v>7452</v>
      </c>
      <c r="B2803" s="1" t="s">
        <v>7453</v>
      </c>
      <c r="C2803" s="2" t="str">
        <f>IFERROR(__xludf.DUMMYFUNCTION("GOOGLETRANSLATE(E2803, ""en"",""vi"")"),"mặt trời sau đám mây nhỏ")</f>
        <v>mặt trời sau đám mây nhỏ</v>
      </c>
      <c r="D2803" s="2" t="str">
        <f t="shared" si="38"/>
        <v>mặt trời sau đám mây nhỏ</v>
      </c>
      <c r="E2803" s="3" t="str">
        <f t="shared" si="2"/>
        <v>sun behind small cloud</v>
      </c>
    </row>
    <row r="2804" ht="15.75" customHeight="1">
      <c r="A2804" s="1" t="s">
        <v>7454</v>
      </c>
      <c r="B2804" s="1" t="s">
        <v>7455</v>
      </c>
      <c r="C2804" s="2" t="s">
        <v>7456</v>
      </c>
      <c r="D2804" s="2" t="str">
        <f t="shared" si="38"/>
        <v>mặt trời với mặt</v>
      </c>
      <c r="E2804" s="3" t="str">
        <f t="shared" si="2"/>
        <v>sun with face</v>
      </c>
    </row>
    <row r="2805" ht="15.75" customHeight="1">
      <c r="A2805" s="1" t="s">
        <v>7457</v>
      </c>
      <c r="B2805" s="1" t="s">
        <v>7458</v>
      </c>
      <c r="C2805" s="2" t="s">
        <v>7459</v>
      </c>
      <c r="D2805" s="2" t="str">
        <f t="shared" si="38"/>
        <v>hoa hướng dương</v>
      </c>
      <c r="E2805" s="3" t="str">
        <f t="shared" si="2"/>
        <v>sunflower</v>
      </c>
    </row>
    <row r="2806" ht="15.75" customHeight="1">
      <c r="A2806" s="1" t="s">
        <v>7460</v>
      </c>
      <c r="B2806" s="1" t="s">
        <v>7461</v>
      </c>
      <c r="C2806" s="2" t="str">
        <f>IFERROR(__xludf.DUMMYFUNCTION("GOOGLETRANSLATE(E2806, ""en"",""vi"")"),"kính mát")</f>
        <v>kính mát</v>
      </c>
      <c r="D2806" s="2" t="str">
        <f t="shared" si="38"/>
        <v>kính mát</v>
      </c>
      <c r="E2806" s="3" t="str">
        <f t="shared" si="2"/>
        <v>sunglasses</v>
      </c>
    </row>
    <row r="2807" ht="15.75" customHeight="1">
      <c r="A2807" s="1" t="s">
        <v>7462</v>
      </c>
      <c r="B2807" s="1" t="s">
        <v>7463</v>
      </c>
      <c r="C2807" s="2" t="str">
        <f>IFERROR(__xludf.DUMMYFUNCTION("GOOGLETRANSLATE(E2807, ""en"",""vi"")"),"mặt trời mọc")</f>
        <v>mặt trời mọc</v>
      </c>
      <c r="D2807" s="2" t="str">
        <f t="shared" si="38"/>
        <v>mặt trời mọc</v>
      </c>
      <c r="E2807" s="3" t="str">
        <f t="shared" si="2"/>
        <v>sunrise</v>
      </c>
    </row>
    <row r="2808" ht="15.75" customHeight="1">
      <c r="A2808" s="1" t="s">
        <v>7464</v>
      </c>
      <c r="B2808" s="1" t="s">
        <v>7465</v>
      </c>
      <c r="C2808" s="2" t="str">
        <f>IFERROR(__xludf.DUMMYFUNCTION("GOOGLETRANSLATE(E2808, ""en"",""vi"")"),"bình minh trên núi")</f>
        <v>bình minh trên núi</v>
      </c>
      <c r="D2808" s="2" t="str">
        <f t="shared" si="38"/>
        <v>bình minh trên núi</v>
      </c>
      <c r="E2808" s="3" t="str">
        <f t="shared" si="2"/>
        <v>sunrise over mountains</v>
      </c>
    </row>
    <row r="2809" ht="15.75" customHeight="1">
      <c r="A2809" s="1" t="s">
        <v>7466</v>
      </c>
      <c r="B2809" s="1" t="s">
        <v>7467</v>
      </c>
      <c r="C2809" s="2" t="str">
        <f>IFERROR(__xludf.DUMMYFUNCTION("GOOGLETRANSLATE(E2809, ""en"",""vi"")"),"hoàng hôn")</f>
        <v>hoàng hôn</v>
      </c>
      <c r="D2809" s="2" t="str">
        <f t="shared" si="38"/>
        <v>hoàng hôn</v>
      </c>
      <c r="E2809" s="3" t="str">
        <f t="shared" si="2"/>
        <v>sunset</v>
      </c>
    </row>
    <row r="2810" ht="15.75" customHeight="1">
      <c r="A2810" s="1" t="s">
        <v>7468</v>
      </c>
      <c r="B2810" s="1" t="s">
        <v>7469</v>
      </c>
      <c r="C2810" s="2" t="s">
        <v>7470</v>
      </c>
      <c r="D2810" s="2" t="str">
        <f t="shared" si="38"/>
        <v>siêu nhân</v>
      </c>
      <c r="E2810" s="3" t="str">
        <f t="shared" si="2"/>
        <v>superhero</v>
      </c>
    </row>
    <row r="2811" ht="15.75" customHeight="1">
      <c r="A2811" s="1" t="s">
        <v>7471</v>
      </c>
      <c r="B2811" s="1" t="s">
        <v>7472</v>
      </c>
      <c r="C2811" s="2" t="s">
        <v>7473</v>
      </c>
      <c r="D2811" s="2" t="str">
        <f t="shared" si="38"/>
        <v>siêu nhân màu da sẫm</v>
      </c>
      <c r="E2811" s="3" t="str">
        <f t="shared" si="2"/>
        <v>superhero dark skin tone</v>
      </c>
    </row>
    <row r="2812" ht="15.75" customHeight="1">
      <c r="A2812" s="1" t="s">
        <v>7474</v>
      </c>
      <c r="B2812" s="1" t="s">
        <v>7475</v>
      </c>
      <c r="C2812" s="2" t="s">
        <v>7476</v>
      </c>
      <c r="D2812" s="2" t="str">
        <f t="shared" si="38"/>
        <v>siêu nhân màu da sáng</v>
      </c>
      <c r="E2812" s="3" t="str">
        <f t="shared" si="2"/>
        <v>superhero light skin tone</v>
      </c>
    </row>
    <row r="2813" ht="15.75" customHeight="1">
      <c r="A2813" s="1" t="s">
        <v>7477</v>
      </c>
      <c r="B2813" s="1" t="s">
        <v>7478</v>
      </c>
      <c r="C2813" s="2" t="s">
        <v>7479</v>
      </c>
      <c r="D2813" s="2" t="str">
        <f t="shared" si="38"/>
        <v>siêu nhân màu da sẫm vừa</v>
      </c>
      <c r="E2813" s="3" t="str">
        <f t="shared" si="2"/>
        <v>superhero medium-dark skin tone</v>
      </c>
    </row>
    <row r="2814" ht="15.75" customHeight="1">
      <c r="A2814" s="1" t="s">
        <v>7480</v>
      </c>
      <c r="B2814" s="1" t="s">
        <v>7481</v>
      </c>
      <c r="C2814" s="2" t="s">
        <v>7482</v>
      </c>
      <c r="D2814" s="2" t="str">
        <f t="shared" si="38"/>
        <v>siêu nhân màu da sáng vừa</v>
      </c>
      <c r="E2814" s="3" t="str">
        <f t="shared" si="2"/>
        <v>superhero medium-light skin tone</v>
      </c>
    </row>
    <row r="2815" ht="15.75" customHeight="1">
      <c r="A2815" s="1" t="s">
        <v>7483</v>
      </c>
      <c r="B2815" s="1" t="s">
        <v>7484</v>
      </c>
      <c r="C2815" s="2" t="s">
        <v>7485</v>
      </c>
      <c r="D2815" s="2" t="str">
        <f t="shared" si="38"/>
        <v>siêu nhân màu da thường</v>
      </c>
      <c r="E2815" s="3" t="str">
        <f t="shared" si="2"/>
        <v>superhero medium skin tone</v>
      </c>
    </row>
    <row r="2816" ht="15.75" customHeight="1">
      <c r="A2816" s="1" t="s">
        <v>7486</v>
      </c>
      <c r="B2816" s="1" t="s">
        <v>7487</v>
      </c>
      <c r="C2816" s="2" t="s">
        <v>7488</v>
      </c>
      <c r="D2816" s="2" t="str">
        <f t="shared" si="38"/>
        <v>siêu ác nhân</v>
      </c>
      <c r="E2816" s="3" t="str">
        <f t="shared" si="2"/>
        <v>supervillain</v>
      </c>
    </row>
    <row r="2817" ht="15.75" customHeight="1">
      <c r="A2817" s="1" t="s">
        <v>7489</v>
      </c>
      <c r="B2817" s="1" t="s">
        <v>7490</v>
      </c>
      <c r="C2817" s="2" t="s">
        <v>7491</v>
      </c>
      <c r="D2817" s="2" t="str">
        <f t="shared" si="38"/>
        <v>siêu ác nhân màu da sẫm</v>
      </c>
      <c r="E2817" s="3" t="str">
        <f t="shared" si="2"/>
        <v>supervillain dark skin tone</v>
      </c>
    </row>
    <row r="2818" ht="15.75" customHeight="1">
      <c r="A2818" s="1" t="s">
        <v>7492</v>
      </c>
      <c r="B2818" s="1" t="s">
        <v>7493</v>
      </c>
      <c r="C2818" s="2" t="s">
        <v>7494</v>
      </c>
      <c r="D2818" s="2" t="str">
        <f t="shared" si="38"/>
        <v>siêu ác nhân màu da sáng</v>
      </c>
      <c r="E2818" s="3" t="str">
        <f t="shared" si="2"/>
        <v>supervillain light skin tone</v>
      </c>
    </row>
    <row r="2819" ht="15.75" customHeight="1">
      <c r="A2819" s="1" t="s">
        <v>7495</v>
      </c>
      <c r="B2819" s="1" t="s">
        <v>7496</v>
      </c>
      <c r="C2819" s="2" t="s">
        <v>7497</v>
      </c>
      <c r="D2819" s="2" t="str">
        <f t="shared" si="38"/>
        <v>siêu ác nhân màu da sẫm vừa</v>
      </c>
      <c r="E2819" s="3" t="str">
        <f t="shared" si="2"/>
        <v>supervillain medium-dark skin tone</v>
      </c>
    </row>
    <row r="2820" ht="15.75" customHeight="1">
      <c r="A2820" s="1" t="s">
        <v>7498</v>
      </c>
      <c r="B2820" s="1" t="s">
        <v>7499</v>
      </c>
      <c r="C2820" s="2" t="s">
        <v>7500</v>
      </c>
      <c r="D2820" s="2" t="str">
        <f t="shared" si="38"/>
        <v>siêu ác nhân màu da sáng vừa</v>
      </c>
      <c r="E2820" s="3" t="str">
        <f t="shared" si="2"/>
        <v>supervillain medium-light skin tone</v>
      </c>
    </row>
    <row r="2821" ht="15.75" customHeight="1">
      <c r="A2821" s="1" t="s">
        <v>7501</v>
      </c>
      <c r="B2821" s="1" t="s">
        <v>7502</v>
      </c>
      <c r="C2821" s="2" t="s">
        <v>7503</v>
      </c>
      <c r="D2821" s="2" t="str">
        <f t="shared" si="38"/>
        <v>siêu ác nhân màu da thường</v>
      </c>
      <c r="E2821" s="3" t="str">
        <f t="shared" si="2"/>
        <v>supervillain medium skin tone</v>
      </c>
    </row>
    <row r="2822" ht="15.75" customHeight="1">
      <c r="A2822" s="1" t="s">
        <v>7504</v>
      </c>
      <c r="B2822" s="1" t="s">
        <v>7505</v>
      </c>
      <c r="C2822" s="2" t="str">
        <f>IFERROR(__xludf.DUMMYFUNCTION("GOOGLETRANSLATE(E2822, ""en"",""vi"")"),"món sushi")</f>
        <v>món sushi</v>
      </c>
      <c r="D2822" s="2" t="str">
        <f t="shared" si="38"/>
        <v>món sushi</v>
      </c>
      <c r="E2822" s="3" t="str">
        <f t="shared" si="2"/>
        <v>sushi</v>
      </c>
    </row>
    <row r="2823" ht="15.75" customHeight="1">
      <c r="A2823" s="1" t="s">
        <v>7506</v>
      </c>
      <c r="B2823" s="1" t="s">
        <v>7507</v>
      </c>
      <c r="C2823" s="2" t="s">
        <v>7508</v>
      </c>
      <c r="D2823" s="2" t="str">
        <f t="shared" si="38"/>
        <v>đường sắt đình chỉ</v>
      </c>
      <c r="E2823" s="3" t="str">
        <f t="shared" si="2"/>
        <v>suspension railway</v>
      </c>
    </row>
    <row r="2824" ht="15.75" customHeight="1">
      <c r="A2824" s="1" t="s">
        <v>7509</v>
      </c>
      <c r="B2824" s="1" t="s">
        <v>7510</v>
      </c>
      <c r="C2824" s="2" t="str">
        <f>IFERROR(__xludf.DUMMYFUNCTION("GOOGLETRANSLATE(E2824, ""en"",""vi"")"),"thiên nga")</f>
        <v>thiên nga</v>
      </c>
      <c r="D2824" s="2" t="str">
        <f t="shared" si="38"/>
        <v>thiên nga</v>
      </c>
      <c r="E2824" s="3" t="str">
        <f t="shared" si="2"/>
        <v>swan</v>
      </c>
    </row>
    <row r="2825" ht="15.75" customHeight="1">
      <c r="A2825" s="1" t="s">
        <v>7511</v>
      </c>
      <c r="B2825" s="1" t="s">
        <v>7512</v>
      </c>
      <c r="C2825" s="2" t="str">
        <f>IFERROR(__xludf.DUMMYFUNCTION("GOOGLETRANSLATE(E2825, ""en"",""vi"")"),"giọt mồ hôi")</f>
        <v>giọt mồ hôi</v>
      </c>
      <c r="D2825" s="2" t="str">
        <f t="shared" si="38"/>
        <v>giọt mồ hôi</v>
      </c>
      <c r="E2825" s="3" t="str">
        <f t="shared" si="2"/>
        <v>sweat droplets</v>
      </c>
    </row>
    <row r="2826" ht="15.75" customHeight="1">
      <c r="A2826" s="1" t="s">
        <v>7513</v>
      </c>
      <c r="B2826" s="1" t="s">
        <v>7514</v>
      </c>
      <c r="C2826" s="2" t="s">
        <v>7515</v>
      </c>
      <c r="D2826" s="2" t="str">
        <f t="shared" si="38"/>
        <v>giáo đường</v>
      </c>
      <c r="E2826" s="3" t="str">
        <f t="shared" si="2"/>
        <v>synagogue</v>
      </c>
    </row>
    <row r="2827" ht="15.75" customHeight="1">
      <c r="A2827" s="1" t="s">
        <v>7516</v>
      </c>
      <c r="B2827" s="1" t="s">
        <v>7517</v>
      </c>
      <c r="C2827" s="2" t="s">
        <v>7518</v>
      </c>
      <c r="D2827" s="2" t="str">
        <f t="shared" si="38"/>
        <v>ống tiêm</v>
      </c>
      <c r="E2827" s="3" t="str">
        <f t="shared" si="2"/>
        <v>syringe</v>
      </c>
    </row>
    <row r="2828" ht="15.75" customHeight="1">
      <c r="A2828" s="1" t="s">
        <v>7519</v>
      </c>
      <c r="B2828" s="1" t="s">
        <v>7520</v>
      </c>
      <c r="C2828" s="2" t="str">
        <f>IFERROR(__xludf.DUMMYFUNCTION("GOOGLETRANSLATE(E2828, ""en"",""vi"")"),"áo thun")</f>
        <v>áo thun</v>
      </c>
      <c r="D2828" s="2" t="str">
        <f t="shared" si="38"/>
        <v>áo thun</v>
      </c>
      <c r="E2828" s="3" t="str">
        <f t="shared" si="2"/>
        <v>t-shirt</v>
      </c>
    </row>
    <row r="2829" ht="15.75" customHeight="1">
      <c r="A2829" s="1" t="s">
        <v>7521</v>
      </c>
      <c r="B2829" s="1" t="s">
        <v>7522</v>
      </c>
      <c r="C2829" s="2" t="s">
        <v>7523</v>
      </c>
      <c r="D2829" s="2" t="str">
        <f t="shared" si="38"/>
        <v>taco</v>
      </c>
      <c r="E2829" s="3" t="str">
        <f t="shared" si="2"/>
        <v>taco</v>
      </c>
    </row>
    <row r="2830" ht="15.75" customHeight="1">
      <c r="A2830" s="1" t="s">
        <v>7524</v>
      </c>
      <c r="B2830" s="1" t="s">
        <v>7525</v>
      </c>
      <c r="C2830" s="2" t="s">
        <v>7526</v>
      </c>
      <c r="D2830" s="2" t="str">
        <f t="shared" si="38"/>
        <v>hộp mang đi</v>
      </c>
      <c r="E2830" s="3" t="str">
        <f t="shared" si="2"/>
        <v>takeout box</v>
      </c>
    </row>
    <row r="2831" ht="15.75" customHeight="1">
      <c r="A2831" s="1" t="s">
        <v>7527</v>
      </c>
      <c r="B2831" s="1" t="s">
        <v>7528</v>
      </c>
      <c r="C2831" s="2" t="s">
        <v>7529</v>
      </c>
      <c r="D2831" s="2" t="str">
        <f t="shared" si="38"/>
        <v>tamale</v>
      </c>
      <c r="E2831" s="3" t="str">
        <f t="shared" si="2"/>
        <v>tamale</v>
      </c>
    </row>
    <row r="2832" ht="15.75" customHeight="1">
      <c r="A2832" s="1" t="s">
        <v>7530</v>
      </c>
      <c r="B2832" s="1" t="s">
        <v>7531</v>
      </c>
      <c r="C2832" s="2" t="s">
        <v>7532</v>
      </c>
      <c r="D2832" s="2" t="str">
        <f t="shared" si="38"/>
        <v>cây tanabata</v>
      </c>
      <c r="E2832" s="3" t="str">
        <f t="shared" si="2"/>
        <v>tanabata tree</v>
      </c>
    </row>
    <row r="2833" ht="15.75" customHeight="1">
      <c r="A2833" s="1" t="s">
        <v>7533</v>
      </c>
      <c r="B2833" s="1" t="s">
        <v>7534</v>
      </c>
      <c r="C2833" s="2" t="str">
        <f>IFERROR(__xludf.DUMMYFUNCTION("GOOGLETRANSLATE(E2833, ""en"",""vi"")"),"quýt")</f>
        <v>quýt</v>
      </c>
      <c r="D2833" s="2" t="str">
        <f t="shared" si="38"/>
        <v>quýt</v>
      </c>
      <c r="E2833" s="3" t="str">
        <f t="shared" si="2"/>
        <v>tangerine</v>
      </c>
    </row>
    <row r="2834" ht="15.75" customHeight="1">
      <c r="A2834" s="1" t="s">
        <v>7535</v>
      </c>
      <c r="B2834" s="1" t="s">
        <v>7536</v>
      </c>
      <c r="C2834" s="2" t="str">
        <f>IFERROR(__xludf.DUMMYFUNCTION("GOOGLETRANSLATE(E2834, ""en"",""vi"")"),"Taxi")</f>
        <v>Taxi</v>
      </c>
      <c r="D2834" s="2" t="str">
        <f t="shared" si="38"/>
        <v>taxi</v>
      </c>
      <c r="E2834" s="3" t="str">
        <f t="shared" si="2"/>
        <v>taxi</v>
      </c>
    </row>
    <row r="2835" ht="15.75" customHeight="1">
      <c r="A2835" s="1" t="s">
        <v>7537</v>
      </c>
      <c r="B2835" s="1" t="s">
        <v>7538</v>
      </c>
      <c r="C2835" s="2" t="s">
        <v>7539</v>
      </c>
      <c r="D2835" s="2" t="str">
        <f t="shared" si="38"/>
        <v>giáo viên</v>
      </c>
      <c r="E2835" s="3" t="str">
        <f t="shared" si="2"/>
        <v>teacher</v>
      </c>
    </row>
    <row r="2836" ht="15.75" customHeight="1">
      <c r="A2836" s="1" t="s">
        <v>7540</v>
      </c>
      <c r="B2836" s="1" t="s">
        <v>7541</v>
      </c>
      <c r="C2836" s="2" t="s">
        <v>7542</v>
      </c>
      <c r="D2836" s="2" t="str">
        <f t="shared" si="38"/>
        <v>giáo viên màu da sẫm</v>
      </c>
      <c r="E2836" s="3" t="str">
        <f t="shared" si="2"/>
        <v>teacher dark skin tone</v>
      </c>
    </row>
    <row r="2837" ht="15.75" customHeight="1">
      <c r="A2837" s="1" t="s">
        <v>7543</v>
      </c>
      <c r="B2837" s="1" t="s">
        <v>7544</v>
      </c>
      <c r="C2837" s="2" t="s">
        <v>7545</v>
      </c>
      <c r="D2837" s="2" t="str">
        <f t="shared" si="38"/>
        <v>giáo viên màu da sáng</v>
      </c>
      <c r="E2837" s="3" t="str">
        <f t="shared" si="2"/>
        <v>teacher light skin tone</v>
      </c>
    </row>
    <row r="2838" ht="15.75" customHeight="1">
      <c r="A2838" s="1" t="s">
        <v>7546</v>
      </c>
      <c r="B2838" s="1" t="s">
        <v>7547</v>
      </c>
      <c r="C2838" s="2" t="s">
        <v>7548</v>
      </c>
      <c r="D2838" s="2" t="str">
        <f t="shared" si="38"/>
        <v>giáo viên màu da sẫm vừa</v>
      </c>
      <c r="E2838" s="3" t="str">
        <f t="shared" si="2"/>
        <v>teacher medium-dark skin tone</v>
      </c>
    </row>
    <row r="2839" ht="15.75" customHeight="1">
      <c r="A2839" s="1" t="s">
        <v>7549</v>
      </c>
      <c r="B2839" s="1" t="s">
        <v>7550</v>
      </c>
      <c r="C2839" s="2" t="s">
        <v>7551</v>
      </c>
      <c r="D2839" s="2" t="str">
        <f t="shared" si="38"/>
        <v>giáo viên màu da sáng vừa</v>
      </c>
      <c r="E2839" s="3" t="str">
        <f t="shared" si="2"/>
        <v>teacher medium-light skin tone</v>
      </c>
    </row>
    <row r="2840" ht="15.75" customHeight="1">
      <c r="A2840" s="1" t="s">
        <v>7552</v>
      </c>
      <c r="B2840" s="1" t="s">
        <v>7553</v>
      </c>
      <c r="C2840" s="2" t="s">
        <v>7554</v>
      </c>
      <c r="D2840" s="2" t="str">
        <f t="shared" si="38"/>
        <v>giáo viên màu da thường</v>
      </c>
      <c r="E2840" s="3" t="str">
        <f t="shared" si="2"/>
        <v>teacher medium skin tone</v>
      </c>
    </row>
    <row r="2841" ht="15.75" customHeight="1">
      <c r="A2841" s="1" t="s">
        <v>7555</v>
      </c>
      <c r="B2841" s="1" t="s">
        <v>7556</v>
      </c>
      <c r="C2841" s="2" t="s">
        <v>7557</v>
      </c>
      <c r="D2841" s="2" t="str">
        <f t="shared" si="38"/>
        <v>ly tra không có tay cầm</v>
      </c>
      <c r="E2841" s="3" t="str">
        <f t="shared" si="2"/>
        <v>teacup without handle</v>
      </c>
    </row>
    <row r="2842" ht="15.75" customHeight="1">
      <c r="A2842" s="1" t="s">
        <v>7558</v>
      </c>
      <c r="B2842" s="1" t="s">
        <v>7559</v>
      </c>
      <c r="C2842" s="2" t="str">
        <f>IFERROR(__xludf.DUMMYFUNCTION("GOOGLETRANSLATE(E2842, ""en"",""vi"")"),"ấm trà")</f>
        <v>ấm trà</v>
      </c>
      <c r="D2842" s="2" t="str">
        <f t="shared" si="38"/>
        <v>ấm trà</v>
      </c>
      <c r="E2842" s="3" t="str">
        <f t="shared" si="2"/>
        <v>teapot</v>
      </c>
    </row>
    <row r="2843" ht="15.75" customHeight="1">
      <c r="A2843" s="1" t="s">
        <v>7560</v>
      </c>
      <c r="B2843" s="1" t="s">
        <v>7561</v>
      </c>
      <c r="C2843" s="2" t="str">
        <f>IFERROR(__xludf.DUMMYFUNCTION("GOOGLETRANSLATE(E2843, ""en"",""vi"")"),"lịch xé")</f>
        <v>lịch xé</v>
      </c>
      <c r="D2843" s="2" t="str">
        <f t="shared" si="38"/>
        <v>lịch xé</v>
      </c>
      <c r="E2843" s="3" t="str">
        <f t="shared" si="2"/>
        <v>tear-off calendar</v>
      </c>
    </row>
    <row r="2844" ht="15.75" customHeight="1">
      <c r="A2844" s="1" t="s">
        <v>7562</v>
      </c>
      <c r="B2844" s="1" t="s">
        <v>7563</v>
      </c>
      <c r="C2844" s="2" t="s">
        <v>7564</v>
      </c>
      <c r="D2844" s="2" t="str">
        <f t="shared" si="38"/>
        <v>nhà công nghệ</v>
      </c>
      <c r="E2844" s="3" t="str">
        <f t="shared" si="2"/>
        <v>technologist</v>
      </c>
    </row>
    <row r="2845" ht="15.75" customHeight="1">
      <c r="A2845" s="1" t="s">
        <v>7565</v>
      </c>
      <c r="B2845" s="1" t="s">
        <v>7566</v>
      </c>
      <c r="C2845" s="2" t="s">
        <v>7567</v>
      </c>
      <c r="D2845" s="2" t="str">
        <f t="shared" si="38"/>
        <v>nhà công nghệ màu da sẫm</v>
      </c>
      <c r="E2845" s="3" t="str">
        <f t="shared" si="2"/>
        <v>technologist dark skin tone</v>
      </c>
    </row>
    <row r="2846" ht="15.75" customHeight="1">
      <c r="A2846" s="1" t="s">
        <v>7568</v>
      </c>
      <c r="B2846" s="1" t="s">
        <v>7569</v>
      </c>
      <c r="C2846" s="2" t="s">
        <v>7570</v>
      </c>
      <c r="D2846" s="2" t="str">
        <f t="shared" si="38"/>
        <v>nhà công nghệ màu da sáng</v>
      </c>
      <c r="E2846" s="3" t="str">
        <f t="shared" si="2"/>
        <v>technologist light skin tone</v>
      </c>
    </row>
    <row r="2847" ht="15.75" customHeight="1">
      <c r="A2847" s="1" t="s">
        <v>7571</v>
      </c>
      <c r="B2847" s="1" t="s">
        <v>7572</v>
      </c>
      <c r="C2847" s="2" t="s">
        <v>7573</v>
      </c>
      <c r="D2847" s="2" t="str">
        <f t="shared" si="38"/>
        <v>nhà công nghệ màu da sẫm vừa</v>
      </c>
      <c r="E2847" s="3" t="str">
        <f t="shared" si="2"/>
        <v>technologist medium-dark skin tone</v>
      </c>
    </row>
    <row r="2848" ht="15.75" customHeight="1">
      <c r="A2848" s="1" t="s">
        <v>7574</v>
      </c>
      <c r="B2848" s="1" t="s">
        <v>7575</v>
      </c>
      <c r="C2848" s="2" t="s">
        <v>7576</v>
      </c>
      <c r="D2848" s="2" t="str">
        <f t="shared" si="38"/>
        <v>nhà công nghệ màu da sáng vừa</v>
      </c>
      <c r="E2848" s="3" t="str">
        <f t="shared" si="2"/>
        <v>technologist medium-light skin tone</v>
      </c>
    </row>
    <row r="2849" ht="15.75" customHeight="1">
      <c r="A2849" s="1" t="s">
        <v>7577</v>
      </c>
      <c r="B2849" s="1" t="s">
        <v>7578</v>
      </c>
      <c r="C2849" s="2" t="s">
        <v>7579</v>
      </c>
      <c r="D2849" s="2" t="str">
        <f t="shared" si="38"/>
        <v>nhà công nghệ màu da thường</v>
      </c>
      <c r="E2849" s="3" t="str">
        <f t="shared" si="2"/>
        <v>technologist medium skin tone</v>
      </c>
    </row>
    <row r="2850" ht="15.75" customHeight="1">
      <c r="A2850" s="1" t="s">
        <v>7580</v>
      </c>
      <c r="B2850" s="1" t="s">
        <v>7581</v>
      </c>
      <c r="C2850" s="2" t="str">
        <f>IFERROR(__xludf.DUMMYFUNCTION("GOOGLETRANSLATE(E2850, ""en"",""vi"")"),"gấu bông")</f>
        <v>gấu bông</v>
      </c>
      <c r="D2850" s="2" t="str">
        <f t="shared" si="38"/>
        <v>gấu bông</v>
      </c>
      <c r="E2850" s="3" t="str">
        <f t="shared" si="2"/>
        <v>teddy bear</v>
      </c>
    </row>
    <row r="2851" ht="15.75" customHeight="1">
      <c r="A2851" s="1" t="s">
        <v>7582</v>
      </c>
      <c r="B2851" s="1" t="s">
        <v>7583</v>
      </c>
      <c r="C2851" s="2" t="str">
        <f>IFERROR(__xludf.DUMMYFUNCTION("GOOGLETRANSLATE(E2851, ""en"",""vi"")"),"điện thoại")</f>
        <v>điện thoại</v>
      </c>
      <c r="D2851" s="2" t="str">
        <f t="shared" si="38"/>
        <v>điện thoại</v>
      </c>
      <c r="E2851" s="3" t="str">
        <f t="shared" si="2"/>
        <v>telephone</v>
      </c>
    </row>
    <row r="2852" ht="15.75" customHeight="1">
      <c r="A2852" s="1" t="s">
        <v>7584</v>
      </c>
      <c r="B2852" s="1" t="s">
        <v>7585</v>
      </c>
      <c r="C2852" s="2" t="str">
        <f>IFERROR(__xludf.DUMMYFUNCTION("GOOGLETRANSLATE(E2852, ""en"",""vi"")"),"máy thu điện thoại")</f>
        <v>máy thu điện thoại</v>
      </c>
      <c r="D2852" s="2" t="str">
        <f t="shared" si="38"/>
        <v>máy thu điện thoại</v>
      </c>
      <c r="E2852" s="3" t="str">
        <f t="shared" si="2"/>
        <v>telephone receiver</v>
      </c>
    </row>
    <row r="2853" ht="15.75" customHeight="1">
      <c r="A2853" s="1" t="s">
        <v>7586</v>
      </c>
      <c r="B2853" s="1" t="s">
        <v>7587</v>
      </c>
      <c r="C2853" s="2" t="str">
        <f>IFERROR(__xludf.DUMMYFUNCTION("GOOGLETRANSLATE(E2853, ""en"",""vi"")"),"kính thiên văn")</f>
        <v>kính thiên văn</v>
      </c>
      <c r="D2853" s="2" t="str">
        <f t="shared" si="38"/>
        <v>kính thiên văn</v>
      </c>
      <c r="E2853" s="3" t="str">
        <f t="shared" si="2"/>
        <v>telescope</v>
      </c>
    </row>
    <row r="2854" ht="15.75" customHeight="1">
      <c r="A2854" s="1" t="s">
        <v>7588</v>
      </c>
      <c r="B2854" s="1" t="s">
        <v>7589</v>
      </c>
      <c r="C2854" s="2" t="str">
        <f>IFERROR(__xludf.DUMMYFUNCTION("GOOGLETRANSLATE(E2854, ""en"",""vi"")"),"tivi")</f>
        <v>tivi</v>
      </c>
      <c r="D2854" s="2" t="str">
        <f t="shared" si="38"/>
        <v>tivi</v>
      </c>
      <c r="E2854" s="3" t="str">
        <f t="shared" si="2"/>
        <v>television</v>
      </c>
    </row>
    <row r="2855" ht="15.75" customHeight="1">
      <c r="A2855" s="1" t="s">
        <v>7590</v>
      </c>
      <c r="B2855" s="1" t="s">
        <v>7591</v>
      </c>
      <c r="C2855" s="2" t="str">
        <f>IFERROR(__xludf.DUMMYFUNCTION("GOOGLETRANSLATE(E2855, ""en"",""vi"")"),"mười giờ ba mươi")</f>
        <v>mười giờ ba mươi</v>
      </c>
      <c r="D2855" s="2" t="str">
        <f t="shared" si="38"/>
        <v>mười giờ ba mươi</v>
      </c>
      <c r="E2855" s="3" t="str">
        <f t="shared" si="2"/>
        <v>ten-thirty</v>
      </c>
    </row>
    <row r="2856" ht="15.75" customHeight="1">
      <c r="A2856" s="1" t="s">
        <v>7592</v>
      </c>
      <c r="B2856" s="1" t="s">
        <v>7593</v>
      </c>
      <c r="C2856" s="2" t="str">
        <f>IFERROR(__xludf.DUMMYFUNCTION("GOOGLETRANSLATE(E2856, ""en"",""vi"")"),"mười giờ")</f>
        <v>mười giờ</v>
      </c>
      <c r="D2856" s="2" t="str">
        <f t="shared" si="38"/>
        <v>mười giờ</v>
      </c>
      <c r="E2856" s="3" t="str">
        <f t="shared" si="2"/>
        <v>ten o’clock</v>
      </c>
    </row>
    <row r="2857" ht="15.75" customHeight="1">
      <c r="A2857" s="1" t="s">
        <v>7594</v>
      </c>
      <c r="B2857" s="1" t="s">
        <v>7595</v>
      </c>
      <c r="C2857" s="2" t="s">
        <v>7596</v>
      </c>
      <c r="D2857" s="2" t="str">
        <f t="shared" si="38"/>
        <v>quần vợt</v>
      </c>
      <c r="E2857" s="3" t="str">
        <f t="shared" si="2"/>
        <v>tennis</v>
      </c>
    </row>
    <row r="2858" ht="15.75" customHeight="1">
      <c r="A2858" s="1" t="s">
        <v>7597</v>
      </c>
      <c r="B2858" s="1" t="s">
        <v>7598</v>
      </c>
      <c r="C2858" s="2" t="str">
        <f>IFERROR(__xludf.DUMMYFUNCTION("GOOGLETRANSLATE(E2858, ""en"",""vi"")"),"lều")</f>
        <v>lều</v>
      </c>
      <c r="D2858" s="2" t="str">
        <f t="shared" si="38"/>
        <v>lều</v>
      </c>
      <c r="E2858" s="3" t="str">
        <f t="shared" si="2"/>
        <v>tent</v>
      </c>
    </row>
    <row r="2859" ht="15.75" customHeight="1">
      <c r="A2859" s="1" t="s">
        <v>7599</v>
      </c>
      <c r="B2859" s="1" t="s">
        <v>7600</v>
      </c>
      <c r="C2859" s="2" t="s">
        <v>7601</v>
      </c>
      <c r="D2859" s="2" t="str">
        <f t="shared" si="38"/>
        <v>ống nghiệm</v>
      </c>
      <c r="E2859" s="3" t="str">
        <f t="shared" si="2"/>
        <v>test tube</v>
      </c>
    </row>
    <row r="2860" ht="15.75" customHeight="1">
      <c r="A2860" s="1" t="s">
        <v>7602</v>
      </c>
      <c r="B2860" s="1" t="s">
        <v>7603</v>
      </c>
      <c r="C2860" s="2" t="s">
        <v>7604</v>
      </c>
      <c r="D2860" s="2" t="str">
        <f t="shared" si="38"/>
        <v>nhiệt kế</v>
      </c>
      <c r="E2860" s="3" t="str">
        <f t="shared" si="2"/>
        <v>thermometer</v>
      </c>
    </row>
    <row r="2861" ht="15.75" customHeight="1">
      <c r="A2861" s="1" t="s">
        <v>7605</v>
      </c>
      <c r="B2861" s="1" t="s">
        <v>7606</v>
      </c>
      <c r="C2861" s="2" t="s">
        <v>7607</v>
      </c>
      <c r="D2861" s="2" t="str">
        <f t="shared" si="38"/>
        <v>khuôn mặt suy nghĩ</v>
      </c>
      <c r="E2861" s="3" t="str">
        <f t="shared" si="2"/>
        <v>thinking face</v>
      </c>
    </row>
    <row r="2862" ht="15.75" customHeight="1">
      <c r="A2862" s="1" t="s">
        <v>7608</v>
      </c>
      <c r="B2862" s="1" t="s">
        <v>7609</v>
      </c>
      <c r="C2862" s="2" t="s">
        <v>7610</v>
      </c>
      <c r="D2862" s="2" t="str">
        <f t="shared" si="38"/>
        <v>san đan xỏ ngón</v>
      </c>
      <c r="E2862" s="3" t="str">
        <f t="shared" si="2"/>
        <v>thong sandal</v>
      </c>
    </row>
    <row r="2863" ht="15.75" customHeight="1">
      <c r="A2863" s="1" t="s">
        <v>7611</v>
      </c>
      <c r="B2863" s="1" t="s">
        <v>7612</v>
      </c>
      <c r="C2863" s="2" t="s">
        <v>7613</v>
      </c>
      <c r="D2863" s="2" t="str">
        <f t="shared" si="38"/>
        <v>bóng bay suy nghĩ</v>
      </c>
      <c r="E2863" s="3" t="str">
        <f t="shared" si="2"/>
        <v>thought balloon</v>
      </c>
    </row>
    <row r="2864" ht="15.75" customHeight="1">
      <c r="A2864" s="1" t="s">
        <v>7614</v>
      </c>
      <c r="B2864" s="1" t="s">
        <v>7615</v>
      </c>
      <c r="C2864" s="2" t="s">
        <v>7616</v>
      </c>
      <c r="D2864" s="2" t="str">
        <f t="shared" si="38"/>
        <v>chỉ</v>
      </c>
      <c r="E2864" s="3" t="str">
        <f t="shared" si="2"/>
        <v>thread</v>
      </c>
    </row>
    <row r="2865" ht="15.75" customHeight="1">
      <c r="A2865" s="1" t="s">
        <v>7617</v>
      </c>
      <c r="B2865" s="1" t="s">
        <v>7618</v>
      </c>
      <c r="C2865" s="2" t="str">
        <f>IFERROR(__xludf.DUMMYFUNCTION("GOOGLETRANSLATE(E2865, ""en"",""vi"")"),"ba giờ ba mươi")</f>
        <v>ba giờ ba mươi</v>
      </c>
      <c r="D2865" s="2" t="str">
        <f t="shared" si="38"/>
        <v>ba giờ ba mươi</v>
      </c>
      <c r="E2865" s="3" t="str">
        <f t="shared" si="2"/>
        <v>three-thirty</v>
      </c>
    </row>
    <row r="2866" ht="15.75" customHeight="1">
      <c r="A2866" s="1" t="s">
        <v>7619</v>
      </c>
      <c r="B2866" s="1" t="s">
        <v>7620</v>
      </c>
      <c r="C2866" s="2" t="str">
        <f>IFERROR(__xludf.DUMMYFUNCTION("GOOGLETRANSLATE(E2866, ""en"",""vi"")"),"ba giờ")</f>
        <v>ba giờ</v>
      </c>
      <c r="D2866" s="2" t="str">
        <f t="shared" si="38"/>
        <v>ba giờ</v>
      </c>
      <c r="E2866" s="3" t="str">
        <f t="shared" si="2"/>
        <v>three o’clock</v>
      </c>
    </row>
    <row r="2867" ht="15.75" customHeight="1">
      <c r="A2867" s="1" t="s">
        <v>7621</v>
      </c>
      <c r="B2867" s="1" t="s">
        <v>7622</v>
      </c>
      <c r="C2867" s="2" t="s">
        <v>7623</v>
      </c>
      <c r="D2867" s="2" t="str">
        <f t="shared" si="38"/>
        <v>ngón cái chỉ xuống</v>
      </c>
      <c r="E2867" s="3" t="str">
        <f t="shared" si="2"/>
        <v>thumbs down</v>
      </c>
    </row>
    <row r="2868" ht="15.75" customHeight="1">
      <c r="A2868" s="1" t="s">
        <v>7624</v>
      </c>
      <c r="B2868" s="1" t="s">
        <v>7625</v>
      </c>
      <c r="C2868" s="2" t="s">
        <v>7626</v>
      </c>
      <c r="D2868" s="2" t="str">
        <f t="shared" si="38"/>
        <v>ngón cái chỉ xuống màu da sẫm</v>
      </c>
      <c r="E2868" s="3" t="str">
        <f t="shared" si="2"/>
        <v>thumbs down dark skin tone</v>
      </c>
    </row>
    <row r="2869" ht="15.75" customHeight="1">
      <c r="A2869" s="1" t="s">
        <v>7627</v>
      </c>
      <c r="B2869" s="1" t="s">
        <v>7628</v>
      </c>
      <c r="C2869" s="2" t="s">
        <v>7629</v>
      </c>
      <c r="D2869" s="2" t="str">
        <f t="shared" si="38"/>
        <v>ngón cái chỉ xuống màu da sáng</v>
      </c>
      <c r="E2869" s="3" t="str">
        <f t="shared" si="2"/>
        <v>thumbs down light skin tone</v>
      </c>
    </row>
    <row r="2870" ht="15.75" customHeight="1">
      <c r="A2870" s="1" t="s">
        <v>7630</v>
      </c>
      <c r="B2870" s="1" t="s">
        <v>7631</v>
      </c>
      <c r="C2870" s="2" t="s">
        <v>7632</v>
      </c>
      <c r="D2870" s="2" t="str">
        <f t="shared" si="38"/>
        <v>ngón cái chỉ xuống màu da sẫm vừa</v>
      </c>
      <c r="E2870" s="3" t="str">
        <f t="shared" si="2"/>
        <v>thumbs down medium-dark skin tone</v>
      </c>
    </row>
    <row r="2871" ht="15.75" customHeight="1">
      <c r="A2871" s="1" t="s">
        <v>7633</v>
      </c>
      <c r="B2871" s="1" t="s">
        <v>7634</v>
      </c>
      <c r="C2871" s="2" t="s">
        <v>7635</v>
      </c>
      <c r="D2871" s="2" t="str">
        <f t="shared" si="38"/>
        <v>ngón cái chỉ xuống màu da sáng vừa</v>
      </c>
      <c r="E2871" s="3" t="str">
        <f t="shared" si="2"/>
        <v>thumbs down medium-light skin tone</v>
      </c>
    </row>
    <row r="2872" ht="15.75" customHeight="1">
      <c r="A2872" s="1" t="s">
        <v>7636</v>
      </c>
      <c r="B2872" s="1" t="s">
        <v>7637</v>
      </c>
      <c r="C2872" s="2" t="s">
        <v>7638</v>
      </c>
      <c r="D2872" s="2" t="str">
        <f t="shared" si="38"/>
        <v>ngón cái chỉ xuống màu da thường</v>
      </c>
      <c r="E2872" s="3" t="str">
        <f t="shared" si="2"/>
        <v>thumbs down medium skin tone</v>
      </c>
    </row>
    <row r="2873" ht="15.75" customHeight="1">
      <c r="A2873" s="1" t="s">
        <v>7639</v>
      </c>
      <c r="B2873" s="1" t="s">
        <v>7640</v>
      </c>
      <c r="C2873" s="2" t="s">
        <v>7641</v>
      </c>
      <c r="D2873" s="2" t="str">
        <f t="shared" si="38"/>
        <v>ngón cái chỉ lên</v>
      </c>
      <c r="E2873" s="3" t="str">
        <f t="shared" si="2"/>
        <v>thumbs up</v>
      </c>
    </row>
    <row r="2874" ht="15.75" customHeight="1">
      <c r="A2874" s="1" t="s">
        <v>7642</v>
      </c>
      <c r="B2874" s="1" t="s">
        <v>7643</v>
      </c>
      <c r="C2874" s="2" t="s">
        <v>7644</v>
      </c>
      <c r="D2874" s="2" t="str">
        <f t="shared" si="38"/>
        <v>ngón cái chỉ lên màu da sẫm</v>
      </c>
      <c r="E2874" s="3" t="str">
        <f t="shared" si="2"/>
        <v>thumbs up dark skin tone</v>
      </c>
    </row>
    <row r="2875" ht="15.75" customHeight="1">
      <c r="A2875" s="1" t="s">
        <v>7645</v>
      </c>
      <c r="B2875" s="1" t="s">
        <v>7646</v>
      </c>
      <c r="C2875" s="2" t="s">
        <v>7647</v>
      </c>
      <c r="D2875" s="2" t="str">
        <f t="shared" si="38"/>
        <v>ngón cái chỉ lên màu da sáng</v>
      </c>
      <c r="E2875" s="3" t="str">
        <f t="shared" si="2"/>
        <v>thumbs up light skin tone</v>
      </c>
    </row>
    <row r="2876" ht="15.75" customHeight="1">
      <c r="A2876" s="1" t="s">
        <v>7648</v>
      </c>
      <c r="B2876" s="1" t="s">
        <v>7649</v>
      </c>
      <c r="C2876" s="2" t="s">
        <v>7650</v>
      </c>
      <c r="D2876" s="2" t="str">
        <f t="shared" si="38"/>
        <v>ngón cái chỉ lên màu da sẫm vừa</v>
      </c>
      <c r="E2876" s="3" t="str">
        <f t="shared" si="2"/>
        <v>thumbs up medium-dark skin tone</v>
      </c>
    </row>
    <row r="2877" ht="15.75" customHeight="1">
      <c r="A2877" s="1" t="s">
        <v>7651</v>
      </c>
      <c r="B2877" s="1" t="s">
        <v>7652</v>
      </c>
      <c r="C2877" s="2" t="s">
        <v>7653</v>
      </c>
      <c r="D2877" s="2" t="str">
        <f t="shared" si="38"/>
        <v>ngón cái chỉ lên màu da sáng vừa</v>
      </c>
      <c r="E2877" s="3" t="str">
        <f t="shared" si="2"/>
        <v>thumbs up medium-light skin tone</v>
      </c>
    </row>
    <row r="2878" ht="15.75" customHeight="1">
      <c r="A2878" s="1" t="s">
        <v>7654</v>
      </c>
      <c r="B2878" s="1" t="s">
        <v>7655</v>
      </c>
      <c r="C2878" s="2" t="s">
        <v>7656</v>
      </c>
      <c r="D2878" s="2" t="str">
        <f t="shared" si="38"/>
        <v>ngón cái chỉ lên màu da thường</v>
      </c>
      <c r="E2878" s="3" t="str">
        <f t="shared" si="2"/>
        <v>thumbs up medium skin tone</v>
      </c>
    </row>
    <row r="2879" ht="15.75" customHeight="1">
      <c r="A2879" s="1" t="s">
        <v>7657</v>
      </c>
      <c r="B2879" s="1" t="s">
        <v>7658</v>
      </c>
      <c r="C2879" s="2" t="str">
        <f>IFERROR(__xludf.DUMMYFUNCTION("GOOGLETRANSLATE(E2879, ""en"",""vi"")"),"vé")</f>
        <v>vé</v>
      </c>
      <c r="D2879" s="2" t="str">
        <f t="shared" si="38"/>
        <v>vé</v>
      </c>
      <c r="E2879" s="3" t="str">
        <f t="shared" si="2"/>
        <v>ticket</v>
      </c>
    </row>
    <row r="2880" ht="15.75" customHeight="1">
      <c r="A2880" s="1" t="s">
        <v>7659</v>
      </c>
      <c r="B2880" s="1" t="s">
        <v>7660</v>
      </c>
      <c r="C2880" s="2" t="str">
        <f>IFERROR(__xludf.DUMMYFUNCTION("GOOGLETRANSLATE(E2880, ""en"",""vi"")"),"con hổ")</f>
        <v>con hổ</v>
      </c>
      <c r="D2880" s="2" t="str">
        <f t="shared" si="38"/>
        <v>con hổ</v>
      </c>
      <c r="E2880" s="3" t="str">
        <f t="shared" si="2"/>
        <v>tiger</v>
      </c>
    </row>
    <row r="2881" ht="15.75" customHeight="1">
      <c r="A2881" s="1" t="s">
        <v>7661</v>
      </c>
      <c r="B2881" s="1" t="s">
        <v>7662</v>
      </c>
      <c r="C2881" s="2" t="s">
        <v>7663</v>
      </c>
      <c r="D2881" s="2" t="str">
        <f t="shared" si="38"/>
        <v>mặt hổ</v>
      </c>
      <c r="E2881" s="3" t="str">
        <f t="shared" si="2"/>
        <v>tiger face</v>
      </c>
    </row>
    <row r="2882" ht="15.75" customHeight="1">
      <c r="A2882" s="1" t="s">
        <v>7664</v>
      </c>
      <c r="B2882" s="1" t="s">
        <v>7665</v>
      </c>
      <c r="C2882" s="2" t="str">
        <f>IFERROR(__xludf.DUMMYFUNCTION("GOOGLETRANSLATE(E2882, ""en"",""vi"")"),"đồng hồ hẹn giờ")</f>
        <v>đồng hồ hẹn giờ</v>
      </c>
      <c r="D2882" s="2" t="str">
        <f t="shared" si="38"/>
        <v>đồng hồ hẹn giờ</v>
      </c>
      <c r="E2882" s="3" t="str">
        <f t="shared" si="2"/>
        <v>timer clock</v>
      </c>
    </row>
    <row r="2883" ht="15.75" customHeight="1">
      <c r="A2883" s="1" t="s">
        <v>7666</v>
      </c>
      <c r="B2883" s="1" t="s">
        <v>7667</v>
      </c>
      <c r="C2883" s="2" t="str">
        <f>IFERROR(__xludf.DUMMYFUNCTION("GOOGLETRANSLATE(E2883, ""en"",""vi"")"),"khuôn mặt mệt mỏi")</f>
        <v>khuôn mặt mệt mỏi</v>
      </c>
      <c r="D2883" s="2" t="str">
        <f t="shared" si="38"/>
        <v>khuôn mặt mệt mỏi</v>
      </c>
      <c r="E2883" s="3" t="str">
        <f t="shared" si="2"/>
        <v>tired face</v>
      </c>
    </row>
    <row r="2884" ht="15.75" customHeight="1">
      <c r="A2884" s="1" t="s">
        <v>7668</v>
      </c>
      <c r="B2884" s="1" t="s">
        <v>7669</v>
      </c>
      <c r="C2884" s="2" t="s">
        <v>7670</v>
      </c>
      <c r="D2884" s="2" t="str">
        <f t="shared" si="38"/>
        <v>bồn cầu</v>
      </c>
      <c r="E2884" s="3" t="str">
        <f t="shared" si="2"/>
        <v>toilet</v>
      </c>
    </row>
    <row r="2885" ht="15.75" customHeight="1">
      <c r="A2885" s="1" t="s">
        <v>7671</v>
      </c>
      <c r="B2885" s="1" t="s">
        <v>7672</v>
      </c>
      <c r="C2885" s="2" t="str">
        <f>IFERROR(__xludf.DUMMYFUNCTION("GOOGLETRANSLATE(E2885, ""en"",""vi"")"),"cà chua")</f>
        <v>cà chua</v>
      </c>
      <c r="D2885" s="2" t="str">
        <f t="shared" si="38"/>
        <v>cà chua</v>
      </c>
      <c r="E2885" s="3" t="str">
        <f t="shared" si="2"/>
        <v>tomato</v>
      </c>
    </row>
    <row r="2886" ht="15.75" customHeight="1">
      <c r="A2886" s="1" t="s">
        <v>7673</v>
      </c>
      <c r="B2886" s="1" t="s">
        <v>7674</v>
      </c>
      <c r="C2886" s="2" t="str">
        <f>IFERROR(__xludf.DUMMYFUNCTION("GOOGLETRANSLATE(E2886, ""en"",""vi"")"),"lưỡi")</f>
        <v>lưỡi</v>
      </c>
      <c r="D2886" s="2" t="str">
        <f t="shared" si="38"/>
        <v>lưỡi</v>
      </c>
      <c r="E2886" s="3" t="str">
        <f t="shared" si="2"/>
        <v>tongue</v>
      </c>
    </row>
    <row r="2887" ht="15.75" customHeight="1">
      <c r="A2887" s="1" t="s">
        <v>7675</v>
      </c>
      <c r="B2887" s="1" t="s">
        <v>7676</v>
      </c>
      <c r="C2887" s="2" t="str">
        <f>IFERROR(__xludf.DUMMYFUNCTION("GOOGLETRANSLATE(E2887, ""en"",""vi"")"),"hộp công cụ")</f>
        <v>hộp công cụ</v>
      </c>
      <c r="D2887" s="2" t="str">
        <f t="shared" si="38"/>
        <v>hộp công cụ</v>
      </c>
      <c r="E2887" s="3" t="str">
        <f t="shared" si="2"/>
        <v>toolbox</v>
      </c>
    </row>
    <row r="2888" ht="15.75" customHeight="1">
      <c r="A2888" s="1" t="s">
        <v>7677</v>
      </c>
      <c r="B2888" s="1" t="s">
        <v>7678</v>
      </c>
      <c r="C2888" s="2" t="str">
        <f>IFERROR(__xludf.DUMMYFUNCTION("GOOGLETRANSLATE(E2888, ""en"",""vi"")"),"răng")</f>
        <v>răng</v>
      </c>
      <c r="D2888" s="2" t="str">
        <f t="shared" si="38"/>
        <v>răng</v>
      </c>
      <c r="E2888" s="3" t="str">
        <f t="shared" si="2"/>
        <v>tooth</v>
      </c>
    </row>
    <row r="2889" ht="15.75" customHeight="1">
      <c r="A2889" s="1" t="s">
        <v>7679</v>
      </c>
      <c r="B2889" s="1" t="s">
        <v>7680</v>
      </c>
      <c r="C2889" s="2" t="str">
        <f>IFERROR(__xludf.DUMMYFUNCTION("GOOGLETRANSLATE(E2889, ""en"",""vi"")"),"bàn chải đánh răng")</f>
        <v>bàn chải đánh răng</v>
      </c>
      <c r="D2889" s="2" t="str">
        <f t="shared" si="38"/>
        <v>bàn chải đánh răng</v>
      </c>
      <c r="E2889" s="3" t="str">
        <f t="shared" si="2"/>
        <v>toothbrush</v>
      </c>
    </row>
    <row r="2890" ht="15.75" customHeight="1">
      <c r="A2890" s="1" t="s">
        <v>7681</v>
      </c>
      <c r="B2890" s="1" t="s">
        <v>7682</v>
      </c>
      <c r="C2890" s="2" t="s">
        <v>7683</v>
      </c>
      <c r="D2890" s="2" t="str">
        <f t="shared" si="38"/>
        <v>mũ cao</v>
      </c>
      <c r="E2890" s="3" t="str">
        <f t="shared" si="2"/>
        <v>top hat</v>
      </c>
    </row>
    <row r="2891" ht="15.75" customHeight="1">
      <c r="A2891" s="1" t="s">
        <v>7684</v>
      </c>
      <c r="B2891" s="1" t="s">
        <v>7685</v>
      </c>
      <c r="C2891" s="2" t="str">
        <f>IFERROR(__xludf.DUMMYFUNCTION("GOOGLETRANSLATE(E2891, ""en"",""vi"")"),"cơn lốc xoáy")</f>
        <v>cơn lốc xoáy</v>
      </c>
      <c r="D2891" s="2" t="str">
        <f t="shared" si="38"/>
        <v>cơn lốc xoáy</v>
      </c>
      <c r="E2891" s="3" t="str">
        <f t="shared" si="2"/>
        <v>tornado</v>
      </c>
    </row>
    <row r="2892" ht="15.75" customHeight="1">
      <c r="A2892" s="1" t="s">
        <v>7686</v>
      </c>
      <c r="B2892" s="1" t="s">
        <v>7687</v>
      </c>
      <c r="C2892" s="2" t="s">
        <v>7688</v>
      </c>
      <c r="D2892" s="2" t="str">
        <f t="shared" si="38"/>
        <v>bi lăn</v>
      </c>
      <c r="E2892" s="3" t="str">
        <f t="shared" si="2"/>
        <v>trackball</v>
      </c>
    </row>
    <row r="2893" ht="15.75" customHeight="1">
      <c r="A2893" s="1" t="s">
        <v>7689</v>
      </c>
      <c r="B2893" s="1" t="s">
        <v>7690</v>
      </c>
      <c r="C2893" s="2" t="str">
        <f>IFERROR(__xludf.DUMMYFUNCTION("GOOGLETRANSLATE(E2893, ""en"",""vi"")"),"máy kéo")</f>
        <v>máy kéo</v>
      </c>
      <c r="D2893" s="2" t="str">
        <f t="shared" si="38"/>
        <v>máy kéo</v>
      </c>
      <c r="E2893" s="3" t="str">
        <f t="shared" si="2"/>
        <v>tractor</v>
      </c>
    </row>
    <row r="2894" ht="15.75" customHeight="1">
      <c r="A2894" s="1" t="s">
        <v>7691</v>
      </c>
      <c r="B2894" s="1" t="s">
        <v>7692</v>
      </c>
      <c r="C2894" s="2" t="str">
        <f>IFERROR(__xludf.DUMMYFUNCTION("GOOGLETRANSLATE(E2894, ""en"",""vi"")"),"nhãn hiệu thương mại")</f>
        <v>nhãn hiệu thương mại</v>
      </c>
      <c r="D2894" s="2" t="str">
        <f t="shared" si="38"/>
        <v>nhãn hiệu thương mại</v>
      </c>
      <c r="E2894" s="3" t="str">
        <f t="shared" si="2"/>
        <v>trade mark</v>
      </c>
    </row>
    <row r="2895" ht="15.75" customHeight="1">
      <c r="A2895" s="1" t="s">
        <v>7693</v>
      </c>
      <c r="B2895" s="1" t="s">
        <v>7694</v>
      </c>
      <c r="C2895" s="2" t="str">
        <f>IFERROR(__xludf.DUMMYFUNCTION("GOOGLETRANSLATE(E2895, ""en"",""vi"")"),"xe lửa")</f>
        <v>xe lửa</v>
      </c>
      <c r="D2895" s="2" t="str">
        <f t="shared" si="38"/>
        <v>xe lửa</v>
      </c>
      <c r="E2895" s="3" t="str">
        <f t="shared" si="2"/>
        <v>train</v>
      </c>
    </row>
    <row r="2896" ht="15.75" customHeight="1">
      <c r="A2896" s="1" t="s">
        <v>7695</v>
      </c>
      <c r="B2896" s="1" t="s">
        <v>7696</v>
      </c>
      <c r="C2896" s="2" t="s">
        <v>7697</v>
      </c>
      <c r="D2896" s="2" t="str">
        <f t="shared" si="38"/>
        <v>tàu điện</v>
      </c>
      <c r="E2896" s="3" t="str">
        <f t="shared" si="2"/>
        <v>tram</v>
      </c>
    </row>
    <row r="2897" ht="15.75" customHeight="1">
      <c r="A2897" s="1" t="s">
        <v>7698</v>
      </c>
      <c r="B2897" s="1" t="s">
        <v>7699</v>
      </c>
      <c r="C2897" s="2" t="str">
        <f>IFERROR(__xludf.DUMMYFUNCTION("GOOGLETRANSLATE(E2897, ""en"",""vi"")"),"xe điện")</f>
        <v>xe điện</v>
      </c>
      <c r="D2897" s="2" t="str">
        <f t="shared" si="38"/>
        <v>xe điện</v>
      </c>
      <c r="E2897" s="3" t="str">
        <f t="shared" si="2"/>
        <v>tram car</v>
      </c>
    </row>
    <row r="2898" ht="15.75" customHeight="1">
      <c r="A2898" s="1" t="s">
        <v>7700</v>
      </c>
      <c r="B2898" s="1" t="s">
        <v>7701</v>
      </c>
      <c r="C2898" s="2" t="str">
        <f>IFERROR(__xludf.DUMMYFUNCTION("GOOGLETRANSLATE(E2898, ""en"",""vi"")"),"cờ chuyển giới")</f>
        <v>cờ chuyển giới</v>
      </c>
      <c r="D2898" s="2" t="str">
        <f t="shared" si="38"/>
        <v>cờ chuyển giới</v>
      </c>
      <c r="E2898" s="3" t="str">
        <f t="shared" si="2"/>
        <v>transgender flag</v>
      </c>
    </row>
    <row r="2899" ht="15.75" customHeight="1">
      <c r="A2899" s="1" t="s">
        <v>7702</v>
      </c>
      <c r="B2899" s="1" t="s">
        <v>7703</v>
      </c>
      <c r="C2899" s="2" t="str">
        <f>IFERROR(__xludf.DUMMYFUNCTION("GOOGLETRANSLATE(E2899, ""en"",""vi"")"),"biểu tượng chuyển giới")</f>
        <v>biểu tượng chuyển giới</v>
      </c>
      <c r="D2899" s="2" t="str">
        <f t="shared" si="38"/>
        <v>biểu tượng chuyển giới</v>
      </c>
      <c r="E2899" s="3" t="str">
        <f t="shared" si="2"/>
        <v>transgender symbol</v>
      </c>
    </row>
    <row r="2900" ht="15.75" customHeight="1">
      <c r="A2900" s="1" t="s">
        <v>7704</v>
      </c>
      <c r="B2900" s="1" t="s">
        <v>7705</v>
      </c>
      <c r="C2900" s="2" t="str">
        <f>IFERROR(__xludf.DUMMYFUNCTION("GOOGLETRANSLATE(E2900, ""en"",""vi"")"),"cờ tam giác")</f>
        <v>cờ tam giác</v>
      </c>
      <c r="D2900" s="2" t="str">
        <f t="shared" si="38"/>
        <v>cờ tam giác</v>
      </c>
      <c r="E2900" s="3" t="str">
        <f t="shared" si="2"/>
        <v>triangular flag</v>
      </c>
    </row>
    <row r="2901" ht="15.75" customHeight="1">
      <c r="A2901" s="1" t="s">
        <v>7706</v>
      </c>
      <c r="B2901" s="1" t="s">
        <v>7707</v>
      </c>
      <c r="C2901" s="2" t="str">
        <f>IFERROR(__xludf.DUMMYFUNCTION("GOOGLETRANSLATE(E2901, ""en"",""vi"")"),"thước tam giác")</f>
        <v>thước tam giác</v>
      </c>
      <c r="D2901" s="2" t="str">
        <f t="shared" si="38"/>
        <v>thước tam giác</v>
      </c>
      <c r="E2901" s="3" t="str">
        <f t="shared" si="2"/>
        <v>triangular ruler</v>
      </c>
    </row>
    <row r="2902" ht="15.75" customHeight="1">
      <c r="A2902" s="1" t="s">
        <v>7708</v>
      </c>
      <c r="B2902" s="1" t="s">
        <v>7709</v>
      </c>
      <c r="C2902" s="2" t="s">
        <v>7710</v>
      </c>
      <c r="D2902" s="2" t="str">
        <f t="shared" si="38"/>
        <v>biểu tượng của trident</v>
      </c>
      <c r="E2902" s="3" t="str">
        <f t="shared" si="2"/>
        <v>trident emblem</v>
      </c>
    </row>
    <row r="2903" ht="15.75" customHeight="1">
      <c r="A2903" s="1" t="s">
        <v>7711</v>
      </c>
      <c r="B2903" s="1" t="s">
        <v>7712</v>
      </c>
      <c r="C2903" s="2" t="s">
        <v>7713</v>
      </c>
      <c r="D2903" s="2" t="str">
        <f t="shared" si="38"/>
        <v>xe điện bánh hơi</v>
      </c>
      <c r="E2903" s="3" t="str">
        <f t="shared" si="2"/>
        <v>trolleybus</v>
      </c>
    </row>
    <row r="2904" ht="15.75" customHeight="1">
      <c r="A2904" s="1" t="s">
        <v>7714</v>
      </c>
      <c r="B2904" s="1" t="s">
        <v>7715</v>
      </c>
      <c r="C2904" s="2" t="str">
        <f>IFERROR(__xludf.DUMMYFUNCTION("GOOGLETRANSLATE(E2904, ""en"",""vi"")"),"cúp")</f>
        <v>cúp</v>
      </c>
      <c r="D2904" s="2" t="str">
        <f t="shared" si="38"/>
        <v>cúp</v>
      </c>
      <c r="E2904" s="3" t="str">
        <f t="shared" si="2"/>
        <v>trophy</v>
      </c>
    </row>
    <row r="2905" ht="15.75" customHeight="1">
      <c r="A2905" s="1" t="s">
        <v>7716</v>
      </c>
      <c r="B2905" s="1" t="s">
        <v>7717</v>
      </c>
      <c r="C2905" s="2" t="str">
        <f>IFERROR(__xludf.DUMMYFUNCTION("GOOGLETRANSLATE(E2905, ""en"",""vi"")"),"đồ uống nhiệt đới")</f>
        <v>đồ uống nhiệt đới</v>
      </c>
      <c r="D2905" s="2" t="str">
        <f t="shared" si="38"/>
        <v>đồ uống nhiệt đới</v>
      </c>
      <c r="E2905" s="3" t="str">
        <f t="shared" si="2"/>
        <v>tropical drink</v>
      </c>
    </row>
    <row r="2906" ht="15.75" customHeight="1">
      <c r="A2906" s="1" t="s">
        <v>7718</v>
      </c>
      <c r="B2906" s="1" t="s">
        <v>7719</v>
      </c>
      <c r="C2906" s="2" t="str">
        <f>IFERROR(__xludf.DUMMYFUNCTION("GOOGLETRANSLATE(E2906, ""en"",""vi"")"),"cá nhiệt đới")</f>
        <v>cá nhiệt đới</v>
      </c>
      <c r="D2906" s="2" t="str">
        <f t="shared" si="38"/>
        <v>cá nhiệt đới</v>
      </c>
      <c r="E2906" s="3" t="str">
        <f t="shared" si="2"/>
        <v>tropical fish</v>
      </c>
    </row>
    <row r="2907" ht="15.75" customHeight="1">
      <c r="A2907" s="1" t="s">
        <v>7720</v>
      </c>
      <c r="B2907" s="1" t="s">
        <v>7721</v>
      </c>
      <c r="C2907" s="2" t="s">
        <v>7722</v>
      </c>
      <c r="D2907" s="2" t="str">
        <f t="shared" si="38"/>
        <v>kèn trumpet</v>
      </c>
      <c r="E2907" s="3" t="str">
        <f t="shared" si="2"/>
        <v>trumpet</v>
      </c>
    </row>
    <row r="2908" ht="15.75" customHeight="1">
      <c r="A2908" s="1" t="s">
        <v>7723</v>
      </c>
      <c r="B2908" s="1" t="s">
        <v>7724</v>
      </c>
      <c r="C2908" s="2" t="s">
        <v>7725</v>
      </c>
      <c r="D2908" s="2" t="str">
        <f t="shared" si="38"/>
        <v>hoa tulip</v>
      </c>
      <c r="E2908" s="3" t="str">
        <f t="shared" si="2"/>
        <v>tulip</v>
      </c>
    </row>
    <row r="2909" ht="15.75" customHeight="1">
      <c r="A2909" s="1" t="s">
        <v>7726</v>
      </c>
      <c r="B2909" s="1" t="s">
        <v>7727</v>
      </c>
      <c r="C2909" s="2" t="s">
        <v>7728</v>
      </c>
      <c r="D2909" s="2" t="str">
        <f t="shared" si="38"/>
        <v>cốc thuỷ tinh</v>
      </c>
      <c r="E2909" s="3" t="str">
        <f t="shared" si="2"/>
        <v>tumbler glass</v>
      </c>
    </row>
    <row r="2910" ht="15.75" customHeight="1">
      <c r="A2910" s="1" t="s">
        <v>7729</v>
      </c>
      <c r="B2910" s="1" t="s">
        <v>7730</v>
      </c>
      <c r="C2910" s="2" t="str">
        <f>IFERROR(__xludf.DUMMYFUNCTION("GOOGLETRANSLATE(E2910, ""en"",""vi"")"),"Thổ Nhĩ Kỳ")</f>
        <v>Thổ Nhĩ Kỳ</v>
      </c>
      <c r="D2910" s="2" t="str">
        <f t="shared" si="38"/>
        <v>thổ nhĩ kỳ</v>
      </c>
      <c r="E2910" s="3" t="str">
        <f t="shared" si="2"/>
        <v>turkey</v>
      </c>
    </row>
    <row r="2911" ht="15.75" customHeight="1">
      <c r="A2911" s="1" t="s">
        <v>7731</v>
      </c>
      <c r="B2911" s="1" t="s">
        <v>7732</v>
      </c>
      <c r="C2911" s="2" t="str">
        <f>IFERROR(__xludf.DUMMYFUNCTION("GOOGLETRANSLATE(E2911, ""en"",""vi"")"),"con rùa")</f>
        <v>con rùa</v>
      </c>
      <c r="D2911" s="2" t="str">
        <f t="shared" si="38"/>
        <v>con rùa</v>
      </c>
      <c r="E2911" s="3" t="str">
        <f t="shared" si="2"/>
        <v>turtle</v>
      </c>
    </row>
    <row r="2912" ht="15.75" customHeight="1">
      <c r="A2912" s="1" t="s">
        <v>7733</v>
      </c>
      <c r="B2912" s="1" t="s">
        <v>7734</v>
      </c>
      <c r="C2912" s="2" t="str">
        <f>IFERROR(__xludf.DUMMYFUNCTION("GOOGLETRANSLATE(E2912, ""en"",""vi"")"),"mười hai giờ ba mươi")</f>
        <v>mười hai giờ ba mươi</v>
      </c>
      <c r="D2912" s="2" t="str">
        <f t="shared" si="38"/>
        <v>mười hai giờ ba mươi</v>
      </c>
      <c r="E2912" s="3" t="str">
        <f t="shared" si="2"/>
        <v>twelve-thirty</v>
      </c>
    </row>
    <row r="2913" ht="15.75" customHeight="1">
      <c r="A2913" s="1" t="s">
        <v>7735</v>
      </c>
      <c r="B2913" s="1" t="s">
        <v>7736</v>
      </c>
      <c r="C2913" s="2" t="str">
        <f>IFERROR(__xludf.DUMMYFUNCTION("GOOGLETRANSLATE(E2913, ""en"",""vi"")"),"mười hai giờ")</f>
        <v>mười hai giờ</v>
      </c>
      <c r="D2913" s="2" t="str">
        <f t="shared" si="38"/>
        <v>mười hai giờ</v>
      </c>
      <c r="E2913" s="3" t="str">
        <f t="shared" si="2"/>
        <v>twelve o’clock</v>
      </c>
    </row>
    <row r="2914" ht="15.75" customHeight="1">
      <c r="A2914" s="1" t="s">
        <v>7737</v>
      </c>
      <c r="B2914" s="1" t="s">
        <v>7738</v>
      </c>
      <c r="C2914" s="2" t="str">
        <f>IFERROR(__xludf.DUMMYFUNCTION("GOOGLETRANSLATE(E2914, ""en"",""vi"")"),"lạc đà hai bướu")</f>
        <v>lạc đà hai bướu</v>
      </c>
      <c r="D2914" s="2" t="str">
        <f t="shared" si="38"/>
        <v>lạc đà hai bướu</v>
      </c>
      <c r="E2914" s="3" t="str">
        <f t="shared" si="2"/>
        <v>two-hump camel</v>
      </c>
    </row>
    <row r="2915" ht="15.75" customHeight="1">
      <c r="A2915" s="1" t="s">
        <v>7739</v>
      </c>
      <c r="B2915" s="1" t="s">
        <v>7740</v>
      </c>
      <c r="C2915" s="2" t="str">
        <f>IFERROR(__xludf.DUMMYFUNCTION("GOOGLETRANSLATE(E2915, ""en"",""vi"")"),"hai giờ ba mươi")</f>
        <v>hai giờ ba mươi</v>
      </c>
      <c r="D2915" s="2" t="str">
        <f t="shared" si="38"/>
        <v>hai giờ ba mươi</v>
      </c>
      <c r="E2915" s="3" t="str">
        <f t="shared" si="2"/>
        <v>two-thirty</v>
      </c>
    </row>
    <row r="2916" ht="15.75" customHeight="1">
      <c r="A2916" s="1" t="s">
        <v>7741</v>
      </c>
      <c r="B2916" s="1" t="s">
        <v>7742</v>
      </c>
      <c r="C2916" s="2" t="str">
        <f>IFERROR(__xludf.DUMMYFUNCTION("GOOGLETRANSLATE(E2916, ""en"",""vi"")"),"hai trái tim")</f>
        <v>hai trái tim</v>
      </c>
      <c r="D2916" s="2" t="str">
        <f t="shared" si="38"/>
        <v>hai trái tim</v>
      </c>
      <c r="E2916" s="3" t="str">
        <f t="shared" si="2"/>
        <v>two hearts</v>
      </c>
    </row>
    <row r="2917" ht="15.75" customHeight="1">
      <c r="A2917" s="1" t="s">
        <v>7743</v>
      </c>
      <c r="B2917" s="1" t="s">
        <v>7744</v>
      </c>
      <c r="C2917" s="2" t="str">
        <f>IFERROR(__xludf.DUMMYFUNCTION("GOOGLETRANSLATE(E2917, ""en"",""vi"")"),"hai giờ")</f>
        <v>hai giờ</v>
      </c>
      <c r="D2917" s="2" t="str">
        <f t="shared" si="38"/>
        <v>hai giờ</v>
      </c>
      <c r="E2917" s="3" t="str">
        <f t="shared" si="2"/>
        <v>two o’clock</v>
      </c>
    </row>
    <row r="2918" ht="15.75" customHeight="1">
      <c r="A2918" s="1" t="s">
        <v>7745</v>
      </c>
      <c r="B2918" s="1" t="s">
        <v>7746</v>
      </c>
      <c r="C2918" s="2" t="s">
        <v>7747</v>
      </c>
      <c r="D2918" s="2" t="str">
        <f t="shared" si="38"/>
        <v>chiếu dù</v>
      </c>
      <c r="E2918" s="3" t="str">
        <f t="shared" si="2"/>
        <v>umbrella</v>
      </c>
    </row>
    <row r="2919" ht="15.75" customHeight="1">
      <c r="A2919" s="1" t="s">
        <v>7748</v>
      </c>
      <c r="B2919" s="1" t="s">
        <v>7749</v>
      </c>
      <c r="C2919" s="2" t="str">
        <f>IFERROR(__xludf.DUMMYFUNCTION("GOOGLETRANSLATE(E2919, ""en"",""vi"")"),"ô trên mặt đất")</f>
        <v>ô trên mặt đất</v>
      </c>
      <c r="D2919" s="2" t="str">
        <f t="shared" si="38"/>
        <v>ô trên mặt đất</v>
      </c>
      <c r="E2919" s="3" t="str">
        <f t="shared" si="2"/>
        <v>umbrella on ground</v>
      </c>
    </row>
    <row r="2920" ht="15.75" customHeight="1">
      <c r="A2920" s="1" t="s">
        <v>7750</v>
      </c>
      <c r="B2920" s="1" t="s">
        <v>7751</v>
      </c>
      <c r="C2920" s="2" t="str">
        <f>IFERROR(__xludf.DUMMYFUNCTION("GOOGLETRANSLATE(E2920, ""en"",""vi"")"),"ô có giọt mưa")</f>
        <v>ô có giọt mưa</v>
      </c>
      <c r="D2920" s="2" t="str">
        <f t="shared" si="38"/>
        <v>ô có giọt mưa</v>
      </c>
      <c r="E2920" s="3" t="str">
        <f t="shared" si="2"/>
        <v>umbrella with rain drops</v>
      </c>
    </row>
    <row r="2921" ht="15.75" customHeight="1">
      <c r="A2921" s="1" t="s">
        <v>7752</v>
      </c>
      <c r="B2921" s="1" t="s">
        <v>7753</v>
      </c>
      <c r="C2921" s="2" t="s">
        <v>7754</v>
      </c>
      <c r="D2921" s="2" t="str">
        <f t="shared" si="38"/>
        <v>khuôn mặt không hài lòng</v>
      </c>
      <c r="E2921" s="3" t="str">
        <f t="shared" si="2"/>
        <v>unamused face</v>
      </c>
    </row>
    <row r="2922" ht="15.75" customHeight="1">
      <c r="A2922" s="1" t="s">
        <v>7755</v>
      </c>
      <c r="B2922" s="1" t="s">
        <v>7756</v>
      </c>
      <c r="C2922" s="2" t="str">
        <f>IFERROR(__xludf.DUMMYFUNCTION("GOOGLETRANSLATE(E2922, ""en"",""vi"")"),"kỳ lân")</f>
        <v>kỳ lân</v>
      </c>
      <c r="D2922" s="2" t="str">
        <f t="shared" si="38"/>
        <v>kỳ lân</v>
      </c>
      <c r="E2922" s="3" t="str">
        <f t="shared" si="2"/>
        <v>unicorn</v>
      </c>
    </row>
    <row r="2923" ht="15.75" customHeight="1">
      <c r="A2923" s="1" t="s">
        <v>7757</v>
      </c>
      <c r="B2923" s="1" t="s">
        <v>7758</v>
      </c>
      <c r="C2923" s="2" t="str">
        <f>IFERROR(__xludf.DUMMYFUNCTION("GOOGLETRANSLATE(E2923, ""en"",""vi"")"),"đã mở khóa")</f>
        <v>đã mở khóa</v>
      </c>
      <c r="D2923" s="2" t="str">
        <f t="shared" si="38"/>
        <v>đã mở khóa</v>
      </c>
      <c r="E2923" s="3" t="str">
        <f t="shared" si="2"/>
        <v>unlocked</v>
      </c>
    </row>
    <row r="2924" ht="15.75" customHeight="1">
      <c r="A2924" s="1" t="s">
        <v>7759</v>
      </c>
      <c r="B2924" s="1" t="s">
        <v>7760</v>
      </c>
      <c r="C2924" s="2" t="str">
        <f>IFERROR(__xludf.DUMMYFUNCTION("GOOGLETRANSLATE(E2924, ""en"",""vi"")"),"mũi tên lên xuống")</f>
        <v>mũi tên lên xuống</v>
      </c>
      <c r="D2924" s="2" t="str">
        <f t="shared" si="38"/>
        <v>mũi tên lên xuống</v>
      </c>
      <c r="E2924" s="3" t="str">
        <f t="shared" si="2"/>
        <v>up-down arrow</v>
      </c>
    </row>
    <row r="2925" ht="15.75" customHeight="1">
      <c r="A2925" s="1" t="s">
        <v>7761</v>
      </c>
      <c r="B2925" s="1" t="s">
        <v>7762</v>
      </c>
      <c r="C2925" s="2" t="str">
        <f>IFERROR(__xludf.DUMMYFUNCTION("GOOGLETRANSLATE(E2925, ""en"",""vi"")"),"mũi tên lên bên trái")</f>
        <v>mũi tên lên bên trái</v>
      </c>
      <c r="D2925" s="2" t="str">
        <f t="shared" si="38"/>
        <v>mũi tên lên bên trái</v>
      </c>
      <c r="E2925" s="3" t="str">
        <f t="shared" si="2"/>
        <v>up-left arrow</v>
      </c>
    </row>
    <row r="2926" ht="15.75" customHeight="1">
      <c r="A2926" s="1" t="s">
        <v>7763</v>
      </c>
      <c r="B2926" s="1" t="s">
        <v>7764</v>
      </c>
      <c r="C2926" s="2" t="str">
        <f>IFERROR(__xludf.DUMMYFUNCTION("GOOGLETRANSLATE(E2926, ""en"",""vi"")"),"mũi tên lên phải")</f>
        <v>mũi tên lên phải</v>
      </c>
      <c r="D2926" s="2" t="str">
        <f t="shared" si="38"/>
        <v>mũi tên lên phải</v>
      </c>
      <c r="E2926" s="3" t="str">
        <f t="shared" si="2"/>
        <v>up-right arrow</v>
      </c>
    </row>
    <row r="2927" ht="15.75" customHeight="1">
      <c r="A2927" s="1" t="s">
        <v>7765</v>
      </c>
      <c r="B2927" s="1" t="s">
        <v>7766</v>
      </c>
      <c r="C2927" s="2" t="str">
        <f>IFERROR(__xludf.DUMMYFUNCTION("GOOGLETRANSLATE(E2927, ""en"",""vi"")"),"mũi tên lên")</f>
        <v>mũi tên lên</v>
      </c>
      <c r="D2927" s="2" t="str">
        <f t="shared" si="38"/>
        <v>mũi tên lên</v>
      </c>
      <c r="E2927" s="3" t="str">
        <f t="shared" si="2"/>
        <v>up arrow</v>
      </c>
    </row>
    <row r="2928" ht="15.75" customHeight="1">
      <c r="A2928" s="1" t="s">
        <v>7767</v>
      </c>
      <c r="B2928" s="1" t="s">
        <v>7768</v>
      </c>
      <c r="C2928" s="2" t="str">
        <f>IFERROR(__xludf.DUMMYFUNCTION("GOOGLETRANSLATE(E2928, ""en"",""vi"")"),"mặt úp ngược")</f>
        <v>mặt úp ngược</v>
      </c>
      <c r="D2928" s="2" t="str">
        <f t="shared" si="38"/>
        <v>mặt úp ngược</v>
      </c>
      <c r="E2928" s="3" t="str">
        <f t="shared" si="2"/>
        <v>upside-down face</v>
      </c>
    </row>
    <row r="2929" ht="15.75" customHeight="1">
      <c r="A2929" s="1" t="s">
        <v>7769</v>
      </c>
      <c r="B2929" s="1" t="s">
        <v>7770</v>
      </c>
      <c r="C2929" s="2" t="str">
        <f>IFERROR(__xludf.DUMMYFUNCTION("GOOGLETRANSLATE(E2929, ""en"",""vi"")"),"nút hướng lên")</f>
        <v>nút hướng lên</v>
      </c>
      <c r="D2929" s="2" t="str">
        <f t="shared" si="38"/>
        <v>nút hướng lên</v>
      </c>
      <c r="E2929" s="3" t="str">
        <f t="shared" si="2"/>
        <v>upwards button</v>
      </c>
    </row>
    <row r="2930" ht="15.75" customHeight="1">
      <c r="A2930" s="1" t="s">
        <v>7771</v>
      </c>
      <c r="B2930" s="1" t="s">
        <v>7772</v>
      </c>
      <c r="C2930" s="2" t="s">
        <v>7773</v>
      </c>
      <c r="D2930" s="2" t="str">
        <f t="shared" si="38"/>
        <v>ma cà rồng</v>
      </c>
      <c r="E2930" s="3" t="str">
        <f t="shared" si="2"/>
        <v>vampire</v>
      </c>
    </row>
    <row r="2931" ht="15.75" customHeight="1">
      <c r="A2931" s="1" t="s">
        <v>7774</v>
      </c>
      <c r="B2931" s="1" t="s">
        <v>7775</v>
      </c>
      <c r="C2931" s="2" t="s">
        <v>7776</v>
      </c>
      <c r="D2931" s="2" t="str">
        <f t="shared" si="38"/>
        <v>ma cà rồng màu da sẫm</v>
      </c>
      <c r="E2931" s="3" t="str">
        <f t="shared" si="2"/>
        <v>vampire dark skin tone</v>
      </c>
    </row>
    <row r="2932" ht="15.75" customHeight="1">
      <c r="A2932" s="1" t="s">
        <v>7777</v>
      </c>
      <c r="B2932" s="1" t="s">
        <v>7778</v>
      </c>
      <c r="C2932" s="2" t="s">
        <v>7779</v>
      </c>
      <c r="D2932" s="2" t="str">
        <f t="shared" si="38"/>
        <v>ma cà rồng màu da sáng</v>
      </c>
      <c r="E2932" s="3" t="str">
        <f t="shared" si="2"/>
        <v>vampire light skin tone</v>
      </c>
    </row>
    <row r="2933" ht="15.75" customHeight="1">
      <c r="A2933" s="1" t="s">
        <v>7780</v>
      </c>
      <c r="B2933" s="1" t="s">
        <v>7781</v>
      </c>
      <c r="C2933" s="2" t="s">
        <v>7782</v>
      </c>
      <c r="D2933" s="2" t="str">
        <f t="shared" si="38"/>
        <v>ma cà rồng màu da sẫm vừa</v>
      </c>
      <c r="E2933" s="3" t="str">
        <f t="shared" si="2"/>
        <v>vampire medium-dark skin tone</v>
      </c>
    </row>
    <row r="2934" ht="15.75" customHeight="1">
      <c r="A2934" s="1" t="s">
        <v>7783</v>
      </c>
      <c r="B2934" s="1" t="s">
        <v>7784</v>
      </c>
      <c r="C2934" s="2" t="s">
        <v>7785</v>
      </c>
      <c r="D2934" s="2" t="str">
        <f t="shared" si="38"/>
        <v>ma cà rồng màu da sáng vừa</v>
      </c>
      <c r="E2934" s="3" t="str">
        <f t="shared" si="2"/>
        <v>vampire medium-light skin tone</v>
      </c>
    </row>
    <row r="2935" ht="15.75" customHeight="1">
      <c r="A2935" s="1" t="s">
        <v>7786</v>
      </c>
      <c r="B2935" s="1" t="s">
        <v>7787</v>
      </c>
      <c r="C2935" s="2" t="s">
        <v>7788</v>
      </c>
      <c r="D2935" s="2" t="str">
        <f t="shared" si="38"/>
        <v>ma cà rồng màu da thường</v>
      </c>
      <c r="E2935" s="3" t="str">
        <f t="shared" si="2"/>
        <v>vampire medium skin tone</v>
      </c>
    </row>
    <row r="2936" ht="15.75" customHeight="1">
      <c r="A2936" s="1" t="s">
        <v>7789</v>
      </c>
      <c r="B2936" s="1" t="s">
        <v>7790</v>
      </c>
      <c r="C2936" s="2" t="str">
        <f>IFERROR(__xludf.DUMMYFUNCTION("GOOGLETRANSLATE(E2936, ""en"",""vi"")"),"đèn giao thông thẳng đứng")</f>
        <v>đèn giao thông thẳng đứng</v>
      </c>
      <c r="D2936" s="2" t="str">
        <f t="shared" si="38"/>
        <v>đèn giao thông thẳng đứng</v>
      </c>
      <c r="E2936" s="3" t="str">
        <f t="shared" si="2"/>
        <v>vertical traffic light</v>
      </c>
    </row>
    <row r="2937" ht="15.75" customHeight="1">
      <c r="A2937" s="1" t="s">
        <v>7791</v>
      </c>
      <c r="B2937" s="1" t="s">
        <v>7792</v>
      </c>
      <c r="C2937" s="2" t="str">
        <f>IFERROR(__xludf.DUMMYFUNCTION("GOOGLETRANSLATE(E2937, ""en"",""vi"")"),"chế độ rung")</f>
        <v>chế độ rung</v>
      </c>
      <c r="D2937" s="2" t="str">
        <f t="shared" si="38"/>
        <v>chế độ rung</v>
      </c>
      <c r="E2937" s="3" t="str">
        <f t="shared" si="2"/>
        <v>vibration mode</v>
      </c>
    </row>
    <row r="2938" ht="15.75" customHeight="1">
      <c r="A2938" s="1" t="s">
        <v>7793</v>
      </c>
      <c r="B2938" s="1" t="s">
        <v>7794</v>
      </c>
      <c r="C2938" s="2" t="s">
        <v>7795</v>
      </c>
      <c r="D2938" s="2" t="str">
        <f t="shared" si="38"/>
        <v>tay chiến thắng</v>
      </c>
      <c r="E2938" s="3" t="str">
        <f t="shared" si="2"/>
        <v>victory hand</v>
      </c>
    </row>
    <row r="2939" ht="15.75" customHeight="1">
      <c r="A2939" s="1" t="s">
        <v>7796</v>
      </c>
      <c r="B2939" s="1" t="s">
        <v>7797</v>
      </c>
      <c r="C2939" s="2" t="s">
        <v>7798</v>
      </c>
      <c r="D2939" s="2" t="str">
        <f t="shared" si="38"/>
        <v>tay chiến thắng màu da sẫm</v>
      </c>
      <c r="E2939" s="3" t="str">
        <f t="shared" si="2"/>
        <v>victory hand dark skin tone</v>
      </c>
    </row>
    <row r="2940" ht="15.75" customHeight="1">
      <c r="A2940" s="1" t="s">
        <v>7799</v>
      </c>
      <c r="B2940" s="1" t="s">
        <v>7800</v>
      </c>
      <c r="C2940" s="2" t="s">
        <v>7801</v>
      </c>
      <c r="D2940" s="2" t="str">
        <f t="shared" si="38"/>
        <v>tay chiến thắng màu da sáng</v>
      </c>
      <c r="E2940" s="3" t="str">
        <f t="shared" si="2"/>
        <v>victory hand light skin tone</v>
      </c>
    </row>
    <row r="2941" ht="15.75" customHeight="1">
      <c r="A2941" s="1" t="s">
        <v>7802</v>
      </c>
      <c r="B2941" s="1" t="s">
        <v>7803</v>
      </c>
      <c r="C2941" s="2" t="s">
        <v>7804</v>
      </c>
      <c r="D2941" s="2" t="str">
        <f t="shared" si="38"/>
        <v>tay chiến thắng màu da sẫm vừa</v>
      </c>
      <c r="E2941" s="3" t="str">
        <f t="shared" si="2"/>
        <v>victory hand medium-dark skin tone</v>
      </c>
    </row>
    <row r="2942" ht="15.75" customHeight="1">
      <c r="A2942" s="1" t="s">
        <v>7805</v>
      </c>
      <c r="B2942" s="1" t="s">
        <v>7806</v>
      </c>
      <c r="C2942" s="2" t="s">
        <v>7807</v>
      </c>
      <c r="D2942" s="2" t="str">
        <f t="shared" si="38"/>
        <v>tay chiến thắng màu da sáng vừa</v>
      </c>
      <c r="E2942" s="3" t="str">
        <f t="shared" si="2"/>
        <v>victory hand medium-light skin tone</v>
      </c>
    </row>
    <row r="2943" ht="15.75" customHeight="1">
      <c r="A2943" s="1" t="s">
        <v>7808</v>
      </c>
      <c r="B2943" s="1" t="s">
        <v>7809</v>
      </c>
      <c r="C2943" s="2" t="s">
        <v>7810</v>
      </c>
      <c r="D2943" s="2" t="str">
        <f t="shared" si="38"/>
        <v>tay chiến thắng màu da thường</v>
      </c>
      <c r="E2943" s="3" t="str">
        <f t="shared" si="2"/>
        <v>victory hand medium skin tone</v>
      </c>
    </row>
    <row r="2944" ht="15.75" customHeight="1">
      <c r="A2944" s="1" t="s">
        <v>7811</v>
      </c>
      <c r="B2944" s="1" t="s">
        <v>7812</v>
      </c>
      <c r="C2944" s="2" t="str">
        <f>IFERROR(__xludf.DUMMYFUNCTION("GOOGLETRANSLATE(E2944, ""en"",""vi"")"),"máy quay phim")</f>
        <v>máy quay phim</v>
      </c>
      <c r="D2944" s="2" t="str">
        <f t="shared" si="38"/>
        <v>máy quay phim</v>
      </c>
      <c r="E2944" s="3" t="str">
        <f t="shared" si="2"/>
        <v>video camera</v>
      </c>
    </row>
    <row r="2945" ht="15.75" customHeight="1">
      <c r="A2945" s="1" t="s">
        <v>7813</v>
      </c>
      <c r="B2945" s="1" t="s">
        <v>7814</v>
      </c>
      <c r="C2945" s="2" t="str">
        <f>IFERROR(__xludf.DUMMYFUNCTION("GOOGLETRANSLATE(E2945, ""en"",""vi"")"),"trò chơi điện tử")</f>
        <v>trò chơi điện tử</v>
      </c>
      <c r="D2945" s="2" t="str">
        <f t="shared" si="38"/>
        <v>trò chơi điện tử</v>
      </c>
      <c r="E2945" s="3" t="str">
        <f t="shared" si="2"/>
        <v>video game</v>
      </c>
    </row>
    <row r="2946" ht="15.75" customHeight="1">
      <c r="A2946" s="1" t="s">
        <v>7815</v>
      </c>
      <c r="B2946" s="1" t="s">
        <v>7816</v>
      </c>
      <c r="C2946" s="2" t="s">
        <v>7817</v>
      </c>
      <c r="D2946" s="2" t="str">
        <f t="shared" si="38"/>
        <v>đầu máy video</v>
      </c>
      <c r="E2946" s="3" t="str">
        <f t="shared" si="2"/>
        <v>videocassette</v>
      </c>
    </row>
    <row r="2947" ht="15.75" customHeight="1">
      <c r="A2947" s="1" t="s">
        <v>7818</v>
      </c>
      <c r="B2947" s="1" t="s">
        <v>7819</v>
      </c>
      <c r="C2947" s="2" t="str">
        <f>IFERROR(__xludf.DUMMYFUNCTION("GOOGLETRANSLATE(E2947, ""en"",""vi"")"),"vĩ cầm")</f>
        <v>vĩ cầm</v>
      </c>
      <c r="D2947" s="2" t="str">
        <f t="shared" si="38"/>
        <v>vĩ cầm</v>
      </c>
      <c r="E2947" s="3" t="str">
        <f t="shared" si="2"/>
        <v>violin</v>
      </c>
    </row>
    <row r="2948" ht="15.75" customHeight="1">
      <c r="A2948" s="1" t="s">
        <v>7820</v>
      </c>
      <c r="B2948" s="1" t="s">
        <v>7821</v>
      </c>
      <c r="C2948" s="2" t="s">
        <v>7822</v>
      </c>
      <c r="D2948" s="2" t="str">
        <f t="shared" si="38"/>
        <v>núi lửa phun trào</v>
      </c>
      <c r="E2948" s="3" t="str">
        <f t="shared" si="2"/>
        <v>volcano</v>
      </c>
    </row>
    <row r="2949" ht="15.75" customHeight="1">
      <c r="A2949" s="1" t="s">
        <v>7823</v>
      </c>
      <c r="B2949" s="1" t="s">
        <v>7824</v>
      </c>
      <c r="C2949" s="2" t="str">
        <f>IFERROR(__xludf.DUMMYFUNCTION("GOOGLETRANSLATE(E2949, ""en"",""vi"")"),"bóng chuyền")</f>
        <v>bóng chuyền</v>
      </c>
      <c r="D2949" s="2" t="str">
        <f t="shared" si="38"/>
        <v>bóng chuyền</v>
      </c>
      <c r="E2949" s="3" t="str">
        <f t="shared" si="2"/>
        <v>volleyball</v>
      </c>
    </row>
    <row r="2950" ht="15.75" customHeight="1">
      <c r="A2950" s="1" t="s">
        <v>7825</v>
      </c>
      <c r="B2950" s="1" t="s">
        <v>7826</v>
      </c>
      <c r="C2950" s="2" t="s">
        <v>7827</v>
      </c>
      <c r="D2950" s="2" t="str">
        <f t="shared" si="38"/>
        <v>lời chào của vulcan</v>
      </c>
      <c r="E2950" s="3" t="str">
        <f t="shared" si="2"/>
        <v>vulcan salute</v>
      </c>
    </row>
    <row r="2951" ht="15.75" customHeight="1">
      <c r="A2951" s="1" t="s">
        <v>7828</v>
      </c>
      <c r="B2951" s="1" t="s">
        <v>7829</v>
      </c>
      <c r="C2951" s="2" t="s">
        <v>7830</v>
      </c>
      <c r="D2951" s="2" t="str">
        <f t="shared" si="38"/>
        <v>lời chào của vulcan màu da sẫm</v>
      </c>
      <c r="E2951" s="3" t="str">
        <f t="shared" si="2"/>
        <v>vulcan salute dark skin tone</v>
      </c>
    </row>
    <row r="2952" ht="15.75" customHeight="1">
      <c r="A2952" s="1" t="s">
        <v>7831</v>
      </c>
      <c r="B2952" s="1" t="s">
        <v>7832</v>
      </c>
      <c r="C2952" s="2" t="s">
        <v>7833</v>
      </c>
      <c r="D2952" s="2" t="str">
        <f t="shared" si="38"/>
        <v>lời chào của vulcan màu da sáng</v>
      </c>
      <c r="E2952" s="3" t="str">
        <f t="shared" si="2"/>
        <v>vulcan salute light skin tone</v>
      </c>
    </row>
    <row r="2953" ht="15.75" customHeight="1">
      <c r="A2953" s="1" t="s">
        <v>7834</v>
      </c>
      <c r="B2953" s="1" t="s">
        <v>7835</v>
      </c>
      <c r="C2953" s="2" t="s">
        <v>7836</v>
      </c>
      <c r="D2953" s="2" t="str">
        <f t="shared" si="38"/>
        <v>lời chào của vulcan màu da sẫm vừa</v>
      </c>
      <c r="E2953" s="3" t="str">
        <f t="shared" si="2"/>
        <v>vulcan salute medium-dark skin tone</v>
      </c>
    </row>
    <row r="2954" ht="15.75" customHeight="1">
      <c r="A2954" s="1" t="s">
        <v>7837</v>
      </c>
      <c r="B2954" s="1" t="s">
        <v>7838</v>
      </c>
      <c r="C2954" s="2" t="s">
        <v>7839</v>
      </c>
      <c r="D2954" s="2" t="str">
        <f t="shared" si="38"/>
        <v>lời chào của vulcan màu da sáng vừa</v>
      </c>
      <c r="E2954" s="3" t="str">
        <f t="shared" si="2"/>
        <v>vulcan salute medium-light skin tone</v>
      </c>
    </row>
    <row r="2955" ht="15.75" customHeight="1">
      <c r="A2955" s="1" t="s">
        <v>7840</v>
      </c>
      <c r="B2955" s="1" t="s">
        <v>7841</v>
      </c>
      <c r="C2955" s="2" t="s">
        <v>7842</v>
      </c>
      <c r="D2955" s="2" t="str">
        <f t="shared" si="38"/>
        <v>lời chào của vulcan màu da thường</v>
      </c>
      <c r="E2955" s="3" t="str">
        <f t="shared" si="2"/>
        <v>vulcan salute medium skin tone</v>
      </c>
    </row>
    <row r="2956" ht="15.75" customHeight="1">
      <c r="A2956" s="1" t="s">
        <v>7843</v>
      </c>
      <c r="B2956" s="1" t="s">
        <v>7844</v>
      </c>
      <c r="C2956" s="2" t="s">
        <v>7845</v>
      </c>
      <c r="D2956" s="2" t="str">
        <f t="shared" si="38"/>
        <v>bánh quế</v>
      </c>
      <c r="E2956" s="3" t="str">
        <f t="shared" si="2"/>
        <v>waffle</v>
      </c>
    </row>
    <row r="2957" ht="15.75" customHeight="1">
      <c r="A2957" s="1" t="s">
        <v>7846</v>
      </c>
      <c r="B2957" s="1" t="s">
        <v>7847</v>
      </c>
      <c r="C2957" s="2" t="s">
        <v>7848</v>
      </c>
      <c r="D2957" s="2" t="str">
        <f t="shared" si="38"/>
        <v>trăng lưỡi liềm cuối tháng</v>
      </c>
      <c r="E2957" s="3" t="str">
        <f t="shared" si="2"/>
        <v>waning crescent moon</v>
      </c>
    </row>
    <row r="2958" ht="15.75" customHeight="1">
      <c r="A2958" s="1" t="s">
        <v>7849</v>
      </c>
      <c r="B2958" s="1" t="s">
        <v>7850</v>
      </c>
      <c r="C2958" s="2" t="s">
        <v>7851</v>
      </c>
      <c r="D2958" s="2" t="str">
        <f t="shared" si="38"/>
        <v>trăng khuyết cuối tháng</v>
      </c>
      <c r="E2958" s="3" t="str">
        <f t="shared" si="2"/>
        <v>waning gibbous moon</v>
      </c>
    </row>
    <row r="2959" ht="15.75" customHeight="1">
      <c r="A2959" s="1" t="s">
        <v>7852</v>
      </c>
      <c r="B2959" s="1" t="s">
        <v>7853</v>
      </c>
      <c r="C2959" s="2" t="str">
        <f>IFERROR(__xludf.DUMMYFUNCTION("GOOGLETRANSLATE(E2959, ""en"",""vi"")"),"cảnh báo")</f>
        <v>cảnh báo</v>
      </c>
      <c r="D2959" s="2" t="str">
        <f t="shared" si="38"/>
        <v>cảnh báo</v>
      </c>
      <c r="E2959" s="3" t="str">
        <f t="shared" si="2"/>
        <v>warning</v>
      </c>
    </row>
    <row r="2960" ht="15.75" customHeight="1">
      <c r="A2960" s="1" t="s">
        <v>7854</v>
      </c>
      <c r="B2960" s="1" t="s">
        <v>7855</v>
      </c>
      <c r="C2960" s="2" t="str">
        <f>IFERROR(__xludf.DUMMYFUNCTION("GOOGLETRANSLATE(E2960, ""en"",""vi"")"),"thùng rác")</f>
        <v>thùng rác</v>
      </c>
      <c r="D2960" s="2" t="str">
        <f t="shared" si="38"/>
        <v>thùng rác</v>
      </c>
      <c r="E2960" s="3" t="str">
        <f t="shared" si="2"/>
        <v>wastebasket</v>
      </c>
    </row>
    <row r="2961" ht="15.75" customHeight="1">
      <c r="A2961" s="1" t="s">
        <v>7856</v>
      </c>
      <c r="B2961" s="1" t="s">
        <v>7857</v>
      </c>
      <c r="C2961" s="2" t="str">
        <f>IFERROR(__xludf.DUMMYFUNCTION("GOOGLETRANSLATE(E2961, ""en"",""vi"")"),"đồng hồ ")</f>
        <v>đồng hồ </v>
      </c>
      <c r="D2961" s="2" t="str">
        <f t="shared" si="38"/>
        <v>đồng hồ </v>
      </c>
      <c r="E2961" s="3" t="str">
        <f t="shared" si="2"/>
        <v>watch</v>
      </c>
    </row>
    <row r="2962" ht="15.75" customHeight="1">
      <c r="A2962" s="1" t="s">
        <v>7858</v>
      </c>
      <c r="B2962" s="1" t="s">
        <v>7859</v>
      </c>
      <c r="C2962" s="2" t="str">
        <f>IFERROR(__xludf.DUMMYFUNCTION("GOOGLETRANSLATE(E2962, ""en"",""vi"")"),"trâu nước")</f>
        <v>trâu nước</v>
      </c>
      <c r="D2962" s="2" t="str">
        <f t="shared" si="38"/>
        <v>trâu nước</v>
      </c>
      <c r="E2962" s="3" t="str">
        <f t="shared" si="2"/>
        <v>water buffalo</v>
      </c>
    </row>
    <row r="2963" ht="15.75" customHeight="1">
      <c r="A2963" s="1" t="s">
        <v>7860</v>
      </c>
      <c r="B2963" s="1" t="s">
        <v>7861</v>
      </c>
      <c r="C2963" s="2" t="str">
        <f>IFERROR(__xludf.DUMMYFUNCTION("GOOGLETRANSLATE(E2963, ""en"",""vi"")"),"nhà vệ sinh")</f>
        <v>nhà vệ sinh</v>
      </c>
      <c r="D2963" s="2" t="str">
        <f t="shared" si="38"/>
        <v>nhà vệ sinh</v>
      </c>
      <c r="E2963" s="3" t="str">
        <f t="shared" si="2"/>
        <v>water closet</v>
      </c>
    </row>
    <row r="2964" ht="15.75" customHeight="1">
      <c r="A2964" s="1" t="s">
        <v>7862</v>
      </c>
      <c r="B2964" s="1" t="s">
        <v>7863</v>
      </c>
      <c r="C2964" s="2" t="str">
        <f>IFERROR(__xludf.DUMMYFUNCTION("GOOGLETRANSLATE(E2964, ""en"",""vi"")"),"súng nước")</f>
        <v>súng nước</v>
      </c>
      <c r="D2964" s="2" t="str">
        <f t="shared" si="38"/>
        <v>súng nước</v>
      </c>
      <c r="E2964" s="3" t="str">
        <f t="shared" si="2"/>
        <v>water pistol</v>
      </c>
    </row>
    <row r="2965" ht="15.75" customHeight="1">
      <c r="A2965" s="1" t="s">
        <v>7864</v>
      </c>
      <c r="B2965" s="1" t="s">
        <v>7865</v>
      </c>
      <c r="C2965" s="2" t="str">
        <f>IFERROR(__xludf.DUMMYFUNCTION("GOOGLETRANSLATE(E2965, ""en"",""vi"")"),"sóng nước")</f>
        <v>sóng nước</v>
      </c>
      <c r="D2965" s="2" t="str">
        <f t="shared" si="38"/>
        <v>sóng nước</v>
      </c>
      <c r="E2965" s="3" t="str">
        <f t="shared" si="2"/>
        <v>water wave</v>
      </c>
    </row>
    <row r="2966" ht="15.75" customHeight="1">
      <c r="A2966" s="1" t="s">
        <v>7866</v>
      </c>
      <c r="B2966" s="1" t="s">
        <v>7867</v>
      </c>
      <c r="C2966" s="2" t="str">
        <f>IFERROR(__xludf.DUMMYFUNCTION("GOOGLETRANSLATE(E2966, ""en"",""vi"")"),"dưa hấu")</f>
        <v>dưa hấu</v>
      </c>
      <c r="D2966" s="2" t="str">
        <f t="shared" si="38"/>
        <v>dưa hấu</v>
      </c>
      <c r="E2966" s="3" t="str">
        <f t="shared" si="2"/>
        <v>watermelon</v>
      </c>
    </row>
    <row r="2967" ht="15.75" customHeight="1">
      <c r="A2967" s="1" t="s">
        <v>7868</v>
      </c>
      <c r="B2967" s="1" t="s">
        <v>7869</v>
      </c>
      <c r="C2967" s="2" t="s">
        <v>7870</v>
      </c>
      <c r="D2967" s="2" t="str">
        <f t="shared" si="38"/>
        <v>vẫy tay</v>
      </c>
      <c r="E2967" s="3" t="str">
        <f t="shared" si="2"/>
        <v>waving hand</v>
      </c>
    </row>
    <row r="2968" ht="15.75" customHeight="1">
      <c r="A2968" s="1" t="s">
        <v>7871</v>
      </c>
      <c r="B2968" s="1" t="s">
        <v>7872</v>
      </c>
      <c r="C2968" s="2" t="s">
        <v>7873</v>
      </c>
      <c r="D2968" s="2" t="str">
        <f t="shared" si="38"/>
        <v>vẫy tay màu da sẫm</v>
      </c>
      <c r="E2968" s="3" t="str">
        <f t="shared" si="2"/>
        <v>waving hand dark skin tone</v>
      </c>
    </row>
    <row r="2969" ht="15.75" customHeight="1">
      <c r="A2969" s="1" t="s">
        <v>7874</v>
      </c>
      <c r="B2969" s="1" t="s">
        <v>7875</v>
      </c>
      <c r="C2969" s="2" t="s">
        <v>7876</v>
      </c>
      <c r="D2969" s="2" t="str">
        <f t="shared" si="38"/>
        <v>vẫy tay màu da sáng</v>
      </c>
      <c r="E2969" s="3" t="str">
        <f t="shared" si="2"/>
        <v>waving hand light skin tone</v>
      </c>
    </row>
    <row r="2970" ht="15.75" customHeight="1">
      <c r="A2970" s="1" t="s">
        <v>7877</v>
      </c>
      <c r="B2970" s="1" t="s">
        <v>7878</v>
      </c>
      <c r="C2970" s="2" t="s">
        <v>7879</v>
      </c>
      <c r="D2970" s="2" t="str">
        <f t="shared" si="38"/>
        <v>vẫy tay màu da sẫm vừa</v>
      </c>
      <c r="E2970" s="3" t="str">
        <f t="shared" si="2"/>
        <v>waving hand medium-dark skin tone</v>
      </c>
    </row>
    <row r="2971" ht="15.75" customHeight="1">
      <c r="A2971" s="1" t="s">
        <v>7880</v>
      </c>
      <c r="B2971" s="1" t="s">
        <v>7881</v>
      </c>
      <c r="C2971" s="2" t="s">
        <v>7882</v>
      </c>
      <c r="D2971" s="2" t="str">
        <f t="shared" si="38"/>
        <v>vẫy tay màu da sáng vừa</v>
      </c>
      <c r="E2971" s="3" t="str">
        <f t="shared" si="2"/>
        <v>waving hand medium-light skin tone</v>
      </c>
    </row>
    <row r="2972" ht="15.75" customHeight="1">
      <c r="A2972" s="1" t="s">
        <v>7883</v>
      </c>
      <c r="B2972" s="1" t="s">
        <v>7884</v>
      </c>
      <c r="C2972" s="2" t="s">
        <v>7885</v>
      </c>
      <c r="D2972" s="2" t="str">
        <f t="shared" si="38"/>
        <v>vẫy tay màu da thường</v>
      </c>
      <c r="E2972" s="3" t="str">
        <f t="shared" si="2"/>
        <v>waving hand medium skin tone</v>
      </c>
    </row>
    <row r="2973" ht="15.75" customHeight="1">
      <c r="A2973" s="1" t="s">
        <v>7886</v>
      </c>
      <c r="B2973" s="1" t="s">
        <v>7887</v>
      </c>
      <c r="C2973" s="2" t="str">
        <f>IFERROR(__xludf.DUMMYFUNCTION("GOOGLETRANSLATE(E2973, ""en"",""vi"")"),"dấu gạch ngang gợn sóng")</f>
        <v>dấu gạch ngang gợn sóng</v>
      </c>
      <c r="D2973" s="2" t="str">
        <f t="shared" si="38"/>
        <v>dấu gạch ngang gợn sóng</v>
      </c>
      <c r="E2973" s="3" t="str">
        <f t="shared" si="2"/>
        <v>wavy dash</v>
      </c>
    </row>
    <row r="2974" ht="15.75" customHeight="1">
      <c r="A2974" s="1" t="s">
        <v>7888</v>
      </c>
      <c r="B2974" s="1" t="s">
        <v>7889</v>
      </c>
      <c r="C2974" s="2" t="s">
        <v>7890</v>
      </c>
      <c r="D2974" s="2" t="str">
        <f t="shared" si="38"/>
        <v>trăng lưỡi liềm đầu tháng</v>
      </c>
      <c r="E2974" s="3" t="str">
        <f t="shared" si="2"/>
        <v>waxing crescent moon</v>
      </c>
    </row>
    <row r="2975" ht="15.75" customHeight="1">
      <c r="A2975" s="1" t="s">
        <v>7891</v>
      </c>
      <c r="B2975" s="1" t="s">
        <v>7892</v>
      </c>
      <c r="C2975" s="2" t="s">
        <v>7893</v>
      </c>
      <c r="D2975" s="2" t="str">
        <f t="shared" si="38"/>
        <v>trăng khuyết đầu tháng</v>
      </c>
      <c r="E2975" s="3" t="str">
        <f t="shared" si="2"/>
        <v>waxing gibbous moon</v>
      </c>
    </row>
    <row r="2976" ht="15.75" customHeight="1">
      <c r="A2976" s="1" t="s">
        <v>7894</v>
      </c>
      <c r="B2976" s="1" t="s">
        <v>7895</v>
      </c>
      <c r="C2976" s="2" t="str">
        <f>IFERROR(__xludf.DUMMYFUNCTION("GOOGLETRANSLATE(E2976, ""en"",""vi"")"),"con mèo mệt mỏi")</f>
        <v>con mèo mệt mỏi</v>
      </c>
      <c r="D2976" s="2" t="str">
        <f t="shared" si="38"/>
        <v>con mèo mệt mỏi</v>
      </c>
      <c r="E2976" s="3" t="str">
        <f t="shared" si="2"/>
        <v>weary cat</v>
      </c>
    </row>
    <row r="2977" ht="15.75" customHeight="1">
      <c r="A2977" s="1" t="s">
        <v>7896</v>
      </c>
      <c r="B2977" s="1" t="s">
        <v>7897</v>
      </c>
      <c r="C2977" s="2" t="str">
        <f>IFERROR(__xludf.DUMMYFUNCTION("GOOGLETRANSLATE(E2977, ""en"",""vi"")"),"khuôn mặt mệt mỏi")</f>
        <v>khuôn mặt mệt mỏi</v>
      </c>
      <c r="D2977" s="2" t="str">
        <f t="shared" si="38"/>
        <v>khuôn mặt mệt mỏi</v>
      </c>
      <c r="E2977" s="3" t="str">
        <f t="shared" si="2"/>
        <v>weary face</v>
      </c>
    </row>
    <row r="2978" ht="15.75" customHeight="1">
      <c r="A2978" s="1" t="s">
        <v>7898</v>
      </c>
      <c r="B2978" s="1" t="s">
        <v>7899</v>
      </c>
      <c r="C2978" s="2" t="str">
        <f>IFERROR(__xludf.DUMMYFUNCTION("GOOGLETRANSLATE(E2978, ""en"",""vi"")"),"lễ cưới")</f>
        <v>lễ cưới</v>
      </c>
      <c r="D2978" s="2" t="str">
        <f t="shared" si="38"/>
        <v>lễ cưới</v>
      </c>
      <c r="E2978" s="3" t="str">
        <f t="shared" si="2"/>
        <v>wedding</v>
      </c>
    </row>
    <row r="2979" ht="15.75" customHeight="1">
      <c r="A2979" s="1" t="s">
        <v>7900</v>
      </c>
      <c r="B2979" s="1" t="s">
        <v>7901</v>
      </c>
      <c r="C2979" s="2" t="str">
        <f>IFERROR(__xludf.DUMMYFUNCTION("GOOGLETRANSLATE(E2979, ""en"",""vi"")"),"cá voi")</f>
        <v>cá voi</v>
      </c>
      <c r="D2979" s="2" t="str">
        <f t="shared" si="38"/>
        <v>cá voi</v>
      </c>
      <c r="E2979" s="3" t="str">
        <f t="shared" si="2"/>
        <v>whale</v>
      </c>
    </row>
    <row r="2980" ht="15.75" customHeight="1">
      <c r="A2980" s="1" t="s">
        <v>7902</v>
      </c>
      <c r="B2980" s="1" t="s">
        <v>7903</v>
      </c>
      <c r="C2980" s="2" t="s">
        <v>7904</v>
      </c>
      <c r="D2980" s="2" t="str">
        <f t="shared" si="38"/>
        <v>pháp luân</v>
      </c>
      <c r="E2980" s="3" t="str">
        <f t="shared" si="2"/>
        <v>wheel of dharma</v>
      </c>
    </row>
    <row r="2981" ht="15.75" customHeight="1">
      <c r="A2981" s="1" t="s">
        <v>7905</v>
      </c>
      <c r="B2981" s="1" t="s">
        <v>7906</v>
      </c>
      <c r="C2981" s="2" t="str">
        <f>IFERROR(__xludf.DUMMYFUNCTION("GOOGLETRANSLATE(E2981, ""en"",""vi"")"),"biểu tượng xe lăn")</f>
        <v>biểu tượng xe lăn</v>
      </c>
      <c r="D2981" s="2" t="str">
        <f t="shared" si="38"/>
        <v>biểu tượng xe lăn</v>
      </c>
      <c r="E2981" s="3" t="str">
        <f t="shared" si="2"/>
        <v>wheelchair symbol</v>
      </c>
    </row>
    <row r="2982" ht="15.75" customHeight="1">
      <c r="A2982" s="1" t="s">
        <v>7907</v>
      </c>
      <c r="B2982" s="1" t="s">
        <v>7908</v>
      </c>
      <c r="C2982" s="2" t="s">
        <v>7909</v>
      </c>
      <c r="D2982" s="2" t="str">
        <f t="shared" si="38"/>
        <v>ba toong</v>
      </c>
      <c r="E2982" s="3" t="str">
        <f t="shared" si="2"/>
        <v>white cane</v>
      </c>
    </row>
    <row r="2983" ht="15.75" customHeight="1">
      <c r="A2983" s="1" t="s">
        <v>7910</v>
      </c>
      <c r="B2983" s="1" t="s">
        <v>7911</v>
      </c>
      <c r="C2983" s="2" t="str">
        <f>IFERROR(__xludf.DUMMYFUNCTION("GOOGLETRANSLATE(E2983, ""en"",""vi"")"),"vòng tròn màu trắng")</f>
        <v>vòng tròn màu trắng</v>
      </c>
      <c r="D2983" s="2" t="str">
        <f t="shared" si="38"/>
        <v>vòng tròn màu trắng</v>
      </c>
      <c r="E2983" s="3" t="str">
        <f t="shared" si="2"/>
        <v>white circle</v>
      </c>
    </row>
    <row r="2984" ht="15.75" customHeight="1">
      <c r="A2984" s="1" t="s">
        <v>7912</v>
      </c>
      <c r="B2984" s="1" t="s">
        <v>7913</v>
      </c>
      <c r="C2984" s="2" t="str">
        <f>IFERROR(__xludf.DUMMYFUNCTION("GOOGLETRANSLATE(E2984, ""en"",""vi"")"),"dấu chấm than màu trắng")</f>
        <v>dấu chấm than màu trắng</v>
      </c>
      <c r="D2984" s="2" t="str">
        <f t="shared" si="38"/>
        <v>dấu chấm than màu trắng</v>
      </c>
      <c r="E2984" s="3" t="str">
        <f t="shared" si="2"/>
        <v>white exclamation mark</v>
      </c>
    </row>
    <row r="2985" ht="15.75" customHeight="1">
      <c r="A2985" s="1" t="s">
        <v>7914</v>
      </c>
      <c r="B2985" s="1" t="s">
        <v>7915</v>
      </c>
      <c r="C2985" s="2" t="str">
        <f>IFERROR(__xludf.DUMMYFUNCTION("GOOGLETRANSLATE(E2985, ""en"",""vi"")"),"cờ trắng")</f>
        <v>cờ trắng</v>
      </c>
      <c r="D2985" s="2" t="str">
        <f t="shared" si="38"/>
        <v>cờ trắng</v>
      </c>
      <c r="E2985" s="3" t="str">
        <f t="shared" si="2"/>
        <v>white flag</v>
      </c>
    </row>
    <row r="2986" ht="15.75" customHeight="1">
      <c r="A2986" s="1" t="s">
        <v>7916</v>
      </c>
      <c r="B2986" s="1" t="s">
        <v>7917</v>
      </c>
      <c r="C2986" s="2" t="str">
        <f>IFERROR(__xludf.DUMMYFUNCTION("GOOGLETRANSLATE(E2986, ""en"",""vi"")"),"hoa trắng")</f>
        <v>hoa trắng</v>
      </c>
      <c r="D2986" s="2" t="str">
        <f t="shared" si="38"/>
        <v>hoa trắng</v>
      </c>
      <c r="E2986" s="3" t="str">
        <f t="shared" si="2"/>
        <v>white flower</v>
      </c>
    </row>
    <row r="2987" ht="15.75" customHeight="1">
      <c r="A2987" s="1" t="s">
        <v>7918</v>
      </c>
      <c r="B2987" s="1" t="s">
        <v>7919</v>
      </c>
      <c r="C2987" s="2" t="str">
        <f>IFERROR(__xludf.DUMMYFUNCTION("GOOGLETRANSLATE(E2987, ""en"",""vi"")"),"tóc trắng")</f>
        <v>tóc trắng</v>
      </c>
      <c r="D2987" s="2" t="str">
        <f t="shared" si="38"/>
        <v>tóc trắng</v>
      </c>
      <c r="E2987" s="3" t="str">
        <f t="shared" si="2"/>
        <v>white hair</v>
      </c>
    </row>
    <row r="2988" ht="15.75" customHeight="1">
      <c r="A2988" s="1" t="s">
        <v>7920</v>
      </c>
      <c r="B2988" s="1" t="s">
        <v>7921</v>
      </c>
      <c r="C2988" s="2" t="str">
        <f>IFERROR(__xludf.DUMMYFUNCTION("GOOGLETRANSLATE(E2988, ""en"",""vi"")"),"trái tim trắng")</f>
        <v>trái tim trắng</v>
      </c>
      <c r="D2988" s="2" t="str">
        <f t="shared" si="38"/>
        <v>trái tim trắng</v>
      </c>
      <c r="E2988" s="3" t="str">
        <f t="shared" si="2"/>
        <v>white heart</v>
      </c>
    </row>
    <row r="2989" ht="15.75" customHeight="1">
      <c r="A2989" s="1" t="s">
        <v>7922</v>
      </c>
      <c r="B2989" s="1" t="s">
        <v>7923</v>
      </c>
      <c r="C2989" s="2" t="s">
        <v>7924</v>
      </c>
      <c r="D2989" s="2" t="str">
        <f t="shared" si="38"/>
        <v>hình vuông trắng lớn</v>
      </c>
      <c r="E2989" s="3" t="str">
        <f t="shared" si="2"/>
        <v>white large square</v>
      </c>
    </row>
    <row r="2990" ht="15.75" customHeight="1">
      <c r="A2990" s="1" t="s">
        <v>7925</v>
      </c>
      <c r="B2990" s="1" t="s">
        <v>7926</v>
      </c>
      <c r="C2990" s="2" t="s">
        <v>7927</v>
      </c>
      <c r="D2990" s="2" t="str">
        <f t="shared" si="38"/>
        <v>hình vuông trắng nhỏ vừa</v>
      </c>
      <c r="E2990" s="3" t="str">
        <f t="shared" si="2"/>
        <v>white medium-small square</v>
      </c>
    </row>
    <row r="2991" ht="15.75" customHeight="1">
      <c r="A2991" s="1" t="s">
        <v>7928</v>
      </c>
      <c r="B2991" s="1" t="s">
        <v>7929</v>
      </c>
      <c r="C2991" s="2" t="s">
        <v>7930</v>
      </c>
      <c r="D2991" s="2" t="str">
        <f t="shared" si="38"/>
        <v>hình vuông trắng vừa</v>
      </c>
      <c r="E2991" s="3" t="str">
        <f t="shared" si="2"/>
        <v>white medium square</v>
      </c>
    </row>
    <row r="2992" ht="15.75" customHeight="1">
      <c r="A2992" s="1" t="s">
        <v>7931</v>
      </c>
      <c r="B2992" s="1" t="s">
        <v>7932</v>
      </c>
      <c r="C2992" s="2" t="s">
        <v>7933</v>
      </c>
      <c r="D2992" s="2" t="s">
        <v>7933</v>
      </c>
      <c r="E2992" s="3" t="str">
        <f t="shared" si="2"/>
        <v>white question mark</v>
      </c>
    </row>
    <row r="2993" ht="15.75" customHeight="1">
      <c r="A2993" s="1" t="s">
        <v>7934</v>
      </c>
      <c r="B2993" s="1" t="s">
        <v>7935</v>
      </c>
      <c r="C2993" s="2" t="s">
        <v>7936</v>
      </c>
      <c r="D2993" s="2" t="str">
        <f>LOWER(C2993)</f>
        <v>hình vuông trắng nhỏ</v>
      </c>
      <c r="E2993" s="3" t="str">
        <f t="shared" si="2"/>
        <v>white small square</v>
      </c>
    </row>
    <row r="2994" ht="15.75" customHeight="1">
      <c r="A2994" s="1" t="s">
        <v>7937</v>
      </c>
      <c r="B2994" s="1" t="s">
        <v>7938</v>
      </c>
      <c r="C2994" s="2" t="s">
        <v>7939</v>
      </c>
      <c r="D2994" s="2" t="s">
        <v>7939</v>
      </c>
      <c r="E2994" s="3" t="str">
        <f t="shared" si="2"/>
        <v>white square button</v>
      </c>
    </row>
    <row r="2995" ht="15.75" customHeight="1">
      <c r="A2995" s="1" t="s">
        <v>7940</v>
      </c>
      <c r="B2995" s="1" t="s">
        <v>7941</v>
      </c>
      <c r="C2995" s="2" t="s">
        <v>7942</v>
      </c>
      <c r="D2995" s="2" t="str">
        <f t="shared" ref="D2995:D3522" si="39">LOWER(C2995)</f>
        <v>hoa héo</v>
      </c>
      <c r="E2995" s="3" t="str">
        <f t="shared" si="2"/>
        <v>wilted flower</v>
      </c>
    </row>
    <row r="2996" ht="15.75" customHeight="1">
      <c r="A2996" s="1" t="s">
        <v>7943</v>
      </c>
      <c r="B2996" s="1" t="s">
        <v>7944</v>
      </c>
      <c r="C2996" s="2" t="str">
        <f>IFERROR(__xludf.DUMMYFUNCTION("GOOGLETRANSLATE(E2996, ""en"",""vi"")"),"chuông gió")</f>
        <v>chuông gió</v>
      </c>
      <c r="D2996" s="2" t="str">
        <f t="shared" si="39"/>
        <v>chuông gió</v>
      </c>
      <c r="E2996" s="3" t="str">
        <f t="shared" si="2"/>
        <v>wind chime</v>
      </c>
    </row>
    <row r="2997" ht="15.75" customHeight="1">
      <c r="A2997" s="1" t="s">
        <v>7945</v>
      </c>
      <c r="B2997" s="1" t="s">
        <v>7946</v>
      </c>
      <c r="C2997" s="2" t="str">
        <f>IFERROR(__xludf.DUMMYFUNCTION("GOOGLETRANSLATE(E2997, ""en"",""vi"")"),"mặt gió")</f>
        <v>mặt gió</v>
      </c>
      <c r="D2997" s="2" t="str">
        <f t="shared" si="39"/>
        <v>mặt gió</v>
      </c>
      <c r="E2997" s="3" t="str">
        <f t="shared" si="2"/>
        <v>wind face</v>
      </c>
    </row>
    <row r="2998" ht="15.75" customHeight="1">
      <c r="A2998" s="1" t="s">
        <v>7947</v>
      </c>
      <c r="B2998" s="1" t="s">
        <v>7948</v>
      </c>
      <c r="C2998" s="2" t="str">
        <f>IFERROR(__xludf.DUMMYFUNCTION("GOOGLETRANSLATE(E2998, ""en"",""vi"")"),"cửa sổ")</f>
        <v>cửa sổ</v>
      </c>
      <c r="D2998" s="2" t="str">
        <f t="shared" si="39"/>
        <v>cửa sổ</v>
      </c>
      <c r="E2998" s="3" t="str">
        <f t="shared" si="2"/>
        <v>window</v>
      </c>
    </row>
    <row r="2999" ht="15.75" customHeight="1">
      <c r="A2999" s="1" t="s">
        <v>7949</v>
      </c>
      <c r="B2999" s="1" t="s">
        <v>7950</v>
      </c>
      <c r="C2999" s="2" t="str">
        <f>IFERROR(__xludf.DUMMYFUNCTION("GOOGLETRANSLATE(E2999, ""en"",""vi"")"),"ly rượu")</f>
        <v>ly rượu</v>
      </c>
      <c r="D2999" s="2" t="str">
        <f t="shared" si="39"/>
        <v>ly rượu</v>
      </c>
      <c r="E2999" s="3" t="str">
        <f t="shared" si="2"/>
        <v>wine glass</v>
      </c>
    </row>
    <row r="3000" ht="15.75" customHeight="1">
      <c r="A3000" s="1" t="s">
        <v>7951</v>
      </c>
      <c r="B3000" s="1" t="s">
        <v>7952</v>
      </c>
      <c r="C3000" s="2" t="s">
        <v>7953</v>
      </c>
      <c r="D3000" s="2" t="str">
        <f t="shared" si="39"/>
        <v>nháy mắt</v>
      </c>
      <c r="E3000" s="3" t="str">
        <f t="shared" si="2"/>
        <v>winking face</v>
      </c>
    </row>
    <row r="3001" ht="15.75" customHeight="1">
      <c r="A3001" s="1" t="s">
        <v>7954</v>
      </c>
      <c r="B3001" s="1" t="s">
        <v>7955</v>
      </c>
      <c r="C3001" s="2" t="s">
        <v>7956</v>
      </c>
      <c r="D3001" s="2" t="str">
        <f t="shared" si="39"/>
        <v>nháy mắt và lưỡi</v>
      </c>
      <c r="E3001" s="3" t="str">
        <f t="shared" si="2"/>
        <v>winking face with tongue</v>
      </c>
    </row>
    <row r="3002" ht="15.75" customHeight="1">
      <c r="A3002" s="1" t="s">
        <v>7957</v>
      </c>
      <c r="B3002" s="1" t="s">
        <v>7958</v>
      </c>
      <c r="C3002" s="2" t="str">
        <f>IFERROR(__xludf.DUMMYFUNCTION("GOOGLETRANSLATE(E3002, ""en"",""vi"")"),"sói")</f>
        <v>sói</v>
      </c>
      <c r="D3002" s="2" t="str">
        <f t="shared" si="39"/>
        <v>sói</v>
      </c>
      <c r="E3002" s="3" t="str">
        <f t="shared" si="2"/>
        <v>wolf</v>
      </c>
    </row>
    <row r="3003" ht="15.75" customHeight="1">
      <c r="A3003" s="1" t="s">
        <v>7959</v>
      </c>
      <c r="B3003" s="1" t="s">
        <v>7960</v>
      </c>
      <c r="C3003" s="2" t="s">
        <v>7961</v>
      </c>
      <c r="D3003" s="2" t="str">
        <f t="shared" si="39"/>
        <v>phụ nữ</v>
      </c>
      <c r="E3003" s="3" t="str">
        <f t="shared" si="2"/>
        <v>woman</v>
      </c>
    </row>
    <row r="3004" ht="15.75" customHeight="1">
      <c r="A3004" s="1" t="s">
        <v>7962</v>
      </c>
      <c r="B3004" s="1" t="s">
        <v>7963</v>
      </c>
      <c r="C3004" s="5" t="s">
        <v>7964</v>
      </c>
      <c r="D3004" s="2" t="str">
        <f t="shared" si="39"/>
        <v>phụ nữ và đàn ông nắm tay</v>
      </c>
      <c r="E3004" s="3" t="str">
        <f t="shared" si="2"/>
        <v>woman and man holding hands</v>
      </c>
    </row>
    <row r="3005" ht="15.75" customHeight="1">
      <c r="A3005" s="1" t="s">
        <v>7965</v>
      </c>
      <c r="B3005" s="1" t="s">
        <v>7966</v>
      </c>
      <c r="C3005" s="5" t="s">
        <v>7967</v>
      </c>
      <c r="D3005" s="2" t="str">
        <f t="shared" si="39"/>
        <v>phụ nữ và đàn ông nắm tay màu da sẫm</v>
      </c>
      <c r="E3005" s="3" t="str">
        <f t="shared" si="2"/>
        <v>woman and man holding hands dark skin tone</v>
      </c>
    </row>
    <row r="3006" ht="15.75" customHeight="1">
      <c r="A3006" s="1" t="s">
        <v>7968</v>
      </c>
      <c r="B3006" s="1" t="s">
        <v>7969</v>
      </c>
      <c r="C3006" s="5" t="s">
        <v>7970</v>
      </c>
      <c r="D3006" s="2" t="str">
        <f t="shared" si="39"/>
        <v>phụ nữ và đàn ông nắm tay màu da sẫm màu da sáng</v>
      </c>
      <c r="E3006" s="3" t="str">
        <f t="shared" si="2"/>
        <v>woman and man holding hands dark skin tone light skin tone</v>
      </c>
    </row>
    <row r="3007" ht="15.75" customHeight="1">
      <c r="A3007" s="1" t="s">
        <v>7971</v>
      </c>
      <c r="B3007" s="1" t="s">
        <v>7972</v>
      </c>
      <c r="C3007" s="5" t="s">
        <v>7973</v>
      </c>
      <c r="D3007" s="2" t="str">
        <f t="shared" si="39"/>
        <v>phụ nữ và đàn ông nắm tay màu da sẫm màu da sẫm vừa</v>
      </c>
      <c r="E3007" s="3" t="str">
        <f t="shared" si="2"/>
        <v>woman and man holding hands dark skin tone medium-dark skin tone</v>
      </c>
    </row>
    <row r="3008" ht="15.75" customHeight="1">
      <c r="A3008" s="1" t="s">
        <v>7974</v>
      </c>
      <c r="B3008" s="1" t="s">
        <v>7975</v>
      </c>
      <c r="C3008" s="5" t="s">
        <v>7976</v>
      </c>
      <c r="D3008" s="2" t="str">
        <f t="shared" si="39"/>
        <v>phụ nữ và đàn ông nắm tay màu da sẫm màu da sáng vừa</v>
      </c>
      <c r="E3008" s="3" t="str">
        <f t="shared" si="2"/>
        <v>woman and man holding hands dark skin tone medium-light skin tone</v>
      </c>
    </row>
    <row r="3009" ht="15.75" customHeight="1">
      <c r="A3009" s="1" t="s">
        <v>7977</v>
      </c>
      <c r="B3009" s="1" t="s">
        <v>7978</v>
      </c>
      <c r="C3009" s="5" t="s">
        <v>7979</v>
      </c>
      <c r="D3009" s="2" t="str">
        <f t="shared" si="39"/>
        <v>phụ nữ và đàn ông nắm tay màu da sẫm màu da thường</v>
      </c>
      <c r="E3009" s="3" t="str">
        <f t="shared" si="2"/>
        <v>woman and man holding hands dark skin tone medium skin tone</v>
      </c>
    </row>
    <row r="3010" ht="15.75" customHeight="1">
      <c r="A3010" s="1" t="s">
        <v>7980</v>
      </c>
      <c r="B3010" s="1" t="s">
        <v>7981</v>
      </c>
      <c r="C3010" s="5" t="s">
        <v>7982</v>
      </c>
      <c r="D3010" s="2" t="str">
        <f t="shared" si="39"/>
        <v>phụ nữ và đàn ông nắm tay màu da sáng</v>
      </c>
      <c r="E3010" s="3" t="str">
        <f t="shared" si="2"/>
        <v>woman and man holding hands light skin tone</v>
      </c>
    </row>
    <row r="3011" ht="15.75" customHeight="1">
      <c r="A3011" s="1" t="s">
        <v>7983</v>
      </c>
      <c r="B3011" s="1" t="s">
        <v>7984</v>
      </c>
      <c r="C3011" s="5" t="s">
        <v>7985</v>
      </c>
      <c r="D3011" s="2" t="str">
        <f t="shared" si="39"/>
        <v>phụ nữ và đàn ông nắm tay màu da sáng màu da sẫm</v>
      </c>
      <c r="E3011" s="3" t="str">
        <f t="shared" si="2"/>
        <v>woman and man holding hands light skin tone dark skin tone</v>
      </c>
    </row>
    <row r="3012" ht="15.75" customHeight="1">
      <c r="A3012" s="1" t="s">
        <v>7986</v>
      </c>
      <c r="B3012" s="1" t="s">
        <v>7987</v>
      </c>
      <c r="C3012" s="5" t="s">
        <v>7988</v>
      </c>
      <c r="D3012" s="2" t="str">
        <f t="shared" si="39"/>
        <v>phụ nữ và đàn ông nắm tay màu da sáng màu da sẫm vừa</v>
      </c>
      <c r="E3012" s="3" t="str">
        <f t="shared" si="2"/>
        <v>woman and man holding hands light skin tone medium-dark skin tone</v>
      </c>
    </row>
    <row r="3013" ht="15.75" customHeight="1">
      <c r="A3013" s="1" t="s">
        <v>7989</v>
      </c>
      <c r="B3013" s="1" t="s">
        <v>7990</v>
      </c>
      <c r="C3013" s="5" t="s">
        <v>7991</v>
      </c>
      <c r="D3013" s="2" t="str">
        <f t="shared" si="39"/>
        <v>phụ nữ và đàn ông nắm tay màu da sáng màu da sáng vừa</v>
      </c>
      <c r="E3013" s="3" t="str">
        <f t="shared" si="2"/>
        <v>woman and man holding hands light skin tone medium-light skin tone</v>
      </c>
    </row>
    <row r="3014" ht="15.75" customHeight="1">
      <c r="A3014" s="1" t="s">
        <v>7992</v>
      </c>
      <c r="B3014" s="1" t="s">
        <v>7993</v>
      </c>
      <c r="C3014" s="5" t="s">
        <v>7994</v>
      </c>
      <c r="D3014" s="2" t="str">
        <f t="shared" si="39"/>
        <v>phụ nữ và đàn ông nắm tay màu da sáng màu da thường</v>
      </c>
      <c r="E3014" s="3" t="str">
        <f t="shared" si="2"/>
        <v>woman and man holding hands light skin tone medium skin tone</v>
      </c>
    </row>
    <row r="3015" ht="15.75" customHeight="1">
      <c r="A3015" s="1" t="s">
        <v>7995</v>
      </c>
      <c r="B3015" s="1" t="s">
        <v>7996</v>
      </c>
      <c r="C3015" s="5" t="s">
        <v>7997</v>
      </c>
      <c r="D3015" s="2" t="str">
        <f t="shared" si="39"/>
        <v>phụ nữ và đàn ông nắm tay màu da sẫm vừa</v>
      </c>
      <c r="E3015" s="3" t="str">
        <f t="shared" si="2"/>
        <v>woman and man holding hands medium-dark skin tone</v>
      </c>
    </row>
    <row r="3016" ht="15.75" customHeight="1">
      <c r="A3016" s="1" t="s">
        <v>7998</v>
      </c>
      <c r="B3016" s="1" t="s">
        <v>7999</v>
      </c>
      <c r="C3016" s="5" t="s">
        <v>8000</v>
      </c>
      <c r="D3016" s="2" t="str">
        <f t="shared" si="39"/>
        <v>phụ nữ và đàn ông nắm tay màu da sẫm vừa màu da sẫm</v>
      </c>
      <c r="E3016" s="3" t="str">
        <f t="shared" si="2"/>
        <v>woman and man holding hands medium-dark skin tone dark skin tone</v>
      </c>
    </row>
    <row r="3017" ht="15.75" customHeight="1">
      <c r="A3017" s="1" t="s">
        <v>8001</v>
      </c>
      <c r="B3017" s="1" t="s">
        <v>8002</v>
      </c>
      <c r="C3017" s="5" t="s">
        <v>8003</v>
      </c>
      <c r="D3017" s="2" t="str">
        <f t="shared" si="39"/>
        <v>phụ nữ và đàn ông nắm tay màu da sẫm vừa màu da sáng</v>
      </c>
      <c r="E3017" s="3" t="str">
        <f t="shared" si="2"/>
        <v>woman and man holding hands medium-dark skin tone light skin tone</v>
      </c>
    </row>
    <row r="3018" ht="15.75" customHeight="1">
      <c r="A3018" s="1" t="s">
        <v>8004</v>
      </c>
      <c r="B3018" s="1" t="s">
        <v>8005</v>
      </c>
      <c r="C3018" s="5" t="s">
        <v>8006</v>
      </c>
      <c r="D3018" s="2" t="str">
        <f t="shared" si="39"/>
        <v>phụ nữ và đàn ông nắm tay màu da sẫm vừa màu da sáng vừa</v>
      </c>
      <c r="E3018" s="3" t="str">
        <f t="shared" si="2"/>
        <v>woman and man holding hands medium-dark skin tone medium-light skin tone</v>
      </c>
    </row>
    <row r="3019" ht="15.75" customHeight="1">
      <c r="A3019" s="1" t="s">
        <v>8007</v>
      </c>
      <c r="B3019" s="1" t="s">
        <v>8008</v>
      </c>
      <c r="C3019" s="5" t="s">
        <v>8009</v>
      </c>
      <c r="D3019" s="2" t="str">
        <f t="shared" si="39"/>
        <v>phụ nữ và đàn ông nắm tay màu da sẫm vừa màu da thường</v>
      </c>
      <c r="E3019" s="3" t="str">
        <f t="shared" si="2"/>
        <v>woman and man holding hands medium-dark skin tone medium skin tone</v>
      </c>
    </row>
    <row r="3020" ht="15.75" customHeight="1">
      <c r="A3020" s="1" t="s">
        <v>8010</v>
      </c>
      <c r="B3020" s="1" t="s">
        <v>8011</v>
      </c>
      <c r="C3020" s="5" t="s">
        <v>8012</v>
      </c>
      <c r="D3020" s="2" t="str">
        <f t="shared" si="39"/>
        <v>phụ nữ và đàn ông nắm tay màu da sáng vừa</v>
      </c>
      <c r="E3020" s="3" t="str">
        <f t="shared" si="2"/>
        <v>woman and man holding hands medium-light skin tone</v>
      </c>
    </row>
    <row r="3021" ht="15.75" customHeight="1">
      <c r="A3021" s="1" t="s">
        <v>8013</v>
      </c>
      <c r="B3021" s="1" t="s">
        <v>8014</v>
      </c>
      <c r="C3021" s="5" t="s">
        <v>8015</v>
      </c>
      <c r="D3021" s="2" t="str">
        <f t="shared" si="39"/>
        <v>phụ nữ và đàn ông nắm tay màu da sáng vừa màu da sẫm</v>
      </c>
      <c r="E3021" s="3" t="str">
        <f t="shared" si="2"/>
        <v>woman and man holding hands medium-light skin tone dark skin tone</v>
      </c>
    </row>
    <row r="3022" ht="15.75" customHeight="1">
      <c r="A3022" s="1" t="s">
        <v>8016</v>
      </c>
      <c r="B3022" s="1" t="s">
        <v>8017</v>
      </c>
      <c r="C3022" s="5" t="s">
        <v>8018</v>
      </c>
      <c r="D3022" s="2" t="str">
        <f t="shared" si="39"/>
        <v>phụ nữ và đàn ông nắm tay màu da sáng vừa màu da sáng</v>
      </c>
      <c r="E3022" s="3" t="str">
        <f t="shared" si="2"/>
        <v>woman and man holding hands medium-light skin tone light skin tone</v>
      </c>
    </row>
    <row r="3023" ht="15.75" customHeight="1">
      <c r="A3023" s="1" t="s">
        <v>8019</v>
      </c>
      <c r="B3023" s="1" t="s">
        <v>8020</v>
      </c>
      <c r="C3023" s="5" t="s">
        <v>8021</v>
      </c>
      <c r="D3023" s="2" t="str">
        <f t="shared" si="39"/>
        <v>phụ nữ và đàn ông nắm tay màu da sáng vừa màu da sẫm vừa</v>
      </c>
      <c r="E3023" s="3" t="str">
        <f t="shared" si="2"/>
        <v>woman and man holding hands medium-light skin tone medium-dark skin tone</v>
      </c>
    </row>
    <row r="3024" ht="15.75" customHeight="1">
      <c r="A3024" s="1" t="s">
        <v>8022</v>
      </c>
      <c r="B3024" s="1" t="s">
        <v>8023</v>
      </c>
      <c r="C3024" s="5" t="s">
        <v>8024</v>
      </c>
      <c r="D3024" s="2" t="str">
        <f t="shared" si="39"/>
        <v>phụ nữ và đàn ông nắm tay màu da sáng vừa màu da thường</v>
      </c>
      <c r="E3024" s="3" t="str">
        <f t="shared" si="2"/>
        <v>woman and man holding hands medium-light skin tone medium skin tone</v>
      </c>
    </row>
    <row r="3025" ht="15.75" customHeight="1">
      <c r="A3025" s="1" t="s">
        <v>8025</v>
      </c>
      <c r="B3025" s="1" t="s">
        <v>8026</v>
      </c>
      <c r="C3025" s="5" t="s">
        <v>8027</v>
      </c>
      <c r="D3025" s="2" t="str">
        <f t="shared" si="39"/>
        <v>phụ nữ và đàn ông nắm tay màu da thường</v>
      </c>
      <c r="E3025" s="3" t="str">
        <f t="shared" si="2"/>
        <v>woman and man holding hands medium skin tone</v>
      </c>
    </row>
    <row r="3026" ht="15.75" customHeight="1">
      <c r="A3026" s="1" t="s">
        <v>8028</v>
      </c>
      <c r="B3026" s="1" t="s">
        <v>8029</v>
      </c>
      <c r="C3026" s="5" t="s">
        <v>8030</v>
      </c>
      <c r="D3026" s="2" t="str">
        <f t="shared" si="39"/>
        <v>phụ nữ và đàn ông nắm tay màu da thường màu da sẫm</v>
      </c>
      <c r="E3026" s="3" t="str">
        <f t="shared" si="2"/>
        <v>woman and man holding hands medium skin tone dark skin tone</v>
      </c>
    </row>
    <row r="3027" ht="15.75" customHeight="1">
      <c r="A3027" s="1" t="s">
        <v>8031</v>
      </c>
      <c r="B3027" s="1" t="s">
        <v>8032</v>
      </c>
      <c r="C3027" s="5" t="s">
        <v>8033</v>
      </c>
      <c r="D3027" s="2" t="str">
        <f t="shared" si="39"/>
        <v>phụ nữ và đàn ông nắm tay màu da thường màu da sáng</v>
      </c>
      <c r="E3027" s="3" t="str">
        <f t="shared" si="2"/>
        <v>woman and man holding hands medium skin tone light skin tone</v>
      </c>
    </row>
    <row r="3028" ht="15.75" customHeight="1">
      <c r="A3028" s="1" t="s">
        <v>8034</v>
      </c>
      <c r="B3028" s="1" t="s">
        <v>8035</v>
      </c>
      <c r="C3028" s="5" t="s">
        <v>8036</v>
      </c>
      <c r="D3028" s="2" t="str">
        <f t="shared" si="39"/>
        <v>phụ nữ và đàn ông nắm tay màu da thường màu da sẫm vừa</v>
      </c>
      <c r="E3028" s="3" t="str">
        <f t="shared" si="2"/>
        <v>woman and man holding hands medium skin tone medium-dark skin tone</v>
      </c>
    </row>
    <row r="3029" ht="15.75" customHeight="1">
      <c r="A3029" s="1" t="s">
        <v>8037</v>
      </c>
      <c r="B3029" s="1" t="s">
        <v>8038</v>
      </c>
      <c r="C3029" s="5" t="s">
        <v>8039</v>
      </c>
      <c r="D3029" s="2" t="str">
        <f t="shared" si="39"/>
        <v>phụ nữ và đàn ông nắm tay màu da thường màu da sáng vừa</v>
      </c>
      <c r="E3029" s="3" t="str">
        <f t="shared" si="2"/>
        <v>woman and man holding hands medium skin tone medium-light skin tone</v>
      </c>
    </row>
    <row r="3030" ht="15.75" customHeight="1">
      <c r="A3030" s="1" t="s">
        <v>8040</v>
      </c>
      <c r="B3030" s="1" t="s">
        <v>8041</v>
      </c>
      <c r="C3030" s="5" t="s">
        <v>8042</v>
      </c>
      <c r="D3030" s="2" t="str">
        <f t="shared" si="39"/>
        <v>nghệ sĩ nữ</v>
      </c>
      <c r="E3030" s="3" t="str">
        <f t="shared" si="2"/>
        <v>woman artist</v>
      </c>
    </row>
    <row r="3031" ht="15.75" customHeight="1">
      <c r="A3031" s="1" t="s">
        <v>8043</v>
      </c>
      <c r="B3031" s="1" t="s">
        <v>8044</v>
      </c>
      <c r="C3031" s="5" t="s">
        <v>8045</v>
      </c>
      <c r="D3031" s="2" t="str">
        <f t="shared" si="39"/>
        <v>nghệ sĩ nữ màu da sẫm</v>
      </c>
      <c r="E3031" s="3" t="str">
        <f t="shared" si="2"/>
        <v>woman artist dark skin tone</v>
      </c>
    </row>
    <row r="3032" ht="15.75" customHeight="1">
      <c r="A3032" s="1" t="s">
        <v>8046</v>
      </c>
      <c r="B3032" s="1" t="s">
        <v>8047</v>
      </c>
      <c r="C3032" s="5" t="s">
        <v>8048</v>
      </c>
      <c r="D3032" s="2" t="str">
        <f t="shared" si="39"/>
        <v>nghệ sĩ nữ màu da sáng</v>
      </c>
      <c r="E3032" s="3" t="str">
        <f t="shared" si="2"/>
        <v>woman artist light skin tone</v>
      </c>
    </row>
    <row r="3033" ht="15.75" customHeight="1">
      <c r="A3033" s="1" t="s">
        <v>8049</v>
      </c>
      <c r="B3033" s="1" t="s">
        <v>8050</v>
      </c>
      <c r="C3033" s="5" t="s">
        <v>8051</v>
      </c>
      <c r="D3033" s="2" t="str">
        <f t="shared" si="39"/>
        <v>nghệ sĩ nữ màu da sẫm vừa</v>
      </c>
      <c r="E3033" s="3" t="str">
        <f t="shared" si="2"/>
        <v>woman artist medium-dark skin tone</v>
      </c>
    </row>
    <row r="3034" ht="15.75" customHeight="1">
      <c r="A3034" s="1" t="s">
        <v>8052</v>
      </c>
      <c r="B3034" s="1" t="s">
        <v>8053</v>
      </c>
      <c r="C3034" s="5" t="s">
        <v>8054</v>
      </c>
      <c r="D3034" s="2" t="str">
        <f t="shared" si="39"/>
        <v>nghệ sĩ nữ màu da sáng vừa</v>
      </c>
      <c r="E3034" s="3" t="str">
        <f t="shared" si="2"/>
        <v>woman artist medium-light skin tone</v>
      </c>
    </row>
    <row r="3035" ht="15.75" customHeight="1">
      <c r="A3035" s="1" t="s">
        <v>8055</v>
      </c>
      <c r="B3035" s="1" t="s">
        <v>8056</v>
      </c>
      <c r="C3035" s="5" t="s">
        <v>8057</v>
      </c>
      <c r="D3035" s="2" t="str">
        <f t="shared" si="39"/>
        <v>nghệ sĩ nữ màu da thường</v>
      </c>
      <c r="E3035" s="3" t="str">
        <f t="shared" si="2"/>
        <v>woman artist medium skin tone</v>
      </c>
    </row>
    <row r="3036" ht="15.75" customHeight="1">
      <c r="A3036" s="1" t="s">
        <v>8058</v>
      </c>
      <c r="B3036" s="1" t="s">
        <v>8059</v>
      </c>
      <c r="C3036" s="5" t="s">
        <v>8060</v>
      </c>
      <c r="D3036" s="2" t="str">
        <f t="shared" si="39"/>
        <v>phi hành gia nữ</v>
      </c>
      <c r="E3036" s="3" t="str">
        <f t="shared" si="2"/>
        <v>woman astronaut</v>
      </c>
    </row>
    <row r="3037" ht="15.75" customHeight="1">
      <c r="A3037" s="1" t="s">
        <v>8061</v>
      </c>
      <c r="B3037" s="1" t="s">
        <v>8062</v>
      </c>
      <c r="C3037" s="5" t="s">
        <v>8063</v>
      </c>
      <c r="D3037" s="2" t="str">
        <f t="shared" si="39"/>
        <v>phi hành gia nữ màu da sẫm</v>
      </c>
      <c r="E3037" s="3" t="str">
        <f t="shared" si="2"/>
        <v>woman astronaut dark skin tone</v>
      </c>
    </row>
    <row r="3038" ht="15.75" customHeight="1">
      <c r="A3038" s="1" t="s">
        <v>8064</v>
      </c>
      <c r="B3038" s="1" t="s">
        <v>8065</v>
      </c>
      <c r="C3038" s="5" t="s">
        <v>8066</v>
      </c>
      <c r="D3038" s="2" t="str">
        <f t="shared" si="39"/>
        <v>phi hành gia nữ màu da sáng</v>
      </c>
      <c r="E3038" s="3" t="str">
        <f t="shared" si="2"/>
        <v>woman astronaut light skin tone</v>
      </c>
    </row>
    <row r="3039" ht="15.75" customHeight="1">
      <c r="A3039" s="1" t="s">
        <v>8067</v>
      </c>
      <c r="B3039" s="1" t="s">
        <v>8068</v>
      </c>
      <c r="C3039" s="5" t="s">
        <v>8069</v>
      </c>
      <c r="D3039" s="2" t="str">
        <f t="shared" si="39"/>
        <v>phi hành gia nữ màu da sẫm vừa</v>
      </c>
      <c r="E3039" s="3" t="str">
        <f t="shared" si="2"/>
        <v>woman astronaut medium-dark skin tone</v>
      </c>
    </row>
    <row r="3040" ht="15.75" customHeight="1">
      <c r="A3040" s="1" t="s">
        <v>8070</v>
      </c>
      <c r="B3040" s="1" t="s">
        <v>8071</v>
      </c>
      <c r="C3040" s="5" t="s">
        <v>8072</v>
      </c>
      <c r="D3040" s="2" t="str">
        <f t="shared" si="39"/>
        <v>phi hành gia nữ màu da sáng vừa</v>
      </c>
      <c r="E3040" s="3" t="str">
        <f t="shared" si="2"/>
        <v>woman astronaut medium-light skin tone</v>
      </c>
    </row>
    <row r="3041" ht="15.75" customHeight="1">
      <c r="A3041" s="1" t="s">
        <v>8073</v>
      </c>
      <c r="B3041" s="1" t="s">
        <v>8074</v>
      </c>
      <c r="C3041" s="5" t="s">
        <v>8075</v>
      </c>
      <c r="D3041" s="2" t="str">
        <f t="shared" si="39"/>
        <v>phi hành gia nữ màu da thường</v>
      </c>
      <c r="E3041" s="3" t="str">
        <f t="shared" si="2"/>
        <v>woman astronaut medium skin tone</v>
      </c>
    </row>
    <row r="3042" ht="15.75" customHeight="1">
      <c r="A3042" s="1" t="s">
        <v>8076</v>
      </c>
      <c r="B3042" s="1" t="s">
        <v>8077</v>
      </c>
      <c r="C3042" s="5" t="str">
        <f>IFERROR(__xludf.DUMMYFUNCTION("GOOGLETRANSLATE(E3042, ""en"",""vi"")"),"người phụ nữ hói")</f>
        <v>người phụ nữ hói</v>
      </c>
      <c r="D3042" s="2" t="str">
        <f t="shared" si="39"/>
        <v>người phụ nữ hói</v>
      </c>
      <c r="E3042" s="3" t="str">
        <f t="shared" si="2"/>
        <v>woman bald</v>
      </c>
    </row>
    <row r="3043" ht="15.75" customHeight="1">
      <c r="A3043" s="1" t="s">
        <v>8078</v>
      </c>
      <c r="B3043" s="1" t="s">
        <v>8079</v>
      </c>
      <c r="C3043" s="5" t="s">
        <v>8080</v>
      </c>
      <c r="D3043" s="2" t="str">
        <f t="shared" si="39"/>
        <v>người phụ nữ có râu</v>
      </c>
      <c r="E3043" s="3" t="str">
        <f t="shared" si="2"/>
        <v>woman beard</v>
      </c>
    </row>
    <row r="3044" ht="15.75" customHeight="1">
      <c r="A3044" s="1" t="s">
        <v>8081</v>
      </c>
      <c r="B3044" s="1" t="s">
        <v>8082</v>
      </c>
      <c r="C3044" s="5" t="str">
        <f>IFERROR(__xludf.DUMMYFUNCTION("GOOGLETRANSLATE(E3044, ""en"",""vi"")"),"người phụ nữ đi xe đạp")</f>
        <v>người phụ nữ đi xe đạp</v>
      </c>
      <c r="D3044" s="2" t="str">
        <f t="shared" si="39"/>
        <v>người phụ nữ đi xe đạp</v>
      </c>
      <c r="E3044" s="3" t="str">
        <f t="shared" si="2"/>
        <v>woman biking</v>
      </c>
    </row>
    <row r="3045" ht="15.75" customHeight="1">
      <c r="A3045" s="1" t="s">
        <v>8083</v>
      </c>
      <c r="B3045" s="1" t="s">
        <v>8084</v>
      </c>
      <c r="C3045" s="5" t="s">
        <v>8085</v>
      </c>
      <c r="D3045" s="2" t="str">
        <f t="shared" si="39"/>
        <v>người phụ nữ đi xe đạp màu da sẫm</v>
      </c>
      <c r="E3045" s="3" t="str">
        <f t="shared" si="2"/>
        <v>woman biking dark skin tone</v>
      </c>
    </row>
    <row r="3046" ht="15.75" customHeight="1">
      <c r="A3046" s="1" t="s">
        <v>8086</v>
      </c>
      <c r="B3046" s="1" t="s">
        <v>8087</v>
      </c>
      <c r="C3046" s="5" t="s">
        <v>8088</v>
      </c>
      <c r="D3046" s="2" t="str">
        <f t="shared" si="39"/>
        <v>người phụ nữ đi xe đạp màu da sáng</v>
      </c>
      <c r="E3046" s="3" t="str">
        <f t="shared" si="2"/>
        <v>woman biking light skin tone</v>
      </c>
    </row>
    <row r="3047" ht="15.75" customHeight="1">
      <c r="A3047" s="1" t="s">
        <v>8089</v>
      </c>
      <c r="B3047" s="1" t="s">
        <v>8090</v>
      </c>
      <c r="C3047" s="5" t="s">
        <v>8091</v>
      </c>
      <c r="D3047" s="2" t="str">
        <f t="shared" si="39"/>
        <v>người phụ nữ đi xe đạp màu da sẫm vừa</v>
      </c>
      <c r="E3047" s="3" t="str">
        <f t="shared" si="2"/>
        <v>woman biking medium-dark skin tone</v>
      </c>
    </row>
    <row r="3048" ht="15.75" customHeight="1">
      <c r="A3048" s="1" t="s">
        <v>8092</v>
      </c>
      <c r="B3048" s="1" t="s">
        <v>8093</v>
      </c>
      <c r="C3048" s="5" t="s">
        <v>8094</v>
      </c>
      <c r="D3048" s="2" t="str">
        <f t="shared" si="39"/>
        <v>người phụ nữ đi xe đạp màu da sáng vừa</v>
      </c>
      <c r="E3048" s="3" t="str">
        <f t="shared" si="2"/>
        <v>woman biking medium-light skin tone</v>
      </c>
    </row>
    <row r="3049" ht="15.75" customHeight="1">
      <c r="A3049" s="1" t="s">
        <v>8095</v>
      </c>
      <c r="B3049" s="1" t="s">
        <v>8096</v>
      </c>
      <c r="C3049" s="5" t="s">
        <v>8097</v>
      </c>
      <c r="D3049" s="2" t="str">
        <f t="shared" si="39"/>
        <v>người phụ nữ đi xe đạp màu da thường</v>
      </c>
      <c r="E3049" s="3" t="str">
        <f t="shared" si="2"/>
        <v>woman biking medium skin tone</v>
      </c>
    </row>
    <row r="3050" ht="15.75" customHeight="1">
      <c r="A3050" s="1" t="s">
        <v>8098</v>
      </c>
      <c r="B3050" s="1" t="s">
        <v>8099</v>
      </c>
      <c r="C3050" s="5" t="str">
        <f>IFERROR(__xludf.DUMMYFUNCTION("GOOGLETRANSLATE(E3050, ""en"",""vi"")"),"người phụ nữ tóc vàng")</f>
        <v>người phụ nữ tóc vàng</v>
      </c>
      <c r="D3050" s="2" t="str">
        <f t="shared" si="39"/>
        <v>người phụ nữ tóc vàng</v>
      </c>
      <c r="E3050" s="3" t="str">
        <f t="shared" si="2"/>
        <v>woman blond hair</v>
      </c>
    </row>
    <row r="3051" ht="15.75" customHeight="1">
      <c r="A3051" s="1" t="s">
        <v>8100</v>
      </c>
      <c r="B3051" s="1" t="s">
        <v>8101</v>
      </c>
      <c r="C3051" s="5" t="s">
        <v>8102</v>
      </c>
      <c r="D3051" s="2" t="str">
        <f t="shared" si="39"/>
        <v>người phụ nữ và bóng nảy</v>
      </c>
      <c r="E3051" s="3" t="str">
        <f t="shared" si="2"/>
        <v>woman bouncing ball</v>
      </c>
    </row>
    <row r="3052" ht="15.75" customHeight="1">
      <c r="A3052" s="1" t="s">
        <v>8103</v>
      </c>
      <c r="B3052" s="1" t="s">
        <v>8104</v>
      </c>
      <c r="C3052" s="5" t="s">
        <v>8105</v>
      </c>
      <c r="D3052" s="2" t="str">
        <f t="shared" si="39"/>
        <v>người phụ nữ và bóng nảy màu da sẫm</v>
      </c>
      <c r="E3052" s="3" t="str">
        <f t="shared" si="2"/>
        <v>woman bouncing ball dark skin tone</v>
      </c>
    </row>
    <row r="3053" ht="15.75" customHeight="1">
      <c r="A3053" s="1" t="s">
        <v>8106</v>
      </c>
      <c r="B3053" s="1" t="s">
        <v>8107</v>
      </c>
      <c r="C3053" s="5" t="s">
        <v>8108</v>
      </c>
      <c r="D3053" s="2" t="str">
        <f t="shared" si="39"/>
        <v>người phụ nữ và bóng nảy màu da sáng</v>
      </c>
      <c r="E3053" s="3" t="str">
        <f t="shared" si="2"/>
        <v>woman bouncing ball light skin tone</v>
      </c>
    </row>
    <row r="3054" ht="15.75" customHeight="1">
      <c r="A3054" s="1" t="s">
        <v>8109</v>
      </c>
      <c r="B3054" s="1" t="s">
        <v>8110</v>
      </c>
      <c r="C3054" s="5" t="s">
        <v>8111</v>
      </c>
      <c r="D3054" s="2" t="str">
        <f t="shared" si="39"/>
        <v>người phụ nữ và bóng nảy màu da sẫm vừa</v>
      </c>
      <c r="E3054" s="3" t="str">
        <f t="shared" si="2"/>
        <v>woman bouncing ball medium-dark skin tone</v>
      </c>
    </row>
    <row r="3055" ht="15.75" customHeight="1">
      <c r="A3055" s="1" t="s">
        <v>8112</v>
      </c>
      <c r="B3055" s="1" t="s">
        <v>8113</v>
      </c>
      <c r="C3055" s="5" t="s">
        <v>8114</v>
      </c>
      <c r="D3055" s="2" t="str">
        <f t="shared" si="39"/>
        <v>người phụ nữ và bóng nảy màu da sáng vừa</v>
      </c>
      <c r="E3055" s="3" t="str">
        <f t="shared" si="2"/>
        <v>woman bouncing ball medium-light skin tone</v>
      </c>
    </row>
    <row r="3056" ht="15.75" customHeight="1">
      <c r="A3056" s="1" t="s">
        <v>8115</v>
      </c>
      <c r="B3056" s="1" t="s">
        <v>8116</v>
      </c>
      <c r="C3056" s="5" t="s">
        <v>8117</v>
      </c>
      <c r="D3056" s="2" t="str">
        <f t="shared" si="39"/>
        <v>người phụ nữ và bóng nảy màu da thường</v>
      </c>
      <c r="E3056" s="3" t="str">
        <f t="shared" si="2"/>
        <v>woman bouncing ball medium skin tone</v>
      </c>
    </row>
    <row r="3057" ht="15.75" customHeight="1">
      <c r="A3057" s="1" t="s">
        <v>8118</v>
      </c>
      <c r="B3057" s="1" t="s">
        <v>8119</v>
      </c>
      <c r="C3057" s="5" t="s">
        <v>8120</v>
      </c>
      <c r="D3057" s="2" t="str">
        <f t="shared" si="39"/>
        <v>người phụ nữ cúi đầu</v>
      </c>
      <c r="E3057" s="3" t="str">
        <f t="shared" si="2"/>
        <v>woman bowing</v>
      </c>
    </row>
    <row r="3058" ht="15.75" customHeight="1">
      <c r="A3058" s="1" t="s">
        <v>8121</v>
      </c>
      <c r="B3058" s="1" t="s">
        <v>8122</v>
      </c>
      <c r="C3058" s="5" t="s">
        <v>8123</v>
      </c>
      <c r="D3058" s="2" t="str">
        <f t="shared" si="39"/>
        <v>người phụ nữ màu da sẫm cúi đầu</v>
      </c>
      <c r="E3058" s="3" t="str">
        <f t="shared" si="2"/>
        <v>woman bowing dark skin tone</v>
      </c>
    </row>
    <row r="3059" ht="15.75" customHeight="1">
      <c r="A3059" s="1" t="s">
        <v>8124</v>
      </c>
      <c r="B3059" s="1" t="s">
        <v>8125</v>
      </c>
      <c r="C3059" s="5" t="s">
        <v>8126</v>
      </c>
      <c r="D3059" s="2" t="str">
        <f t="shared" si="39"/>
        <v>người phụ nữ màu da sáng cúi đầu</v>
      </c>
      <c r="E3059" s="3" t="str">
        <f t="shared" si="2"/>
        <v>woman bowing light skin tone</v>
      </c>
    </row>
    <row r="3060" ht="15.75" customHeight="1">
      <c r="A3060" s="1" t="s">
        <v>8127</v>
      </c>
      <c r="B3060" s="1" t="s">
        <v>8128</v>
      </c>
      <c r="C3060" s="5" t="s">
        <v>8129</v>
      </c>
      <c r="D3060" s="2" t="str">
        <f t="shared" si="39"/>
        <v>người phụ nữ màu da sẫm vừa cúi đầu</v>
      </c>
      <c r="E3060" s="3" t="str">
        <f t="shared" si="2"/>
        <v>woman bowing medium-dark skin tone</v>
      </c>
    </row>
    <row r="3061" ht="15.75" customHeight="1">
      <c r="A3061" s="1" t="s">
        <v>8130</v>
      </c>
      <c r="B3061" s="1" t="s">
        <v>8131</v>
      </c>
      <c r="C3061" s="5" t="s">
        <v>8132</v>
      </c>
      <c r="D3061" s="2" t="str">
        <f t="shared" si="39"/>
        <v>người phụ nữ màu da sáng vừa cúi đầu</v>
      </c>
      <c r="E3061" s="3" t="str">
        <f t="shared" si="2"/>
        <v>woman bowing medium-light skin tone</v>
      </c>
    </row>
    <row r="3062" ht="15.75" customHeight="1">
      <c r="A3062" s="1" t="s">
        <v>8133</v>
      </c>
      <c r="B3062" s="1" t="s">
        <v>8134</v>
      </c>
      <c r="C3062" s="5" t="s">
        <v>8135</v>
      </c>
      <c r="D3062" s="2" t="str">
        <f t="shared" si="39"/>
        <v>người phụ nữ màu da thường cúi đầu</v>
      </c>
      <c r="E3062" s="3" t="str">
        <f t="shared" si="2"/>
        <v>woman bowing medium skin tone</v>
      </c>
    </row>
    <row r="3063" ht="15.75" customHeight="1">
      <c r="A3063" s="1" t="s">
        <v>8136</v>
      </c>
      <c r="B3063" s="1" t="s">
        <v>8137</v>
      </c>
      <c r="C3063" s="5" t="s">
        <v>8138</v>
      </c>
      <c r="D3063" s="2" t="str">
        <f t="shared" si="39"/>
        <v>người phụ nữ nhào lộn</v>
      </c>
      <c r="E3063" s="3" t="str">
        <f t="shared" si="2"/>
        <v>woman cartwheeling</v>
      </c>
    </row>
    <row r="3064" ht="15.75" customHeight="1">
      <c r="A3064" s="1" t="s">
        <v>8139</v>
      </c>
      <c r="B3064" s="1" t="s">
        <v>8140</v>
      </c>
      <c r="C3064" s="5" t="s">
        <v>8141</v>
      </c>
      <c r="D3064" s="2" t="str">
        <f t="shared" si="39"/>
        <v>người phụ nữ màu da sẫm nhào lộn</v>
      </c>
      <c r="E3064" s="3" t="str">
        <f t="shared" si="2"/>
        <v>woman cartwheeling dark skin tone</v>
      </c>
    </row>
    <row r="3065" ht="15.75" customHeight="1">
      <c r="A3065" s="1" t="s">
        <v>8142</v>
      </c>
      <c r="B3065" s="1" t="s">
        <v>8143</v>
      </c>
      <c r="C3065" s="5" t="s">
        <v>8144</v>
      </c>
      <c r="D3065" s="2" t="str">
        <f t="shared" si="39"/>
        <v>người phụ nữ màu da sáng nhào lộn</v>
      </c>
      <c r="E3065" s="3" t="str">
        <f t="shared" si="2"/>
        <v>woman cartwheeling light skin tone</v>
      </c>
    </row>
    <row r="3066" ht="15.75" customHeight="1">
      <c r="A3066" s="1" t="s">
        <v>8145</v>
      </c>
      <c r="B3066" s="1" t="s">
        <v>8146</v>
      </c>
      <c r="C3066" s="5" t="s">
        <v>8147</v>
      </c>
      <c r="D3066" s="2" t="str">
        <f t="shared" si="39"/>
        <v>người phụ nữ màu da sẫm vừa nhào lộn</v>
      </c>
      <c r="E3066" s="3" t="str">
        <f t="shared" si="2"/>
        <v>woman cartwheeling medium-dark skin tone</v>
      </c>
    </row>
    <row r="3067" ht="15.75" customHeight="1">
      <c r="A3067" s="1" t="s">
        <v>8148</v>
      </c>
      <c r="B3067" s="1" t="s">
        <v>8149</v>
      </c>
      <c r="C3067" s="5" t="s">
        <v>8150</v>
      </c>
      <c r="D3067" s="2" t="str">
        <f t="shared" si="39"/>
        <v>người phụ nữ màu da sáng vừa nhào lộn</v>
      </c>
      <c r="E3067" s="3" t="str">
        <f t="shared" si="2"/>
        <v>woman cartwheeling medium-light skin tone</v>
      </c>
    </row>
    <row r="3068" ht="15.75" customHeight="1">
      <c r="A3068" s="1" t="s">
        <v>8151</v>
      </c>
      <c r="B3068" s="1" t="s">
        <v>8152</v>
      </c>
      <c r="C3068" s="5" t="s">
        <v>8153</v>
      </c>
      <c r="D3068" s="2" t="str">
        <f t="shared" si="39"/>
        <v>người phụ nữ màu da thường nhào lộn</v>
      </c>
      <c r="E3068" s="3" t="str">
        <f t="shared" si="2"/>
        <v>woman cartwheeling medium skin tone</v>
      </c>
    </row>
    <row r="3069" ht="15.75" customHeight="1">
      <c r="A3069" s="1" t="s">
        <v>8154</v>
      </c>
      <c r="B3069" s="1" t="s">
        <v>8155</v>
      </c>
      <c r="C3069" s="5" t="s">
        <v>8156</v>
      </c>
      <c r="D3069" s="2" t="str">
        <f t="shared" si="39"/>
        <v>người phụ nữ leo núi</v>
      </c>
      <c r="E3069" s="3" t="str">
        <f t="shared" si="2"/>
        <v>woman climbing</v>
      </c>
    </row>
    <row r="3070" ht="15.75" customHeight="1">
      <c r="A3070" s="1" t="s">
        <v>8157</v>
      </c>
      <c r="B3070" s="1" t="s">
        <v>8158</v>
      </c>
      <c r="C3070" s="5" t="s">
        <v>8159</v>
      </c>
      <c r="D3070" s="2" t="str">
        <f t="shared" si="39"/>
        <v>người phụ nữ màu da sẫm leo núi</v>
      </c>
      <c r="E3070" s="3" t="str">
        <f t="shared" si="2"/>
        <v>woman climbing dark skin tone</v>
      </c>
    </row>
    <row r="3071" ht="15.75" customHeight="1">
      <c r="A3071" s="1" t="s">
        <v>8160</v>
      </c>
      <c r="B3071" s="1" t="s">
        <v>8161</v>
      </c>
      <c r="C3071" s="5" t="s">
        <v>8162</v>
      </c>
      <c r="D3071" s="2" t="str">
        <f t="shared" si="39"/>
        <v>người phụ nữ màu da sáng leo núi</v>
      </c>
      <c r="E3071" s="3" t="str">
        <f t="shared" si="2"/>
        <v>woman climbing light skin tone</v>
      </c>
    </row>
    <row r="3072" ht="15.75" customHeight="1">
      <c r="A3072" s="1" t="s">
        <v>8163</v>
      </c>
      <c r="B3072" s="1" t="s">
        <v>8164</v>
      </c>
      <c r="C3072" s="5" t="s">
        <v>8165</v>
      </c>
      <c r="D3072" s="2" t="str">
        <f t="shared" si="39"/>
        <v>người phụ nữ màu da sẫm vừa leo núi</v>
      </c>
      <c r="E3072" s="3" t="str">
        <f t="shared" si="2"/>
        <v>woman climbing medium-dark skin tone</v>
      </c>
    </row>
    <row r="3073" ht="15.75" customHeight="1">
      <c r="A3073" s="1" t="s">
        <v>8166</v>
      </c>
      <c r="B3073" s="1" t="s">
        <v>8167</v>
      </c>
      <c r="C3073" s="5" t="s">
        <v>8168</v>
      </c>
      <c r="D3073" s="2" t="str">
        <f t="shared" si="39"/>
        <v>người phụ nữ màu da sáng vừa leo núi</v>
      </c>
      <c r="E3073" s="3" t="str">
        <f t="shared" si="2"/>
        <v>woman climbing medium-light skin tone</v>
      </c>
    </row>
    <row r="3074" ht="15.75" customHeight="1">
      <c r="A3074" s="1" t="s">
        <v>8169</v>
      </c>
      <c r="B3074" s="1" t="s">
        <v>8170</v>
      </c>
      <c r="C3074" s="5" t="s">
        <v>8171</v>
      </c>
      <c r="D3074" s="2" t="str">
        <f t="shared" si="39"/>
        <v>người phụ nữ màu da thường leo núi</v>
      </c>
      <c r="E3074" s="3" t="str">
        <f t="shared" si="2"/>
        <v>woman climbing medium skin tone</v>
      </c>
    </row>
    <row r="3075" ht="15.75" customHeight="1">
      <c r="A3075" s="1" t="s">
        <v>8172</v>
      </c>
      <c r="B3075" s="1" t="s">
        <v>8173</v>
      </c>
      <c r="C3075" s="5" t="s">
        <v>8174</v>
      </c>
      <c r="D3075" s="2" t="str">
        <f t="shared" si="39"/>
        <v>công nhân xây dựng nữ</v>
      </c>
      <c r="E3075" s="3" t="str">
        <f t="shared" si="2"/>
        <v>woman construction worker</v>
      </c>
    </row>
    <row r="3076" ht="15.75" customHeight="1">
      <c r="A3076" s="1" t="s">
        <v>8175</v>
      </c>
      <c r="B3076" s="1" t="s">
        <v>8176</v>
      </c>
      <c r="C3076" s="5" t="s">
        <v>8177</v>
      </c>
      <c r="D3076" s="2" t="str">
        <f t="shared" si="39"/>
        <v>công nhân xây dựng nữ màu da sẫm</v>
      </c>
      <c r="E3076" s="3" t="str">
        <f t="shared" si="2"/>
        <v>woman construction worker dark skin tone</v>
      </c>
    </row>
    <row r="3077" ht="15.75" customHeight="1">
      <c r="A3077" s="1" t="s">
        <v>8178</v>
      </c>
      <c r="B3077" s="1" t="s">
        <v>8179</v>
      </c>
      <c r="C3077" s="5" t="s">
        <v>8180</v>
      </c>
      <c r="D3077" s="2" t="str">
        <f t="shared" si="39"/>
        <v>công nhân xây dựng nữ màu da sáng</v>
      </c>
      <c r="E3077" s="3" t="str">
        <f t="shared" si="2"/>
        <v>woman construction worker light skin tone</v>
      </c>
    </row>
    <row r="3078" ht="15.75" customHeight="1">
      <c r="A3078" s="1" t="s">
        <v>8181</v>
      </c>
      <c r="B3078" s="1" t="s">
        <v>8182</v>
      </c>
      <c r="C3078" s="5" t="s">
        <v>8183</v>
      </c>
      <c r="D3078" s="2" t="str">
        <f t="shared" si="39"/>
        <v>công nhân xây dựng nữ màu da sẫm vừa</v>
      </c>
      <c r="E3078" s="3" t="str">
        <f t="shared" si="2"/>
        <v>woman construction worker medium-dark skin tone</v>
      </c>
    </row>
    <row r="3079" ht="15.75" customHeight="1">
      <c r="A3079" s="1" t="s">
        <v>8184</v>
      </c>
      <c r="B3079" s="1" t="s">
        <v>8185</v>
      </c>
      <c r="C3079" s="5" t="s">
        <v>8186</v>
      </c>
      <c r="D3079" s="2" t="str">
        <f t="shared" si="39"/>
        <v>công nhân xây dựng nữ màu da sáng vừa</v>
      </c>
      <c r="E3079" s="3" t="str">
        <f t="shared" si="2"/>
        <v>woman construction worker medium-light skin tone</v>
      </c>
    </row>
    <row r="3080" ht="15.75" customHeight="1">
      <c r="A3080" s="1" t="s">
        <v>8187</v>
      </c>
      <c r="B3080" s="1" t="s">
        <v>8188</v>
      </c>
      <c r="C3080" s="5" t="s">
        <v>8189</v>
      </c>
      <c r="D3080" s="2" t="str">
        <f t="shared" si="39"/>
        <v>công nhân xây dựng nữ màu da thường</v>
      </c>
      <c r="E3080" s="3" t="str">
        <f t="shared" si="2"/>
        <v>woman construction worker medium skin tone</v>
      </c>
    </row>
    <row r="3081" ht="15.75" customHeight="1">
      <c r="A3081" s="1" t="s">
        <v>8190</v>
      </c>
      <c r="B3081" s="1" t="s">
        <v>8191</v>
      </c>
      <c r="C3081" s="5" t="s">
        <v>8192</v>
      </c>
      <c r="D3081" s="2" t="str">
        <f t="shared" si="39"/>
        <v>đầu bếp nữ</v>
      </c>
      <c r="E3081" s="3" t="str">
        <f t="shared" si="2"/>
        <v>woman cook</v>
      </c>
    </row>
    <row r="3082" ht="15.75" customHeight="1">
      <c r="A3082" s="1" t="s">
        <v>8193</v>
      </c>
      <c r="B3082" s="1" t="s">
        <v>8194</v>
      </c>
      <c r="C3082" s="5" t="s">
        <v>8195</v>
      </c>
      <c r="D3082" s="2" t="str">
        <f t="shared" si="39"/>
        <v>đầu bếp nữ màu da sẫm</v>
      </c>
      <c r="E3082" s="3" t="str">
        <f t="shared" si="2"/>
        <v>woman cook dark skin tone</v>
      </c>
    </row>
    <row r="3083" ht="15.75" customHeight="1">
      <c r="A3083" s="1" t="s">
        <v>8196</v>
      </c>
      <c r="B3083" s="1" t="s">
        <v>8197</v>
      </c>
      <c r="C3083" s="5" t="s">
        <v>8198</v>
      </c>
      <c r="D3083" s="2" t="str">
        <f t="shared" si="39"/>
        <v>đầu bếp nữ màu da sáng</v>
      </c>
      <c r="E3083" s="3" t="str">
        <f t="shared" si="2"/>
        <v>woman cook light skin tone</v>
      </c>
    </row>
    <row r="3084" ht="15.75" customHeight="1">
      <c r="A3084" s="1" t="s">
        <v>8199</v>
      </c>
      <c r="B3084" s="1" t="s">
        <v>8200</v>
      </c>
      <c r="C3084" s="5" t="s">
        <v>8201</v>
      </c>
      <c r="D3084" s="2" t="str">
        <f t="shared" si="39"/>
        <v>đầu bếp nữ màu da sẫm vừa</v>
      </c>
      <c r="E3084" s="3" t="str">
        <f t="shared" si="2"/>
        <v>woman cook medium-dark skin tone</v>
      </c>
    </row>
    <row r="3085" ht="15.75" customHeight="1">
      <c r="A3085" s="1" t="s">
        <v>8202</v>
      </c>
      <c r="B3085" s="1" t="s">
        <v>8203</v>
      </c>
      <c r="C3085" s="5" t="s">
        <v>8204</v>
      </c>
      <c r="D3085" s="2" t="str">
        <f t="shared" si="39"/>
        <v>đầu bếp nữ màu da sáng vừa</v>
      </c>
      <c r="E3085" s="3" t="str">
        <f t="shared" si="2"/>
        <v>woman cook medium-light skin tone</v>
      </c>
    </row>
    <row r="3086" ht="15.75" customHeight="1">
      <c r="A3086" s="1" t="s">
        <v>8205</v>
      </c>
      <c r="B3086" s="1" t="s">
        <v>8206</v>
      </c>
      <c r="C3086" s="5" t="s">
        <v>8207</v>
      </c>
      <c r="D3086" s="2" t="str">
        <f t="shared" si="39"/>
        <v>đầu bếp nữ màu da thường</v>
      </c>
      <c r="E3086" s="3" t="str">
        <f t="shared" si="2"/>
        <v>woman cook medium skin tone</v>
      </c>
    </row>
    <row r="3087" ht="15.75" customHeight="1">
      <c r="A3087" s="1" t="s">
        <v>8208</v>
      </c>
      <c r="B3087" s="1" t="s">
        <v>8209</v>
      </c>
      <c r="C3087" s="5" t="s">
        <v>8210</v>
      </c>
      <c r="D3087" s="2" t="str">
        <f t="shared" si="39"/>
        <v>người phụ nữ tóc xoăn</v>
      </c>
      <c r="E3087" s="3" t="str">
        <f t="shared" si="2"/>
        <v>woman curly hair</v>
      </c>
    </row>
    <row r="3088" ht="15.75" customHeight="1">
      <c r="A3088" s="1" t="s">
        <v>8211</v>
      </c>
      <c r="B3088" s="1" t="s">
        <v>8212</v>
      </c>
      <c r="C3088" s="5" t="s">
        <v>8213</v>
      </c>
      <c r="D3088" s="2" t="str">
        <f t="shared" si="39"/>
        <v>người phụ nữ khiêu vũ</v>
      </c>
      <c r="E3088" s="3" t="str">
        <f t="shared" si="2"/>
        <v>woman dancing</v>
      </c>
    </row>
    <row r="3089" ht="15.75" customHeight="1">
      <c r="A3089" s="1" t="s">
        <v>8214</v>
      </c>
      <c r="B3089" s="1" t="s">
        <v>8215</v>
      </c>
      <c r="C3089" s="5" t="s">
        <v>8216</v>
      </c>
      <c r="D3089" s="2" t="str">
        <f t="shared" si="39"/>
        <v>người phụ nữ màu da sẫm khiêu vũ</v>
      </c>
      <c r="E3089" s="3" t="str">
        <f t="shared" si="2"/>
        <v>woman dancing dark skin tone</v>
      </c>
    </row>
    <row r="3090" ht="15.75" customHeight="1">
      <c r="A3090" s="1" t="s">
        <v>8217</v>
      </c>
      <c r="B3090" s="1" t="s">
        <v>8218</v>
      </c>
      <c r="C3090" s="5" t="s">
        <v>8219</v>
      </c>
      <c r="D3090" s="2" t="str">
        <f t="shared" si="39"/>
        <v>người phụ nữ màu da sáng khiêu vũ</v>
      </c>
      <c r="E3090" s="3" t="str">
        <f t="shared" si="2"/>
        <v>woman dancing light skin tone</v>
      </c>
    </row>
    <row r="3091" ht="15.75" customHeight="1">
      <c r="A3091" s="1" t="s">
        <v>8220</v>
      </c>
      <c r="B3091" s="1" t="s">
        <v>8221</v>
      </c>
      <c r="C3091" s="5" t="s">
        <v>8222</v>
      </c>
      <c r="D3091" s="2" t="str">
        <f t="shared" si="39"/>
        <v>người phụ nữ màu da sẫm vừa khiêu vũ</v>
      </c>
      <c r="E3091" s="3" t="str">
        <f t="shared" si="2"/>
        <v>woman dancing medium-dark skin tone</v>
      </c>
    </row>
    <row r="3092" ht="15.75" customHeight="1">
      <c r="A3092" s="1" t="s">
        <v>8223</v>
      </c>
      <c r="B3092" s="1" t="s">
        <v>8224</v>
      </c>
      <c r="C3092" s="5" t="s">
        <v>8225</v>
      </c>
      <c r="D3092" s="2" t="str">
        <f t="shared" si="39"/>
        <v>người phụ nữ màu da sáng vừa khiêu vũ</v>
      </c>
      <c r="E3092" s="3" t="str">
        <f t="shared" si="2"/>
        <v>woman dancing medium-light skin tone</v>
      </c>
    </row>
    <row r="3093" ht="15.75" customHeight="1">
      <c r="A3093" s="1" t="s">
        <v>8226</v>
      </c>
      <c r="B3093" s="1" t="s">
        <v>8227</v>
      </c>
      <c r="C3093" s="5" t="s">
        <v>8228</v>
      </c>
      <c r="D3093" s="2" t="str">
        <f t="shared" si="39"/>
        <v>người phụ nữ màu da thường khiêu vũ</v>
      </c>
      <c r="E3093" s="3" t="str">
        <f t="shared" si="2"/>
        <v>woman dancing medium skin tone</v>
      </c>
    </row>
    <row r="3094" ht="15.75" customHeight="1">
      <c r="A3094" s="1" t="s">
        <v>8229</v>
      </c>
      <c r="B3094" s="1" t="s">
        <v>8230</v>
      </c>
      <c r="C3094" s="5" t="s">
        <v>8231</v>
      </c>
      <c r="D3094" s="2" t="str">
        <f t="shared" si="39"/>
        <v>người phụ nữ da sẫm</v>
      </c>
      <c r="E3094" s="3" t="str">
        <f t="shared" si="2"/>
        <v>woman dark skin tone</v>
      </c>
    </row>
    <row r="3095" ht="15.75" customHeight="1">
      <c r="A3095" s="1" t="s">
        <v>8232</v>
      </c>
      <c r="B3095" s="1" t="s">
        <v>8233</v>
      </c>
      <c r="C3095" s="5" t="s">
        <v>8234</v>
      </c>
      <c r="D3095" s="2" t="str">
        <f t="shared" si="39"/>
        <v>người phụ nữ hói da sẫm</v>
      </c>
      <c r="E3095" s="3" t="str">
        <f t="shared" si="2"/>
        <v>woman dark skin tone bald</v>
      </c>
    </row>
    <row r="3096" ht="15.75" customHeight="1">
      <c r="A3096" s="1" t="s">
        <v>8235</v>
      </c>
      <c r="B3096" s="1" t="s">
        <v>8236</v>
      </c>
      <c r="C3096" s="5" t="s">
        <v>8237</v>
      </c>
      <c r="D3096" s="2" t="str">
        <f t="shared" si="39"/>
        <v>người phụ nữ có râu da sẫm</v>
      </c>
      <c r="E3096" s="3" t="str">
        <f t="shared" si="2"/>
        <v>woman dark skin tone beard</v>
      </c>
    </row>
    <row r="3097" ht="15.75" customHeight="1">
      <c r="A3097" s="1" t="s">
        <v>8238</v>
      </c>
      <c r="B3097" s="1" t="s">
        <v>8239</v>
      </c>
      <c r="C3097" s="5" t="s">
        <v>8240</v>
      </c>
      <c r="D3097" s="2" t="str">
        <f t="shared" si="39"/>
        <v>người phụ nữ tóc vàng da sẫm</v>
      </c>
      <c r="E3097" s="3" t="str">
        <f t="shared" si="2"/>
        <v>woman dark skin tone blond hair</v>
      </c>
    </row>
    <row r="3098" ht="15.75" customHeight="1">
      <c r="A3098" s="1" t="s">
        <v>8241</v>
      </c>
      <c r="B3098" s="1" t="s">
        <v>8242</v>
      </c>
      <c r="C3098" s="5" t="s">
        <v>8243</v>
      </c>
      <c r="D3098" s="2" t="str">
        <f t="shared" si="39"/>
        <v>người phụ nữ tóc xoăn da sẫm</v>
      </c>
      <c r="E3098" s="3" t="str">
        <f t="shared" si="2"/>
        <v>woman dark skin tone curly hair</v>
      </c>
    </row>
    <row r="3099" ht="15.75" customHeight="1">
      <c r="A3099" s="1" t="s">
        <v>8244</v>
      </c>
      <c r="B3099" s="1" t="s">
        <v>8245</v>
      </c>
      <c r="C3099" s="5" t="s">
        <v>8246</v>
      </c>
      <c r="D3099" s="2" t="str">
        <f t="shared" si="39"/>
        <v>người phụ nữ tóc đỏ da sẫm</v>
      </c>
      <c r="E3099" s="3" t="str">
        <f t="shared" si="2"/>
        <v>woman dark skin tone red hair</v>
      </c>
    </row>
    <row r="3100" ht="15.75" customHeight="1">
      <c r="A3100" s="1" t="s">
        <v>8247</v>
      </c>
      <c r="B3100" s="1" t="s">
        <v>8248</v>
      </c>
      <c r="C3100" s="5" t="s">
        <v>8249</v>
      </c>
      <c r="D3100" s="2" t="str">
        <f t="shared" si="39"/>
        <v>người phụ nữ tóc trắng da sẫm</v>
      </c>
      <c r="E3100" s="3" t="str">
        <f t="shared" si="2"/>
        <v>woman dark skin tone white hair</v>
      </c>
    </row>
    <row r="3101" ht="15.75" customHeight="1">
      <c r="A3101" s="1" t="s">
        <v>8250</v>
      </c>
      <c r="B3101" s="1" t="s">
        <v>8251</v>
      </c>
      <c r="C3101" s="5" t="s">
        <v>8252</v>
      </c>
      <c r="D3101" s="2" t="str">
        <f t="shared" si="39"/>
        <v>thám tử nữ</v>
      </c>
      <c r="E3101" s="3" t="str">
        <f t="shared" si="2"/>
        <v>woman detective</v>
      </c>
    </row>
    <row r="3102" ht="15.75" customHeight="1">
      <c r="A3102" s="1" t="s">
        <v>8253</v>
      </c>
      <c r="B3102" s="1" t="s">
        <v>8254</v>
      </c>
      <c r="C3102" s="5" t="s">
        <v>8255</v>
      </c>
      <c r="D3102" s="2" t="str">
        <f t="shared" si="39"/>
        <v>thám tử nữ màu da sẫm</v>
      </c>
      <c r="E3102" s="3" t="str">
        <f t="shared" si="2"/>
        <v>woman detective dark skin tone</v>
      </c>
    </row>
    <row r="3103" ht="15.75" customHeight="1">
      <c r="A3103" s="1" t="s">
        <v>8256</v>
      </c>
      <c r="B3103" s="1" t="s">
        <v>8257</v>
      </c>
      <c r="C3103" s="5" t="s">
        <v>8258</v>
      </c>
      <c r="D3103" s="2" t="str">
        <f t="shared" si="39"/>
        <v>thám tử nữ màu da sáng</v>
      </c>
      <c r="E3103" s="3" t="str">
        <f t="shared" si="2"/>
        <v>woman detective light skin tone</v>
      </c>
    </row>
    <row r="3104" ht="15.75" customHeight="1">
      <c r="A3104" s="1" t="s">
        <v>8259</v>
      </c>
      <c r="B3104" s="1" t="s">
        <v>8260</v>
      </c>
      <c r="C3104" s="5" t="s">
        <v>8261</v>
      </c>
      <c r="D3104" s="2" t="str">
        <f t="shared" si="39"/>
        <v>thám tử nữ màu da sẫm vừa</v>
      </c>
      <c r="E3104" s="3" t="str">
        <f t="shared" si="2"/>
        <v>woman detective medium-dark skin tone</v>
      </c>
    </row>
    <row r="3105" ht="15.75" customHeight="1">
      <c r="A3105" s="1" t="s">
        <v>8262</v>
      </c>
      <c r="B3105" s="1" t="s">
        <v>8263</v>
      </c>
      <c r="C3105" s="5" t="s">
        <v>8264</v>
      </c>
      <c r="D3105" s="2" t="str">
        <f t="shared" si="39"/>
        <v>thám tử nữ màu da sáng vừa</v>
      </c>
      <c r="E3105" s="3" t="str">
        <f t="shared" si="2"/>
        <v>woman detective medium-light skin tone</v>
      </c>
    </row>
    <row r="3106" ht="15.75" customHeight="1">
      <c r="A3106" s="1" t="s">
        <v>8265</v>
      </c>
      <c r="B3106" s="1" t="s">
        <v>8266</v>
      </c>
      <c r="C3106" s="5" t="s">
        <v>8267</v>
      </c>
      <c r="D3106" s="2" t="str">
        <f t="shared" si="39"/>
        <v>thám tử nữ màu da thường</v>
      </c>
      <c r="E3106" s="3" t="str">
        <f t="shared" si="2"/>
        <v>woman detective medium skin tone</v>
      </c>
    </row>
    <row r="3107" ht="15.75" customHeight="1">
      <c r="A3107" s="1" t="s">
        <v>8268</v>
      </c>
      <c r="B3107" s="1" t="s">
        <v>8269</v>
      </c>
      <c r="C3107" s="5" t="s">
        <v>8270</v>
      </c>
      <c r="D3107" s="2" t="str">
        <f t="shared" si="39"/>
        <v>elf nữ</v>
      </c>
      <c r="E3107" s="3" t="str">
        <f t="shared" si="2"/>
        <v>woman elf</v>
      </c>
    </row>
    <row r="3108" ht="15.75" customHeight="1">
      <c r="A3108" s="1" t="s">
        <v>8271</v>
      </c>
      <c r="B3108" s="1" t="s">
        <v>8272</v>
      </c>
      <c r="C3108" s="5" t="s">
        <v>8273</v>
      </c>
      <c r="D3108" s="2" t="str">
        <f t="shared" si="39"/>
        <v>elf nữ màu da sẫm</v>
      </c>
      <c r="E3108" s="3" t="str">
        <f t="shared" si="2"/>
        <v>woman elf dark skin tone</v>
      </c>
    </row>
    <row r="3109" ht="15.75" customHeight="1">
      <c r="A3109" s="1" t="s">
        <v>8274</v>
      </c>
      <c r="B3109" s="1" t="s">
        <v>8275</v>
      </c>
      <c r="C3109" s="5" t="s">
        <v>8276</v>
      </c>
      <c r="D3109" s="2" t="str">
        <f t="shared" si="39"/>
        <v>elf nữ màu da sáng</v>
      </c>
      <c r="E3109" s="3" t="str">
        <f t="shared" si="2"/>
        <v>woman elf light skin tone</v>
      </c>
    </row>
    <row r="3110" ht="15.75" customHeight="1">
      <c r="A3110" s="1" t="s">
        <v>8277</v>
      </c>
      <c r="B3110" s="1" t="s">
        <v>8278</v>
      </c>
      <c r="C3110" s="5" t="s">
        <v>8279</v>
      </c>
      <c r="D3110" s="2" t="str">
        <f t="shared" si="39"/>
        <v>elf nữ màu da sẫm vừa</v>
      </c>
      <c r="E3110" s="3" t="str">
        <f t="shared" si="2"/>
        <v>woman elf medium-dark skin tone</v>
      </c>
    </row>
    <row r="3111" ht="15.75" customHeight="1">
      <c r="A3111" s="1" t="s">
        <v>8280</v>
      </c>
      <c r="B3111" s="1" t="s">
        <v>8281</v>
      </c>
      <c r="C3111" s="5" t="s">
        <v>8282</v>
      </c>
      <c r="D3111" s="2" t="str">
        <f t="shared" si="39"/>
        <v>elf nữ màu da sáng vừa</v>
      </c>
      <c r="E3111" s="3" t="str">
        <f t="shared" si="2"/>
        <v>woman elf medium-light skin tone</v>
      </c>
    </row>
    <row r="3112" ht="15.75" customHeight="1">
      <c r="A3112" s="1" t="s">
        <v>8283</v>
      </c>
      <c r="B3112" s="1" t="s">
        <v>8284</v>
      </c>
      <c r="C3112" s="5" t="s">
        <v>8285</v>
      </c>
      <c r="D3112" s="2" t="str">
        <f t="shared" si="39"/>
        <v>elf nữ màu da thường</v>
      </c>
      <c r="E3112" s="3" t="str">
        <f t="shared" si="2"/>
        <v>woman elf medium skin tone</v>
      </c>
    </row>
    <row r="3113" ht="15.75" customHeight="1">
      <c r="A3113" s="1" t="s">
        <v>8286</v>
      </c>
      <c r="B3113" s="1" t="s">
        <v>8287</v>
      </c>
      <c r="C3113" s="5" t="s">
        <v>8288</v>
      </c>
      <c r="D3113" s="2" t="str">
        <f t="shared" si="39"/>
        <v>người phụ nữ lấy tay che mặt</v>
      </c>
      <c r="E3113" s="3" t="str">
        <f t="shared" si="2"/>
        <v>woman facepalming</v>
      </c>
    </row>
    <row r="3114" ht="15.75" customHeight="1">
      <c r="A3114" s="1" t="s">
        <v>8289</v>
      </c>
      <c r="B3114" s="1" t="s">
        <v>8290</v>
      </c>
      <c r="C3114" s="5" t="s">
        <v>8291</v>
      </c>
      <c r="D3114" s="2" t="str">
        <f t="shared" si="39"/>
        <v>người phụ nữ màu da sẫm lấy tay che mặt</v>
      </c>
      <c r="E3114" s="3" t="str">
        <f t="shared" si="2"/>
        <v>woman facepalming dark skin tone</v>
      </c>
    </row>
    <row r="3115" ht="15.75" customHeight="1">
      <c r="A3115" s="1" t="s">
        <v>8292</v>
      </c>
      <c r="B3115" s="1" t="s">
        <v>8293</v>
      </c>
      <c r="C3115" s="5" t="s">
        <v>8294</v>
      </c>
      <c r="D3115" s="2" t="str">
        <f t="shared" si="39"/>
        <v>người phụ nữ màu da sáng lấy tay che mặt</v>
      </c>
      <c r="E3115" s="3" t="str">
        <f t="shared" si="2"/>
        <v>woman facepalming light skin tone</v>
      </c>
    </row>
    <row r="3116" ht="15.75" customHeight="1">
      <c r="A3116" s="1" t="s">
        <v>8295</v>
      </c>
      <c r="B3116" s="1" t="s">
        <v>8296</v>
      </c>
      <c r="C3116" s="5" t="s">
        <v>8297</v>
      </c>
      <c r="D3116" s="2" t="str">
        <f t="shared" si="39"/>
        <v>người phụ nữ màu da sẫm vừa lấy tay che mặt</v>
      </c>
      <c r="E3116" s="3" t="str">
        <f t="shared" si="2"/>
        <v>woman facepalming medium-dark skin tone</v>
      </c>
    </row>
    <row r="3117" ht="15.75" customHeight="1">
      <c r="A3117" s="1" t="s">
        <v>8298</v>
      </c>
      <c r="B3117" s="1" t="s">
        <v>8299</v>
      </c>
      <c r="C3117" s="5" t="s">
        <v>8300</v>
      </c>
      <c r="D3117" s="2" t="str">
        <f t="shared" si="39"/>
        <v>người phụ nữ màu da sáng vừa lấy tay che mặt</v>
      </c>
      <c r="E3117" s="3" t="str">
        <f t="shared" si="2"/>
        <v>woman facepalming medium-light skin tone</v>
      </c>
    </row>
    <row r="3118" ht="15.75" customHeight="1">
      <c r="A3118" s="1" t="s">
        <v>8301</v>
      </c>
      <c r="B3118" s="1" t="s">
        <v>8302</v>
      </c>
      <c r="C3118" s="5" t="s">
        <v>8303</v>
      </c>
      <c r="D3118" s="2" t="str">
        <f t="shared" si="39"/>
        <v>người phụ nữ màu da thường lấy tay che mặt</v>
      </c>
      <c r="E3118" s="3" t="str">
        <f t="shared" si="2"/>
        <v>woman facepalming medium skin tone</v>
      </c>
    </row>
    <row r="3119" ht="15.75" customHeight="1">
      <c r="A3119" s="1" t="s">
        <v>8304</v>
      </c>
      <c r="B3119" s="1" t="s">
        <v>8305</v>
      </c>
      <c r="C3119" s="5" t="s">
        <v>8306</v>
      </c>
      <c r="D3119" s="2" t="str">
        <f t="shared" si="39"/>
        <v>nhân viên nhà máy nữ</v>
      </c>
      <c r="E3119" s="3" t="str">
        <f t="shared" si="2"/>
        <v>woman factory worker</v>
      </c>
    </row>
    <row r="3120" ht="15.75" customHeight="1">
      <c r="A3120" s="1" t="s">
        <v>8307</v>
      </c>
      <c r="B3120" s="1" t="s">
        <v>8308</v>
      </c>
      <c r="C3120" s="5" t="s">
        <v>8309</v>
      </c>
      <c r="D3120" s="2" t="str">
        <f t="shared" si="39"/>
        <v>nhân viên nhà máy nữ màu da sẫm</v>
      </c>
      <c r="E3120" s="3" t="str">
        <f t="shared" si="2"/>
        <v>woman factory worker dark skin tone</v>
      </c>
    </row>
    <row r="3121" ht="15.75" customHeight="1">
      <c r="A3121" s="1" t="s">
        <v>8310</v>
      </c>
      <c r="B3121" s="1" t="s">
        <v>8311</v>
      </c>
      <c r="C3121" s="5" t="s">
        <v>8312</v>
      </c>
      <c r="D3121" s="2" t="str">
        <f t="shared" si="39"/>
        <v>nhân viên nhà máy nữ màu da sáng</v>
      </c>
      <c r="E3121" s="3" t="str">
        <f t="shared" si="2"/>
        <v>woman factory worker light skin tone</v>
      </c>
    </row>
    <row r="3122" ht="15.75" customHeight="1">
      <c r="A3122" s="1" t="s">
        <v>8313</v>
      </c>
      <c r="B3122" s="1" t="s">
        <v>8314</v>
      </c>
      <c r="C3122" s="5" t="s">
        <v>8315</v>
      </c>
      <c r="D3122" s="2" t="str">
        <f t="shared" si="39"/>
        <v>nhân viên nhà máy nữ màu da sẫm vừa</v>
      </c>
      <c r="E3122" s="3" t="str">
        <f t="shared" si="2"/>
        <v>woman factory worker medium-dark skin tone</v>
      </c>
    </row>
    <row r="3123" ht="15.75" customHeight="1">
      <c r="A3123" s="1" t="s">
        <v>8316</v>
      </c>
      <c r="B3123" s="1" t="s">
        <v>8317</v>
      </c>
      <c r="C3123" s="5" t="s">
        <v>8318</v>
      </c>
      <c r="D3123" s="2" t="str">
        <f t="shared" si="39"/>
        <v>nhân viên nhà máy nữ màu da sáng vừa</v>
      </c>
      <c r="E3123" s="3" t="str">
        <f t="shared" si="2"/>
        <v>woman factory worker medium-light skin tone</v>
      </c>
    </row>
    <row r="3124" ht="15.75" customHeight="1">
      <c r="A3124" s="1" t="s">
        <v>8319</v>
      </c>
      <c r="B3124" s="1" t="s">
        <v>8320</v>
      </c>
      <c r="C3124" s="5" t="s">
        <v>8321</v>
      </c>
      <c r="D3124" s="2" t="str">
        <f t="shared" si="39"/>
        <v>nhân viên nhà máy nữ màu da thường</v>
      </c>
      <c r="E3124" s="3" t="str">
        <f t="shared" si="2"/>
        <v>woman factory worker medium skin tone</v>
      </c>
    </row>
    <row r="3125" ht="15.75" customHeight="1">
      <c r="A3125" s="1" t="s">
        <v>8322</v>
      </c>
      <c r="B3125" s="1" t="s">
        <v>8323</v>
      </c>
      <c r="C3125" s="5" t="s">
        <v>8324</v>
      </c>
      <c r="D3125" s="2" t="str">
        <f t="shared" si="39"/>
        <v>tiên nữ</v>
      </c>
      <c r="E3125" s="3" t="str">
        <f t="shared" si="2"/>
        <v>woman fairy</v>
      </c>
    </row>
    <row r="3126" ht="15.75" customHeight="1">
      <c r="A3126" s="1" t="s">
        <v>8325</v>
      </c>
      <c r="B3126" s="1" t="s">
        <v>8326</v>
      </c>
      <c r="C3126" s="5" t="s">
        <v>8327</v>
      </c>
      <c r="D3126" s="2" t="str">
        <f t="shared" si="39"/>
        <v>tiên nữ màu da sẫm</v>
      </c>
      <c r="E3126" s="3" t="str">
        <f t="shared" si="2"/>
        <v>woman fairy dark skin tone</v>
      </c>
    </row>
    <row r="3127" ht="15.75" customHeight="1">
      <c r="A3127" s="1" t="s">
        <v>8328</v>
      </c>
      <c r="B3127" s="1" t="s">
        <v>8329</v>
      </c>
      <c r="C3127" s="5" t="s">
        <v>8330</v>
      </c>
      <c r="D3127" s="2" t="str">
        <f t="shared" si="39"/>
        <v>tiên nữ màu da sáng</v>
      </c>
      <c r="E3127" s="3" t="str">
        <f t="shared" si="2"/>
        <v>woman fairy light skin tone</v>
      </c>
    </row>
    <row r="3128" ht="15.75" customHeight="1">
      <c r="A3128" s="1" t="s">
        <v>8331</v>
      </c>
      <c r="B3128" s="1" t="s">
        <v>8332</v>
      </c>
      <c r="C3128" s="5" t="s">
        <v>8333</v>
      </c>
      <c r="D3128" s="2" t="str">
        <f t="shared" si="39"/>
        <v>tiên nữ màu da sẫm vừa</v>
      </c>
      <c r="E3128" s="3" t="str">
        <f t="shared" si="2"/>
        <v>woman fairy medium-dark skin tone</v>
      </c>
    </row>
    <row r="3129" ht="15.75" customHeight="1">
      <c r="A3129" s="1" t="s">
        <v>8334</v>
      </c>
      <c r="B3129" s="1" t="s">
        <v>8335</v>
      </c>
      <c r="C3129" s="5" t="s">
        <v>8336</v>
      </c>
      <c r="D3129" s="2" t="str">
        <f t="shared" si="39"/>
        <v>tiên nữ màu da sáng vừa</v>
      </c>
      <c r="E3129" s="3" t="str">
        <f t="shared" si="2"/>
        <v>woman fairy medium-light skin tone</v>
      </c>
    </row>
    <row r="3130" ht="15.75" customHeight="1">
      <c r="A3130" s="1" t="s">
        <v>8337</v>
      </c>
      <c r="B3130" s="1" t="s">
        <v>8338</v>
      </c>
      <c r="C3130" s="5" t="s">
        <v>8339</v>
      </c>
      <c r="D3130" s="2" t="str">
        <f t="shared" si="39"/>
        <v>tiên nữ màu da thường</v>
      </c>
      <c r="E3130" s="3" t="str">
        <f t="shared" si="2"/>
        <v>woman fairy medium skin tone</v>
      </c>
    </row>
    <row r="3131" ht="15.75" customHeight="1">
      <c r="A3131" s="1" t="s">
        <v>8340</v>
      </c>
      <c r="B3131" s="1" t="s">
        <v>8341</v>
      </c>
      <c r="C3131" s="5" t="s">
        <v>8342</v>
      </c>
      <c r="D3131" s="2" t="str">
        <f t="shared" si="39"/>
        <v>nông dân nữ</v>
      </c>
      <c r="E3131" s="3" t="str">
        <f t="shared" si="2"/>
        <v>woman farmer</v>
      </c>
    </row>
    <row r="3132" ht="15.75" customHeight="1">
      <c r="A3132" s="1" t="s">
        <v>8343</v>
      </c>
      <c r="B3132" s="1" t="s">
        <v>8344</v>
      </c>
      <c r="C3132" s="5" t="s">
        <v>8345</v>
      </c>
      <c r="D3132" s="2" t="str">
        <f t="shared" si="39"/>
        <v>nông dân nữ màu da sẫm</v>
      </c>
      <c r="E3132" s="3" t="str">
        <f t="shared" si="2"/>
        <v>woman farmer dark skin tone</v>
      </c>
    </row>
    <row r="3133" ht="15.75" customHeight="1">
      <c r="A3133" s="1" t="s">
        <v>8346</v>
      </c>
      <c r="B3133" s="1" t="s">
        <v>8347</v>
      </c>
      <c r="C3133" s="5" t="s">
        <v>8348</v>
      </c>
      <c r="D3133" s="2" t="str">
        <f t="shared" si="39"/>
        <v>nông dân nữ màu da sáng</v>
      </c>
      <c r="E3133" s="3" t="str">
        <f t="shared" si="2"/>
        <v>woman farmer light skin tone</v>
      </c>
    </row>
    <row r="3134" ht="15.75" customHeight="1">
      <c r="A3134" s="1" t="s">
        <v>8349</v>
      </c>
      <c r="B3134" s="1" t="s">
        <v>8350</v>
      </c>
      <c r="C3134" s="5" t="s">
        <v>8351</v>
      </c>
      <c r="D3134" s="2" t="str">
        <f t="shared" si="39"/>
        <v>nông dân nữ màu da sẫm vừa</v>
      </c>
      <c r="E3134" s="3" t="str">
        <f t="shared" si="2"/>
        <v>woman farmer medium-dark skin tone</v>
      </c>
    </row>
    <row r="3135" ht="15.75" customHeight="1">
      <c r="A3135" s="1" t="s">
        <v>8352</v>
      </c>
      <c r="B3135" s="1" t="s">
        <v>8353</v>
      </c>
      <c r="C3135" s="5" t="s">
        <v>8354</v>
      </c>
      <c r="D3135" s="2" t="str">
        <f t="shared" si="39"/>
        <v>nông dân nữ màu da sáng vừa</v>
      </c>
      <c r="E3135" s="3" t="str">
        <f t="shared" si="2"/>
        <v>woman farmer medium-light skin tone</v>
      </c>
    </row>
    <row r="3136" ht="15.75" customHeight="1">
      <c r="A3136" s="1" t="s">
        <v>8355</v>
      </c>
      <c r="B3136" s="1" t="s">
        <v>8356</v>
      </c>
      <c r="C3136" s="5" t="s">
        <v>8357</v>
      </c>
      <c r="D3136" s="2" t="str">
        <f t="shared" si="39"/>
        <v>nông dân nữ màu da thường</v>
      </c>
      <c r="E3136" s="3" t="str">
        <f t="shared" si="2"/>
        <v>woman farmer medium skin tone</v>
      </c>
    </row>
    <row r="3137" ht="15.75" customHeight="1">
      <c r="A3137" s="1" t="s">
        <v>8358</v>
      </c>
      <c r="B3137" s="1" t="s">
        <v>8359</v>
      </c>
      <c r="C3137" s="5" t="s">
        <v>8360</v>
      </c>
      <c r="D3137" s="2" t="str">
        <f t="shared" si="39"/>
        <v>người phụ nữ cho em bé ăn</v>
      </c>
      <c r="E3137" s="3" t="str">
        <f t="shared" si="2"/>
        <v>woman feeding baby</v>
      </c>
    </row>
    <row r="3138" ht="15.75" customHeight="1">
      <c r="A3138" s="1" t="s">
        <v>8361</v>
      </c>
      <c r="B3138" s="1" t="s">
        <v>8362</v>
      </c>
      <c r="C3138" s="5" t="s">
        <v>8363</v>
      </c>
      <c r="D3138" s="2" t="str">
        <f t="shared" si="39"/>
        <v>người phụ nữ màu da sẫm cho em bé ăn</v>
      </c>
      <c r="E3138" s="3" t="str">
        <f t="shared" si="2"/>
        <v>woman feeding baby dark skin tone</v>
      </c>
    </row>
    <row r="3139" ht="15.75" customHeight="1">
      <c r="A3139" s="1" t="s">
        <v>8364</v>
      </c>
      <c r="B3139" s="1" t="s">
        <v>8365</v>
      </c>
      <c r="C3139" s="5" t="s">
        <v>8366</v>
      </c>
      <c r="D3139" s="2" t="str">
        <f t="shared" si="39"/>
        <v>người phụ nữ màu da sáng cho em bé ăn</v>
      </c>
      <c r="E3139" s="3" t="str">
        <f t="shared" si="2"/>
        <v>woman feeding baby light skin tone</v>
      </c>
    </row>
    <row r="3140" ht="15.75" customHeight="1">
      <c r="A3140" s="1" t="s">
        <v>8367</v>
      </c>
      <c r="B3140" s="1" t="s">
        <v>8368</v>
      </c>
      <c r="C3140" s="5" t="s">
        <v>8369</v>
      </c>
      <c r="D3140" s="2" t="str">
        <f t="shared" si="39"/>
        <v>người phụ nữ màu da sẫm vừa cho em bé ăn</v>
      </c>
      <c r="E3140" s="3" t="str">
        <f t="shared" si="2"/>
        <v>woman feeding baby medium-dark skin tone</v>
      </c>
    </row>
    <row r="3141" ht="15.75" customHeight="1">
      <c r="A3141" s="1" t="s">
        <v>8370</v>
      </c>
      <c r="B3141" s="1" t="s">
        <v>8371</v>
      </c>
      <c r="C3141" s="5" t="s">
        <v>8372</v>
      </c>
      <c r="D3141" s="2" t="str">
        <f t="shared" si="39"/>
        <v>người phụ nữ màu da sáng vừa cho em bé ăn</v>
      </c>
      <c r="E3141" s="3" t="str">
        <f t="shared" si="2"/>
        <v>woman feeding baby medium-light skin tone</v>
      </c>
    </row>
    <row r="3142" ht="15.75" customHeight="1">
      <c r="A3142" s="1" t="s">
        <v>8373</v>
      </c>
      <c r="B3142" s="1" t="s">
        <v>8374</v>
      </c>
      <c r="C3142" s="5" t="s">
        <v>8375</v>
      </c>
      <c r="D3142" s="2" t="str">
        <f t="shared" si="39"/>
        <v>người phụ nữ màu da thường cho em bé ăn</v>
      </c>
      <c r="E3142" s="3" t="str">
        <f t="shared" si="2"/>
        <v>woman feeding baby medium skin tone</v>
      </c>
    </row>
    <row r="3143" ht="15.75" customHeight="1">
      <c r="A3143" s="1" t="s">
        <v>8376</v>
      </c>
      <c r="B3143" s="1" t="s">
        <v>8377</v>
      </c>
      <c r="C3143" s="5" t="s">
        <v>8378</v>
      </c>
      <c r="D3143" s="2" t="str">
        <f t="shared" si="39"/>
        <v>lính cứu hoả nữ</v>
      </c>
      <c r="E3143" s="3" t="str">
        <f t="shared" si="2"/>
        <v>woman firefighter</v>
      </c>
    </row>
    <row r="3144" ht="15.75" customHeight="1">
      <c r="A3144" s="1" t="s">
        <v>8379</v>
      </c>
      <c r="B3144" s="1" t="s">
        <v>8380</v>
      </c>
      <c r="C3144" s="5" t="s">
        <v>8381</v>
      </c>
      <c r="D3144" s="2" t="str">
        <f t="shared" si="39"/>
        <v>lính cứu hoả nữ màu da sẫm</v>
      </c>
      <c r="E3144" s="3" t="str">
        <f t="shared" si="2"/>
        <v>woman firefighter dark skin tone</v>
      </c>
    </row>
    <row r="3145" ht="15.75" customHeight="1">
      <c r="A3145" s="1" t="s">
        <v>8382</v>
      </c>
      <c r="B3145" s="1" t="s">
        <v>8383</v>
      </c>
      <c r="C3145" s="5" t="s">
        <v>8384</v>
      </c>
      <c r="D3145" s="2" t="str">
        <f t="shared" si="39"/>
        <v>lính cứu hoả nữ màu da sáng</v>
      </c>
      <c r="E3145" s="3" t="str">
        <f t="shared" si="2"/>
        <v>woman firefighter light skin tone</v>
      </c>
    </row>
    <row r="3146" ht="15.75" customHeight="1">
      <c r="A3146" s="1" t="s">
        <v>8385</v>
      </c>
      <c r="B3146" s="1" t="s">
        <v>8386</v>
      </c>
      <c r="C3146" s="5" t="s">
        <v>8387</v>
      </c>
      <c r="D3146" s="2" t="str">
        <f t="shared" si="39"/>
        <v>lính cứu hoả nữ màu da sẫm vừa</v>
      </c>
      <c r="E3146" s="3" t="str">
        <f t="shared" si="2"/>
        <v>woman firefighter medium-dark skin tone</v>
      </c>
    </row>
    <row r="3147" ht="15.75" customHeight="1">
      <c r="A3147" s="1" t="s">
        <v>8388</v>
      </c>
      <c r="B3147" s="1" t="s">
        <v>8389</v>
      </c>
      <c r="C3147" s="5" t="s">
        <v>8390</v>
      </c>
      <c r="D3147" s="2" t="str">
        <f t="shared" si="39"/>
        <v>lính cứu hoả nữ màu da sáng vừa</v>
      </c>
      <c r="E3147" s="3" t="str">
        <f t="shared" si="2"/>
        <v>woman firefighter medium-light skin tone</v>
      </c>
    </row>
    <row r="3148" ht="15.75" customHeight="1">
      <c r="A3148" s="1" t="s">
        <v>8391</v>
      </c>
      <c r="B3148" s="1" t="s">
        <v>8392</v>
      </c>
      <c r="C3148" s="5" t="s">
        <v>8393</v>
      </c>
      <c r="D3148" s="2" t="str">
        <f t="shared" si="39"/>
        <v>lính cứu hoả nữ màu da thường</v>
      </c>
      <c r="E3148" s="3" t="str">
        <f t="shared" si="2"/>
        <v>woman firefighter medium skin tone</v>
      </c>
    </row>
    <row r="3149" ht="15.75" customHeight="1">
      <c r="A3149" s="1" t="s">
        <v>8394</v>
      </c>
      <c r="B3149" s="1" t="s">
        <v>8395</v>
      </c>
      <c r="C3149" s="5" t="str">
        <f>IFERROR(__xludf.DUMMYFUNCTION("GOOGLETRANSLATE(E3149, ""en"",""vi"")"),"người phụ nữ cau mày")</f>
        <v>người phụ nữ cau mày</v>
      </c>
      <c r="D3149" s="2" t="str">
        <f t="shared" si="39"/>
        <v>người phụ nữ cau mày</v>
      </c>
      <c r="E3149" s="3" t="str">
        <f t="shared" si="2"/>
        <v>woman frowning</v>
      </c>
    </row>
    <row r="3150" ht="15.75" customHeight="1">
      <c r="A3150" s="1" t="s">
        <v>8396</v>
      </c>
      <c r="B3150" s="1" t="s">
        <v>8397</v>
      </c>
      <c r="C3150" s="5" t="s">
        <v>8398</v>
      </c>
      <c r="D3150" s="2" t="str">
        <f t="shared" si="39"/>
        <v>người phụ nữ cau mày màu da sẫm</v>
      </c>
      <c r="E3150" s="3" t="str">
        <f t="shared" si="2"/>
        <v>woman frowning dark skin tone</v>
      </c>
    </row>
    <row r="3151" ht="15.75" customHeight="1">
      <c r="A3151" s="1" t="s">
        <v>8399</v>
      </c>
      <c r="B3151" s="1" t="s">
        <v>8400</v>
      </c>
      <c r="C3151" s="5" t="s">
        <v>8401</v>
      </c>
      <c r="D3151" s="2" t="str">
        <f t="shared" si="39"/>
        <v>người phụ nữ cau mày màu da sáng</v>
      </c>
      <c r="E3151" s="3" t="str">
        <f t="shared" si="2"/>
        <v>woman frowning light skin tone</v>
      </c>
    </row>
    <row r="3152" ht="15.75" customHeight="1">
      <c r="A3152" s="1" t="s">
        <v>8402</v>
      </c>
      <c r="B3152" s="1" t="s">
        <v>8403</v>
      </c>
      <c r="C3152" s="5" t="s">
        <v>8404</v>
      </c>
      <c r="D3152" s="2" t="str">
        <f t="shared" si="39"/>
        <v>người phụ nữ cau mày màu da sẫm vừa</v>
      </c>
      <c r="E3152" s="3" t="str">
        <f t="shared" si="2"/>
        <v>woman frowning medium-dark skin tone</v>
      </c>
    </row>
    <row r="3153" ht="15.75" customHeight="1">
      <c r="A3153" s="1" t="s">
        <v>8405</v>
      </c>
      <c r="B3153" s="1" t="s">
        <v>8406</v>
      </c>
      <c r="C3153" s="5" t="s">
        <v>8407</v>
      </c>
      <c r="D3153" s="2" t="str">
        <f t="shared" si="39"/>
        <v>người phụ nữ cau mày màu da sáng vừa</v>
      </c>
      <c r="E3153" s="3" t="str">
        <f t="shared" si="2"/>
        <v>woman frowning medium-light skin tone</v>
      </c>
    </row>
    <row r="3154" ht="15.75" customHeight="1">
      <c r="A3154" s="1" t="s">
        <v>8408</v>
      </c>
      <c r="B3154" s="1" t="s">
        <v>8409</v>
      </c>
      <c r="C3154" s="5" t="s">
        <v>8410</v>
      </c>
      <c r="D3154" s="2" t="str">
        <f t="shared" si="39"/>
        <v>người phụ nữ cau mày màu da thường</v>
      </c>
      <c r="E3154" s="3" t="str">
        <f t="shared" si="2"/>
        <v>woman frowning medium skin tone</v>
      </c>
    </row>
    <row r="3155" ht="15.75" customHeight="1">
      <c r="A3155" s="1" t="s">
        <v>8411</v>
      </c>
      <c r="B3155" s="1" t="s">
        <v>8412</v>
      </c>
      <c r="C3155" s="5" t="s">
        <v>8413</v>
      </c>
      <c r="D3155" s="2" t="str">
        <f t="shared" si="39"/>
        <v>thần đèn nữ</v>
      </c>
      <c r="E3155" s="3" t="str">
        <f t="shared" si="2"/>
        <v>woman genie</v>
      </c>
    </row>
    <row r="3156" ht="15.75" customHeight="1">
      <c r="A3156" s="1" t="s">
        <v>8414</v>
      </c>
      <c r="B3156" s="1" t="s">
        <v>8415</v>
      </c>
      <c r="C3156" s="5" t="s">
        <v>8416</v>
      </c>
      <c r="D3156" s="2" t="str">
        <f t="shared" si="39"/>
        <v>người phụ nữ làm cử chỉ không</v>
      </c>
      <c r="E3156" s="3" t="str">
        <f t="shared" si="2"/>
        <v>woman gesturing NO</v>
      </c>
    </row>
    <row r="3157" ht="15.75" customHeight="1">
      <c r="A3157" s="1" t="s">
        <v>8417</v>
      </c>
      <c r="B3157" s="1" t="s">
        <v>8418</v>
      </c>
      <c r="C3157" s="5" t="s">
        <v>8419</v>
      </c>
      <c r="D3157" s="2" t="str">
        <f t="shared" si="39"/>
        <v>người phụ nữ màu da sẫm làm cử chỉ không</v>
      </c>
      <c r="E3157" s="3" t="str">
        <f t="shared" si="2"/>
        <v>woman gesturing NO dark skin tone</v>
      </c>
    </row>
    <row r="3158" ht="15.75" customHeight="1">
      <c r="A3158" s="1" t="s">
        <v>8420</v>
      </c>
      <c r="B3158" s="1" t="s">
        <v>8421</v>
      </c>
      <c r="C3158" s="5" t="s">
        <v>8422</v>
      </c>
      <c r="D3158" s="2" t="str">
        <f t="shared" si="39"/>
        <v>người phụ nữ màu da sáng làm cử chỉ không</v>
      </c>
      <c r="E3158" s="3" t="str">
        <f t="shared" si="2"/>
        <v>woman gesturing NO light skin tone</v>
      </c>
    </row>
    <row r="3159" ht="15.75" customHeight="1">
      <c r="A3159" s="1" t="s">
        <v>8423</v>
      </c>
      <c r="B3159" s="1" t="s">
        <v>8424</v>
      </c>
      <c r="C3159" s="5" t="s">
        <v>8425</v>
      </c>
      <c r="D3159" s="2" t="str">
        <f t="shared" si="39"/>
        <v>người phụ nữ màu da sẫm vừa làm cử chỉ không</v>
      </c>
      <c r="E3159" s="3" t="str">
        <f t="shared" si="2"/>
        <v>woman gesturing NO medium-dark skin tone</v>
      </c>
    </row>
    <row r="3160" ht="15.75" customHeight="1">
      <c r="A3160" s="1" t="s">
        <v>8426</v>
      </c>
      <c r="B3160" s="1" t="s">
        <v>8427</v>
      </c>
      <c r="C3160" s="5" t="s">
        <v>8428</v>
      </c>
      <c r="D3160" s="2" t="str">
        <f t="shared" si="39"/>
        <v>người phụ nữ màu da sáng vừa làm cử chỉ không</v>
      </c>
      <c r="E3160" s="3" t="str">
        <f t="shared" si="2"/>
        <v>woman gesturing NO medium-light skin tone</v>
      </c>
    </row>
    <row r="3161" ht="15.75" customHeight="1">
      <c r="A3161" s="1" t="s">
        <v>8429</v>
      </c>
      <c r="B3161" s="1" t="s">
        <v>8430</v>
      </c>
      <c r="C3161" s="5" t="s">
        <v>8431</v>
      </c>
      <c r="D3161" s="2" t="str">
        <f t="shared" si="39"/>
        <v>người phụ nữ màu da thường làm cử chỉ không</v>
      </c>
      <c r="E3161" s="3" t="str">
        <f t="shared" si="2"/>
        <v>woman gesturing NO medium skin tone</v>
      </c>
    </row>
    <row r="3162" ht="15.75" customHeight="1">
      <c r="A3162" s="1" t="s">
        <v>8432</v>
      </c>
      <c r="B3162" s="1" t="s">
        <v>8433</v>
      </c>
      <c r="C3162" s="5" t="s">
        <v>8434</v>
      </c>
      <c r="D3162" s="2" t="str">
        <f t="shared" si="39"/>
        <v>người phụ nữ làm cử chỉ ok</v>
      </c>
      <c r="E3162" s="3" t="str">
        <f t="shared" si="2"/>
        <v>woman gesturing OK</v>
      </c>
    </row>
    <row r="3163" ht="15.75" customHeight="1">
      <c r="A3163" s="1" t="s">
        <v>8435</v>
      </c>
      <c r="B3163" s="1" t="s">
        <v>8436</v>
      </c>
      <c r="C3163" s="5" t="s">
        <v>8437</v>
      </c>
      <c r="D3163" s="2" t="str">
        <f t="shared" si="39"/>
        <v>người phụ nữ màu da sẫm làm cử chỉ ok</v>
      </c>
      <c r="E3163" s="3" t="str">
        <f t="shared" si="2"/>
        <v>woman gesturing OK dark skin tone</v>
      </c>
    </row>
    <row r="3164" ht="15.75" customHeight="1">
      <c r="A3164" s="1" t="s">
        <v>8438</v>
      </c>
      <c r="B3164" s="1" t="s">
        <v>8439</v>
      </c>
      <c r="C3164" s="5" t="s">
        <v>8440</v>
      </c>
      <c r="D3164" s="2" t="str">
        <f t="shared" si="39"/>
        <v>người phụ nữ màu da sáng làm cử chỉ ok</v>
      </c>
      <c r="E3164" s="3" t="str">
        <f t="shared" si="2"/>
        <v>woman gesturing OK light skin tone</v>
      </c>
    </row>
    <row r="3165" ht="15.75" customHeight="1">
      <c r="A3165" s="1" t="s">
        <v>8441</v>
      </c>
      <c r="B3165" s="1" t="s">
        <v>8442</v>
      </c>
      <c r="C3165" s="5" t="s">
        <v>8443</v>
      </c>
      <c r="D3165" s="2" t="str">
        <f t="shared" si="39"/>
        <v>người phụ nữ màu da sẫm vừa làm cử chỉ ok</v>
      </c>
      <c r="E3165" s="3" t="str">
        <f t="shared" si="2"/>
        <v>woman gesturing OK medium-dark skin tone</v>
      </c>
    </row>
    <row r="3166" ht="15.75" customHeight="1">
      <c r="A3166" s="1" t="s">
        <v>8444</v>
      </c>
      <c r="B3166" s="1" t="s">
        <v>8445</v>
      </c>
      <c r="C3166" s="5" t="s">
        <v>8446</v>
      </c>
      <c r="D3166" s="2" t="str">
        <f t="shared" si="39"/>
        <v>người phụ nữ màu da sáng vừa làm cử chỉ ok</v>
      </c>
      <c r="E3166" s="3" t="str">
        <f t="shared" si="2"/>
        <v>woman gesturing OK medium-light skin tone</v>
      </c>
    </row>
    <row r="3167" ht="15.75" customHeight="1">
      <c r="A3167" s="1" t="s">
        <v>8447</v>
      </c>
      <c r="B3167" s="1" t="s">
        <v>8448</v>
      </c>
      <c r="C3167" s="5" t="s">
        <v>8449</v>
      </c>
      <c r="D3167" s="2" t="str">
        <f t="shared" si="39"/>
        <v>người phụ nữ màu da thường làm cử chỉ ok</v>
      </c>
      <c r="E3167" s="3" t="str">
        <f t="shared" si="2"/>
        <v>woman gesturing OK medium skin tone</v>
      </c>
    </row>
    <row r="3168" ht="15.75" customHeight="1">
      <c r="A3168" s="1" t="s">
        <v>8450</v>
      </c>
      <c r="B3168" s="1" t="s">
        <v>8451</v>
      </c>
      <c r="C3168" s="5" t="s">
        <v>8452</v>
      </c>
      <c r="D3168" s="2" t="str">
        <f t="shared" si="39"/>
        <v>người phụ nữ đang được cắt tóc</v>
      </c>
      <c r="E3168" s="3" t="str">
        <f t="shared" si="2"/>
        <v>woman getting haircut</v>
      </c>
    </row>
    <row r="3169" ht="15.75" customHeight="1">
      <c r="A3169" s="1" t="s">
        <v>8453</v>
      </c>
      <c r="B3169" s="1" t="s">
        <v>8454</v>
      </c>
      <c r="C3169" s="5" t="s">
        <v>8455</v>
      </c>
      <c r="D3169" s="2" t="str">
        <f t="shared" si="39"/>
        <v>người phụ nữ màu da sẫm đang được cắt tóc</v>
      </c>
      <c r="E3169" s="3" t="str">
        <f t="shared" si="2"/>
        <v>woman getting haircut dark skin tone</v>
      </c>
    </row>
    <row r="3170" ht="15.75" customHeight="1">
      <c r="A3170" s="1" t="s">
        <v>8456</v>
      </c>
      <c r="B3170" s="1" t="s">
        <v>8457</v>
      </c>
      <c r="C3170" s="5" t="s">
        <v>8458</v>
      </c>
      <c r="D3170" s="2" t="str">
        <f t="shared" si="39"/>
        <v>người phụ nữ màu da sáng đang được cắt tóc</v>
      </c>
      <c r="E3170" s="3" t="str">
        <f t="shared" si="2"/>
        <v>woman getting haircut light skin tone</v>
      </c>
    </row>
    <row r="3171" ht="15.75" customHeight="1">
      <c r="A3171" s="1" t="s">
        <v>8459</v>
      </c>
      <c r="B3171" s="1" t="s">
        <v>8460</v>
      </c>
      <c r="C3171" s="5" t="s">
        <v>8461</v>
      </c>
      <c r="D3171" s="2" t="str">
        <f t="shared" si="39"/>
        <v>người phụ nữ màu da sẫm vừa đang được cắt tóc</v>
      </c>
      <c r="E3171" s="3" t="str">
        <f t="shared" si="2"/>
        <v>woman getting haircut medium-dark skin tone</v>
      </c>
    </row>
    <row r="3172" ht="15.75" customHeight="1">
      <c r="A3172" s="1" t="s">
        <v>8462</v>
      </c>
      <c r="B3172" s="1" t="s">
        <v>8463</v>
      </c>
      <c r="C3172" s="5" t="s">
        <v>8464</v>
      </c>
      <c r="D3172" s="2" t="str">
        <f t="shared" si="39"/>
        <v>người phụ nữ màu da sáng vừa đang được cắt tóc</v>
      </c>
      <c r="E3172" s="3" t="str">
        <f t="shared" si="2"/>
        <v>woman getting haircut medium-light skin tone</v>
      </c>
    </row>
    <row r="3173" ht="15.75" customHeight="1">
      <c r="A3173" s="1" t="s">
        <v>8465</v>
      </c>
      <c r="B3173" s="1" t="s">
        <v>8466</v>
      </c>
      <c r="C3173" s="5" t="s">
        <v>8467</v>
      </c>
      <c r="D3173" s="2" t="str">
        <f t="shared" si="39"/>
        <v>người phụ nữ màu da thường đang được cắt tóc</v>
      </c>
      <c r="E3173" s="3" t="str">
        <f t="shared" si="2"/>
        <v>woman getting haircut medium skin tone</v>
      </c>
    </row>
    <row r="3174" ht="15.75" customHeight="1">
      <c r="A3174" s="1" t="s">
        <v>8468</v>
      </c>
      <c r="B3174" s="1" t="s">
        <v>8469</v>
      </c>
      <c r="C3174" s="5" t="s">
        <v>8470</v>
      </c>
      <c r="D3174" s="2" t="str">
        <f t="shared" si="39"/>
        <v>người phụ nữ nhận được tin nhắn</v>
      </c>
      <c r="E3174" s="3" t="str">
        <f t="shared" si="2"/>
        <v>woman getting massage</v>
      </c>
    </row>
    <row r="3175" ht="15.75" customHeight="1">
      <c r="A3175" s="1" t="s">
        <v>8471</v>
      </c>
      <c r="B3175" s="1" t="s">
        <v>8472</v>
      </c>
      <c r="C3175" s="5" t="s">
        <v>8473</v>
      </c>
      <c r="D3175" s="2" t="str">
        <f t="shared" si="39"/>
        <v>người phụ nữ màu da sẫm nhận được tin nhắn</v>
      </c>
      <c r="E3175" s="3" t="str">
        <f t="shared" si="2"/>
        <v>woman getting massage dark skin tone</v>
      </c>
    </row>
    <row r="3176" ht="15.75" customHeight="1">
      <c r="A3176" s="1" t="s">
        <v>8474</v>
      </c>
      <c r="B3176" s="1" t="s">
        <v>8475</v>
      </c>
      <c r="C3176" s="5" t="s">
        <v>8476</v>
      </c>
      <c r="D3176" s="2" t="str">
        <f t="shared" si="39"/>
        <v>người phụ nữ màu da sáng nhận được tin nhắn</v>
      </c>
      <c r="E3176" s="3" t="str">
        <f t="shared" si="2"/>
        <v>woman getting massage light skin tone</v>
      </c>
    </row>
    <row r="3177" ht="15.75" customHeight="1">
      <c r="A3177" s="1" t="s">
        <v>8477</v>
      </c>
      <c r="B3177" s="1" t="s">
        <v>8478</v>
      </c>
      <c r="C3177" s="5" t="s">
        <v>8479</v>
      </c>
      <c r="D3177" s="2" t="str">
        <f t="shared" si="39"/>
        <v>người phụ nữ màu da sẫm vừa nhận được tin nhắn</v>
      </c>
      <c r="E3177" s="3" t="str">
        <f t="shared" si="2"/>
        <v>woman getting massage medium-dark skin tone</v>
      </c>
    </row>
    <row r="3178" ht="15.75" customHeight="1">
      <c r="A3178" s="1" t="s">
        <v>8480</v>
      </c>
      <c r="B3178" s="1" t="s">
        <v>8481</v>
      </c>
      <c r="C3178" s="5" t="s">
        <v>8482</v>
      </c>
      <c r="D3178" s="2" t="str">
        <f t="shared" si="39"/>
        <v>người phụ nữ màu da sáng vừa nhận được tin nhắn</v>
      </c>
      <c r="E3178" s="3" t="str">
        <f t="shared" si="2"/>
        <v>woman getting massage medium-light skin tone</v>
      </c>
    </row>
    <row r="3179" ht="15.75" customHeight="1">
      <c r="A3179" s="1" t="s">
        <v>8483</v>
      </c>
      <c r="B3179" s="1" t="s">
        <v>8484</v>
      </c>
      <c r="C3179" s="5" t="s">
        <v>8485</v>
      </c>
      <c r="D3179" s="2" t="str">
        <f t="shared" si="39"/>
        <v>người phụ nữ màu da thường nhận được tin nhắn</v>
      </c>
      <c r="E3179" s="3" t="str">
        <f t="shared" si="2"/>
        <v>woman getting massage medium skin tone</v>
      </c>
    </row>
    <row r="3180" ht="15.75" customHeight="1">
      <c r="A3180" s="1" t="s">
        <v>8486</v>
      </c>
      <c r="B3180" s="1" t="s">
        <v>8487</v>
      </c>
      <c r="C3180" s="5" t="s">
        <v>8488</v>
      </c>
      <c r="D3180" s="2" t="str">
        <f t="shared" si="39"/>
        <v>người phụ nữ chơi gôn</v>
      </c>
      <c r="E3180" s="3" t="str">
        <f t="shared" si="2"/>
        <v>woman golfing</v>
      </c>
    </row>
    <row r="3181" ht="15.75" customHeight="1">
      <c r="A3181" s="1" t="s">
        <v>8489</v>
      </c>
      <c r="B3181" s="1" t="s">
        <v>8490</v>
      </c>
      <c r="C3181" s="5" t="s">
        <v>8491</v>
      </c>
      <c r="D3181" s="2" t="str">
        <f t="shared" si="39"/>
        <v>người phụ nữ màu da sẫm chơi gôn</v>
      </c>
      <c r="E3181" s="3" t="str">
        <f t="shared" si="2"/>
        <v>woman golfing dark skin tone</v>
      </c>
    </row>
    <row r="3182" ht="15.75" customHeight="1">
      <c r="A3182" s="1" t="s">
        <v>8492</v>
      </c>
      <c r="B3182" s="1" t="s">
        <v>8493</v>
      </c>
      <c r="C3182" s="5" t="s">
        <v>8494</v>
      </c>
      <c r="D3182" s="2" t="str">
        <f t="shared" si="39"/>
        <v>người phụ nữ màu da sáng chơi gôn</v>
      </c>
      <c r="E3182" s="3" t="str">
        <f t="shared" si="2"/>
        <v>woman golfing light skin tone</v>
      </c>
    </row>
    <row r="3183" ht="15.75" customHeight="1">
      <c r="A3183" s="1" t="s">
        <v>8495</v>
      </c>
      <c r="B3183" s="1" t="s">
        <v>8496</v>
      </c>
      <c r="C3183" s="5" t="s">
        <v>8497</v>
      </c>
      <c r="D3183" s="2" t="str">
        <f t="shared" si="39"/>
        <v>người phụ nữ màu da sẫm vừa chơi gôn</v>
      </c>
      <c r="E3183" s="3" t="str">
        <f t="shared" si="2"/>
        <v>woman golfing medium-dark skin tone</v>
      </c>
    </row>
    <row r="3184" ht="15.75" customHeight="1">
      <c r="A3184" s="1" t="s">
        <v>8498</v>
      </c>
      <c r="B3184" s="1" t="s">
        <v>8499</v>
      </c>
      <c r="C3184" s="5" t="s">
        <v>8500</v>
      </c>
      <c r="D3184" s="2" t="str">
        <f t="shared" si="39"/>
        <v>người phụ nữ màu da sáng vừa chơi gôn</v>
      </c>
      <c r="E3184" s="3" t="str">
        <f t="shared" si="2"/>
        <v>woman golfing medium-light skin tone</v>
      </c>
    </row>
    <row r="3185" ht="15.75" customHeight="1">
      <c r="A3185" s="1" t="s">
        <v>8501</v>
      </c>
      <c r="B3185" s="1" t="s">
        <v>8502</v>
      </c>
      <c r="C3185" s="5" t="s">
        <v>8503</v>
      </c>
      <c r="D3185" s="2" t="str">
        <f t="shared" si="39"/>
        <v>người phụ nữ màu da thường chơi gôn</v>
      </c>
      <c r="E3185" s="3" t="str">
        <f t="shared" si="2"/>
        <v>woman golfing medium skin tone</v>
      </c>
    </row>
    <row r="3186" ht="15.75" customHeight="1">
      <c r="A3186" s="1" t="s">
        <v>8504</v>
      </c>
      <c r="B3186" s="1" t="s">
        <v>8505</v>
      </c>
      <c r="C3186" s="5" t="s">
        <v>8506</v>
      </c>
      <c r="D3186" s="2" t="str">
        <f t="shared" si="39"/>
        <v>bảo vệ nữ</v>
      </c>
      <c r="E3186" s="3" t="str">
        <f t="shared" si="2"/>
        <v>woman guard</v>
      </c>
    </row>
    <row r="3187" ht="15.75" customHeight="1">
      <c r="A3187" s="1" t="s">
        <v>8507</v>
      </c>
      <c r="B3187" s="1" t="s">
        <v>8508</v>
      </c>
      <c r="C3187" s="5" t="s">
        <v>8509</v>
      </c>
      <c r="D3187" s="2" t="str">
        <f t="shared" si="39"/>
        <v>bảo vệ nữ màu da sẫm</v>
      </c>
      <c r="E3187" s="3" t="str">
        <f t="shared" si="2"/>
        <v>woman guard dark skin tone</v>
      </c>
    </row>
    <row r="3188" ht="15.75" customHeight="1">
      <c r="A3188" s="1" t="s">
        <v>8510</v>
      </c>
      <c r="B3188" s="1" t="s">
        <v>8511</v>
      </c>
      <c r="C3188" s="5" t="s">
        <v>8512</v>
      </c>
      <c r="D3188" s="2" t="str">
        <f t="shared" si="39"/>
        <v>bảo vệ nữ màu da sáng</v>
      </c>
      <c r="E3188" s="3" t="str">
        <f t="shared" si="2"/>
        <v>woman guard light skin tone</v>
      </c>
    </row>
    <row r="3189" ht="15.75" customHeight="1">
      <c r="A3189" s="1" t="s">
        <v>8513</v>
      </c>
      <c r="B3189" s="1" t="s">
        <v>8514</v>
      </c>
      <c r="C3189" s="5" t="s">
        <v>8515</v>
      </c>
      <c r="D3189" s="2" t="str">
        <f t="shared" si="39"/>
        <v>bảo vệ nữ màu da sẫm vừa</v>
      </c>
      <c r="E3189" s="3" t="str">
        <f t="shared" si="2"/>
        <v>woman guard medium-dark skin tone</v>
      </c>
    </row>
    <row r="3190" ht="15.75" customHeight="1">
      <c r="A3190" s="1" t="s">
        <v>8516</v>
      </c>
      <c r="B3190" s="1" t="s">
        <v>8517</v>
      </c>
      <c r="C3190" s="5" t="s">
        <v>8518</v>
      </c>
      <c r="D3190" s="2" t="str">
        <f t="shared" si="39"/>
        <v>bảo vệ nữ màu da sáng vừa</v>
      </c>
      <c r="E3190" s="3" t="str">
        <f t="shared" si="2"/>
        <v>woman guard medium-light skin tone</v>
      </c>
    </row>
    <row r="3191" ht="15.75" customHeight="1">
      <c r="A3191" s="1" t="s">
        <v>8519</v>
      </c>
      <c r="B3191" s="1" t="s">
        <v>8520</v>
      </c>
      <c r="C3191" s="5" t="s">
        <v>8521</v>
      </c>
      <c r="D3191" s="2" t="str">
        <f t="shared" si="39"/>
        <v>bảo vệ nữ màu da thường</v>
      </c>
      <c r="E3191" s="3" t="str">
        <f t="shared" si="2"/>
        <v>woman guard medium skin tone</v>
      </c>
    </row>
    <row r="3192" ht="15.75" customHeight="1">
      <c r="A3192" s="1" t="s">
        <v>8522</v>
      </c>
      <c r="B3192" s="1" t="s">
        <v>8523</v>
      </c>
      <c r="C3192" s="5" t="s">
        <v>8524</v>
      </c>
      <c r="D3192" s="2" t="str">
        <f t="shared" si="39"/>
        <v>nhân viên y tế nữ</v>
      </c>
      <c r="E3192" s="3" t="str">
        <f t="shared" si="2"/>
        <v>woman health worker</v>
      </c>
    </row>
    <row r="3193" ht="15.75" customHeight="1">
      <c r="A3193" s="1" t="s">
        <v>8525</v>
      </c>
      <c r="B3193" s="1" t="s">
        <v>8526</v>
      </c>
      <c r="C3193" s="5" t="s">
        <v>8527</v>
      </c>
      <c r="D3193" s="2" t="str">
        <f t="shared" si="39"/>
        <v>nhân viên y tế nữ màu da sẫm</v>
      </c>
      <c r="E3193" s="3" t="str">
        <f t="shared" si="2"/>
        <v>woman health worker dark skin tone</v>
      </c>
    </row>
    <row r="3194" ht="15.75" customHeight="1">
      <c r="A3194" s="1" t="s">
        <v>8528</v>
      </c>
      <c r="B3194" s="1" t="s">
        <v>8529</v>
      </c>
      <c r="C3194" s="5" t="s">
        <v>8530</v>
      </c>
      <c r="D3194" s="2" t="str">
        <f t="shared" si="39"/>
        <v>nhân viên y tế nữ màu da sáng</v>
      </c>
      <c r="E3194" s="3" t="str">
        <f t="shared" si="2"/>
        <v>woman health worker light skin tone</v>
      </c>
    </row>
    <row r="3195" ht="15.75" customHeight="1">
      <c r="A3195" s="1" t="s">
        <v>8531</v>
      </c>
      <c r="B3195" s="1" t="s">
        <v>8532</v>
      </c>
      <c r="C3195" s="5" t="s">
        <v>8533</v>
      </c>
      <c r="D3195" s="2" t="str">
        <f t="shared" si="39"/>
        <v>nhân viên y tế nữ màu da sẫm vừa</v>
      </c>
      <c r="E3195" s="3" t="str">
        <f t="shared" si="2"/>
        <v>woman health worker medium-dark skin tone</v>
      </c>
    </row>
    <row r="3196" ht="15.75" customHeight="1">
      <c r="A3196" s="1" t="s">
        <v>8534</v>
      </c>
      <c r="B3196" s="1" t="s">
        <v>8535</v>
      </c>
      <c r="C3196" s="5" t="s">
        <v>8536</v>
      </c>
      <c r="D3196" s="2" t="str">
        <f t="shared" si="39"/>
        <v>nhân viên y tế nữ màu da sáng vừa</v>
      </c>
      <c r="E3196" s="3" t="str">
        <f t="shared" si="2"/>
        <v>woman health worker medium-light skin tone</v>
      </c>
    </row>
    <row r="3197" ht="15.75" customHeight="1">
      <c r="A3197" s="1" t="s">
        <v>8537</v>
      </c>
      <c r="B3197" s="1" t="s">
        <v>8538</v>
      </c>
      <c r="C3197" s="5" t="s">
        <v>8539</v>
      </c>
      <c r="D3197" s="2" t="str">
        <f t="shared" si="39"/>
        <v>nhân viên y tế nữ màu da thường</v>
      </c>
      <c r="E3197" s="3" t="str">
        <f t="shared" si="2"/>
        <v>woman health worker medium skin tone</v>
      </c>
    </row>
    <row r="3198" ht="15.75" customHeight="1">
      <c r="A3198" s="1" t="s">
        <v>8540</v>
      </c>
      <c r="B3198" s="1" t="s">
        <v>8541</v>
      </c>
      <c r="C3198" s="5" t="s">
        <v>8542</v>
      </c>
      <c r="D3198" s="2" t="str">
        <f t="shared" si="39"/>
        <v>người phụ nữ đang ngồi thiền</v>
      </c>
      <c r="E3198" s="3" t="str">
        <f t="shared" si="2"/>
        <v>woman in lotus position</v>
      </c>
    </row>
    <row r="3199" ht="15.75" customHeight="1">
      <c r="A3199" s="1" t="s">
        <v>8543</v>
      </c>
      <c r="B3199" s="1" t="s">
        <v>8544</v>
      </c>
      <c r="C3199" s="5" t="s">
        <v>8545</v>
      </c>
      <c r="D3199" s="2" t="str">
        <f t="shared" si="39"/>
        <v>người phụ nữ màu da sẫm đang ngồi thiền</v>
      </c>
      <c r="E3199" s="3" t="str">
        <f t="shared" si="2"/>
        <v>woman in lotus position dark skin tone</v>
      </c>
    </row>
    <row r="3200" ht="15.75" customHeight="1">
      <c r="A3200" s="1" t="s">
        <v>8546</v>
      </c>
      <c r="B3200" s="1" t="s">
        <v>8547</v>
      </c>
      <c r="C3200" s="5" t="s">
        <v>8548</v>
      </c>
      <c r="D3200" s="2" t="str">
        <f t="shared" si="39"/>
        <v>người phụ nữ màu da sáng đang ngồi thiền</v>
      </c>
      <c r="E3200" s="3" t="str">
        <f t="shared" si="2"/>
        <v>woman in lotus position light skin tone</v>
      </c>
    </row>
    <row r="3201" ht="15.75" customHeight="1">
      <c r="A3201" s="1" t="s">
        <v>8549</v>
      </c>
      <c r="B3201" s="1" t="s">
        <v>8550</v>
      </c>
      <c r="C3201" s="5" t="s">
        <v>8551</v>
      </c>
      <c r="D3201" s="2" t="str">
        <f t="shared" si="39"/>
        <v>người phụ nữ màu da sẫm vừa đang ngồi thiền</v>
      </c>
      <c r="E3201" s="3" t="str">
        <f t="shared" si="2"/>
        <v>woman in lotus position medium-dark skin tone</v>
      </c>
    </row>
    <row r="3202" ht="15.75" customHeight="1">
      <c r="A3202" s="1" t="s">
        <v>8552</v>
      </c>
      <c r="B3202" s="1" t="s">
        <v>8553</v>
      </c>
      <c r="C3202" s="5" t="s">
        <v>8554</v>
      </c>
      <c r="D3202" s="2" t="str">
        <f t="shared" si="39"/>
        <v>người phụ nữ màu da sáng vừa đang ngồi thiền</v>
      </c>
      <c r="E3202" s="3" t="str">
        <f t="shared" si="2"/>
        <v>woman in lotus position medium-light skin tone</v>
      </c>
    </row>
    <row r="3203" ht="15.75" customHeight="1">
      <c r="A3203" s="1" t="s">
        <v>8555</v>
      </c>
      <c r="B3203" s="1" t="s">
        <v>8556</v>
      </c>
      <c r="C3203" s="5" t="s">
        <v>8557</v>
      </c>
      <c r="D3203" s="2" t="str">
        <f t="shared" si="39"/>
        <v>người phụ nữ màu da thường đang ngồi thiền</v>
      </c>
      <c r="E3203" s="3" t="str">
        <f t="shared" si="2"/>
        <v>woman in lotus position medium skin tone</v>
      </c>
    </row>
    <row r="3204" ht="15.75" customHeight="1">
      <c r="A3204" s="1" t="s">
        <v>8558</v>
      </c>
      <c r="B3204" s="1" t="s">
        <v>8559</v>
      </c>
      <c r="C3204" s="5" t="s">
        <v>8560</v>
      </c>
      <c r="D3204" s="2" t="str">
        <f t="shared" si="39"/>
        <v>người phụ nữ lăn xe lăn bằng tay</v>
      </c>
      <c r="E3204" s="3" t="str">
        <f t="shared" si="2"/>
        <v>woman in manual wheelchair</v>
      </c>
    </row>
    <row r="3205" ht="15.75" customHeight="1">
      <c r="A3205" s="1" t="s">
        <v>8561</v>
      </c>
      <c r="B3205" s="1" t="s">
        <v>8562</v>
      </c>
      <c r="C3205" s="5" t="s">
        <v>8563</v>
      </c>
      <c r="D3205" s="2" t="str">
        <f t="shared" si="39"/>
        <v>người phụ nữ màu da sẫm lăn xe lăn bằng tay</v>
      </c>
      <c r="E3205" s="3" t="str">
        <f t="shared" si="2"/>
        <v>woman in manual wheelchair dark skin tone</v>
      </c>
    </row>
    <row r="3206" ht="15.75" customHeight="1">
      <c r="A3206" s="1" t="s">
        <v>8564</v>
      </c>
      <c r="B3206" s="1" t="s">
        <v>8565</v>
      </c>
      <c r="C3206" s="5" t="s">
        <v>8566</v>
      </c>
      <c r="D3206" s="2" t="str">
        <f t="shared" si="39"/>
        <v>người phụ nữ màu da sáng lăn xe lăn bằng tay</v>
      </c>
      <c r="E3206" s="3" t="str">
        <f t="shared" si="2"/>
        <v>woman in manual wheelchair light skin tone</v>
      </c>
    </row>
    <row r="3207" ht="15.75" customHeight="1">
      <c r="A3207" s="1" t="s">
        <v>8567</v>
      </c>
      <c r="B3207" s="1" t="s">
        <v>8568</v>
      </c>
      <c r="C3207" s="5" t="s">
        <v>8569</v>
      </c>
      <c r="D3207" s="2" t="str">
        <f t="shared" si="39"/>
        <v>người phụ nữ màu da sẫm vừa lăn xe lăn bằng tay</v>
      </c>
      <c r="E3207" s="3" t="str">
        <f t="shared" si="2"/>
        <v>woman in manual wheelchair medium-dark skin tone</v>
      </c>
    </row>
    <row r="3208" ht="15.75" customHeight="1">
      <c r="A3208" s="1" t="s">
        <v>8570</v>
      </c>
      <c r="B3208" s="1" t="s">
        <v>8571</v>
      </c>
      <c r="C3208" s="5" t="s">
        <v>8572</v>
      </c>
      <c r="D3208" s="2" t="str">
        <f t="shared" si="39"/>
        <v>người phụ nữ màu da sáng vừa lăn xe lăn bằng tay</v>
      </c>
      <c r="E3208" s="3" t="str">
        <f t="shared" si="2"/>
        <v>woman in manual wheelchair medium-light skin tone</v>
      </c>
    </row>
    <row r="3209" ht="15.75" customHeight="1">
      <c r="A3209" s="1" t="s">
        <v>8573</v>
      </c>
      <c r="B3209" s="1" t="s">
        <v>8574</v>
      </c>
      <c r="C3209" s="5" t="s">
        <v>8575</v>
      </c>
      <c r="D3209" s="2" t="str">
        <f t="shared" si="39"/>
        <v>người phụ nữ màu da thường lăn xe lăn bằng tay</v>
      </c>
      <c r="E3209" s="3" t="str">
        <f t="shared" si="2"/>
        <v>woman in manual wheelchair medium skin tone</v>
      </c>
    </row>
    <row r="3210" ht="15.75" customHeight="1">
      <c r="A3210" s="1" t="s">
        <v>8576</v>
      </c>
      <c r="B3210" s="1" t="s">
        <v>8577</v>
      </c>
      <c r="C3210" s="5" t="s">
        <v>8578</v>
      </c>
      <c r="D3210" s="2" t="str">
        <f t="shared" si="39"/>
        <v>người phụ nữ trên xe lăn có động cơ</v>
      </c>
      <c r="E3210" s="3" t="str">
        <f t="shared" si="2"/>
        <v>woman in motorized wheelchair</v>
      </c>
    </row>
    <row r="3211" ht="15.75" customHeight="1">
      <c r="A3211" s="1" t="s">
        <v>8579</v>
      </c>
      <c r="B3211" s="1" t="s">
        <v>8580</v>
      </c>
      <c r="C3211" s="5" t="s">
        <v>8581</v>
      </c>
      <c r="D3211" s="2" t="str">
        <f t="shared" si="39"/>
        <v>người phụ nữ trên xe lăn có động cơ màu da sẫm</v>
      </c>
      <c r="E3211" s="3" t="str">
        <f t="shared" si="2"/>
        <v>woman in motorized wheelchair dark skin tone</v>
      </c>
    </row>
    <row r="3212" ht="15.75" customHeight="1">
      <c r="A3212" s="1" t="s">
        <v>8582</v>
      </c>
      <c r="B3212" s="1" t="s">
        <v>8583</v>
      </c>
      <c r="C3212" s="5" t="s">
        <v>8584</v>
      </c>
      <c r="D3212" s="2" t="str">
        <f t="shared" si="39"/>
        <v>người phụ nữ trên xe lăn có động cơ màu da sáng</v>
      </c>
      <c r="E3212" s="3" t="str">
        <f t="shared" si="2"/>
        <v>woman in motorized wheelchair light skin tone</v>
      </c>
    </row>
    <row r="3213" ht="15.75" customHeight="1">
      <c r="A3213" s="1" t="s">
        <v>8585</v>
      </c>
      <c r="B3213" s="1" t="s">
        <v>8586</v>
      </c>
      <c r="C3213" s="5" t="s">
        <v>8587</v>
      </c>
      <c r="D3213" s="2" t="str">
        <f t="shared" si="39"/>
        <v>người phụ nữ trên xe lăn có động cơ màu da sẫm vừa</v>
      </c>
      <c r="E3213" s="3" t="str">
        <f t="shared" si="2"/>
        <v>woman in motorized wheelchair medium-dark skin tone</v>
      </c>
    </row>
    <row r="3214" ht="15.75" customHeight="1">
      <c r="A3214" s="1" t="s">
        <v>8588</v>
      </c>
      <c r="B3214" s="1" t="s">
        <v>8589</v>
      </c>
      <c r="C3214" s="5" t="s">
        <v>8590</v>
      </c>
      <c r="D3214" s="2" t="str">
        <f t="shared" si="39"/>
        <v>người phụ nữ trên xe lăn có động cơ màu da sáng vừa</v>
      </c>
      <c r="E3214" s="3" t="str">
        <f t="shared" si="2"/>
        <v>woman in motorized wheelchair medium-light skin tone</v>
      </c>
    </row>
    <row r="3215" ht="15.75" customHeight="1">
      <c r="A3215" s="1" t="s">
        <v>8591</v>
      </c>
      <c r="B3215" s="1" t="s">
        <v>8592</v>
      </c>
      <c r="C3215" s="5" t="s">
        <v>8593</v>
      </c>
      <c r="D3215" s="2" t="str">
        <f t="shared" si="39"/>
        <v>người phụ nữ trên xe lăn có động cơ màu da thường</v>
      </c>
      <c r="E3215" s="3" t="str">
        <f t="shared" si="2"/>
        <v>woman in motorized wheelchair medium skin tone</v>
      </c>
    </row>
    <row r="3216" ht="15.75" customHeight="1">
      <c r="A3216" s="1" t="s">
        <v>8594</v>
      </c>
      <c r="B3216" s="1" t="s">
        <v>8595</v>
      </c>
      <c r="C3216" s="5" t="s">
        <v>8596</v>
      </c>
      <c r="D3216" s="2" t="str">
        <f t="shared" si="39"/>
        <v>người phụ nữ trong phòng xông hơi</v>
      </c>
      <c r="E3216" s="3" t="str">
        <f t="shared" si="2"/>
        <v>woman in steamy room</v>
      </c>
    </row>
    <row r="3217" ht="15.75" customHeight="1">
      <c r="A3217" s="1" t="s">
        <v>8597</v>
      </c>
      <c r="B3217" s="1" t="s">
        <v>8598</v>
      </c>
      <c r="C3217" s="5" t="s">
        <v>8599</v>
      </c>
      <c r="D3217" s="2" t="str">
        <f t="shared" si="39"/>
        <v>người phụ nữ màu da sẫm trong phòng xông hơi</v>
      </c>
      <c r="E3217" s="3" t="str">
        <f t="shared" si="2"/>
        <v>woman in steamy room dark skin tone</v>
      </c>
    </row>
    <row r="3218" ht="15.75" customHeight="1">
      <c r="A3218" s="1" t="s">
        <v>8600</v>
      </c>
      <c r="B3218" s="1" t="s">
        <v>8601</v>
      </c>
      <c r="C3218" s="5" t="s">
        <v>8602</v>
      </c>
      <c r="D3218" s="2" t="str">
        <f t="shared" si="39"/>
        <v>người phụ nữ màu da sáng trong phòng xông hơi</v>
      </c>
      <c r="E3218" s="3" t="str">
        <f t="shared" si="2"/>
        <v>woman in steamy room light skin tone</v>
      </c>
    </row>
    <row r="3219" ht="15.75" customHeight="1">
      <c r="A3219" s="1" t="s">
        <v>8603</v>
      </c>
      <c r="B3219" s="1" t="s">
        <v>8604</v>
      </c>
      <c r="C3219" s="5" t="s">
        <v>8605</v>
      </c>
      <c r="D3219" s="2" t="str">
        <f t="shared" si="39"/>
        <v>người phụ nữ màu da sẫm vừa trong phòng xông hơi</v>
      </c>
      <c r="E3219" s="3" t="str">
        <f t="shared" si="2"/>
        <v>woman in steamy room medium-dark skin tone</v>
      </c>
    </row>
    <row r="3220" ht="15.75" customHeight="1">
      <c r="A3220" s="1" t="s">
        <v>8606</v>
      </c>
      <c r="B3220" s="1" t="s">
        <v>8607</v>
      </c>
      <c r="C3220" s="5" t="s">
        <v>8608</v>
      </c>
      <c r="D3220" s="2" t="str">
        <f t="shared" si="39"/>
        <v>người phụ nữ màu da sáng vừa trong phòng xông hơi</v>
      </c>
      <c r="E3220" s="3" t="str">
        <f t="shared" si="2"/>
        <v>woman in steamy room medium-light skin tone</v>
      </c>
    </row>
    <row r="3221" ht="15.75" customHeight="1">
      <c r="A3221" s="1" t="s">
        <v>8609</v>
      </c>
      <c r="B3221" s="1" t="s">
        <v>8610</v>
      </c>
      <c r="C3221" s="5" t="s">
        <v>8611</v>
      </c>
      <c r="D3221" s="2" t="str">
        <f t="shared" si="39"/>
        <v>người phụ nữ màu da thường trong phòng xông hơi</v>
      </c>
      <c r="E3221" s="3" t="str">
        <f t="shared" si="2"/>
        <v>woman in steamy room medium skin tone</v>
      </c>
    </row>
    <row r="3222" ht="15.75" customHeight="1">
      <c r="A3222" s="1" t="s">
        <v>8612</v>
      </c>
      <c r="B3222" s="1" t="s">
        <v>8613</v>
      </c>
      <c r="C3222" s="5" t="s">
        <v>8614</v>
      </c>
      <c r="D3222" s="2" t="str">
        <f t="shared" si="39"/>
        <v>người phụ nữ mang áo đuôi tôm</v>
      </c>
      <c r="E3222" s="3" t="str">
        <f t="shared" si="2"/>
        <v>woman in tuxedo</v>
      </c>
    </row>
    <row r="3223" ht="15.75" customHeight="1">
      <c r="A3223" s="1" t="s">
        <v>8615</v>
      </c>
      <c r="B3223" s="1" t="s">
        <v>8616</v>
      </c>
      <c r="C3223" s="5" t="s">
        <v>8617</v>
      </c>
      <c r="D3223" s="2" t="str">
        <f t="shared" si="39"/>
        <v>người phụ nữ màu da sẫm mang áo đuôi tôm</v>
      </c>
      <c r="E3223" s="3" t="str">
        <f t="shared" si="2"/>
        <v>woman in tuxedo dark skin tone</v>
      </c>
    </row>
    <row r="3224" ht="15.75" customHeight="1">
      <c r="A3224" s="1" t="s">
        <v>8618</v>
      </c>
      <c r="B3224" s="1" t="s">
        <v>8619</v>
      </c>
      <c r="C3224" s="5" t="s">
        <v>8620</v>
      </c>
      <c r="D3224" s="2" t="str">
        <f t="shared" si="39"/>
        <v>người phụ nữ màu da sáng mang áo đuôi tôm</v>
      </c>
      <c r="E3224" s="3" t="str">
        <f t="shared" si="2"/>
        <v>woman in tuxedo light skin tone</v>
      </c>
    </row>
    <row r="3225" ht="15.75" customHeight="1">
      <c r="A3225" s="1" t="s">
        <v>8621</v>
      </c>
      <c r="B3225" s="1" t="s">
        <v>8622</v>
      </c>
      <c r="C3225" s="5" t="s">
        <v>8623</v>
      </c>
      <c r="D3225" s="2" t="str">
        <f t="shared" si="39"/>
        <v>người phụ nữ màu da sẫm vừa mang áo đuôi tôm</v>
      </c>
      <c r="E3225" s="3" t="str">
        <f t="shared" si="2"/>
        <v>woman in tuxedo medium-dark skin tone</v>
      </c>
    </row>
    <row r="3226" ht="15.75" customHeight="1">
      <c r="A3226" s="1" t="s">
        <v>8624</v>
      </c>
      <c r="B3226" s="1" t="s">
        <v>8625</v>
      </c>
      <c r="C3226" s="5" t="s">
        <v>8626</v>
      </c>
      <c r="D3226" s="2" t="str">
        <f t="shared" si="39"/>
        <v>người phụ nữ màu da sáng vừa mang áo đuôi tôm</v>
      </c>
      <c r="E3226" s="3" t="str">
        <f t="shared" si="2"/>
        <v>woman in tuxedo medium-light skin tone</v>
      </c>
    </row>
    <row r="3227" ht="15.75" customHeight="1">
      <c r="A3227" s="1" t="s">
        <v>8627</v>
      </c>
      <c r="B3227" s="1" t="s">
        <v>8628</v>
      </c>
      <c r="C3227" s="5" t="s">
        <v>8629</v>
      </c>
      <c r="D3227" s="2" t="str">
        <f t="shared" si="39"/>
        <v>người phụ nữ màu da thường mang áo đuôi tôm</v>
      </c>
      <c r="E3227" s="3" t="str">
        <f t="shared" si="2"/>
        <v>woman in tuxedo medium skin tone</v>
      </c>
    </row>
    <row r="3228" ht="15.75" customHeight="1">
      <c r="A3228" s="1" t="s">
        <v>8630</v>
      </c>
      <c r="B3228" s="1" t="s">
        <v>8631</v>
      </c>
      <c r="C3228" s="5" t="s">
        <v>8632</v>
      </c>
      <c r="D3228" s="2" t="str">
        <f t="shared" si="39"/>
        <v>thẩm phán nữ</v>
      </c>
      <c r="E3228" s="3" t="str">
        <f t="shared" si="2"/>
        <v>woman judge</v>
      </c>
    </row>
    <row r="3229" ht="15.75" customHeight="1">
      <c r="A3229" s="1" t="s">
        <v>8633</v>
      </c>
      <c r="B3229" s="1" t="s">
        <v>8634</v>
      </c>
      <c r="C3229" s="5" t="s">
        <v>8635</v>
      </c>
      <c r="D3229" s="2" t="str">
        <f t="shared" si="39"/>
        <v>thẩm phán nữ màu da sẫm</v>
      </c>
      <c r="E3229" s="3" t="str">
        <f t="shared" si="2"/>
        <v>woman judge dark skin tone</v>
      </c>
    </row>
    <row r="3230" ht="15.75" customHeight="1">
      <c r="A3230" s="1" t="s">
        <v>8636</v>
      </c>
      <c r="B3230" s="1" t="s">
        <v>8637</v>
      </c>
      <c r="C3230" s="5" t="s">
        <v>8638</v>
      </c>
      <c r="D3230" s="2" t="str">
        <f t="shared" si="39"/>
        <v>thẩm phán nữ màu da sáng</v>
      </c>
      <c r="E3230" s="3" t="str">
        <f t="shared" si="2"/>
        <v>woman judge light skin tone</v>
      </c>
    </row>
    <row r="3231" ht="15.75" customHeight="1">
      <c r="A3231" s="1" t="s">
        <v>8639</v>
      </c>
      <c r="B3231" s="1" t="s">
        <v>8640</v>
      </c>
      <c r="C3231" s="5" t="s">
        <v>8641</v>
      </c>
      <c r="D3231" s="2" t="str">
        <f t="shared" si="39"/>
        <v>thẩm phán nữ màu da sẫm vừa</v>
      </c>
      <c r="E3231" s="3" t="str">
        <f t="shared" si="2"/>
        <v>woman judge medium-dark skin tone</v>
      </c>
    </row>
    <row r="3232" ht="15.75" customHeight="1">
      <c r="A3232" s="1" t="s">
        <v>8642</v>
      </c>
      <c r="B3232" s="1" t="s">
        <v>8643</v>
      </c>
      <c r="C3232" s="5" t="s">
        <v>8644</v>
      </c>
      <c r="D3232" s="2" t="str">
        <f t="shared" si="39"/>
        <v>thẩm phán nữ màu da sáng vừa</v>
      </c>
      <c r="E3232" s="3" t="str">
        <f t="shared" si="2"/>
        <v>woman judge medium-light skin tone</v>
      </c>
    </row>
    <row r="3233" ht="15.75" customHeight="1">
      <c r="A3233" s="1" t="s">
        <v>8645</v>
      </c>
      <c r="B3233" s="1" t="s">
        <v>8646</v>
      </c>
      <c r="C3233" s="5" t="s">
        <v>8647</v>
      </c>
      <c r="D3233" s="2" t="str">
        <f t="shared" si="39"/>
        <v>thẩm phán nữ màu da thường</v>
      </c>
      <c r="E3233" s="3" t="str">
        <f t="shared" si="2"/>
        <v>woman judge medium skin tone</v>
      </c>
    </row>
    <row r="3234" ht="15.75" customHeight="1">
      <c r="A3234" s="1" t="s">
        <v>8648</v>
      </c>
      <c r="B3234" s="1" t="s">
        <v>8649</v>
      </c>
      <c r="C3234" s="5" t="s">
        <v>8650</v>
      </c>
      <c r="D3234" s="2" t="str">
        <f t="shared" si="39"/>
        <v>người phụ nữ tung hứng</v>
      </c>
      <c r="E3234" s="3" t="str">
        <f t="shared" si="2"/>
        <v>woman juggling</v>
      </c>
    </row>
    <row r="3235" ht="15.75" customHeight="1">
      <c r="A3235" s="1" t="s">
        <v>8651</v>
      </c>
      <c r="B3235" s="1" t="s">
        <v>8652</v>
      </c>
      <c r="C3235" s="5" t="s">
        <v>8653</v>
      </c>
      <c r="D3235" s="2" t="str">
        <f t="shared" si="39"/>
        <v>người phụ nữ màu da sẫm tung hứng</v>
      </c>
      <c r="E3235" s="3" t="str">
        <f t="shared" si="2"/>
        <v>woman juggling dark skin tone</v>
      </c>
    </row>
    <row r="3236" ht="15.75" customHeight="1">
      <c r="A3236" s="1" t="s">
        <v>8654</v>
      </c>
      <c r="B3236" s="1" t="s">
        <v>8655</v>
      </c>
      <c r="C3236" s="5" t="s">
        <v>8656</v>
      </c>
      <c r="D3236" s="2" t="str">
        <f t="shared" si="39"/>
        <v>người phụ nữ màu da sáng tung hứng</v>
      </c>
      <c r="E3236" s="3" t="str">
        <f t="shared" si="2"/>
        <v>woman juggling light skin tone</v>
      </c>
    </row>
    <row r="3237" ht="15.75" customHeight="1">
      <c r="A3237" s="1" t="s">
        <v>8657</v>
      </c>
      <c r="B3237" s="1" t="s">
        <v>8658</v>
      </c>
      <c r="C3237" s="5" t="s">
        <v>8659</v>
      </c>
      <c r="D3237" s="2" t="str">
        <f t="shared" si="39"/>
        <v>người phụ nữ màu da sẫm vừa tung hứng</v>
      </c>
      <c r="E3237" s="3" t="str">
        <f t="shared" si="2"/>
        <v>woman juggling medium-dark skin tone</v>
      </c>
    </row>
    <row r="3238" ht="15.75" customHeight="1">
      <c r="A3238" s="1" t="s">
        <v>8660</v>
      </c>
      <c r="B3238" s="1" t="s">
        <v>8661</v>
      </c>
      <c r="C3238" s="5" t="s">
        <v>8662</v>
      </c>
      <c r="D3238" s="2" t="str">
        <f t="shared" si="39"/>
        <v>người phụ nữ màu da sáng vừa tung hứng</v>
      </c>
      <c r="E3238" s="3" t="str">
        <f t="shared" si="2"/>
        <v>woman juggling medium-light skin tone</v>
      </c>
    </row>
    <row r="3239" ht="15.75" customHeight="1">
      <c r="A3239" s="1" t="s">
        <v>8663</v>
      </c>
      <c r="B3239" s="1" t="s">
        <v>8664</v>
      </c>
      <c r="C3239" s="5" t="s">
        <v>8665</v>
      </c>
      <c r="D3239" s="2" t="str">
        <f t="shared" si="39"/>
        <v>người phụ nữ màu da thường tung hứng</v>
      </c>
      <c r="E3239" s="3" t="str">
        <f t="shared" si="2"/>
        <v>woman juggling medium skin tone</v>
      </c>
    </row>
    <row r="3240" ht="15.75" customHeight="1">
      <c r="A3240" s="1" t="s">
        <v>8666</v>
      </c>
      <c r="B3240" s="1" t="s">
        <v>8667</v>
      </c>
      <c r="C3240" s="5" t="s">
        <v>8668</v>
      </c>
      <c r="D3240" s="2" t="str">
        <f t="shared" si="39"/>
        <v>người phụ nữ đang quỳ</v>
      </c>
      <c r="E3240" s="3" t="str">
        <f t="shared" si="2"/>
        <v>woman kneeling</v>
      </c>
    </row>
    <row r="3241" ht="15.75" customHeight="1">
      <c r="A3241" s="1" t="s">
        <v>8669</v>
      </c>
      <c r="B3241" s="1" t="s">
        <v>8670</v>
      </c>
      <c r="C3241" s="5" t="s">
        <v>8671</v>
      </c>
      <c r="D3241" s="2" t="str">
        <f t="shared" si="39"/>
        <v>người phụ nữ màu da sẫm đang quỳ</v>
      </c>
      <c r="E3241" s="3" t="str">
        <f t="shared" si="2"/>
        <v>woman kneeling dark skin tone</v>
      </c>
    </row>
    <row r="3242" ht="15.75" customHeight="1">
      <c r="A3242" s="1" t="s">
        <v>8672</v>
      </c>
      <c r="B3242" s="1" t="s">
        <v>8673</v>
      </c>
      <c r="C3242" s="5" t="s">
        <v>8674</v>
      </c>
      <c r="D3242" s="2" t="str">
        <f t="shared" si="39"/>
        <v>người phụ nữ màu da sáng đang quỳ</v>
      </c>
      <c r="E3242" s="3" t="str">
        <f t="shared" si="2"/>
        <v>woman kneeling light skin tone</v>
      </c>
    </row>
    <row r="3243" ht="15.75" customHeight="1">
      <c r="A3243" s="1" t="s">
        <v>8675</v>
      </c>
      <c r="B3243" s="1" t="s">
        <v>8676</v>
      </c>
      <c r="C3243" s="5" t="s">
        <v>8677</v>
      </c>
      <c r="D3243" s="2" t="str">
        <f t="shared" si="39"/>
        <v>người phụ nữ màu da sẫm vừa đang quỳ</v>
      </c>
      <c r="E3243" s="3" t="str">
        <f t="shared" si="2"/>
        <v>woman kneeling medium-dark skin tone</v>
      </c>
    </row>
    <row r="3244" ht="15.75" customHeight="1">
      <c r="A3244" s="1" t="s">
        <v>8678</v>
      </c>
      <c r="B3244" s="1" t="s">
        <v>8679</v>
      </c>
      <c r="C3244" s="5" t="s">
        <v>8680</v>
      </c>
      <c r="D3244" s="2" t="str">
        <f t="shared" si="39"/>
        <v>người phụ nữ màu da sáng vừa đang quỳ</v>
      </c>
      <c r="E3244" s="3" t="str">
        <f t="shared" si="2"/>
        <v>woman kneeling medium-light skin tone</v>
      </c>
    </row>
    <row r="3245" ht="15.75" customHeight="1">
      <c r="A3245" s="1" t="s">
        <v>8681</v>
      </c>
      <c r="B3245" s="1" t="s">
        <v>8682</v>
      </c>
      <c r="C3245" s="5" t="s">
        <v>8683</v>
      </c>
      <c r="D3245" s="2" t="str">
        <f t="shared" si="39"/>
        <v>người phụ nữ màu da thường đang quỳ</v>
      </c>
      <c r="E3245" s="3" t="str">
        <f t="shared" si="2"/>
        <v>woman kneeling medium skin tone</v>
      </c>
    </row>
    <row r="3246" ht="15.75" customHeight="1">
      <c r="A3246" s="1" t="s">
        <v>8684</v>
      </c>
      <c r="B3246" s="1" t="s">
        <v>8685</v>
      </c>
      <c r="C3246" s="5" t="s">
        <v>8686</v>
      </c>
      <c r="D3246" s="2" t="str">
        <f t="shared" si="39"/>
        <v>người phụ nữ nâng tạ</v>
      </c>
      <c r="E3246" s="3" t="str">
        <f t="shared" si="2"/>
        <v>woman lifting weights</v>
      </c>
    </row>
    <row r="3247" ht="15.75" customHeight="1">
      <c r="A3247" s="1" t="s">
        <v>8687</v>
      </c>
      <c r="B3247" s="1" t="s">
        <v>8688</v>
      </c>
      <c r="C3247" s="5" t="s">
        <v>8689</v>
      </c>
      <c r="D3247" s="2" t="str">
        <f t="shared" si="39"/>
        <v>người phụ nữ màu da sẫm nâng tạ</v>
      </c>
      <c r="E3247" s="3" t="str">
        <f t="shared" si="2"/>
        <v>woman lifting weights dark skin tone</v>
      </c>
    </row>
    <row r="3248" ht="15.75" customHeight="1">
      <c r="A3248" s="1" t="s">
        <v>8690</v>
      </c>
      <c r="B3248" s="1" t="s">
        <v>8691</v>
      </c>
      <c r="C3248" s="5" t="s">
        <v>8692</v>
      </c>
      <c r="D3248" s="2" t="str">
        <f t="shared" si="39"/>
        <v>người phụ nữ màu da sáng nâng tạ</v>
      </c>
      <c r="E3248" s="3" t="str">
        <f t="shared" si="2"/>
        <v>woman lifting weights light skin tone</v>
      </c>
    </row>
    <row r="3249" ht="15.75" customHeight="1">
      <c r="A3249" s="1" t="s">
        <v>8693</v>
      </c>
      <c r="B3249" s="1" t="s">
        <v>8694</v>
      </c>
      <c r="C3249" s="5" t="s">
        <v>8695</v>
      </c>
      <c r="D3249" s="2" t="str">
        <f t="shared" si="39"/>
        <v>người phụ nữ màu da sẫm vừa nâng tạ</v>
      </c>
      <c r="E3249" s="3" t="str">
        <f t="shared" si="2"/>
        <v>woman lifting weights medium-dark skin tone</v>
      </c>
    </row>
    <row r="3250" ht="15.75" customHeight="1">
      <c r="A3250" s="1" t="s">
        <v>8696</v>
      </c>
      <c r="B3250" s="1" t="s">
        <v>8697</v>
      </c>
      <c r="C3250" s="5" t="s">
        <v>8698</v>
      </c>
      <c r="D3250" s="2" t="str">
        <f t="shared" si="39"/>
        <v>người phụ nữ màu da sáng vừa nâng tạ</v>
      </c>
      <c r="E3250" s="3" t="str">
        <f t="shared" si="2"/>
        <v>woman lifting weights medium-light skin tone</v>
      </c>
    </row>
    <row r="3251" ht="15.75" customHeight="1">
      <c r="A3251" s="1" t="s">
        <v>8699</v>
      </c>
      <c r="B3251" s="1" t="s">
        <v>8700</v>
      </c>
      <c r="C3251" s="5" t="s">
        <v>8701</v>
      </c>
      <c r="D3251" s="2" t="str">
        <f t="shared" si="39"/>
        <v>người phụ nữ màu da thường nâng tạ</v>
      </c>
      <c r="E3251" s="3" t="str">
        <f t="shared" si="2"/>
        <v>woman lifting weights medium skin tone</v>
      </c>
    </row>
    <row r="3252" ht="15.75" customHeight="1">
      <c r="A3252" s="1" t="s">
        <v>8702</v>
      </c>
      <c r="B3252" s="1" t="s">
        <v>8703</v>
      </c>
      <c r="C3252" s="5" t="s">
        <v>8704</v>
      </c>
      <c r="D3252" s="2" t="str">
        <f t="shared" si="39"/>
        <v>người phụ nữ da sáng</v>
      </c>
      <c r="E3252" s="3" t="str">
        <f t="shared" si="2"/>
        <v>woman light skin tone</v>
      </c>
    </row>
    <row r="3253" ht="15.75" customHeight="1">
      <c r="A3253" s="1" t="s">
        <v>8705</v>
      </c>
      <c r="B3253" s="1" t="s">
        <v>8706</v>
      </c>
      <c r="C3253" s="5" t="s">
        <v>8707</v>
      </c>
      <c r="D3253" s="2" t="str">
        <f t="shared" si="39"/>
        <v>người phụ nữ hói da sáng</v>
      </c>
      <c r="E3253" s="3" t="str">
        <f t="shared" si="2"/>
        <v>woman light skin tone bald</v>
      </c>
    </row>
    <row r="3254" ht="15.75" customHeight="1">
      <c r="A3254" s="1" t="s">
        <v>8708</v>
      </c>
      <c r="B3254" s="1" t="s">
        <v>8709</v>
      </c>
      <c r="C3254" s="5" t="s">
        <v>8710</v>
      </c>
      <c r="D3254" s="2" t="str">
        <f t="shared" si="39"/>
        <v>người phụ nữ có râu da sáng</v>
      </c>
      <c r="E3254" s="3" t="str">
        <f t="shared" si="2"/>
        <v>woman light skin tone beard</v>
      </c>
    </row>
    <row r="3255" ht="15.75" customHeight="1">
      <c r="A3255" s="1" t="s">
        <v>8711</v>
      </c>
      <c r="B3255" s="1" t="s">
        <v>8712</v>
      </c>
      <c r="C3255" s="5" t="s">
        <v>8713</v>
      </c>
      <c r="D3255" s="2" t="str">
        <f t="shared" si="39"/>
        <v>người phụ nữ tóc vàng da sáng</v>
      </c>
      <c r="E3255" s="3" t="str">
        <f t="shared" si="2"/>
        <v>woman light skin tone blond hair</v>
      </c>
    </row>
    <row r="3256" ht="15.75" customHeight="1">
      <c r="A3256" s="1" t="s">
        <v>8714</v>
      </c>
      <c r="B3256" s="1" t="s">
        <v>8715</v>
      </c>
      <c r="C3256" s="5" t="s">
        <v>8716</v>
      </c>
      <c r="D3256" s="2" t="str">
        <f t="shared" si="39"/>
        <v>người phụ nữ tóc xoăn da sáng</v>
      </c>
      <c r="E3256" s="3" t="str">
        <f t="shared" si="2"/>
        <v>woman light skin tone curly hair</v>
      </c>
    </row>
    <row r="3257" ht="15.75" customHeight="1">
      <c r="A3257" s="1" t="s">
        <v>8717</v>
      </c>
      <c r="B3257" s="1" t="s">
        <v>8718</v>
      </c>
      <c r="C3257" s="5" t="s">
        <v>8719</v>
      </c>
      <c r="D3257" s="2" t="str">
        <f t="shared" si="39"/>
        <v>người phụ nữ tóc đỏ da sáng</v>
      </c>
      <c r="E3257" s="3" t="str">
        <f t="shared" si="2"/>
        <v>woman light skin tone red hair</v>
      </c>
    </row>
    <row r="3258" ht="15.75" customHeight="1">
      <c r="A3258" s="1" t="s">
        <v>8720</v>
      </c>
      <c r="B3258" s="1" t="s">
        <v>8721</v>
      </c>
      <c r="C3258" s="5" t="s">
        <v>8722</v>
      </c>
      <c r="D3258" s="2" t="str">
        <f t="shared" si="39"/>
        <v>người phụ nữ tóc trắng da sáng</v>
      </c>
      <c r="E3258" s="3" t="str">
        <f t="shared" si="2"/>
        <v>woman light skin tone white hair</v>
      </c>
    </row>
    <row r="3259" ht="15.75" customHeight="1">
      <c r="A3259" s="1" t="s">
        <v>8723</v>
      </c>
      <c r="B3259" s="1" t="s">
        <v>8724</v>
      </c>
      <c r="C3259" s="5" t="s">
        <v>8725</v>
      </c>
      <c r="D3259" s="2" t="str">
        <f t="shared" si="39"/>
        <v>pháp sư nữ</v>
      </c>
      <c r="E3259" s="3" t="str">
        <f t="shared" si="2"/>
        <v>woman mage</v>
      </c>
    </row>
    <row r="3260" ht="15.75" customHeight="1">
      <c r="A3260" s="1" t="s">
        <v>8726</v>
      </c>
      <c r="B3260" s="1" t="s">
        <v>8727</v>
      </c>
      <c r="C3260" s="5" t="s">
        <v>8728</v>
      </c>
      <c r="D3260" s="2" t="str">
        <f t="shared" si="39"/>
        <v>pháp sư nữ màu da sẫm</v>
      </c>
      <c r="E3260" s="3" t="str">
        <f t="shared" si="2"/>
        <v>woman mage dark skin tone</v>
      </c>
    </row>
    <row r="3261" ht="15.75" customHeight="1">
      <c r="A3261" s="1" t="s">
        <v>8729</v>
      </c>
      <c r="B3261" s="1" t="s">
        <v>8730</v>
      </c>
      <c r="C3261" s="5" t="s">
        <v>8731</v>
      </c>
      <c r="D3261" s="2" t="str">
        <f t="shared" si="39"/>
        <v>pháp sư nữ màu da sáng</v>
      </c>
      <c r="E3261" s="3" t="str">
        <f t="shared" si="2"/>
        <v>woman mage light skin tone</v>
      </c>
    </row>
    <row r="3262" ht="15.75" customHeight="1">
      <c r="A3262" s="1" t="s">
        <v>8732</v>
      </c>
      <c r="B3262" s="1" t="s">
        <v>8733</v>
      </c>
      <c r="C3262" s="5" t="s">
        <v>8734</v>
      </c>
      <c r="D3262" s="2" t="str">
        <f t="shared" si="39"/>
        <v>pháp sư nữ màu da sẫm vừa</v>
      </c>
      <c r="E3262" s="3" t="str">
        <f t="shared" si="2"/>
        <v>woman mage medium-dark skin tone</v>
      </c>
    </row>
    <row r="3263" ht="15.75" customHeight="1">
      <c r="A3263" s="1" t="s">
        <v>8735</v>
      </c>
      <c r="B3263" s="1" t="s">
        <v>8736</v>
      </c>
      <c r="C3263" s="5" t="s">
        <v>8737</v>
      </c>
      <c r="D3263" s="2" t="str">
        <f t="shared" si="39"/>
        <v>pháp sư nữ màu da sáng vừa</v>
      </c>
      <c r="E3263" s="3" t="str">
        <f t="shared" si="2"/>
        <v>woman mage medium-light skin tone</v>
      </c>
    </row>
    <row r="3264" ht="15.75" customHeight="1">
      <c r="A3264" s="1" t="s">
        <v>8738</v>
      </c>
      <c r="B3264" s="1" t="s">
        <v>8739</v>
      </c>
      <c r="C3264" s="5" t="s">
        <v>8740</v>
      </c>
      <c r="D3264" s="2" t="str">
        <f t="shared" si="39"/>
        <v>pháp sư nữ màu da thường</v>
      </c>
      <c r="E3264" s="3" t="str">
        <f t="shared" si="2"/>
        <v>woman mage medium skin tone</v>
      </c>
    </row>
    <row r="3265" ht="15.75" customHeight="1">
      <c r="A3265" s="1" t="s">
        <v>8741</v>
      </c>
      <c r="B3265" s="1" t="s">
        <v>8742</v>
      </c>
      <c r="C3265" s="5" t="s">
        <v>8743</v>
      </c>
      <c r="D3265" s="2" t="str">
        <f t="shared" si="39"/>
        <v>thợ máy nữ</v>
      </c>
      <c r="E3265" s="3" t="str">
        <f t="shared" si="2"/>
        <v>woman mechanic</v>
      </c>
    </row>
    <row r="3266" ht="15.75" customHeight="1">
      <c r="A3266" s="1" t="s">
        <v>8744</v>
      </c>
      <c r="B3266" s="1" t="s">
        <v>8745</v>
      </c>
      <c r="C3266" s="5" t="s">
        <v>8746</v>
      </c>
      <c r="D3266" s="2" t="str">
        <f t="shared" si="39"/>
        <v>thợ máy nữ màu da sẫm</v>
      </c>
      <c r="E3266" s="3" t="str">
        <f t="shared" si="2"/>
        <v>woman mechanic dark skin tone</v>
      </c>
    </row>
    <row r="3267" ht="15.75" customHeight="1">
      <c r="A3267" s="1" t="s">
        <v>8747</v>
      </c>
      <c r="B3267" s="1" t="s">
        <v>8748</v>
      </c>
      <c r="C3267" s="5" t="s">
        <v>8749</v>
      </c>
      <c r="D3267" s="2" t="str">
        <f t="shared" si="39"/>
        <v>thợ máy nữ màu da sáng</v>
      </c>
      <c r="E3267" s="3" t="str">
        <f t="shared" si="2"/>
        <v>woman mechanic light skin tone</v>
      </c>
    </row>
    <row r="3268" ht="15.75" customHeight="1">
      <c r="A3268" s="1" t="s">
        <v>8750</v>
      </c>
      <c r="B3268" s="1" t="s">
        <v>8751</v>
      </c>
      <c r="C3268" s="5" t="s">
        <v>8752</v>
      </c>
      <c r="D3268" s="2" t="str">
        <f t="shared" si="39"/>
        <v>thợ máy nữ màu da sẫm vừa</v>
      </c>
      <c r="E3268" s="3" t="str">
        <f t="shared" si="2"/>
        <v>woman mechanic medium-dark skin tone</v>
      </c>
    </row>
    <row r="3269" ht="15.75" customHeight="1">
      <c r="A3269" s="1" t="s">
        <v>8753</v>
      </c>
      <c r="B3269" s="1" t="s">
        <v>8754</v>
      </c>
      <c r="C3269" s="5" t="s">
        <v>8755</v>
      </c>
      <c r="D3269" s="2" t="str">
        <f t="shared" si="39"/>
        <v>thợ máy nữ màu da sáng vừa</v>
      </c>
      <c r="E3269" s="3" t="str">
        <f t="shared" si="2"/>
        <v>woman mechanic medium-light skin tone</v>
      </c>
    </row>
    <row r="3270" ht="15.75" customHeight="1">
      <c r="A3270" s="1" t="s">
        <v>8756</v>
      </c>
      <c r="B3270" s="1" t="s">
        <v>8757</v>
      </c>
      <c r="C3270" s="5" t="s">
        <v>8758</v>
      </c>
      <c r="D3270" s="2" t="str">
        <f t="shared" si="39"/>
        <v>thợ máy nữ màu da thường</v>
      </c>
      <c r="E3270" s="3" t="str">
        <f t="shared" si="2"/>
        <v>woman mechanic medium skin tone</v>
      </c>
    </row>
    <row r="3271" ht="15.75" customHeight="1">
      <c r="A3271" s="1" t="s">
        <v>8759</v>
      </c>
      <c r="B3271" s="1" t="s">
        <v>8760</v>
      </c>
      <c r="C3271" s="5" t="s">
        <v>8761</v>
      </c>
      <c r="D3271" s="2" t="str">
        <f t="shared" si="39"/>
        <v>người phụ nữ da sẫm vừa</v>
      </c>
      <c r="E3271" s="3" t="str">
        <f t="shared" si="2"/>
        <v>woman medium-dark skin tone</v>
      </c>
    </row>
    <row r="3272" ht="15.75" customHeight="1">
      <c r="A3272" s="1" t="s">
        <v>8762</v>
      </c>
      <c r="B3272" s="1" t="s">
        <v>8763</v>
      </c>
      <c r="C3272" s="5" t="s">
        <v>8764</v>
      </c>
      <c r="D3272" s="2" t="str">
        <f t="shared" si="39"/>
        <v>người phụ nữ hói da sẫm vừa</v>
      </c>
      <c r="E3272" s="3" t="str">
        <f t="shared" si="2"/>
        <v>woman medium-dark skin tone bald</v>
      </c>
    </row>
    <row r="3273" ht="15.75" customHeight="1">
      <c r="A3273" s="1" t="s">
        <v>8765</v>
      </c>
      <c r="B3273" s="1" t="s">
        <v>8766</v>
      </c>
      <c r="C3273" s="5" t="s">
        <v>8767</v>
      </c>
      <c r="D3273" s="2" t="str">
        <f t="shared" si="39"/>
        <v>người phụ nữ có râu da sẫm vừa</v>
      </c>
      <c r="E3273" s="3" t="str">
        <f t="shared" si="2"/>
        <v>woman medium-dark skin tone beard</v>
      </c>
    </row>
    <row r="3274" ht="15.75" customHeight="1">
      <c r="A3274" s="1" t="s">
        <v>8768</v>
      </c>
      <c r="B3274" s="1" t="s">
        <v>8769</v>
      </c>
      <c r="C3274" s="5" t="s">
        <v>8770</v>
      </c>
      <c r="D3274" s="2" t="str">
        <f t="shared" si="39"/>
        <v>người phụ nữ tóc vàng da sẫm vừa</v>
      </c>
      <c r="E3274" s="3" t="str">
        <f t="shared" si="2"/>
        <v>woman medium-dark skin tone blond hair</v>
      </c>
    </row>
    <row r="3275" ht="15.75" customHeight="1">
      <c r="A3275" s="1" t="s">
        <v>8771</v>
      </c>
      <c r="B3275" s="1" t="s">
        <v>8772</v>
      </c>
      <c r="C3275" s="5" t="s">
        <v>8773</v>
      </c>
      <c r="D3275" s="2" t="str">
        <f t="shared" si="39"/>
        <v>người phụ nữ tóc xoăn da sẫm vừa</v>
      </c>
      <c r="E3275" s="3" t="str">
        <f t="shared" si="2"/>
        <v>woman medium-dark skin tone curly hair</v>
      </c>
    </row>
    <row r="3276" ht="15.75" customHeight="1">
      <c r="A3276" s="1" t="s">
        <v>8774</v>
      </c>
      <c r="B3276" s="1" t="s">
        <v>8775</v>
      </c>
      <c r="C3276" s="5" t="s">
        <v>8776</v>
      </c>
      <c r="D3276" s="2" t="str">
        <f t="shared" si="39"/>
        <v>người phụ nữ tóc đỏ da sẫm vừa</v>
      </c>
      <c r="E3276" s="3" t="str">
        <f t="shared" si="2"/>
        <v>woman medium-dark skin tone red hair</v>
      </c>
    </row>
    <row r="3277" ht="15.75" customHeight="1">
      <c r="A3277" s="1" t="s">
        <v>8777</v>
      </c>
      <c r="B3277" s="1" t="s">
        <v>8778</v>
      </c>
      <c r="C3277" s="5" t="s">
        <v>8779</v>
      </c>
      <c r="D3277" s="2" t="str">
        <f t="shared" si="39"/>
        <v>người phụ nữ tóc trắng da sẫm vừa</v>
      </c>
      <c r="E3277" s="3" t="str">
        <f t="shared" si="2"/>
        <v>woman medium-dark skin tone white hair</v>
      </c>
    </row>
    <row r="3278" ht="15.75" customHeight="1">
      <c r="A3278" s="1" t="s">
        <v>8780</v>
      </c>
      <c r="B3278" s="1" t="s">
        <v>8781</v>
      </c>
      <c r="C3278" s="5" t="s">
        <v>8782</v>
      </c>
      <c r="D3278" s="2" t="str">
        <f t="shared" si="39"/>
        <v>người phụ nữ da sáng vừa</v>
      </c>
      <c r="E3278" s="3" t="str">
        <f t="shared" si="2"/>
        <v>woman medium-light skin tone</v>
      </c>
    </row>
    <row r="3279" ht="15.75" customHeight="1">
      <c r="A3279" s="1" t="s">
        <v>8783</v>
      </c>
      <c r="B3279" s="1" t="s">
        <v>8784</v>
      </c>
      <c r="C3279" s="5" t="s">
        <v>8785</v>
      </c>
      <c r="D3279" s="2" t="str">
        <f t="shared" si="39"/>
        <v>người phụ nữ hói da sáng vừa</v>
      </c>
      <c r="E3279" s="3" t="str">
        <f t="shared" si="2"/>
        <v>woman medium-light skin tone bald</v>
      </c>
    </row>
    <row r="3280" ht="15.75" customHeight="1">
      <c r="A3280" s="1" t="s">
        <v>8786</v>
      </c>
      <c r="B3280" s="1" t="s">
        <v>8787</v>
      </c>
      <c r="C3280" s="5" t="s">
        <v>8788</v>
      </c>
      <c r="D3280" s="2" t="str">
        <f t="shared" si="39"/>
        <v>người phụ nữ có râu da sáng vừa</v>
      </c>
      <c r="E3280" s="3" t="str">
        <f t="shared" si="2"/>
        <v>woman medium-light skin tone beard</v>
      </c>
    </row>
    <row r="3281" ht="15.75" customHeight="1">
      <c r="A3281" s="1" t="s">
        <v>8789</v>
      </c>
      <c r="B3281" s="1" t="s">
        <v>8790</v>
      </c>
      <c r="C3281" s="5" t="s">
        <v>8791</v>
      </c>
      <c r="D3281" s="2" t="str">
        <f t="shared" si="39"/>
        <v>người phụ nữ tóc vàng da sáng vừa</v>
      </c>
      <c r="E3281" s="3" t="str">
        <f t="shared" si="2"/>
        <v>woman medium-light skin tone blond hair</v>
      </c>
    </row>
    <row r="3282" ht="15.75" customHeight="1">
      <c r="A3282" s="1" t="s">
        <v>8792</v>
      </c>
      <c r="B3282" s="1" t="s">
        <v>8793</v>
      </c>
      <c r="C3282" s="5" t="s">
        <v>8794</v>
      </c>
      <c r="D3282" s="2" t="str">
        <f t="shared" si="39"/>
        <v>người phụ nữ tóc xoăn da sáng vừa</v>
      </c>
      <c r="E3282" s="3" t="str">
        <f t="shared" si="2"/>
        <v>woman medium-light skin tone curly hair</v>
      </c>
    </row>
    <row r="3283" ht="15.75" customHeight="1">
      <c r="A3283" s="1" t="s">
        <v>8795</v>
      </c>
      <c r="B3283" s="1" t="s">
        <v>8796</v>
      </c>
      <c r="C3283" s="5" t="s">
        <v>8797</v>
      </c>
      <c r="D3283" s="2" t="str">
        <f t="shared" si="39"/>
        <v>người phụ nữ tóc đỏ da sáng vừa</v>
      </c>
      <c r="E3283" s="3" t="str">
        <f t="shared" si="2"/>
        <v>woman medium-light skin tone red hair</v>
      </c>
    </row>
    <row r="3284" ht="15.75" customHeight="1">
      <c r="A3284" s="1" t="s">
        <v>8798</v>
      </c>
      <c r="B3284" s="1" t="s">
        <v>8799</v>
      </c>
      <c r="C3284" s="5" t="s">
        <v>8800</v>
      </c>
      <c r="D3284" s="2" t="str">
        <f t="shared" si="39"/>
        <v>người phụ nữ tóc trắng da sáng vừa</v>
      </c>
      <c r="E3284" s="3" t="str">
        <f t="shared" si="2"/>
        <v>woman medium-light skin tone white hair</v>
      </c>
    </row>
    <row r="3285" ht="15.75" customHeight="1">
      <c r="A3285" s="1" t="s">
        <v>8801</v>
      </c>
      <c r="B3285" s="1" t="s">
        <v>8802</v>
      </c>
      <c r="C3285" s="5" t="s">
        <v>8803</v>
      </c>
      <c r="D3285" s="2" t="str">
        <f t="shared" si="39"/>
        <v>người phụ nữ da thường</v>
      </c>
      <c r="E3285" s="3" t="str">
        <f t="shared" si="2"/>
        <v>woman medium skin tone</v>
      </c>
    </row>
    <row r="3286" ht="15.75" customHeight="1">
      <c r="A3286" s="1" t="s">
        <v>8804</v>
      </c>
      <c r="B3286" s="1" t="s">
        <v>8805</v>
      </c>
      <c r="C3286" s="5" t="s">
        <v>8806</v>
      </c>
      <c r="D3286" s="2" t="str">
        <f t="shared" si="39"/>
        <v>người phụ nữ hói da thường</v>
      </c>
      <c r="E3286" s="3" t="str">
        <f t="shared" si="2"/>
        <v>woman medium skin tone bald</v>
      </c>
    </row>
    <row r="3287" ht="15.75" customHeight="1">
      <c r="A3287" s="1" t="s">
        <v>8807</v>
      </c>
      <c r="B3287" s="1" t="s">
        <v>8808</v>
      </c>
      <c r="C3287" s="5" t="s">
        <v>8809</v>
      </c>
      <c r="D3287" s="2" t="str">
        <f t="shared" si="39"/>
        <v>người phụ nữ có râu da thường</v>
      </c>
      <c r="E3287" s="3" t="str">
        <f t="shared" si="2"/>
        <v>woman medium skin tone beard</v>
      </c>
    </row>
    <row r="3288" ht="15.75" customHeight="1">
      <c r="A3288" s="1" t="s">
        <v>8810</v>
      </c>
      <c r="B3288" s="1" t="s">
        <v>8811</v>
      </c>
      <c r="C3288" s="5" t="s">
        <v>8812</v>
      </c>
      <c r="D3288" s="2" t="str">
        <f t="shared" si="39"/>
        <v>người phụ nữ tóc vàng da thường</v>
      </c>
      <c r="E3288" s="3" t="str">
        <f t="shared" si="2"/>
        <v>woman medium skin tone blond hair</v>
      </c>
    </row>
    <row r="3289" ht="15.75" customHeight="1">
      <c r="A3289" s="1" t="s">
        <v>8813</v>
      </c>
      <c r="B3289" s="1" t="s">
        <v>8814</v>
      </c>
      <c r="C3289" s="5" t="s">
        <v>8815</v>
      </c>
      <c r="D3289" s="2" t="str">
        <f t="shared" si="39"/>
        <v>người phụ nữ tóc xoăn da thường</v>
      </c>
      <c r="E3289" s="3" t="str">
        <f t="shared" si="2"/>
        <v>woman medium skin tone curly hair</v>
      </c>
    </row>
    <row r="3290" ht="15.75" customHeight="1">
      <c r="A3290" s="1" t="s">
        <v>8816</v>
      </c>
      <c r="B3290" s="1" t="s">
        <v>8817</v>
      </c>
      <c r="C3290" s="5" t="s">
        <v>8818</v>
      </c>
      <c r="D3290" s="2" t="str">
        <f t="shared" si="39"/>
        <v>người phụ nữ tóc đỏ da thường</v>
      </c>
      <c r="E3290" s="3" t="str">
        <f t="shared" si="2"/>
        <v>woman medium skin tone red hair</v>
      </c>
    </row>
    <row r="3291" ht="15.75" customHeight="1">
      <c r="A3291" s="1" t="s">
        <v>8819</v>
      </c>
      <c r="B3291" s="1" t="s">
        <v>8820</v>
      </c>
      <c r="C3291" s="5" t="s">
        <v>8821</v>
      </c>
      <c r="D3291" s="2" t="str">
        <f t="shared" si="39"/>
        <v>người phụ nữ tóc trắng da thường</v>
      </c>
      <c r="E3291" s="3" t="str">
        <f t="shared" si="2"/>
        <v>woman medium skin tone white hair</v>
      </c>
    </row>
    <row r="3292" ht="15.75" customHeight="1">
      <c r="A3292" s="1" t="s">
        <v>8822</v>
      </c>
      <c r="B3292" s="1" t="s">
        <v>8823</v>
      </c>
      <c r="C3292" s="5" t="s">
        <v>8824</v>
      </c>
      <c r="D3292" s="2" t="str">
        <f t="shared" si="39"/>
        <v>người phụ nữ đi xe đạp leo núi</v>
      </c>
      <c r="E3292" s="3" t="str">
        <f t="shared" si="2"/>
        <v>woman mountain biking</v>
      </c>
    </row>
    <row r="3293" ht="15.75" customHeight="1">
      <c r="A3293" s="1" t="s">
        <v>8825</v>
      </c>
      <c r="B3293" s="1" t="s">
        <v>8826</v>
      </c>
      <c r="C3293" s="5" t="s">
        <v>8827</v>
      </c>
      <c r="D3293" s="2" t="str">
        <f t="shared" si="39"/>
        <v>người phụ nữ màu da sẫm đi xe đạp leo núi</v>
      </c>
      <c r="E3293" s="3" t="str">
        <f t="shared" si="2"/>
        <v>woman mountain biking dark skin tone</v>
      </c>
    </row>
    <row r="3294" ht="15.75" customHeight="1">
      <c r="A3294" s="1" t="s">
        <v>8828</v>
      </c>
      <c r="B3294" s="1" t="s">
        <v>8829</v>
      </c>
      <c r="C3294" s="5" t="s">
        <v>8830</v>
      </c>
      <c r="D3294" s="2" t="str">
        <f t="shared" si="39"/>
        <v>người phụ nữ màu da sáng đi xe đạp leo núi</v>
      </c>
      <c r="E3294" s="3" t="str">
        <f t="shared" si="2"/>
        <v>woman mountain biking light skin tone</v>
      </c>
    </row>
    <row r="3295" ht="15.75" customHeight="1">
      <c r="A3295" s="1" t="s">
        <v>8831</v>
      </c>
      <c r="B3295" s="1" t="s">
        <v>8832</v>
      </c>
      <c r="C3295" s="5" t="s">
        <v>8833</v>
      </c>
      <c r="D3295" s="2" t="str">
        <f t="shared" si="39"/>
        <v>người phụ nữ màu da sẫm vừa đi xe đạp leo núi</v>
      </c>
      <c r="E3295" s="3" t="str">
        <f t="shared" si="2"/>
        <v>woman mountain biking medium-dark skin tone</v>
      </c>
    </row>
    <row r="3296" ht="15.75" customHeight="1">
      <c r="A3296" s="1" t="s">
        <v>8834</v>
      </c>
      <c r="B3296" s="1" t="s">
        <v>8835</v>
      </c>
      <c r="C3296" s="5" t="s">
        <v>8836</v>
      </c>
      <c r="D3296" s="2" t="str">
        <f t="shared" si="39"/>
        <v>người phụ nữ màu da sáng vừa đi xe đạp leo núi</v>
      </c>
      <c r="E3296" s="3" t="str">
        <f t="shared" si="2"/>
        <v>woman mountain biking medium-light skin tone</v>
      </c>
    </row>
    <row r="3297" ht="15.75" customHeight="1">
      <c r="A3297" s="1" t="s">
        <v>8837</v>
      </c>
      <c r="B3297" s="1" t="s">
        <v>8838</v>
      </c>
      <c r="C3297" s="5" t="s">
        <v>8839</v>
      </c>
      <c r="D3297" s="2" t="str">
        <f t="shared" si="39"/>
        <v>người phụ nữ màu da thường đi xe đạp leo núi</v>
      </c>
      <c r="E3297" s="3" t="str">
        <f t="shared" si="2"/>
        <v>woman mountain biking medium skin tone</v>
      </c>
    </row>
    <row r="3298" ht="15.75" customHeight="1">
      <c r="A3298" s="1" t="s">
        <v>8840</v>
      </c>
      <c r="B3298" s="1" t="s">
        <v>8841</v>
      </c>
      <c r="C3298" s="5" t="s">
        <v>8842</v>
      </c>
      <c r="D3298" s="2" t="str">
        <f t="shared" si="39"/>
        <v>nhân viên văn phòng nữ</v>
      </c>
      <c r="E3298" s="3" t="str">
        <f t="shared" si="2"/>
        <v>woman office worker</v>
      </c>
    </row>
    <row r="3299" ht="15.75" customHeight="1">
      <c r="A3299" s="1" t="s">
        <v>8843</v>
      </c>
      <c r="B3299" s="1" t="s">
        <v>8844</v>
      </c>
      <c r="C3299" s="5" t="s">
        <v>8845</v>
      </c>
      <c r="D3299" s="2" t="str">
        <f t="shared" si="39"/>
        <v>nhân viên văn phòng nữ màu da sẫm</v>
      </c>
      <c r="E3299" s="3" t="str">
        <f t="shared" si="2"/>
        <v>woman office worker dark skin tone</v>
      </c>
    </row>
    <row r="3300" ht="15.75" customHeight="1">
      <c r="A3300" s="1" t="s">
        <v>8846</v>
      </c>
      <c r="B3300" s="1" t="s">
        <v>8847</v>
      </c>
      <c r="C3300" s="5" t="s">
        <v>8848</v>
      </c>
      <c r="D3300" s="2" t="str">
        <f t="shared" si="39"/>
        <v>nhân viên văn phòng nữ màu da sáng</v>
      </c>
      <c r="E3300" s="3" t="str">
        <f t="shared" si="2"/>
        <v>woman office worker light skin tone</v>
      </c>
    </row>
    <row r="3301" ht="15.75" customHeight="1">
      <c r="A3301" s="1" t="s">
        <v>8849</v>
      </c>
      <c r="B3301" s="1" t="s">
        <v>8850</v>
      </c>
      <c r="C3301" s="5" t="s">
        <v>8851</v>
      </c>
      <c r="D3301" s="2" t="str">
        <f t="shared" si="39"/>
        <v>nhân viên văn phòng nữ màu da sẫm vừa</v>
      </c>
      <c r="E3301" s="3" t="str">
        <f t="shared" si="2"/>
        <v>woman office worker medium-dark skin tone</v>
      </c>
    </row>
    <row r="3302" ht="15.75" customHeight="1">
      <c r="A3302" s="1" t="s">
        <v>8852</v>
      </c>
      <c r="B3302" s="1" t="s">
        <v>8853</v>
      </c>
      <c r="C3302" s="5" t="s">
        <v>8854</v>
      </c>
      <c r="D3302" s="2" t="str">
        <f t="shared" si="39"/>
        <v>nhân viên văn phòng nữ màu da sáng vừa</v>
      </c>
      <c r="E3302" s="3" t="str">
        <f t="shared" si="2"/>
        <v>woman office worker medium-light skin tone</v>
      </c>
    </row>
    <row r="3303" ht="15.75" customHeight="1">
      <c r="A3303" s="1" t="s">
        <v>8855</v>
      </c>
      <c r="B3303" s="1" t="s">
        <v>8856</v>
      </c>
      <c r="C3303" s="5" t="s">
        <v>8857</v>
      </c>
      <c r="D3303" s="2" t="str">
        <f t="shared" si="39"/>
        <v>nhân viên văn phòng nữ màu da thường</v>
      </c>
      <c r="E3303" s="3" t="str">
        <f t="shared" si="2"/>
        <v>woman office worker medium skin tone</v>
      </c>
    </row>
    <row r="3304" ht="15.75" customHeight="1">
      <c r="A3304" s="1" t="s">
        <v>8858</v>
      </c>
      <c r="B3304" s="1" t="s">
        <v>8859</v>
      </c>
      <c r="C3304" s="5" t="s">
        <v>8860</v>
      </c>
      <c r="D3304" s="2" t="str">
        <f t="shared" si="39"/>
        <v>phi công nữ</v>
      </c>
      <c r="E3304" s="3" t="str">
        <f t="shared" si="2"/>
        <v>woman pilot</v>
      </c>
    </row>
    <row r="3305" ht="15.75" customHeight="1">
      <c r="A3305" s="1" t="s">
        <v>8861</v>
      </c>
      <c r="B3305" s="1" t="s">
        <v>8862</v>
      </c>
      <c r="C3305" s="5" t="s">
        <v>8863</v>
      </c>
      <c r="D3305" s="2" t="str">
        <f t="shared" si="39"/>
        <v>phi công nữ màu da sẫm</v>
      </c>
      <c r="E3305" s="3" t="str">
        <f t="shared" si="2"/>
        <v>woman pilot dark skin tone</v>
      </c>
    </row>
    <row r="3306" ht="15.75" customHeight="1">
      <c r="A3306" s="1" t="s">
        <v>8864</v>
      </c>
      <c r="B3306" s="1" t="s">
        <v>8865</v>
      </c>
      <c r="C3306" s="5" t="s">
        <v>8866</v>
      </c>
      <c r="D3306" s="2" t="str">
        <f t="shared" si="39"/>
        <v>phi công nữ màu da sáng</v>
      </c>
      <c r="E3306" s="3" t="str">
        <f t="shared" si="2"/>
        <v>woman pilot light skin tone</v>
      </c>
    </row>
    <row r="3307" ht="15.75" customHeight="1">
      <c r="A3307" s="1" t="s">
        <v>8867</v>
      </c>
      <c r="B3307" s="1" t="s">
        <v>8868</v>
      </c>
      <c r="C3307" s="5" t="s">
        <v>8869</v>
      </c>
      <c r="D3307" s="2" t="str">
        <f t="shared" si="39"/>
        <v>phi công nữ màu da sẫm vừa</v>
      </c>
      <c r="E3307" s="3" t="str">
        <f t="shared" si="2"/>
        <v>woman pilot medium-dark skin tone</v>
      </c>
    </row>
    <row r="3308" ht="15.75" customHeight="1">
      <c r="A3308" s="1" t="s">
        <v>8870</v>
      </c>
      <c r="B3308" s="1" t="s">
        <v>8871</v>
      </c>
      <c r="C3308" s="5" t="s">
        <v>8872</v>
      </c>
      <c r="D3308" s="2" t="str">
        <f t="shared" si="39"/>
        <v>phi công nữ màu da sáng vừa</v>
      </c>
      <c r="E3308" s="3" t="str">
        <f t="shared" si="2"/>
        <v>woman pilot medium-light skin tone</v>
      </c>
    </row>
    <row r="3309" ht="15.75" customHeight="1">
      <c r="A3309" s="1" t="s">
        <v>8873</v>
      </c>
      <c r="B3309" s="1" t="s">
        <v>8874</v>
      </c>
      <c r="C3309" s="5" t="s">
        <v>8875</v>
      </c>
      <c r="D3309" s="2" t="str">
        <f t="shared" si="39"/>
        <v>phi công nữ màu da thường</v>
      </c>
      <c r="E3309" s="3" t="str">
        <f t="shared" si="2"/>
        <v>woman pilot medium skin tone</v>
      </c>
    </row>
    <row r="3310" ht="15.75" customHeight="1">
      <c r="A3310" s="1" t="s">
        <v>8876</v>
      </c>
      <c r="B3310" s="1" t="s">
        <v>8877</v>
      </c>
      <c r="C3310" s="5" t="s">
        <v>8878</v>
      </c>
      <c r="D3310" s="2" t="str">
        <f t="shared" si="39"/>
        <v>người phụ nữ chơi bóng ném</v>
      </c>
      <c r="E3310" s="3" t="str">
        <f t="shared" si="2"/>
        <v>woman playing handball</v>
      </c>
    </row>
    <row r="3311" ht="15.75" customHeight="1">
      <c r="A3311" s="1" t="s">
        <v>8879</v>
      </c>
      <c r="B3311" s="1" t="s">
        <v>8880</v>
      </c>
      <c r="C3311" s="5" t="s">
        <v>8881</v>
      </c>
      <c r="D3311" s="2" t="str">
        <f t="shared" si="39"/>
        <v>người phụ nữ màu da sẫm chơi bóng ném</v>
      </c>
      <c r="E3311" s="3" t="str">
        <f t="shared" si="2"/>
        <v>woman playing handball dark skin tone</v>
      </c>
    </row>
    <row r="3312" ht="15.75" customHeight="1">
      <c r="A3312" s="1" t="s">
        <v>8882</v>
      </c>
      <c r="B3312" s="1" t="s">
        <v>8883</v>
      </c>
      <c r="C3312" s="5" t="s">
        <v>8884</v>
      </c>
      <c r="D3312" s="2" t="str">
        <f t="shared" si="39"/>
        <v>người phụ nữ màu da sáng chơi bóng ném</v>
      </c>
      <c r="E3312" s="3" t="str">
        <f t="shared" si="2"/>
        <v>woman playing handball light skin tone</v>
      </c>
    </row>
    <row r="3313" ht="15.75" customHeight="1">
      <c r="A3313" s="1" t="s">
        <v>8885</v>
      </c>
      <c r="B3313" s="1" t="s">
        <v>8886</v>
      </c>
      <c r="C3313" s="5" t="s">
        <v>8887</v>
      </c>
      <c r="D3313" s="2" t="str">
        <f t="shared" si="39"/>
        <v>người phụ nữ màu da sẫm vừa chơi bóng ném</v>
      </c>
      <c r="E3313" s="3" t="str">
        <f t="shared" si="2"/>
        <v>woman playing handball medium-dark skin tone</v>
      </c>
    </row>
    <row r="3314" ht="15.75" customHeight="1">
      <c r="A3314" s="1" t="s">
        <v>8888</v>
      </c>
      <c r="B3314" s="1" t="s">
        <v>8889</v>
      </c>
      <c r="C3314" s="5" t="s">
        <v>8890</v>
      </c>
      <c r="D3314" s="2" t="str">
        <f t="shared" si="39"/>
        <v>người phụ nữ màu da sáng vừa chơi bóng ném</v>
      </c>
      <c r="E3314" s="3" t="str">
        <f t="shared" si="2"/>
        <v>woman playing handball medium-light skin tone</v>
      </c>
    </row>
    <row r="3315" ht="15.75" customHeight="1">
      <c r="A3315" s="1" t="s">
        <v>8891</v>
      </c>
      <c r="B3315" s="1" t="s">
        <v>8892</v>
      </c>
      <c r="C3315" s="5" t="s">
        <v>8893</v>
      </c>
      <c r="D3315" s="2" t="str">
        <f t="shared" si="39"/>
        <v>người phụ nữ màu da thường chơi bóng ném</v>
      </c>
      <c r="E3315" s="3" t="str">
        <f t="shared" si="2"/>
        <v>woman playing handball medium skin tone</v>
      </c>
    </row>
    <row r="3316" ht="15.75" customHeight="1">
      <c r="A3316" s="1" t="s">
        <v>8894</v>
      </c>
      <c r="B3316" s="1" t="s">
        <v>8895</v>
      </c>
      <c r="C3316" s="5" t="s">
        <v>8896</v>
      </c>
      <c r="D3316" s="2" t="str">
        <f t="shared" si="39"/>
        <v>người phụ nữ chơi bóng nước</v>
      </c>
      <c r="E3316" s="3" t="str">
        <f t="shared" si="2"/>
        <v>woman playing water polo</v>
      </c>
    </row>
    <row r="3317" ht="15.75" customHeight="1">
      <c r="A3317" s="1" t="s">
        <v>8897</v>
      </c>
      <c r="B3317" s="1" t="s">
        <v>8898</v>
      </c>
      <c r="C3317" s="5" t="s">
        <v>8899</v>
      </c>
      <c r="D3317" s="2" t="str">
        <f t="shared" si="39"/>
        <v>người phụ nữ màu da sẫm chơi bóng nước</v>
      </c>
      <c r="E3317" s="3" t="str">
        <f t="shared" si="2"/>
        <v>woman playing water polo dark skin tone</v>
      </c>
    </row>
    <row r="3318" ht="15.75" customHeight="1">
      <c r="A3318" s="1" t="s">
        <v>8900</v>
      </c>
      <c r="B3318" s="1" t="s">
        <v>8901</v>
      </c>
      <c r="C3318" s="5" t="s">
        <v>8902</v>
      </c>
      <c r="D3318" s="2" t="str">
        <f t="shared" si="39"/>
        <v>người phụ nữ màu da sáng chơi bóng nước</v>
      </c>
      <c r="E3318" s="3" t="str">
        <f t="shared" si="2"/>
        <v>woman playing water polo light skin tone</v>
      </c>
    </row>
    <row r="3319" ht="15.75" customHeight="1">
      <c r="A3319" s="1" t="s">
        <v>8903</v>
      </c>
      <c r="B3319" s="1" t="s">
        <v>8904</v>
      </c>
      <c r="C3319" s="5" t="s">
        <v>8905</v>
      </c>
      <c r="D3319" s="2" t="str">
        <f t="shared" si="39"/>
        <v>người phụ nữ màu da sẫm vừa chơi bóng nước</v>
      </c>
      <c r="E3319" s="3" t="str">
        <f t="shared" si="2"/>
        <v>woman playing water polo medium-dark skin tone</v>
      </c>
    </row>
    <row r="3320" ht="15.75" customHeight="1">
      <c r="A3320" s="1" t="s">
        <v>8906</v>
      </c>
      <c r="B3320" s="1" t="s">
        <v>8907</v>
      </c>
      <c r="C3320" s="5" t="s">
        <v>8908</v>
      </c>
      <c r="D3320" s="2" t="str">
        <f t="shared" si="39"/>
        <v>người phụ nữ màu da sáng vừa chơi bóng nước</v>
      </c>
      <c r="E3320" s="3" t="str">
        <f t="shared" si="2"/>
        <v>woman playing water polo medium-light skin tone</v>
      </c>
    </row>
    <row r="3321" ht="15.75" customHeight="1">
      <c r="A3321" s="1" t="s">
        <v>8909</v>
      </c>
      <c r="B3321" s="1" t="s">
        <v>8910</v>
      </c>
      <c r="C3321" s="5" t="s">
        <v>8911</v>
      </c>
      <c r="D3321" s="2" t="str">
        <f t="shared" si="39"/>
        <v>người phụ nữ màu da thường chơi bóng nước</v>
      </c>
      <c r="E3321" s="3" t="str">
        <f t="shared" si="2"/>
        <v>woman playing water polo medium skin tone</v>
      </c>
    </row>
    <row r="3322" ht="15.75" customHeight="1">
      <c r="A3322" s="1" t="s">
        <v>8912</v>
      </c>
      <c r="B3322" s="1" t="s">
        <v>8913</v>
      </c>
      <c r="C3322" s="5" t="s">
        <v>8914</v>
      </c>
      <c r="D3322" s="2" t="str">
        <f t="shared" si="39"/>
        <v>nhân viên cảnh sát nữ</v>
      </c>
      <c r="E3322" s="3" t="str">
        <f t="shared" si="2"/>
        <v>woman police officer</v>
      </c>
    </row>
    <row r="3323" ht="15.75" customHeight="1">
      <c r="A3323" s="1" t="s">
        <v>8915</v>
      </c>
      <c r="B3323" s="1" t="s">
        <v>8916</v>
      </c>
      <c r="C3323" s="5" t="s">
        <v>8917</v>
      </c>
      <c r="D3323" s="2" t="str">
        <f t="shared" si="39"/>
        <v>nhân viên cảnh sát nữ màu da sẫm</v>
      </c>
      <c r="E3323" s="3" t="str">
        <f t="shared" si="2"/>
        <v>woman police officer dark skin tone</v>
      </c>
    </row>
    <row r="3324" ht="15.75" customHeight="1">
      <c r="A3324" s="1" t="s">
        <v>8918</v>
      </c>
      <c r="B3324" s="1" t="s">
        <v>8919</v>
      </c>
      <c r="C3324" s="5" t="s">
        <v>8920</v>
      </c>
      <c r="D3324" s="2" t="str">
        <f t="shared" si="39"/>
        <v>nhân viên cảnh sát nữ màu da sáng</v>
      </c>
      <c r="E3324" s="3" t="str">
        <f t="shared" si="2"/>
        <v>woman police officer light skin tone</v>
      </c>
    </row>
    <row r="3325" ht="15.75" customHeight="1">
      <c r="A3325" s="1" t="s">
        <v>8921</v>
      </c>
      <c r="B3325" s="1" t="s">
        <v>8922</v>
      </c>
      <c r="C3325" s="5" t="s">
        <v>8923</v>
      </c>
      <c r="D3325" s="2" t="str">
        <f t="shared" si="39"/>
        <v>nhân viên cảnh sát nữ màu da sẫm vừa</v>
      </c>
      <c r="E3325" s="3" t="str">
        <f t="shared" si="2"/>
        <v>woman police officer medium-dark skin tone</v>
      </c>
    </row>
    <row r="3326" ht="15.75" customHeight="1">
      <c r="A3326" s="1" t="s">
        <v>8924</v>
      </c>
      <c r="B3326" s="1" t="s">
        <v>8925</v>
      </c>
      <c r="C3326" s="5" t="s">
        <v>8926</v>
      </c>
      <c r="D3326" s="2" t="str">
        <f t="shared" si="39"/>
        <v>nhân viên cảnh sát nữ màu da sáng vừa</v>
      </c>
      <c r="E3326" s="3" t="str">
        <f t="shared" si="2"/>
        <v>woman police officer medium-light skin tone</v>
      </c>
    </row>
    <row r="3327" ht="15.75" customHeight="1">
      <c r="A3327" s="1" t="s">
        <v>8927</v>
      </c>
      <c r="B3327" s="1" t="s">
        <v>8928</v>
      </c>
      <c r="C3327" s="5" t="s">
        <v>8929</v>
      </c>
      <c r="D3327" s="2" t="str">
        <f t="shared" si="39"/>
        <v>nhân viên cảnh sát nữ màu da thường</v>
      </c>
      <c r="E3327" s="3" t="str">
        <f t="shared" si="2"/>
        <v>woman police officer medium skin tone</v>
      </c>
    </row>
    <row r="3328" ht="15.75" customHeight="1">
      <c r="A3328" s="1" t="s">
        <v>8930</v>
      </c>
      <c r="B3328" s="1" t="s">
        <v>8931</v>
      </c>
      <c r="C3328" s="5" t="s">
        <v>8932</v>
      </c>
      <c r="D3328" s="2" t="str">
        <f t="shared" si="39"/>
        <v>người phụ nữ bĩu môi</v>
      </c>
      <c r="E3328" s="3" t="str">
        <f t="shared" si="2"/>
        <v>woman pouting</v>
      </c>
    </row>
    <row r="3329" ht="15.75" customHeight="1">
      <c r="A3329" s="1" t="s">
        <v>8933</v>
      </c>
      <c r="B3329" s="1" t="s">
        <v>8934</v>
      </c>
      <c r="C3329" s="5" t="s">
        <v>8935</v>
      </c>
      <c r="D3329" s="2" t="str">
        <f t="shared" si="39"/>
        <v>người phụ nữ màu da sẫm bĩu môi</v>
      </c>
      <c r="E3329" s="3" t="str">
        <f t="shared" si="2"/>
        <v>woman pouting dark skin tone</v>
      </c>
    </row>
    <row r="3330" ht="15.75" customHeight="1">
      <c r="A3330" s="1" t="s">
        <v>8936</v>
      </c>
      <c r="B3330" s="1" t="s">
        <v>8937</v>
      </c>
      <c r="C3330" s="5" t="s">
        <v>8938</v>
      </c>
      <c r="D3330" s="2" t="str">
        <f t="shared" si="39"/>
        <v>người phụ nữ màu da sáng bĩu môi</v>
      </c>
      <c r="E3330" s="3" t="str">
        <f t="shared" si="2"/>
        <v>woman pouting light skin tone</v>
      </c>
    </row>
    <row r="3331" ht="15.75" customHeight="1">
      <c r="A3331" s="1" t="s">
        <v>8939</v>
      </c>
      <c r="B3331" s="1" t="s">
        <v>8940</v>
      </c>
      <c r="C3331" s="5" t="s">
        <v>8941</v>
      </c>
      <c r="D3331" s="2" t="str">
        <f t="shared" si="39"/>
        <v>người phụ nữ màu da sẫm vừa bĩu môi</v>
      </c>
      <c r="E3331" s="3" t="str">
        <f t="shared" si="2"/>
        <v>woman pouting medium-dark skin tone</v>
      </c>
    </row>
    <row r="3332" ht="15.75" customHeight="1">
      <c r="A3332" s="1" t="s">
        <v>8942</v>
      </c>
      <c r="B3332" s="1" t="s">
        <v>8943</v>
      </c>
      <c r="C3332" s="5" t="s">
        <v>8944</v>
      </c>
      <c r="D3332" s="2" t="str">
        <f t="shared" si="39"/>
        <v>người phụ nữ màu da sáng vừa bĩu môi</v>
      </c>
      <c r="E3332" s="3" t="str">
        <f t="shared" si="2"/>
        <v>woman pouting medium-light skin tone</v>
      </c>
    </row>
    <row r="3333" ht="15.75" customHeight="1">
      <c r="A3333" s="1" t="s">
        <v>8945</v>
      </c>
      <c r="B3333" s="1" t="s">
        <v>8946</v>
      </c>
      <c r="C3333" s="5" t="s">
        <v>8947</v>
      </c>
      <c r="D3333" s="2" t="str">
        <f t="shared" si="39"/>
        <v>người phụ nữ màu da thường bĩu môi</v>
      </c>
      <c r="E3333" s="3" t="str">
        <f t="shared" si="2"/>
        <v>woman pouting medium skin tone</v>
      </c>
    </row>
    <row r="3334" ht="15.75" customHeight="1">
      <c r="A3334" s="1" t="s">
        <v>8948</v>
      </c>
      <c r="B3334" s="1" t="s">
        <v>8949</v>
      </c>
      <c r="C3334" s="5" t="s">
        <v>8950</v>
      </c>
      <c r="D3334" s="2" t="str">
        <f t="shared" si="39"/>
        <v>người phụ nữ giơ tay</v>
      </c>
      <c r="E3334" s="3" t="str">
        <f t="shared" si="2"/>
        <v>woman raising hand</v>
      </c>
    </row>
    <row r="3335" ht="15.75" customHeight="1">
      <c r="A3335" s="1" t="s">
        <v>8951</v>
      </c>
      <c r="B3335" s="1" t="s">
        <v>8952</v>
      </c>
      <c r="C3335" s="5" t="s">
        <v>8953</v>
      </c>
      <c r="D3335" s="2" t="str">
        <f t="shared" si="39"/>
        <v>người phụ nữ màu da sẫm giơ tay</v>
      </c>
      <c r="E3335" s="3" t="str">
        <f t="shared" si="2"/>
        <v>woman raising hand dark skin tone</v>
      </c>
    </row>
    <row r="3336" ht="15.75" customHeight="1">
      <c r="A3336" s="1" t="s">
        <v>8954</v>
      </c>
      <c r="B3336" s="1" t="s">
        <v>8955</v>
      </c>
      <c r="C3336" s="5" t="s">
        <v>8956</v>
      </c>
      <c r="D3336" s="2" t="str">
        <f t="shared" si="39"/>
        <v>người phụ nữ màu da sáng giơ tay</v>
      </c>
      <c r="E3336" s="3" t="str">
        <f t="shared" si="2"/>
        <v>woman raising hand light skin tone</v>
      </c>
    </row>
    <row r="3337" ht="15.75" customHeight="1">
      <c r="A3337" s="1" t="s">
        <v>8957</v>
      </c>
      <c r="B3337" s="1" t="s">
        <v>8958</v>
      </c>
      <c r="C3337" s="5" t="s">
        <v>8959</v>
      </c>
      <c r="D3337" s="2" t="str">
        <f t="shared" si="39"/>
        <v>người phụ nữ màu da sẫm vừa giơ tay</v>
      </c>
      <c r="E3337" s="3" t="str">
        <f t="shared" si="2"/>
        <v>woman raising hand medium-dark skin tone</v>
      </c>
    </row>
    <row r="3338" ht="15.75" customHeight="1">
      <c r="A3338" s="1" t="s">
        <v>8960</v>
      </c>
      <c r="B3338" s="1" t="s">
        <v>8961</v>
      </c>
      <c r="C3338" s="5" t="s">
        <v>8962</v>
      </c>
      <c r="D3338" s="2" t="str">
        <f t="shared" si="39"/>
        <v>người phụ nữ màu da sáng vừa giơ tay</v>
      </c>
      <c r="E3338" s="3" t="str">
        <f t="shared" si="2"/>
        <v>woman raising hand medium-light skin tone</v>
      </c>
    </row>
    <row r="3339" ht="15.75" customHeight="1">
      <c r="A3339" s="1" t="s">
        <v>8963</v>
      </c>
      <c r="B3339" s="1" t="s">
        <v>8964</v>
      </c>
      <c r="C3339" s="5" t="s">
        <v>8965</v>
      </c>
      <c r="D3339" s="2" t="str">
        <f t="shared" si="39"/>
        <v>người phụ nữ màu da thường giơ tay</v>
      </c>
      <c r="E3339" s="3" t="str">
        <f t="shared" si="2"/>
        <v>woman raising hand medium skin tone</v>
      </c>
    </row>
    <row r="3340" ht="15.75" customHeight="1">
      <c r="A3340" s="1" t="s">
        <v>8966</v>
      </c>
      <c r="B3340" s="1" t="s">
        <v>8967</v>
      </c>
      <c r="C3340" s="5" t="str">
        <f>IFERROR(__xludf.DUMMYFUNCTION("GOOGLETRANSLATE(E3340, ""en"",""vi"")"),"người phụ nữ tóc đỏ")</f>
        <v>người phụ nữ tóc đỏ</v>
      </c>
      <c r="D3340" s="2" t="str">
        <f t="shared" si="39"/>
        <v>người phụ nữ tóc đỏ</v>
      </c>
      <c r="E3340" s="3" t="str">
        <f t="shared" si="2"/>
        <v>woman red hair</v>
      </c>
    </row>
    <row r="3341" ht="15.75" customHeight="1">
      <c r="A3341" s="1" t="s">
        <v>8968</v>
      </c>
      <c r="B3341" s="1" t="s">
        <v>8969</v>
      </c>
      <c r="C3341" s="5" t="s">
        <v>8970</v>
      </c>
      <c r="D3341" s="2" t="str">
        <f t="shared" si="39"/>
        <v>người phụ nữ chèo thuyền</v>
      </c>
      <c r="E3341" s="3" t="str">
        <f t="shared" si="2"/>
        <v>woman rowing boat</v>
      </c>
    </row>
    <row r="3342" ht="15.75" customHeight="1">
      <c r="A3342" s="1" t="s">
        <v>8971</v>
      </c>
      <c r="B3342" s="1" t="s">
        <v>8972</v>
      </c>
      <c r="C3342" s="5" t="s">
        <v>8973</v>
      </c>
      <c r="D3342" s="2" t="str">
        <f t="shared" si="39"/>
        <v>người phụ nữ màu da sẫm chèo thuyền</v>
      </c>
      <c r="E3342" s="3" t="str">
        <f t="shared" si="2"/>
        <v>woman rowing boat dark skin tone</v>
      </c>
    </row>
    <row r="3343" ht="15.75" customHeight="1">
      <c r="A3343" s="1" t="s">
        <v>8974</v>
      </c>
      <c r="B3343" s="1" t="s">
        <v>8975</v>
      </c>
      <c r="C3343" s="5" t="s">
        <v>8976</v>
      </c>
      <c r="D3343" s="2" t="str">
        <f t="shared" si="39"/>
        <v>người phụ nữ màu da sáng chèo thuyền</v>
      </c>
      <c r="E3343" s="3" t="str">
        <f t="shared" si="2"/>
        <v>woman rowing boat light skin tone</v>
      </c>
    </row>
    <row r="3344" ht="15.75" customHeight="1">
      <c r="A3344" s="1" t="s">
        <v>8977</v>
      </c>
      <c r="B3344" s="1" t="s">
        <v>8978</v>
      </c>
      <c r="C3344" s="5" t="s">
        <v>8979</v>
      </c>
      <c r="D3344" s="2" t="str">
        <f t="shared" si="39"/>
        <v>người phụ nữ màu da sẫm vừa chèo thuyền</v>
      </c>
      <c r="E3344" s="3" t="str">
        <f t="shared" si="2"/>
        <v>woman rowing boat medium-dark skin tone</v>
      </c>
    </row>
    <row r="3345" ht="15.75" customHeight="1">
      <c r="A3345" s="1" t="s">
        <v>8980</v>
      </c>
      <c r="B3345" s="1" t="s">
        <v>8981</v>
      </c>
      <c r="C3345" s="5" t="s">
        <v>8982</v>
      </c>
      <c r="D3345" s="2" t="str">
        <f t="shared" si="39"/>
        <v>người phụ nữ màu da sáng vừa chèo thuyền</v>
      </c>
      <c r="E3345" s="3" t="str">
        <f t="shared" si="2"/>
        <v>woman rowing boat medium-light skin tone</v>
      </c>
    </row>
    <row r="3346" ht="15.75" customHeight="1">
      <c r="A3346" s="1" t="s">
        <v>8983</v>
      </c>
      <c r="B3346" s="1" t="s">
        <v>8984</v>
      </c>
      <c r="C3346" s="5" t="s">
        <v>8985</v>
      </c>
      <c r="D3346" s="2" t="str">
        <f t="shared" si="39"/>
        <v>người phụ nữ màu da thường chèo thuyền</v>
      </c>
      <c r="E3346" s="3" t="str">
        <f t="shared" si="2"/>
        <v>woman rowing boat medium skin tone</v>
      </c>
    </row>
    <row r="3347" ht="15.75" customHeight="1">
      <c r="A3347" s="1" t="s">
        <v>8986</v>
      </c>
      <c r="B3347" s="1" t="s">
        <v>8987</v>
      </c>
      <c r="C3347" s="5" t="s">
        <v>8988</v>
      </c>
      <c r="D3347" s="2" t="str">
        <f t="shared" si="39"/>
        <v>người phụ nữ chạy</v>
      </c>
      <c r="E3347" s="3" t="str">
        <f t="shared" si="2"/>
        <v>woman running</v>
      </c>
    </row>
    <row r="3348" ht="15.75" customHeight="1">
      <c r="A3348" s="1" t="s">
        <v>8989</v>
      </c>
      <c r="B3348" s="1" t="s">
        <v>8990</v>
      </c>
      <c r="C3348" s="5" t="s">
        <v>8991</v>
      </c>
      <c r="D3348" s="2" t="str">
        <f t="shared" si="39"/>
        <v>người phụ nữ màu da sẫm chạy</v>
      </c>
      <c r="E3348" s="3" t="str">
        <f t="shared" si="2"/>
        <v>woman running dark skin tone</v>
      </c>
    </row>
    <row r="3349" ht="15.75" customHeight="1">
      <c r="A3349" s="1" t="s">
        <v>8992</v>
      </c>
      <c r="B3349" s="1" t="s">
        <v>8993</v>
      </c>
      <c r="C3349" s="5" t="s">
        <v>8994</v>
      </c>
      <c r="D3349" s="2" t="str">
        <f t="shared" si="39"/>
        <v>người phụ nữ màu da sáng chạy</v>
      </c>
      <c r="E3349" s="3" t="str">
        <f t="shared" si="2"/>
        <v>woman running light skin tone</v>
      </c>
    </row>
    <row r="3350" ht="15.75" customHeight="1">
      <c r="A3350" s="1" t="s">
        <v>8995</v>
      </c>
      <c r="B3350" s="1" t="s">
        <v>8996</v>
      </c>
      <c r="C3350" s="5" t="s">
        <v>8997</v>
      </c>
      <c r="D3350" s="2" t="str">
        <f t="shared" si="39"/>
        <v>người phụ nữ màu da sẫm vừa chạy</v>
      </c>
      <c r="E3350" s="3" t="str">
        <f t="shared" si="2"/>
        <v>woman running medium-dark skin tone</v>
      </c>
    </row>
    <row r="3351" ht="15.75" customHeight="1">
      <c r="A3351" s="1" t="s">
        <v>8998</v>
      </c>
      <c r="B3351" s="1" t="s">
        <v>8999</v>
      </c>
      <c r="C3351" s="5" t="s">
        <v>9000</v>
      </c>
      <c r="D3351" s="2" t="str">
        <f t="shared" si="39"/>
        <v>người phụ nữ màu da sáng vừa chạy</v>
      </c>
      <c r="E3351" s="3" t="str">
        <f t="shared" si="2"/>
        <v>woman running medium-light skin tone</v>
      </c>
    </row>
    <row r="3352" ht="15.75" customHeight="1">
      <c r="A3352" s="1" t="s">
        <v>9001</v>
      </c>
      <c r="B3352" s="1" t="s">
        <v>9002</v>
      </c>
      <c r="C3352" s="5" t="s">
        <v>9003</v>
      </c>
      <c r="D3352" s="2" t="str">
        <f t="shared" si="39"/>
        <v>người phụ nữ màu da thường chạy</v>
      </c>
      <c r="E3352" s="3" t="str">
        <f t="shared" si="2"/>
        <v>woman running medium skin tone</v>
      </c>
    </row>
    <row r="3353" ht="15.75" customHeight="1">
      <c r="A3353" s="1" t="s">
        <v>9004</v>
      </c>
      <c r="B3353" s="1" t="s">
        <v>9005</v>
      </c>
      <c r="C3353" s="5" t="s">
        <v>9006</v>
      </c>
      <c r="D3353" s="2" t="str">
        <f t="shared" si="39"/>
        <v>nhà khoa học nữ</v>
      </c>
      <c r="E3353" s="3" t="str">
        <f t="shared" si="2"/>
        <v>woman scientist</v>
      </c>
    </row>
    <row r="3354" ht="15.75" customHeight="1">
      <c r="A3354" s="1" t="s">
        <v>9007</v>
      </c>
      <c r="B3354" s="1" t="s">
        <v>9008</v>
      </c>
      <c r="C3354" s="5" t="s">
        <v>9009</v>
      </c>
      <c r="D3354" s="2" t="str">
        <f t="shared" si="39"/>
        <v>nhà khoa học nữ màu da sẫm</v>
      </c>
      <c r="E3354" s="3" t="str">
        <f t="shared" si="2"/>
        <v>woman scientist dark skin tone</v>
      </c>
    </row>
    <row r="3355" ht="15.75" customHeight="1">
      <c r="A3355" s="1" t="s">
        <v>9010</v>
      </c>
      <c r="B3355" s="1" t="s">
        <v>9011</v>
      </c>
      <c r="C3355" s="5" t="s">
        <v>9012</v>
      </c>
      <c r="D3355" s="2" t="str">
        <f t="shared" si="39"/>
        <v>nhà khoa học nữ màu da sáng</v>
      </c>
      <c r="E3355" s="3" t="str">
        <f t="shared" si="2"/>
        <v>woman scientist light skin tone</v>
      </c>
    </row>
    <row r="3356" ht="15.75" customHeight="1">
      <c r="A3356" s="1" t="s">
        <v>9013</v>
      </c>
      <c r="B3356" s="1" t="s">
        <v>9014</v>
      </c>
      <c r="C3356" s="5" t="s">
        <v>9015</v>
      </c>
      <c r="D3356" s="2" t="str">
        <f t="shared" si="39"/>
        <v>nhà khoa học nữ màu da sẫm vừa</v>
      </c>
      <c r="E3356" s="3" t="str">
        <f t="shared" si="2"/>
        <v>woman scientist medium-dark skin tone</v>
      </c>
    </row>
    <row r="3357" ht="15.75" customHeight="1">
      <c r="A3357" s="1" t="s">
        <v>9016</v>
      </c>
      <c r="B3357" s="1" t="s">
        <v>9017</v>
      </c>
      <c r="C3357" s="5" t="s">
        <v>9018</v>
      </c>
      <c r="D3357" s="2" t="str">
        <f t="shared" si="39"/>
        <v>nhà khoa học nữ màu da sáng vừa</v>
      </c>
      <c r="E3357" s="3" t="str">
        <f t="shared" si="2"/>
        <v>woman scientist medium-light skin tone</v>
      </c>
    </row>
    <row r="3358" ht="15.75" customHeight="1">
      <c r="A3358" s="1" t="s">
        <v>9019</v>
      </c>
      <c r="B3358" s="1" t="s">
        <v>9020</v>
      </c>
      <c r="C3358" s="5" t="s">
        <v>9021</v>
      </c>
      <c r="D3358" s="2" t="str">
        <f t="shared" si="39"/>
        <v>nhà khoa học nữ màu da thường</v>
      </c>
      <c r="E3358" s="3" t="str">
        <f t="shared" si="2"/>
        <v>woman scientist medium skin tone</v>
      </c>
    </row>
    <row r="3359" ht="15.75" customHeight="1">
      <c r="A3359" s="1" t="s">
        <v>9022</v>
      </c>
      <c r="B3359" s="1" t="s">
        <v>9023</v>
      </c>
      <c r="C3359" s="5" t="s">
        <v>9024</v>
      </c>
      <c r="D3359" s="2" t="str">
        <f t="shared" si="39"/>
        <v>người phụ nữ nhún vai</v>
      </c>
      <c r="E3359" s="3" t="str">
        <f t="shared" si="2"/>
        <v>woman shrugging</v>
      </c>
    </row>
    <row r="3360" ht="15.75" customHeight="1">
      <c r="A3360" s="1" t="s">
        <v>9025</v>
      </c>
      <c r="B3360" s="1" t="s">
        <v>9026</v>
      </c>
      <c r="C3360" s="5" t="s">
        <v>9027</v>
      </c>
      <c r="D3360" s="2" t="str">
        <f t="shared" si="39"/>
        <v>người phụ nữ màu da sẫm nhún vai</v>
      </c>
      <c r="E3360" s="3" t="str">
        <f t="shared" si="2"/>
        <v>woman shrugging dark skin tone</v>
      </c>
    </row>
    <row r="3361" ht="15.75" customHeight="1">
      <c r="A3361" s="1" t="s">
        <v>9028</v>
      </c>
      <c r="B3361" s="1" t="s">
        <v>9029</v>
      </c>
      <c r="C3361" s="5" t="s">
        <v>9030</v>
      </c>
      <c r="D3361" s="2" t="str">
        <f t="shared" si="39"/>
        <v>người phụ nữ màu da sáng nhún vai</v>
      </c>
      <c r="E3361" s="3" t="str">
        <f t="shared" si="2"/>
        <v>woman shrugging light skin tone</v>
      </c>
    </row>
    <row r="3362" ht="15.75" customHeight="1">
      <c r="A3362" s="1" t="s">
        <v>9031</v>
      </c>
      <c r="B3362" s="1" t="s">
        <v>9032</v>
      </c>
      <c r="C3362" s="5" t="s">
        <v>9033</v>
      </c>
      <c r="D3362" s="2" t="str">
        <f t="shared" si="39"/>
        <v>người phụ nữ màu da sẫm vừa nhún vai</v>
      </c>
      <c r="E3362" s="3" t="str">
        <f t="shared" si="2"/>
        <v>woman shrugging medium-dark skin tone</v>
      </c>
    </row>
    <row r="3363" ht="15.75" customHeight="1">
      <c r="A3363" s="1" t="s">
        <v>9034</v>
      </c>
      <c r="B3363" s="1" t="s">
        <v>9035</v>
      </c>
      <c r="C3363" s="5" t="s">
        <v>9036</v>
      </c>
      <c r="D3363" s="2" t="str">
        <f t="shared" si="39"/>
        <v>người phụ nữ màu da sáng vừa nhún vai</v>
      </c>
      <c r="E3363" s="3" t="str">
        <f t="shared" si="2"/>
        <v>woman shrugging medium-light skin tone</v>
      </c>
    </row>
    <row r="3364" ht="15.75" customHeight="1">
      <c r="A3364" s="1" t="s">
        <v>9037</v>
      </c>
      <c r="B3364" s="1" t="s">
        <v>9038</v>
      </c>
      <c r="C3364" s="5" t="s">
        <v>9039</v>
      </c>
      <c r="D3364" s="2" t="str">
        <f t="shared" si="39"/>
        <v>người phụ nữ màu da thường nhún vai</v>
      </c>
      <c r="E3364" s="3" t="str">
        <f t="shared" si="2"/>
        <v>woman shrugging medium skin tone</v>
      </c>
    </row>
    <row r="3365" ht="15.75" customHeight="1">
      <c r="A3365" s="1" t="s">
        <v>9040</v>
      </c>
      <c r="B3365" s="1" t="s">
        <v>9041</v>
      </c>
      <c r="C3365" s="5" t="s">
        <v>9042</v>
      </c>
      <c r="D3365" s="2" t="str">
        <f t="shared" si="39"/>
        <v>ca sĩ nữ</v>
      </c>
      <c r="E3365" s="3" t="str">
        <f t="shared" si="2"/>
        <v>woman singer</v>
      </c>
    </row>
    <row r="3366" ht="15.75" customHeight="1">
      <c r="A3366" s="1" t="s">
        <v>9043</v>
      </c>
      <c r="B3366" s="1" t="s">
        <v>9044</v>
      </c>
      <c r="C3366" s="5" t="s">
        <v>9045</v>
      </c>
      <c r="D3366" s="2" t="str">
        <f t="shared" si="39"/>
        <v>ca sĩ nữ màu da sẫm</v>
      </c>
      <c r="E3366" s="3" t="str">
        <f t="shared" si="2"/>
        <v>woman singer dark skin tone</v>
      </c>
    </row>
    <row r="3367" ht="15.75" customHeight="1">
      <c r="A3367" s="1" t="s">
        <v>9046</v>
      </c>
      <c r="B3367" s="1" t="s">
        <v>9047</v>
      </c>
      <c r="C3367" s="5" t="s">
        <v>9048</v>
      </c>
      <c r="D3367" s="2" t="str">
        <f t="shared" si="39"/>
        <v>ca sĩ nữ màu da sáng</v>
      </c>
      <c r="E3367" s="3" t="str">
        <f t="shared" si="2"/>
        <v>woman singer light skin tone</v>
      </c>
    </row>
    <row r="3368" ht="15.75" customHeight="1">
      <c r="A3368" s="1" t="s">
        <v>9049</v>
      </c>
      <c r="B3368" s="1" t="s">
        <v>9050</v>
      </c>
      <c r="C3368" s="5" t="s">
        <v>9051</v>
      </c>
      <c r="D3368" s="2" t="str">
        <f t="shared" si="39"/>
        <v>ca sĩ nữ màu da sẫm vừa</v>
      </c>
      <c r="E3368" s="3" t="str">
        <f t="shared" si="2"/>
        <v>woman singer medium-dark skin tone</v>
      </c>
    </row>
    <row r="3369" ht="15.75" customHeight="1">
      <c r="A3369" s="1" t="s">
        <v>9052</v>
      </c>
      <c r="B3369" s="1" t="s">
        <v>9053</v>
      </c>
      <c r="C3369" s="5" t="s">
        <v>9054</v>
      </c>
      <c r="D3369" s="2" t="str">
        <f t="shared" si="39"/>
        <v>ca sĩ nữ màu da sáng vừa</v>
      </c>
      <c r="E3369" s="3" t="str">
        <f t="shared" si="2"/>
        <v>woman singer medium-light skin tone</v>
      </c>
    </row>
    <row r="3370" ht="15.75" customHeight="1">
      <c r="A3370" s="1" t="s">
        <v>9055</v>
      </c>
      <c r="B3370" s="1" t="s">
        <v>9056</v>
      </c>
      <c r="C3370" s="5" t="s">
        <v>9057</v>
      </c>
      <c r="D3370" s="2" t="str">
        <f t="shared" si="39"/>
        <v>ca sĩ nữ màu da thường</v>
      </c>
      <c r="E3370" s="3" t="str">
        <f t="shared" si="2"/>
        <v>woman singer medium skin tone</v>
      </c>
    </row>
    <row r="3371" ht="15.75" customHeight="1">
      <c r="A3371" s="1" t="s">
        <v>9058</v>
      </c>
      <c r="B3371" s="1" t="s">
        <v>9059</v>
      </c>
      <c r="C3371" s="5" t="s">
        <v>9060</v>
      </c>
      <c r="D3371" s="2" t="str">
        <f t="shared" si="39"/>
        <v>người phụ nữ đứng</v>
      </c>
      <c r="E3371" s="3" t="str">
        <f t="shared" si="2"/>
        <v>woman standing</v>
      </c>
    </row>
    <row r="3372" ht="15.75" customHeight="1">
      <c r="A3372" s="1" t="s">
        <v>9061</v>
      </c>
      <c r="B3372" s="1" t="s">
        <v>9062</v>
      </c>
      <c r="C3372" s="5" t="s">
        <v>9063</v>
      </c>
      <c r="D3372" s="2" t="str">
        <f t="shared" si="39"/>
        <v>người phụ nữ màu da sẫm đứng</v>
      </c>
      <c r="E3372" s="3" t="str">
        <f t="shared" si="2"/>
        <v>woman standing dark skin tone</v>
      </c>
    </row>
    <row r="3373" ht="15.75" customHeight="1">
      <c r="A3373" s="1" t="s">
        <v>9064</v>
      </c>
      <c r="B3373" s="1" t="s">
        <v>9065</v>
      </c>
      <c r="C3373" s="5" t="s">
        <v>9066</v>
      </c>
      <c r="D3373" s="2" t="str">
        <f t="shared" si="39"/>
        <v>người phụ nữ màu da sáng đứng</v>
      </c>
      <c r="E3373" s="3" t="str">
        <f t="shared" si="2"/>
        <v>woman standing light skin tone</v>
      </c>
    </row>
    <row r="3374" ht="15.75" customHeight="1">
      <c r="A3374" s="1" t="s">
        <v>9067</v>
      </c>
      <c r="B3374" s="1" t="s">
        <v>9068</v>
      </c>
      <c r="C3374" s="5" t="s">
        <v>9069</v>
      </c>
      <c r="D3374" s="2" t="str">
        <f t="shared" si="39"/>
        <v>người phụ nữ màu da sẫm vừa đứng</v>
      </c>
      <c r="E3374" s="3" t="str">
        <f t="shared" si="2"/>
        <v>woman standing medium-dark skin tone</v>
      </c>
    </row>
    <row r="3375" ht="15.75" customHeight="1">
      <c r="A3375" s="1" t="s">
        <v>9070</v>
      </c>
      <c r="B3375" s="1" t="s">
        <v>9071</v>
      </c>
      <c r="C3375" s="5" t="s">
        <v>9072</v>
      </c>
      <c r="D3375" s="2" t="str">
        <f t="shared" si="39"/>
        <v>người phụ nữ màu da sáng vừa đứng</v>
      </c>
      <c r="E3375" s="3" t="str">
        <f t="shared" si="2"/>
        <v>woman standing medium-light skin tone</v>
      </c>
    </row>
    <row r="3376" ht="15.75" customHeight="1">
      <c r="A3376" s="1" t="s">
        <v>9073</v>
      </c>
      <c r="B3376" s="1" t="s">
        <v>9074</v>
      </c>
      <c r="C3376" s="5" t="s">
        <v>9075</v>
      </c>
      <c r="D3376" s="2" t="str">
        <f t="shared" si="39"/>
        <v>người phụ nữ màu da thường đứng</v>
      </c>
      <c r="E3376" s="3" t="str">
        <f t="shared" si="2"/>
        <v>woman standing medium skin tone</v>
      </c>
    </row>
    <row r="3377" ht="15.75" customHeight="1">
      <c r="A3377" s="1" t="s">
        <v>9076</v>
      </c>
      <c r="B3377" s="1" t="s">
        <v>9077</v>
      </c>
      <c r="C3377" s="5" t="s">
        <v>9078</v>
      </c>
      <c r="D3377" s="2" t="str">
        <f t="shared" si="39"/>
        <v>sinh viên nữ</v>
      </c>
      <c r="E3377" s="3" t="str">
        <f t="shared" si="2"/>
        <v>woman student</v>
      </c>
    </row>
    <row r="3378" ht="15.75" customHeight="1">
      <c r="A3378" s="1" t="s">
        <v>9079</v>
      </c>
      <c r="B3378" s="1" t="s">
        <v>9080</v>
      </c>
      <c r="C3378" s="5" t="s">
        <v>9081</v>
      </c>
      <c r="D3378" s="2" t="str">
        <f t="shared" si="39"/>
        <v>sinh viên nữ màu da sẫm</v>
      </c>
      <c r="E3378" s="3" t="str">
        <f t="shared" si="2"/>
        <v>woman student dark skin tone</v>
      </c>
    </row>
    <row r="3379" ht="15.75" customHeight="1">
      <c r="A3379" s="1" t="s">
        <v>9082</v>
      </c>
      <c r="B3379" s="1" t="s">
        <v>9083</v>
      </c>
      <c r="C3379" s="5" t="s">
        <v>9084</v>
      </c>
      <c r="D3379" s="2" t="str">
        <f t="shared" si="39"/>
        <v>sinh viên nữ màu da sáng</v>
      </c>
      <c r="E3379" s="3" t="str">
        <f t="shared" si="2"/>
        <v>woman student light skin tone</v>
      </c>
    </row>
    <row r="3380" ht="15.75" customHeight="1">
      <c r="A3380" s="1" t="s">
        <v>9085</v>
      </c>
      <c r="B3380" s="1" t="s">
        <v>9086</v>
      </c>
      <c r="C3380" s="5" t="s">
        <v>9087</v>
      </c>
      <c r="D3380" s="2" t="str">
        <f t="shared" si="39"/>
        <v>sinh viên nữ màu da sẫm vừa</v>
      </c>
      <c r="E3380" s="3" t="str">
        <f t="shared" si="2"/>
        <v>woman student medium-dark skin tone</v>
      </c>
    </row>
    <row r="3381" ht="15.75" customHeight="1">
      <c r="A3381" s="1" t="s">
        <v>9088</v>
      </c>
      <c r="B3381" s="1" t="s">
        <v>9089</v>
      </c>
      <c r="C3381" s="5" t="s">
        <v>9090</v>
      </c>
      <c r="D3381" s="2" t="str">
        <f t="shared" si="39"/>
        <v>sinh viên nữ màu da sáng vừa</v>
      </c>
      <c r="E3381" s="3" t="str">
        <f t="shared" si="2"/>
        <v>woman student medium-light skin tone</v>
      </c>
    </row>
    <row r="3382" ht="15.75" customHeight="1">
      <c r="A3382" s="1" t="s">
        <v>9091</v>
      </c>
      <c r="B3382" s="1" t="s">
        <v>9092</v>
      </c>
      <c r="C3382" s="5" t="s">
        <v>9093</v>
      </c>
      <c r="D3382" s="2" t="str">
        <f t="shared" si="39"/>
        <v>sinh viên nữ màu da thường</v>
      </c>
      <c r="E3382" s="3" t="str">
        <f t="shared" si="2"/>
        <v>woman student medium skin tone</v>
      </c>
    </row>
    <row r="3383" ht="15.75" customHeight="1">
      <c r="A3383" s="1" t="s">
        <v>9094</v>
      </c>
      <c r="B3383" s="1" t="s">
        <v>9095</v>
      </c>
      <c r="C3383" s="5" t="s">
        <v>9096</v>
      </c>
      <c r="D3383" s="2" t="str">
        <f t="shared" si="39"/>
        <v>siêu anh hùng nữ</v>
      </c>
      <c r="E3383" s="3" t="str">
        <f t="shared" si="2"/>
        <v>woman superhero</v>
      </c>
    </row>
    <row r="3384" ht="15.75" customHeight="1">
      <c r="A3384" s="1" t="s">
        <v>9097</v>
      </c>
      <c r="B3384" s="1" t="s">
        <v>9098</v>
      </c>
      <c r="C3384" s="5" t="s">
        <v>9099</v>
      </c>
      <c r="D3384" s="2" t="str">
        <f t="shared" si="39"/>
        <v>siêu anh hùng nữ màu da sẫm</v>
      </c>
      <c r="E3384" s="3" t="str">
        <f t="shared" si="2"/>
        <v>woman superhero dark skin tone</v>
      </c>
    </row>
    <row r="3385" ht="15.75" customHeight="1">
      <c r="A3385" s="1" t="s">
        <v>9100</v>
      </c>
      <c r="B3385" s="1" t="s">
        <v>9101</v>
      </c>
      <c r="C3385" s="5" t="s">
        <v>9102</v>
      </c>
      <c r="D3385" s="2" t="str">
        <f t="shared" si="39"/>
        <v>siêu anh hùng nữ màu da sáng</v>
      </c>
      <c r="E3385" s="3" t="str">
        <f t="shared" si="2"/>
        <v>woman superhero light skin tone</v>
      </c>
    </row>
    <row r="3386" ht="15.75" customHeight="1">
      <c r="A3386" s="1" t="s">
        <v>9103</v>
      </c>
      <c r="B3386" s="1" t="s">
        <v>9104</v>
      </c>
      <c r="C3386" s="5" t="s">
        <v>9105</v>
      </c>
      <c r="D3386" s="2" t="str">
        <f t="shared" si="39"/>
        <v>siêu anh hùng nữ màu da sẫm vừa</v>
      </c>
      <c r="E3386" s="3" t="str">
        <f t="shared" si="2"/>
        <v>woman superhero medium-dark skin tone</v>
      </c>
    </row>
    <row r="3387" ht="15.75" customHeight="1">
      <c r="A3387" s="1" t="s">
        <v>9106</v>
      </c>
      <c r="B3387" s="1" t="s">
        <v>9107</v>
      </c>
      <c r="C3387" s="5" t="s">
        <v>9108</v>
      </c>
      <c r="D3387" s="2" t="str">
        <f t="shared" si="39"/>
        <v>siêu anh hùng nữ màu da sáng vừa</v>
      </c>
      <c r="E3387" s="3" t="str">
        <f t="shared" si="2"/>
        <v>woman superhero medium-light skin tone</v>
      </c>
    </row>
    <row r="3388" ht="15.75" customHeight="1">
      <c r="A3388" s="1" t="s">
        <v>9109</v>
      </c>
      <c r="B3388" s="1" t="s">
        <v>9110</v>
      </c>
      <c r="C3388" s="5" t="s">
        <v>9111</v>
      </c>
      <c r="D3388" s="2" t="str">
        <f t="shared" si="39"/>
        <v>siêu anh hùng nữ màu da thường</v>
      </c>
      <c r="E3388" s="3" t="str">
        <f t="shared" si="2"/>
        <v>woman superhero medium skin tone</v>
      </c>
    </row>
    <row r="3389" ht="15.75" customHeight="1">
      <c r="A3389" s="1" t="s">
        <v>9112</v>
      </c>
      <c r="B3389" s="1" t="s">
        <v>9113</v>
      </c>
      <c r="C3389" s="5" t="s">
        <v>9114</v>
      </c>
      <c r="D3389" s="2" t="str">
        <f t="shared" si="39"/>
        <v>siêu ác nhân nữ</v>
      </c>
      <c r="E3389" s="3" t="str">
        <f t="shared" si="2"/>
        <v>woman supervillain</v>
      </c>
    </row>
    <row r="3390" ht="15.75" customHeight="1">
      <c r="A3390" s="1" t="s">
        <v>9115</v>
      </c>
      <c r="B3390" s="1" t="s">
        <v>9116</v>
      </c>
      <c r="C3390" s="5" t="s">
        <v>9117</v>
      </c>
      <c r="D3390" s="2" t="str">
        <f t="shared" si="39"/>
        <v>siêu ác nhân nữ màu da sẫm</v>
      </c>
      <c r="E3390" s="3" t="str">
        <f t="shared" si="2"/>
        <v>woman supervillain dark skin tone</v>
      </c>
    </row>
    <row r="3391" ht="15.75" customHeight="1">
      <c r="A3391" s="1" t="s">
        <v>9118</v>
      </c>
      <c r="B3391" s="1" t="s">
        <v>9119</v>
      </c>
      <c r="C3391" s="5" t="s">
        <v>9120</v>
      </c>
      <c r="D3391" s="2" t="str">
        <f t="shared" si="39"/>
        <v>siêu ác nhân nữ màu da sáng</v>
      </c>
      <c r="E3391" s="3" t="str">
        <f t="shared" si="2"/>
        <v>woman supervillain light skin tone</v>
      </c>
    </row>
    <row r="3392" ht="15.75" customHeight="1">
      <c r="A3392" s="1" t="s">
        <v>9121</v>
      </c>
      <c r="B3392" s="1" t="s">
        <v>9122</v>
      </c>
      <c r="C3392" s="5" t="s">
        <v>9123</v>
      </c>
      <c r="D3392" s="2" t="str">
        <f t="shared" si="39"/>
        <v>siêu ác nhân nữ màu da sẫm vừa</v>
      </c>
      <c r="E3392" s="3" t="str">
        <f t="shared" si="2"/>
        <v>woman supervillain medium-dark skin tone</v>
      </c>
    </row>
    <row r="3393" ht="15.75" customHeight="1">
      <c r="A3393" s="1" t="s">
        <v>9124</v>
      </c>
      <c r="B3393" s="1" t="s">
        <v>9125</v>
      </c>
      <c r="C3393" s="5" t="s">
        <v>9126</v>
      </c>
      <c r="D3393" s="2" t="str">
        <f t="shared" si="39"/>
        <v>siêu ác nhân nữ màu da sáng vừa</v>
      </c>
      <c r="E3393" s="3" t="str">
        <f t="shared" si="2"/>
        <v>woman supervillain medium-light skin tone</v>
      </c>
    </row>
    <row r="3394" ht="15.75" customHeight="1">
      <c r="A3394" s="1" t="s">
        <v>9127</v>
      </c>
      <c r="B3394" s="1" t="s">
        <v>9128</v>
      </c>
      <c r="C3394" s="5" t="s">
        <v>9129</v>
      </c>
      <c r="D3394" s="2" t="str">
        <f t="shared" si="39"/>
        <v>siêu ác nhân nữ màu da thường</v>
      </c>
      <c r="E3394" s="3" t="str">
        <f t="shared" si="2"/>
        <v>woman supervillain medium skin tone</v>
      </c>
    </row>
    <row r="3395" ht="15.75" customHeight="1">
      <c r="A3395" s="1" t="s">
        <v>9130</v>
      </c>
      <c r="B3395" s="1" t="s">
        <v>9131</v>
      </c>
      <c r="C3395" s="5" t="s">
        <v>9132</v>
      </c>
      <c r="D3395" s="2" t="str">
        <f t="shared" si="39"/>
        <v>người phụ nữ lướt sóng</v>
      </c>
      <c r="E3395" s="3" t="str">
        <f t="shared" si="2"/>
        <v>woman surfing</v>
      </c>
    </row>
    <row r="3396" ht="15.75" customHeight="1">
      <c r="A3396" s="1" t="s">
        <v>9133</v>
      </c>
      <c r="B3396" s="1" t="s">
        <v>9134</v>
      </c>
      <c r="C3396" s="5" t="s">
        <v>9135</v>
      </c>
      <c r="D3396" s="2" t="str">
        <f t="shared" si="39"/>
        <v>người phụ nữ màu da sẫm lướt sóng</v>
      </c>
      <c r="E3396" s="3" t="str">
        <f t="shared" si="2"/>
        <v>woman surfing dark skin tone</v>
      </c>
    </row>
    <row r="3397" ht="15.75" customHeight="1">
      <c r="A3397" s="1" t="s">
        <v>9136</v>
      </c>
      <c r="B3397" s="1" t="s">
        <v>9137</v>
      </c>
      <c r="C3397" s="5" t="s">
        <v>9138</v>
      </c>
      <c r="D3397" s="2" t="str">
        <f t="shared" si="39"/>
        <v>người phụ nữ màu da sáng lướt sóng</v>
      </c>
      <c r="E3397" s="3" t="str">
        <f t="shared" si="2"/>
        <v>woman surfing light skin tone</v>
      </c>
    </row>
    <row r="3398" ht="15.75" customHeight="1">
      <c r="A3398" s="1" t="s">
        <v>9139</v>
      </c>
      <c r="B3398" s="1" t="s">
        <v>9140</v>
      </c>
      <c r="C3398" s="5" t="s">
        <v>9141</v>
      </c>
      <c r="D3398" s="2" t="str">
        <f t="shared" si="39"/>
        <v>người phụ nữ màu da sẫm vừa lướt sóng</v>
      </c>
      <c r="E3398" s="3" t="str">
        <f t="shared" si="2"/>
        <v>woman surfing medium-dark skin tone</v>
      </c>
    </row>
    <row r="3399" ht="15.75" customHeight="1">
      <c r="A3399" s="1" t="s">
        <v>9142</v>
      </c>
      <c r="B3399" s="1" t="s">
        <v>9143</v>
      </c>
      <c r="C3399" s="5" t="s">
        <v>9144</v>
      </c>
      <c r="D3399" s="2" t="str">
        <f t="shared" si="39"/>
        <v>người phụ nữ màu da sáng vừa lướt sóng</v>
      </c>
      <c r="E3399" s="3" t="str">
        <f t="shared" si="2"/>
        <v>woman surfing medium-light skin tone</v>
      </c>
    </row>
    <row r="3400" ht="15.75" customHeight="1">
      <c r="A3400" s="1" t="s">
        <v>9145</v>
      </c>
      <c r="B3400" s="1" t="s">
        <v>9146</v>
      </c>
      <c r="C3400" s="5" t="s">
        <v>9147</v>
      </c>
      <c r="D3400" s="2" t="str">
        <f t="shared" si="39"/>
        <v>người phụ nữ màu da thường lướt sóng</v>
      </c>
      <c r="E3400" s="3" t="str">
        <f t="shared" si="2"/>
        <v>woman surfing medium skin tone</v>
      </c>
    </row>
    <row r="3401" ht="15.75" customHeight="1">
      <c r="A3401" s="1" t="s">
        <v>9148</v>
      </c>
      <c r="B3401" s="1" t="s">
        <v>9149</v>
      </c>
      <c r="C3401" s="5" t="s">
        <v>9150</v>
      </c>
      <c r="D3401" s="2" t="str">
        <f t="shared" si="39"/>
        <v>người phụ nữ bơi</v>
      </c>
      <c r="E3401" s="3" t="str">
        <f t="shared" si="2"/>
        <v>woman swimming</v>
      </c>
    </row>
    <row r="3402" ht="15.75" customHeight="1">
      <c r="A3402" s="1" t="s">
        <v>9151</v>
      </c>
      <c r="B3402" s="1" t="s">
        <v>9152</v>
      </c>
      <c r="C3402" s="5" t="s">
        <v>9153</v>
      </c>
      <c r="D3402" s="2" t="str">
        <f t="shared" si="39"/>
        <v>người phụ nữ màu da sẫm bơi</v>
      </c>
      <c r="E3402" s="3" t="str">
        <f t="shared" si="2"/>
        <v>woman swimming dark skin tone</v>
      </c>
    </row>
    <row r="3403" ht="15.75" customHeight="1">
      <c r="A3403" s="1" t="s">
        <v>9154</v>
      </c>
      <c r="B3403" s="1" t="s">
        <v>9155</v>
      </c>
      <c r="C3403" s="5" t="s">
        <v>9156</v>
      </c>
      <c r="D3403" s="2" t="str">
        <f t="shared" si="39"/>
        <v>người phụ nữ màu da sáng bơi</v>
      </c>
      <c r="E3403" s="3" t="str">
        <f t="shared" si="2"/>
        <v>woman swimming light skin tone</v>
      </c>
    </row>
    <row r="3404" ht="15.75" customHeight="1">
      <c r="A3404" s="1" t="s">
        <v>9157</v>
      </c>
      <c r="B3404" s="1" t="s">
        <v>9158</v>
      </c>
      <c r="C3404" s="5" t="s">
        <v>9159</v>
      </c>
      <c r="D3404" s="2" t="str">
        <f t="shared" si="39"/>
        <v>người phụ nữ màu da sẫm vừa bơi</v>
      </c>
      <c r="E3404" s="3" t="str">
        <f t="shared" si="2"/>
        <v>woman swimming medium-dark skin tone</v>
      </c>
    </row>
    <row r="3405" ht="15.75" customHeight="1">
      <c r="A3405" s="1" t="s">
        <v>9160</v>
      </c>
      <c r="B3405" s="1" t="s">
        <v>9161</v>
      </c>
      <c r="C3405" s="5" t="s">
        <v>9162</v>
      </c>
      <c r="D3405" s="2" t="str">
        <f t="shared" si="39"/>
        <v>người phụ nữ màu da sáng vừa bơi</v>
      </c>
      <c r="E3405" s="3" t="str">
        <f t="shared" si="2"/>
        <v>woman swimming medium-light skin tone</v>
      </c>
    </row>
    <row r="3406" ht="15.75" customHeight="1">
      <c r="A3406" s="1" t="s">
        <v>9163</v>
      </c>
      <c r="B3406" s="1" t="s">
        <v>9164</v>
      </c>
      <c r="C3406" s="5" t="s">
        <v>9165</v>
      </c>
      <c r="D3406" s="2" t="str">
        <f t="shared" si="39"/>
        <v>người phụ nữ màu da thường bơi</v>
      </c>
      <c r="E3406" s="3" t="str">
        <f t="shared" si="2"/>
        <v>woman swimming medium skin tone</v>
      </c>
    </row>
    <row r="3407" ht="15.75" customHeight="1">
      <c r="A3407" s="1" t="s">
        <v>9166</v>
      </c>
      <c r="B3407" s="1" t="s">
        <v>9167</v>
      </c>
      <c r="C3407" s="5" t="s">
        <v>9168</v>
      </c>
      <c r="D3407" s="2" t="str">
        <f t="shared" si="39"/>
        <v>giáo viên nữ</v>
      </c>
      <c r="E3407" s="3" t="str">
        <f t="shared" si="2"/>
        <v>woman teacher</v>
      </c>
    </row>
    <row r="3408" ht="15.75" customHeight="1">
      <c r="A3408" s="1" t="s">
        <v>9169</v>
      </c>
      <c r="B3408" s="1" t="s">
        <v>9170</v>
      </c>
      <c r="C3408" s="5" t="s">
        <v>9171</v>
      </c>
      <c r="D3408" s="2" t="str">
        <f t="shared" si="39"/>
        <v>giáo viên nữ màu da sẫm</v>
      </c>
      <c r="E3408" s="3" t="str">
        <f t="shared" si="2"/>
        <v>woman teacher dark skin tone</v>
      </c>
    </row>
    <row r="3409" ht="15.75" customHeight="1">
      <c r="A3409" s="1" t="s">
        <v>9172</v>
      </c>
      <c r="B3409" s="1" t="s">
        <v>9173</v>
      </c>
      <c r="C3409" s="5" t="s">
        <v>9174</v>
      </c>
      <c r="D3409" s="2" t="str">
        <f t="shared" si="39"/>
        <v>giáo viên nữ màu da sáng</v>
      </c>
      <c r="E3409" s="3" t="str">
        <f t="shared" si="2"/>
        <v>woman teacher light skin tone</v>
      </c>
    </row>
    <row r="3410" ht="15.75" customHeight="1">
      <c r="A3410" s="1" t="s">
        <v>9175</v>
      </c>
      <c r="B3410" s="1" t="s">
        <v>9176</v>
      </c>
      <c r="C3410" s="5" t="s">
        <v>9177</v>
      </c>
      <c r="D3410" s="2" t="str">
        <f t="shared" si="39"/>
        <v>giáo viên nữ màu da sẫm vừa</v>
      </c>
      <c r="E3410" s="3" t="str">
        <f t="shared" si="2"/>
        <v>woman teacher medium-dark skin tone</v>
      </c>
    </row>
    <row r="3411" ht="15.75" customHeight="1">
      <c r="A3411" s="1" t="s">
        <v>9178</v>
      </c>
      <c r="B3411" s="1" t="s">
        <v>9179</v>
      </c>
      <c r="C3411" s="5" t="s">
        <v>9180</v>
      </c>
      <c r="D3411" s="2" t="str">
        <f t="shared" si="39"/>
        <v>giáo viên nữ màu da sáng vừa</v>
      </c>
      <c r="E3411" s="3" t="str">
        <f t="shared" si="2"/>
        <v>woman teacher medium-light skin tone</v>
      </c>
    </row>
    <row r="3412" ht="15.75" customHeight="1">
      <c r="A3412" s="1" t="s">
        <v>9181</v>
      </c>
      <c r="B3412" s="1" t="s">
        <v>9182</v>
      </c>
      <c r="C3412" s="5" t="s">
        <v>9183</v>
      </c>
      <c r="D3412" s="2" t="str">
        <f t="shared" si="39"/>
        <v>giáo viên nữ màu da thường</v>
      </c>
      <c r="E3412" s="3" t="str">
        <f t="shared" si="2"/>
        <v>woman teacher medium skin tone</v>
      </c>
    </row>
    <row r="3413" ht="15.75" customHeight="1">
      <c r="A3413" s="1" t="s">
        <v>9184</v>
      </c>
      <c r="B3413" s="1" t="s">
        <v>9185</v>
      </c>
      <c r="C3413" s="5" t="s">
        <v>9186</v>
      </c>
      <c r="D3413" s="2" t="str">
        <f t="shared" si="39"/>
        <v>nhà công nghệ nữ</v>
      </c>
      <c r="E3413" s="3" t="str">
        <f t="shared" si="2"/>
        <v>woman technologist</v>
      </c>
    </row>
    <row r="3414" ht="15.75" customHeight="1">
      <c r="A3414" s="1" t="s">
        <v>9187</v>
      </c>
      <c r="B3414" s="1" t="s">
        <v>9188</v>
      </c>
      <c r="C3414" s="5" t="s">
        <v>9189</v>
      </c>
      <c r="D3414" s="2" t="str">
        <f t="shared" si="39"/>
        <v>nhà công nghệ nữ màu da sẫm</v>
      </c>
      <c r="E3414" s="3" t="str">
        <f t="shared" si="2"/>
        <v>woman technologist dark skin tone</v>
      </c>
    </row>
    <row r="3415" ht="15.75" customHeight="1">
      <c r="A3415" s="1" t="s">
        <v>9190</v>
      </c>
      <c r="B3415" s="1" t="s">
        <v>9191</v>
      </c>
      <c r="C3415" s="5" t="s">
        <v>9192</v>
      </c>
      <c r="D3415" s="2" t="str">
        <f t="shared" si="39"/>
        <v>nhà công nghệ nữ màu da sáng</v>
      </c>
      <c r="E3415" s="3" t="str">
        <f t="shared" si="2"/>
        <v>woman technologist light skin tone</v>
      </c>
    </row>
    <row r="3416" ht="15.75" customHeight="1">
      <c r="A3416" s="1" t="s">
        <v>9193</v>
      </c>
      <c r="B3416" s="1" t="s">
        <v>9194</v>
      </c>
      <c r="C3416" s="5" t="s">
        <v>9195</v>
      </c>
      <c r="D3416" s="2" t="str">
        <f t="shared" si="39"/>
        <v>nhà công nghệ nữ màu da sẫm vừa</v>
      </c>
      <c r="E3416" s="3" t="str">
        <f t="shared" si="2"/>
        <v>woman technologist medium-dark skin tone</v>
      </c>
    </row>
    <row r="3417" ht="15.75" customHeight="1">
      <c r="A3417" s="1" t="s">
        <v>9196</v>
      </c>
      <c r="B3417" s="1" t="s">
        <v>9197</v>
      </c>
      <c r="C3417" s="5" t="s">
        <v>9198</v>
      </c>
      <c r="D3417" s="2" t="str">
        <f t="shared" si="39"/>
        <v>nhà công nghệ nữ màu da sáng vừa</v>
      </c>
      <c r="E3417" s="3" t="str">
        <f t="shared" si="2"/>
        <v>woman technologist medium-light skin tone</v>
      </c>
    </row>
    <row r="3418" ht="15.75" customHeight="1">
      <c r="A3418" s="1" t="s">
        <v>9199</v>
      </c>
      <c r="B3418" s="1" t="s">
        <v>9200</v>
      </c>
      <c r="C3418" s="5" t="s">
        <v>9201</v>
      </c>
      <c r="D3418" s="2" t="str">
        <f t="shared" si="39"/>
        <v>nhà công nghệ nữ màu da thường</v>
      </c>
      <c r="E3418" s="3" t="str">
        <f t="shared" si="2"/>
        <v>woman technologist medium skin tone</v>
      </c>
    </row>
    <row r="3419" ht="15.75" customHeight="1">
      <c r="A3419" s="1" t="s">
        <v>9202</v>
      </c>
      <c r="B3419" s="1" t="s">
        <v>9203</v>
      </c>
      <c r="C3419" s="5" t="s">
        <v>9204</v>
      </c>
      <c r="D3419" s="2" t="str">
        <f t="shared" si="39"/>
        <v>người phụ nữ sấp bàn tay</v>
      </c>
      <c r="E3419" s="3" t="str">
        <f t="shared" si="2"/>
        <v>woman tipping hand</v>
      </c>
    </row>
    <row r="3420" ht="15.75" customHeight="1">
      <c r="A3420" s="1" t="s">
        <v>9205</v>
      </c>
      <c r="B3420" s="1" t="s">
        <v>9206</v>
      </c>
      <c r="C3420" s="5" t="s">
        <v>9207</v>
      </c>
      <c r="D3420" s="2" t="str">
        <f t="shared" si="39"/>
        <v>người phụ nữ màu da sẫm sấp bàn tay</v>
      </c>
      <c r="E3420" s="3" t="str">
        <f t="shared" si="2"/>
        <v>woman tipping hand dark skin tone</v>
      </c>
    </row>
    <row r="3421" ht="15.75" customHeight="1">
      <c r="A3421" s="1" t="s">
        <v>9208</v>
      </c>
      <c r="B3421" s="1" t="s">
        <v>9209</v>
      </c>
      <c r="C3421" s="5" t="s">
        <v>9210</v>
      </c>
      <c r="D3421" s="2" t="str">
        <f t="shared" si="39"/>
        <v>người phụ nữ màu da sáng sấp bàn tay</v>
      </c>
      <c r="E3421" s="3" t="str">
        <f t="shared" si="2"/>
        <v>woman tipping hand light skin tone</v>
      </c>
    </row>
    <row r="3422" ht="15.75" customHeight="1">
      <c r="A3422" s="1" t="s">
        <v>9211</v>
      </c>
      <c r="B3422" s="1" t="s">
        <v>9212</v>
      </c>
      <c r="C3422" s="5" t="s">
        <v>9213</v>
      </c>
      <c r="D3422" s="2" t="str">
        <f t="shared" si="39"/>
        <v>người phụ nữ màu da sẫm vừa sấp bàn tay</v>
      </c>
      <c r="E3422" s="3" t="str">
        <f t="shared" si="2"/>
        <v>woman tipping hand medium-dark skin tone</v>
      </c>
    </row>
    <row r="3423" ht="15.75" customHeight="1">
      <c r="A3423" s="1" t="s">
        <v>9214</v>
      </c>
      <c r="B3423" s="1" t="s">
        <v>9215</v>
      </c>
      <c r="C3423" s="5" t="s">
        <v>9216</v>
      </c>
      <c r="D3423" s="2" t="str">
        <f t="shared" si="39"/>
        <v>người phụ nữ màu da sáng vừa sấp bàn tay</v>
      </c>
      <c r="E3423" s="3" t="str">
        <f t="shared" si="2"/>
        <v>woman tipping hand medium-light skin tone</v>
      </c>
    </row>
    <row r="3424" ht="15.75" customHeight="1">
      <c r="A3424" s="1" t="s">
        <v>9217</v>
      </c>
      <c r="B3424" s="1" t="s">
        <v>9218</v>
      </c>
      <c r="C3424" s="5" t="s">
        <v>9219</v>
      </c>
      <c r="D3424" s="2" t="str">
        <f t="shared" si="39"/>
        <v>người phụ nữ màu da thường sấp bàn tay</v>
      </c>
      <c r="E3424" s="3" t="str">
        <f t="shared" si="2"/>
        <v>woman tipping hand medium skin tone</v>
      </c>
    </row>
    <row r="3425" ht="15.75" customHeight="1">
      <c r="A3425" s="1" t="s">
        <v>9220</v>
      </c>
      <c r="B3425" s="1" t="s">
        <v>9221</v>
      </c>
      <c r="C3425" s="5" t="s">
        <v>9222</v>
      </c>
      <c r="D3425" s="2" t="str">
        <f t="shared" si="39"/>
        <v>ma cà rồng nữ</v>
      </c>
      <c r="E3425" s="3" t="str">
        <f t="shared" si="2"/>
        <v>woman vampire</v>
      </c>
    </row>
    <row r="3426" ht="15.75" customHeight="1">
      <c r="A3426" s="1" t="s">
        <v>9223</v>
      </c>
      <c r="B3426" s="1" t="s">
        <v>9224</v>
      </c>
      <c r="C3426" s="5" t="s">
        <v>9225</v>
      </c>
      <c r="D3426" s="2" t="str">
        <f t="shared" si="39"/>
        <v>ma cà rồng nữ màu da sẫm</v>
      </c>
      <c r="E3426" s="3" t="str">
        <f t="shared" si="2"/>
        <v>woman vampire dark skin tone</v>
      </c>
    </row>
    <row r="3427" ht="15.75" customHeight="1">
      <c r="A3427" s="1" t="s">
        <v>9226</v>
      </c>
      <c r="B3427" s="1" t="s">
        <v>9227</v>
      </c>
      <c r="C3427" s="5" t="s">
        <v>9228</v>
      </c>
      <c r="D3427" s="2" t="str">
        <f t="shared" si="39"/>
        <v>ma cà rồng nữ màu da sáng</v>
      </c>
      <c r="E3427" s="3" t="str">
        <f t="shared" si="2"/>
        <v>woman vampire light skin tone</v>
      </c>
    </row>
    <row r="3428" ht="15.75" customHeight="1">
      <c r="A3428" s="1" t="s">
        <v>9229</v>
      </c>
      <c r="B3428" s="1" t="s">
        <v>9230</v>
      </c>
      <c r="C3428" s="5" t="s">
        <v>9231</v>
      </c>
      <c r="D3428" s="2" t="str">
        <f t="shared" si="39"/>
        <v>ma cà rồng nữ màu da sẫm vừa</v>
      </c>
      <c r="E3428" s="3" t="str">
        <f t="shared" si="2"/>
        <v>woman vampire medium-dark skin tone</v>
      </c>
    </row>
    <row r="3429" ht="15.75" customHeight="1">
      <c r="A3429" s="1" t="s">
        <v>9232</v>
      </c>
      <c r="B3429" s="1" t="s">
        <v>9233</v>
      </c>
      <c r="C3429" s="5" t="s">
        <v>9234</v>
      </c>
      <c r="D3429" s="2" t="str">
        <f t="shared" si="39"/>
        <v>ma cà rồng nữ màu da sáng vừa</v>
      </c>
      <c r="E3429" s="3" t="str">
        <f t="shared" si="2"/>
        <v>woman vampire medium-light skin tone</v>
      </c>
    </row>
    <row r="3430" ht="15.75" customHeight="1">
      <c r="A3430" s="1" t="s">
        <v>9235</v>
      </c>
      <c r="B3430" s="1" t="s">
        <v>9236</v>
      </c>
      <c r="C3430" s="5" t="s">
        <v>9237</v>
      </c>
      <c r="D3430" s="2" t="str">
        <f t="shared" si="39"/>
        <v>ma cà rồng nữ màu da thường</v>
      </c>
      <c r="E3430" s="3" t="str">
        <f t="shared" si="2"/>
        <v>woman vampire medium skin tone</v>
      </c>
    </row>
    <row r="3431" ht="15.75" customHeight="1">
      <c r="A3431" s="1" t="s">
        <v>9238</v>
      </c>
      <c r="B3431" s="1" t="s">
        <v>9239</v>
      </c>
      <c r="C3431" s="5" t="s">
        <v>9240</v>
      </c>
      <c r="D3431" s="2" t="str">
        <f t="shared" si="39"/>
        <v>người phụ nữ đi bộ</v>
      </c>
      <c r="E3431" s="3" t="str">
        <f t="shared" si="2"/>
        <v>woman walking</v>
      </c>
    </row>
    <row r="3432" ht="15.75" customHeight="1">
      <c r="A3432" s="1" t="s">
        <v>9241</v>
      </c>
      <c r="B3432" s="1" t="s">
        <v>9242</v>
      </c>
      <c r="C3432" s="5" t="s">
        <v>9243</v>
      </c>
      <c r="D3432" s="2" t="str">
        <f t="shared" si="39"/>
        <v>người phụ nữ màu da sẫm đi bộ</v>
      </c>
      <c r="E3432" s="3" t="str">
        <f t="shared" si="2"/>
        <v>woman walking dark skin tone</v>
      </c>
    </row>
    <row r="3433" ht="15.75" customHeight="1">
      <c r="A3433" s="1" t="s">
        <v>9244</v>
      </c>
      <c r="B3433" s="1" t="s">
        <v>9245</v>
      </c>
      <c r="C3433" s="5" t="s">
        <v>9246</v>
      </c>
      <c r="D3433" s="2" t="str">
        <f t="shared" si="39"/>
        <v>người phụ nữ màu da sáng đi bộ</v>
      </c>
      <c r="E3433" s="3" t="str">
        <f t="shared" si="2"/>
        <v>woman walking light skin tone</v>
      </c>
    </row>
    <row r="3434" ht="15.75" customHeight="1">
      <c r="A3434" s="1" t="s">
        <v>9247</v>
      </c>
      <c r="B3434" s="1" t="s">
        <v>9248</v>
      </c>
      <c r="C3434" s="5" t="s">
        <v>9249</v>
      </c>
      <c r="D3434" s="2" t="str">
        <f t="shared" si="39"/>
        <v>người phụ nữ màu da sẫm vừa đi bộ</v>
      </c>
      <c r="E3434" s="3" t="str">
        <f t="shared" si="2"/>
        <v>woman walking medium-dark skin tone</v>
      </c>
    </row>
    <row r="3435" ht="15.75" customHeight="1">
      <c r="A3435" s="1" t="s">
        <v>9250</v>
      </c>
      <c r="B3435" s="1" t="s">
        <v>9251</v>
      </c>
      <c r="C3435" s="5" t="s">
        <v>9252</v>
      </c>
      <c r="D3435" s="2" t="str">
        <f t="shared" si="39"/>
        <v>người phụ nữ màu da sáng vừa đi bộ</v>
      </c>
      <c r="E3435" s="3" t="str">
        <f t="shared" si="2"/>
        <v>woman walking medium-light skin tone</v>
      </c>
    </row>
    <row r="3436" ht="15.75" customHeight="1">
      <c r="A3436" s="1" t="s">
        <v>9253</v>
      </c>
      <c r="B3436" s="1" t="s">
        <v>9254</v>
      </c>
      <c r="C3436" s="5" t="s">
        <v>9255</v>
      </c>
      <c r="D3436" s="2" t="str">
        <f t="shared" si="39"/>
        <v>người phụ nữ màu da thường đi bộ</v>
      </c>
      <c r="E3436" s="3" t="str">
        <f t="shared" si="2"/>
        <v>woman walking medium skin tone</v>
      </c>
    </row>
    <row r="3437" ht="15.75" customHeight="1">
      <c r="A3437" s="1" t="s">
        <v>9256</v>
      </c>
      <c r="B3437" s="1" t="s">
        <v>9257</v>
      </c>
      <c r="C3437" s="5" t="s">
        <v>9258</v>
      </c>
      <c r="D3437" s="2" t="str">
        <f t="shared" si="39"/>
        <v>người phụ nữ đội khăn xếp</v>
      </c>
      <c r="E3437" s="3" t="str">
        <f t="shared" si="2"/>
        <v>woman wearing turban</v>
      </c>
    </row>
    <row r="3438" ht="15.75" customHeight="1">
      <c r="A3438" s="1" t="s">
        <v>9259</v>
      </c>
      <c r="B3438" s="1" t="s">
        <v>9260</v>
      </c>
      <c r="C3438" s="5" t="s">
        <v>9261</v>
      </c>
      <c r="D3438" s="2" t="str">
        <f t="shared" si="39"/>
        <v>người phụ nữ màu da sẫm đội khăn xếp</v>
      </c>
      <c r="E3438" s="3" t="str">
        <f t="shared" si="2"/>
        <v>woman wearing turban dark skin tone</v>
      </c>
    </row>
    <row r="3439" ht="15.75" customHeight="1">
      <c r="A3439" s="1" t="s">
        <v>9262</v>
      </c>
      <c r="B3439" s="1" t="s">
        <v>9263</v>
      </c>
      <c r="C3439" s="5" t="s">
        <v>9264</v>
      </c>
      <c r="D3439" s="2" t="str">
        <f t="shared" si="39"/>
        <v>người phụ nữ màu da sáng đội khăn xếp</v>
      </c>
      <c r="E3439" s="3" t="str">
        <f t="shared" si="2"/>
        <v>woman wearing turban light skin tone</v>
      </c>
    </row>
    <row r="3440" ht="15.75" customHeight="1">
      <c r="A3440" s="1" t="s">
        <v>9265</v>
      </c>
      <c r="B3440" s="1" t="s">
        <v>9266</v>
      </c>
      <c r="C3440" s="5" t="s">
        <v>9267</v>
      </c>
      <c r="D3440" s="2" t="str">
        <f t="shared" si="39"/>
        <v>người phụ nữ màu da sẫm vừa đội khăn xếp</v>
      </c>
      <c r="E3440" s="3" t="str">
        <f t="shared" si="2"/>
        <v>woman wearing turban medium-dark skin tone</v>
      </c>
    </row>
    <row r="3441" ht="15.75" customHeight="1">
      <c r="A3441" s="1" t="s">
        <v>9268</v>
      </c>
      <c r="B3441" s="1" t="s">
        <v>9269</v>
      </c>
      <c r="C3441" s="5" t="s">
        <v>9270</v>
      </c>
      <c r="D3441" s="2" t="str">
        <f t="shared" si="39"/>
        <v>người phụ nữ màu da sáng vừa đội khăn xếp</v>
      </c>
      <c r="E3441" s="3" t="str">
        <f t="shared" si="2"/>
        <v>woman wearing turban medium-light skin tone</v>
      </c>
    </row>
    <row r="3442" ht="15.75" customHeight="1">
      <c r="A3442" s="1" t="s">
        <v>9271</v>
      </c>
      <c r="B3442" s="1" t="s">
        <v>9272</v>
      </c>
      <c r="C3442" s="5" t="s">
        <v>9273</v>
      </c>
      <c r="D3442" s="2" t="str">
        <f t="shared" si="39"/>
        <v>người phụ nữ màu da thường đội khăn xếp</v>
      </c>
      <c r="E3442" s="3" t="str">
        <f t="shared" si="2"/>
        <v>woman wearing turban medium skin tone</v>
      </c>
    </row>
    <row r="3443" ht="15.75" customHeight="1">
      <c r="A3443" s="1" t="s">
        <v>9274</v>
      </c>
      <c r="B3443" s="1" t="s">
        <v>9275</v>
      </c>
      <c r="C3443" s="5" t="s">
        <v>9276</v>
      </c>
      <c r="D3443" s="2" t="str">
        <f t="shared" si="39"/>
        <v>phụ nữ tóc trắng</v>
      </c>
      <c r="E3443" s="3" t="str">
        <f t="shared" si="2"/>
        <v>woman white hair</v>
      </c>
    </row>
    <row r="3444" ht="15.75" customHeight="1">
      <c r="A3444" s="1" t="s">
        <v>9277</v>
      </c>
      <c r="B3444" s="1" t="s">
        <v>9278</v>
      </c>
      <c r="C3444" s="5" t="s">
        <v>9279</v>
      </c>
      <c r="D3444" s="2" t="str">
        <f t="shared" si="39"/>
        <v>người phụ nữ với khăn trùm đầu</v>
      </c>
      <c r="E3444" s="3" t="str">
        <f t="shared" si="2"/>
        <v>woman with headscarf</v>
      </c>
    </row>
    <row r="3445" ht="15.75" customHeight="1">
      <c r="A3445" s="1" t="s">
        <v>9280</v>
      </c>
      <c r="B3445" s="1" t="s">
        <v>9281</v>
      </c>
      <c r="C3445" s="5" t="s">
        <v>9282</v>
      </c>
      <c r="D3445" s="2" t="str">
        <f t="shared" si="39"/>
        <v>người phụ nữ màu da sẫm với khăn trùm đầu</v>
      </c>
      <c r="E3445" s="3" t="str">
        <f t="shared" si="2"/>
        <v>woman with headscarf dark skin tone</v>
      </c>
    </row>
    <row r="3446" ht="15.75" customHeight="1">
      <c r="A3446" s="1" t="s">
        <v>9283</v>
      </c>
      <c r="B3446" s="1" t="s">
        <v>9284</v>
      </c>
      <c r="C3446" s="5" t="s">
        <v>9285</v>
      </c>
      <c r="D3446" s="2" t="str">
        <f t="shared" si="39"/>
        <v>người phụ nữ màu da sáng với khăn trùm đầu</v>
      </c>
      <c r="E3446" s="3" t="str">
        <f t="shared" si="2"/>
        <v>woman with headscarf light skin tone</v>
      </c>
    </row>
    <row r="3447" ht="15.75" customHeight="1">
      <c r="A3447" s="1" t="s">
        <v>9286</v>
      </c>
      <c r="B3447" s="1" t="s">
        <v>9287</v>
      </c>
      <c r="C3447" s="5" t="s">
        <v>9288</v>
      </c>
      <c r="D3447" s="2" t="str">
        <f t="shared" si="39"/>
        <v>người phụ nữ màu da sẫm vừa với khăn trùm đầu</v>
      </c>
      <c r="E3447" s="3" t="str">
        <f t="shared" si="2"/>
        <v>woman with headscarf medium-dark skin tone</v>
      </c>
    </row>
    <row r="3448" ht="15.75" customHeight="1">
      <c r="A3448" s="1" t="s">
        <v>9289</v>
      </c>
      <c r="B3448" s="1" t="s">
        <v>9290</v>
      </c>
      <c r="C3448" s="5" t="s">
        <v>9291</v>
      </c>
      <c r="D3448" s="2" t="str">
        <f t="shared" si="39"/>
        <v>người phụ nữ màu da sáng vừa với khăn trùm đầu</v>
      </c>
      <c r="E3448" s="3" t="str">
        <f t="shared" si="2"/>
        <v>woman with headscarf medium-light skin tone</v>
      </c>
    </row>
    <row r="3449" ht="15.75" customHeight="1">
      <c r="A3449" s="1" t="s">
        <v>9292</v>
      </c>
      <c r="B3449" s="1" t="s">
        <v>9293</v>
      </c>
      <c r="C3449" s="5" t="s">
        <v>9294</v>
      </c>
      <c r="D3449" s="2" t="str">
        <f t="shared" si="39"/>
        <v>người phụ nữ màu da thường với khăn trùm đầu</v>
      </c>
      <c r="E3449" s="3" t="str">
        <f t="shared" si="2"/>
        <v>woman with headscarf medium skin tone</v>
      </c>
    </row>
    <row r="3450" ht="15.75" customHeight="1">
      <c r="A3450" s="1" t="s">
        <v>9295</v>
      </c>
      <c r="B3450" s="1" t="s">
        <v>9296</v>
      </c>
      <c r="C3450" s="5" t="s">
        <v>9297</v>
      </c>
      <c r="D3450" s="2" t="str">
        <f t="shared" si="39"/>
        <v>người phụ nữ với tấm màn che</v>
      </c>
      <c r="E3450" s="3" t="str">
        <f t="shared" si="2"/>
        <v>woman with veil</v>
      </c>
    </row>
    <row r="3451" ht="15.75" customHeight="1">
      <c r="A3451" s="1" t="s">
        <v>9298</v>
      </c>
      <c r="B3451" s="1" t="s">
        <v>9299</v>
      </c>
      <c r="C3451" s="5" t="s">
        <v>9300</v>
      </c>
      <c r="D3451" s="2" t="str">
        <f t="shared" si="39"/>
        <v>người phụ nữ màu da sẫm với tấm màn che</v>
      </c>
      <c r="E3451" s="3" t="str">
        <f t="shared" si="2"/>
        <v>woman with veil dark skin tone</v>
      </c>
    </row>
    <row r="3452" ht="15.75" customHeight="1">
      <c r="A3452" s="1" t="s">
        <v>9301</v>
      </c>
      <c r="B3452" s="1" t="s">
        <v>9302</v>
      </c>
      <c r="C3452" s="5" t="s">
        <v>9303</v>
      </c>
      <c r="D3452" s="2" t="str">
        <f t="shared" si="39"/>
        <v>người phụ nữ màu da sáng với tấm màn che</v>
      </c>
      <c r="E3452" s="3" t="str">
        <f t="shared" si="2"/>
        <v>woman with veil light skin tone</v>
      </c>
    </row>
    <row r="3453" ht="15.75" customHeight="1">
      <c r="A3453" s="1" t="s">
        <v>9304</v>
      </c>
      <c r="B3453" s="1" t="s">
        <v>9305</v>
      </c>
      <c r="C3453" s="5" t="s">
        <v>9306</v>
      </c>
      <c r="D3453" s="2" t="str">
        <f t="shared" si="39"/>
        <v>người phụ nữ màu da sẫm vừa với tấm màn che</v>
      </c>
      <c r="E3453" s="3" t="str">
        <f t="shared" si="2"/>
        <v>woman with veil medium-dark skin tone</v>
      </c>
    </row>
    <row r="3454" ht="15.75" customHeight="1">
      <c r="A3454" s="1" t="s">
        <v>9307</v>
      </c>
      <c r="B3454" s="1" t="s">
        <v>9308</v>
      </c>
      <c r="C3454" s="5" t="s">
        <v>9309</v>
      </c>
      <c r="D3454" s="2" t="str">
        <f t="shared" si="39"/>
        <v>người phụ nữ màu da sáng vừa với tấm màn che</v>
      </c>
      <c r="E3454" s="3" t="str">
        <f t="shared" si="2"/>
        <v>woman with veil medium-light skin tone</v>
      </c>
    </row>
    <row r="3455" ht="15.75" customHeight="1">
      <c r="A3455" s="1" t="s">
        <v>9310</v>
      </c>
      <c r="B3455" s="1" t="s">
        <v>9311</v>
      </c>
      <c r="C3455" s="5" t="s">
        <v>9312</v>
      </c>
      <c r="D3455" s="2" t="str">
        <f t="shared" si="39"/>
        <v>người phụ nữ màu da thường với tấm màn che</v>
      </c>
      <c r="E3455" s="3" t="str">
        <f t="shared" si="2"/>
        <v>woman with veil medium skin tone</v>
      </c>
    </row>
    <row r="3456" ht="15.75" customHeight="1">
      <c r="A3456" s="1" t="s">
        <v>9313</v>
      </c>
      <c r="B3456" s="1" t="s">
        <v>9314</v>
      </c>
      <c r="C3456" s="5" t="s">
        <v>9315</v>
      </c>
      <c r="D3456" s="2" t="str">
        <f t="shared" si="39"/>
        <v>người phụ nữ với cây ba toong trắng</v>
      </c>
      <c r="E3456" s="3" t="str">
        <f t="shared" si="2"/>
        <v>woman with white cane</v>
      </c>
    </row>
    <row r="3457" ht="15.75" customHeight="1">
      <c r="A3457" s="1" t="s">
        <v>9316</v>
      </c>
      <c r="B3457" s="1" t="s">
        <v>9317</v>
      </c>
      <c r="C3457" s="5" t="s">
        <v>9318</v>
      </c>
      <c r="D3457" s="2" t="str">
        <f t="shared" si="39"/>
        <v>người phụ nữ màu da sẫm với cây ba toong trắng</v>
      </c>
      <c r="E3457" s="3" t="str">
        <f t="shared" si="2"/>
        <v>woman with white cane dark skin tone</v>
      </c>
    </row>
    <row r="3458" ht="15.75" customHeight="1">
      <c r="A3458" s="1" t="s">
        <v>9319</v>
      </c>
      <c r="B3458" s="1" t="s">
        <v>9320</v>
      </c>
      <c r="C3458" s="5" t="s">
        <v>9321</v>
      </c>
      <c r="D3458" s="2" t="str">
        <f t="shared" si="39"/>
        <v>người phụ nữ màu da sáng với cây ba toong trắng</v>
      </c>
      <c r="E3458" s="3" t="str">
        <f t="shared" si="2"/>
        <v>woman with white cane light skin tone</v>
      </c>
    </row>
    <row r="3459" ht="15.75" customHeight="1">
      <c r="A3459" s="1" t="s">
        <v>9322</v>
      </c>
      <c r="B3459" s="1" t="s">
        <v>9323</v>
      </c>
      <c r="C3459" s="5" t="s">
        <v>9324</v>
      </c>
      <c r="D3459" s="2" t="str">
        <f t="shared" si="39"/>
        <v>người phụ nữ màu da sẫm vừa với cây ba toong trắng</v>
      </c>
      <c r="E3459" s="3" t="str">
        <f t="shared" si="2"/>
        <v>woman with white cane medium-dark skin tone</v>
      </c>
    </row>
    <row r="3460" ht="15.75" customHeight="1">
      <c r="A3460" s="1" t="s">
        <v>9325</v>
      </c>
      <c r="B3460" s="1" t="s">
        <v>9326</v>
      </c>
      <c r="C3460" s="5" t="s">
        <v>9327</v>
      </c>
      <c r="D3460" s="2" t="str">
        <f t="shared" si="39"/>
        <v>người phụ nữ màu da sáng vừa với cây ba toong trắng</v>
      </c>
      <c r="E3460" s="3" t="str">
        <f t="shared" si="2"/>
        <v>woman with white cane medium-light skin tone</v>
      </c>
    </row>
    <row r="3461" ht="15.75" customHeight="1">
      <c r="A3461" s="1" t="s">
        <v>9328</v>
      </c>
      <c r="B3461" s="1" t="s">
        <v>9329</v>
      </c>
      <c r="C3461" s="5" t="s">
        <v>9330</v>
      </c>
      <c r="D3461" s="2" t="str">
        <f t="shared" si="39"/>
        <v>người phụ nữ màu da thường với cây ba toong trắng</v>
      </c>
      <c r="E3461" s="3" t="str">
        <f t="shared" si="2"/>
        <v>woman with white cane medium skin tone</v>
      </c>
    </row>
    <row r="3462" ht="15.75" customHeight="1">
      <c r="A3462" s="1" t="s">
        <v>9331</v>
      </c>
      <c r="B3462" s="1" t="s">
        <v>9332</v>
      </c>
      <c r="C3462" s="2" t="s">
        <v>9333</v>
      </c>
      <c r="D3462" s="2" t="str">
        <f t="shared" si="39"/>
        <v>thây ma nữ</v>
      </c>
      <c r="E3462" s="3" t="str">
        <f t="shared" si="2"/>
        <v>woman zombie</v>
      </c>
    </row>
    <row r="3463" ht="15.75" customHeight="1">
      <c r="A3463" s="1" t="s">
        <v>9334</v>
      </c>
      <c r="B3463" s="1" t="s">
        <v>9335</v>
      </c>
      <c r="C3463" s="2" t="s">
        <v>9336</v>
      </c>
      <c r="D3463" s="2" t="str">
        <f t="shared" si="39"/>
        <v>giày phụ nữ</v>
      </c>
      <c r="E3463" s="3" t="str">
        <f t="shared" si="2"/>
        <v>woman’s boot</v>
      </c>
    </row>
    <row r="3464" ht="15.75" customHeight="1">
      <c r="A3464" s="1" t="s">
        <v>9337</v>
      </c>
      <c r="B3464" s="1" t="s">
        <v>9338</v>
      </c>
      <c r="C3464" s="2" t="str">
        <f>IFERROR(__xludf.DUMMYFUNCTION("GOOGLETRANSLATE(E3464, ""en"",""vi"")"),"quần áo phụ nữ")</f>
        <v>quần áo phụ nữ</v>
      </c>
      <c r="D3464" s="2" t="str">
        <f t="shared" si="39"/>
        <v>quần áo phụ nữ</v>
      </c>
      <c r="E3464" s="3" t="str">
        <f t="shared" si="2"/>
        <v>woman’s clothes</v>
      </c>
    </row>
    <row r="3465" ht="15.75" customHeight="1">
      <c r="A3465" s="1" t="s">
        <v>9339</v>
      </c>
      <c r="B3465" s="1" t="s">
        <v>9340</v>
      </c>
      <c r="C3465" s="2" t="str">
        <f>IFERROR(__xludf.DUMMYFUNCTION("GOOGLETRANSLATE(E3465, ""en"",""vi"")"),"mũ của phụ nữ")</f>
        <v>mũ của phụ nữ</v>
      </c>
      <c r="D3465" s="2" t="str">
        <f t="shared" si="39"/>
        <v>mũ của phụ nữ</v>
      </c>
      <c r="E3465" s="3" t="str">
        <f t="shared" si="2"/>
        <v>woman’s hat</v>
      </c>
    </row>
    <row r="3466" ht="15.75" customHeight="1">
      <c r="A3466" s="1" t="s">
        <v>9341</v>
      </c>
      <c r="B3466" s="1" t="s">
        <v>9342</v>
      </c>
      <c r="C3466" s="2" t="str">
        <f>IFERROR(__xludf.DUMMYFUNCTION("GOOGLETRANSLATE(E3466, ""en"",""vi"")"),"dép xăng đan của phụ nữ")</f>
        <v>dép xăng đan của phụ nữ</v>
      </c>
      <c r="D3466" s="2" t="str">
        <f t="shared" si="39"/>
        <v>dép xăng đan của phụ nữ</v>
      </c>
      <c r="E3466" s="3" t="str">
        <f t="shared" si="2"/>
        <v>woman’s sandal</v>
      </c>
    </row>
    <row r="3467" ht="15.75" customHeight="1">
      <c r="A3467" s="1" t="s">
        <v>9343</v>
      </c>
      <c r="B3467" s="1" t="s">
        <v>9344</v>
      </c>
      <c r="C3467" s="5" t="s">
        <v>9345</v>
      </c>
      <c r="D3467" s="2" t="str">
        <f t="shared" si="39"/>
        <v>phụ nữ nắm tay</v>
      </c>
      <c r="E3467" s="3" t="str">
        <f t="shared" si="2"/>
        <v>women holding hands</v>
      </c>
    </row>
    <row r="3468" ht="15.75" customHeight="1">
      <c r="A3468" s="1" t="s">
        <v>9346</v>
      </c>
      <c r="B3468" s="1" t="s">
        <v>9347</v>
      </c>
      <c r="C3468" s="5" t="s">
        <v>9348</v>
      </c>
      <c r="D3468" s="2" t="str">
        <f t="shared" si="39"/>
        <v>phụ nữ nắm tay màu da sẫm</v>
      </c>
      <c r="E3468" s="3" t="str">
        <f t="shared" si="2"/>
        <v>women holding hands dark skin tone</v>
      </c>
    </row>
    <row r="3469" ht="15.75" customHeight="1">
      <c r="A3469" s="1" t="s">
        <v>9349</v>
      </c>
      <c r="B3469" s="1" t="s">
        <v>9350</v>
      </c>
      <c r="C3469" s="5" t="s">
        <v>9351</v>
      </c>
      <c r="D3469" s="2" t="str">
        <f t="shared" si="39"/>
        <v>phụ nữ nắm tay màu da sẫm màu da sáng</v>
      </c>
      <c r="E3469" s="3" t="str">
        <f t="shared" si="2"/>
        <v>women holding hands dark skin tone light skin tone</v>
      </c>
    </row>
    <row r="3470" ht="15.75" customHeight="1">
      <c r="A3470" s="1" t="s">
        <v>9352</v>
      </c>
      <c r="B3470" s="1" t="s">
        <v>9353</v>
      </c>
      <c r="C3470" s="5" t="s">
        <v>9354</v>
      </c>
      <c r="D3470" s="2" t="str">
        <f t="shared" si="39"/>
        <v>phụ nữ nắm tay màu da sẫm màu da sẫm vừa</v>
      </c>
      <c r="E3470" s="3" t="str">
        <f t="shared" si="2"/>
        <v>women holding hands dark skin tone medium-dark skin tone</v>
      </c>
    </row>
    <row r="3471" ht="15.75" customHeight="1">
      <c r="A3471" s="1" t="s">
        <v>9355</v>
      </c>
      <c r="B3471" s="1" t="s">
        <v>9356</v>
      </c>
      <c r="C3471" s="5" t="s">
        <v>9357</v>
      </c>
      <c r="D3471" s="2" t="str">
        <f t="shared" si="39"/>
        <v>phụ nữ nắm tay màu da sẫm màu da sáng vừa</v>
      </c>
      <c r="E3471" s="3" t="str">
        <f t="shared" si="2"/>
        <v>women holding hands dark skin tone medium-light skin tone</v>
      </c>
    </row>
    <row r="3472" ht="15.75" customHeight="1">
      <c r="A3472" s="1" t="s">
        <v>9358</v>
      </c>
      <c r="B3472" s="1" t="s">
        <v>9359</v>
      </c>
      <c r="C3472" s="5" t="s">
        <v>9360</v>
      </c>
      <c r="D3472" s="2" t="str">
        <f t="shared" si="39"/>
        <v>phụ nữ nắm tay màu da sẫm màu da thường</v>
      </c>
      <c r="E3472" s="3" t="str">
        <f t="shared" si="2"/>
        <v>women holding hands dark skin tone medium skin tone</v>
      </c>
    </row>
    <row r="3473" ht="15.75" customHeight="1">
      <c r="A3473" s="1" t="s">
        <v>9361</v>
      </c>
      <c r="B3473" s="1" t="s">
        <v>9362</v>
      </c>
      <c r="C3473" s="5" t="s">
        <v>9363</v>
      </c>
      <c r="D3473" s="2" t="str">
        <f t="shared" si="39"/>
        <v>phụ nữ nắm tay màu da sáng</v>
      </c>
      <c r="E3473" s="3" t="str">
        <f t="shared" si="2"/>
        <v>women holding hands light skin tone</v>
      </c>
    </row>
    <row r="3474" ht="15.75" customHeight="1">
      <c r="A3474" s="1" t="s">
        <v>9364</v>
      </c>
      <c r="B3474" s="1" t="s">
        <v>9365</v>
      </c>
      <c r="C3474" s="5" t="s">
        <v>9366</v>
      </c>
      <c r="D3474" s="2" t="str">
        <f t="shared" si="39"/>
        <v>phụ nữ nắm tay màu da sáng màu da sẫm</v>
      </c>
      <c r="E3474" s="3" t="str">
        <f t="shared" si="2"/>
        <v>women holding hands light skin tone dark skin tone</v>
      </c>
    </row>
    <row r="3475" ht="15.75" customHeight="1">
      <c r="A3475" s="1" t="s">
        <v>9367</v>
      </c>
      <c r="B3475" s="1" t="s">
        <v>9368</v>
      </c>
      <c r="C3475" s="5" t="s">
        <v>9369</v>
      </c>
      <c r="D3475" s="2" t="str">
        <f t="shared" si="39"/>
        <v>phụ nữ nắm tay màu da sáng màu da sẫm vừa</v>
      </c>
      <c r="E3475" s="3" t="str">
        <f t="shared" si="2"/>
        <v>women holding hands light skin tone medium-dark skin tone</v>
      </c>
    </row>
    <row r="3476" ht="15.75" customHeight="1">
      <c r="A3476" s="1" t="s">
        <v>9370</v>
      </c>
      <c r="B3476" s="1" t="s">
        <v>9371</v>
      </c>
      <c r="C3476" s="5" t="s">
        <v>9372</v>
      </c>
      <c r="D3476" s="2" t="str">
        <f t="shared" si="39"/>
        <v>phụ nữ nắm tay màu da sáng màu da sáng vừa</v>
      </c>
      <c r="E3476" s="3" t="str">
        <f t="shared" si="2"/>
        <v>women holding hands light skin tone medium-light skin tone</v>
      </c>
    </row>
    <row r="3477" ht="15.75" customHeight="1">
      <c r="A3477" s="1" t="s">
        <v>9373</v>
      </c>
      <c r="B3477" s="1" t="s">
        <v>9374</v>
      </c>
      <c r="C3477" s="5" t="s">
        <v>9375</v>
      </c>
      <c r="D3477" s="2" t="str">
        <f t="shared" si="39"/>
        <v>phụ nữ nắm tay màu da sáng màu da thường</v>
      </c>
      <c r="E3477" s="3" t="str">
        <f t="shared" si="2"/>
        <v>women holding hands light skin tone medium skin tone</v>
      </c>
    </row>
    <row r="3478" ht="15.75" customHeight="1">
      <c r="A3478" s="1" t="s">
        <v>9376</v>
      </c>
      <c r="B3478" s="1" t="s">
        <v>9377</v>
      </c>
      <c r="C3478" s="5" t="s">
        <v>9378</v>
      </c>
      <c r="D3478" s="2" t="str">
        <f t="shared" si="39"/>
        <v>phụ nữ nắm tay màu da sẫm vừa</v>
      </c>
      <c r="E3478" s="3" t="str">
        <f t="shared" si="2"/>
        <v>women holding hands medium-dark skin tone</v>
      </c>
    </row>
    <row r="3479" ht="15.75" customHeight="1">
      <c r="A3479" s="1" t="s">
        <v>9379</v>
      </c>
      <c r="B3479" s="1" t="s">
        <v>9380</v>
      </c>
      <c r="C3479" s="5" t="s">
        <v>9381</v>
      </c>
      <c r="D3479" s="2" t="str">
        <f t="shared" si="39"/>
        <v>phụ nữ nắm tay màu da sẫm vừa màu da sẫm</v>
      </c>
      <c r="E3479" s="3" t="str">
        <f t="shared" si="2"/>
        <v>women holding hands medium-dark skin tone dark skin tone</v>
      </c>
    </row>
    <row r="3480" ht="15.75" customHeight="1">
      <c r="A3480" s="1" t="s">
        <v>9382</v>
      </c>
      <c r="B3480" s="1" t="s">
        <v>9383</v>
      </c>
      <c r="C3480" s="5" t="s">
        <v>9384</v>
      </c>
      <c r="D3480" s="2" t="str">
        <f t="shared" si="39"/>
        <v>phụ nữ nắm tay màu da sẫm vừa màu da sáng</v>
      </c>
      <c r="E3480" s="3" t="str">
        <f t="shared" si="2"/>
        <v>women holding hands medium-dark skin tone light skin tone</v>
      </c>
    </row>
    <row r="3481" ht="15.75" customHeight="1">
      <c r="A3481" s="1" t="s">
        <v>9385</v>
      </c>
      <c r="B3481" s="1" t="s">
        <v>9386</v>
      </c>
      <c r="C3481" s="5" t="s">
        <v>9387</v>
      </c>
      <c r="D3481" s="2" t="str">
        <f t="shared" si="39"/>
        <v>phụ nữ nắm tay màu da sẫm vừa màu da sáng vừa</v>
      </c>
      <c r="E3481" s="3" t="str">
        <f t="shared" si="2"/>
        <v>women holding hands medium-dark skin tone medium-light skin tone</v>
      </c>
    </row>
    <row r="3482" ht="15.75" customHeight="1">
      <c r="A3482" s="1" t="s">
        <v>9388</v>
      </c>
      <c r="B3482" s="1" t="s">
        <v>9389</v>
      </c>
      <c r="C3482" s="5" t="s">
        <v>9390</v>
      </c>
      <c r="D3482" s="2" t="str">
        <f t="shared" si="39"/>
        <v>phụ nữ nắm tay màu da sẫm vừa màu da thường</v>
      </c>
      <c r="E3482" s="3" t="str">
        <f t="shared" si="2"/>
        <v>women holding hands medium-dark skin tone medium skin tone</v>
      </c>
    </row>
    <row r="3483" ht="15.75" customHeight="1">
      <c r="A3483" s="1" t="s">
        <v>9391</v>
      </c>
      <c r="B3483" s="1" t="s">
        <v>9392</v>
      </c>
      <c r="C3483" s="5" t="s">
        <v>9393</v>
      </c>
      <c r="D3483" s="2" t="str">
        <f t="shared" si="39"/>
        <v>phụ nữ nắm tay màu da sáng vừa</v>
      </c>
      <c r="E3483" s="3" t="str">
        <f t="shared" si="2"/>
        <v>women holding hands medium-light skin tone</v>
      </c>
    </row>
    <row r="3484" ht="15.75" customHeight="1">
      <c r="A3484" s="1" t="s">
        <v>9394</v>
      </c>
      <c r="B3484" s="1" t="s">
        <v>9395</v>
      </c>
      <c r="C3484" s="5" t="s">
        <v>9396</v>
      </c>
      <c r="D3484" s="2" t="str">
        <f t="shared" si="39"/>
        <v>phụ nữ nắm tay màu da sáng vừa màu da sẫm</v>
      </c>
      <c r="E3484" s="3" t="str">
        <f t="shared" si="2"/>
        <v>women holding hands medium-light skin tone dark skin tone</v>
      </c>
    </row>
    <row r="3485" ht="15.75" customHeight="1">
      <c r="A3485" s="1" t="s">
        <v>9397</v>
      </c>
      <c r="B3485" s="1" t="s">
        <v>9398</v>
      </c>
      <c r="C3485" s="5" t="s">
        <v>9399</v>
      </c>
      <c r="D3485" s="2" t="str">
        <f t="shared" si="39"/>
        <v>phụ nữ nắm tay màu da sáng vừa màu da sáng</v>
      </c>
      <c r="E3485" s="3" t="str">
        <f t="shared" si="2"/>
        <v>women holding hands medium-light skin tone light skin tone</v>
      </c>
    </row>
    <row r="3486" ht="15.75" customHeight="1">
      <c r="A3486" s="1" t="s">
        <v>9400</v>
      </c>
      <c r="B3486" s="1" t="s">
        <v>9401</v>
      </c>
      <c r="C3486" s="5" t="s">
        <v>9402</v>
      </c>
      <c r="D3486" s="2" t="str">
        <f t="shared" si="39"/>
        <v>phụ nữ nắm tay màu da sáng vừa màu da sẫm vừa</v>
      </c>
      <c r="E3486" s="3" t="str">
        <f t="shared" si="2"/>
        <v>women holding hands medium-light skin tone medium-dark skin tone</v>
      </c>
    </row>
    <row r="3487" ht="15.75" customHeight="1">
      <c r="A3487" s="1" t="s">
        <v>9403</v>
      </c>
      <c r="B3487" s="1" t="s">
        <v>9404</v>
      </c>
      <c r="C3487" s="5" t="s">
        <v>9405</v>
      </c>
      <c r="D3487" s="2" t="str">
        <f t="shared" si="39"/>
        <v>phụ nữ nắm tay màu da sáng vừa màu da thường</v>
      </c>
      <c r="E3487" s="3" t="str">
        <f t="shared" si="2"/>
        <v>women holding hands medium-light skin tone medium skin tone</v>
      </c>
    </row>
    <row r="3488" ht="15.75" customHeight="1">
      <c r="A3488" s="1" t="s">
        <v>9406</v>
      </c>
      <c r="B3488" s="1" t="s">
        <v>9407</v>
      </c>
      <c r="C3488" s="5" t="s">
        <v>9408</v>
      </c>
      <c r="D3488" s="2" t="str">
        <f t="shared" si="39"/>
        <v>phụ nữ nắm tay màu da thường</v>
      </c>
      <c r="E3488" s="3" t="str">
        <f t="shared" si="2"/>
        <v>women holding hands medium skin tone</v>
      </c>
    </row>
    <row r="3489" ht="15.75" customHeight="1">
      <c r="A3489" s="1" t="s">
        <v>9409</v>
      </c>
      <c r="B3489" s="1" t="s">
        <v>9410</v>
      </c>
      <c r="C3489" s="5" t="s">
        <v>9411</v>
      </c>
      <c r="D3489" s="2" t="str">
        <f t="shared" si="39"/>
        <v>phụ nữ nắm tay màu da thường màu da sẫm</v>
      </c>
      <c r="E3489" s="3" t="str">
        <f t="shared" si="2"/>
        <v>women holding hands medium skin tone dark skin tone</v>
      </c>
    </row>
    <row r="3490" ht="15.75" customHeight="1">
      <c r="A3490" s="1" t="s">
        <v>9412</v>
      </c>
      <c r="B3490" s="1" t="s">
        <v>9413</v>
      </c>
      <c r="C3490" s="5" t="s">
        <v>9414</v>
      </c>
      <c r="D3490" s="2" t="str">
        <f t="shared" si="39"/>
        <v>phụ nữ nắm tay màu da thường màu da sáng</v>
      </c>
      <c r="E3490" s="3" t="str">
        <f t="shared" si="2"/>
        <v>women holding hands medium skin tone light skin tone</v>
      </c>
    </row>
    <row r="3491" ht="15.75" customHeight="1">
      <c r="A3491" s="1" t="s">
        <v>9415</v>
      </c>
      <c r="B3491" s="1" t="s">
        <v>9416</v>
      </c>
      <c r="C3491" s="5" t="s">
        <v>9417</v>
      </c>
      <c r="D3491" s="2" t="str">
        <f t="shared" si="39"/>
        <v>phụ nữ nắm tay màu da thường màu da sẫm vừa</v>
      </c>
      <c r="E3491" s="3" t="str">
        <f t="shared" si="2"/>
        <v>women holding hands medium skin tone medium-dark skin tone</v>
      </c>
    </row>
    <row r="3492" ht="15.75" customHeight="1">
      <c r="A3492" s="1" t="s">
        <v>9418</v>
      </c>
      <c r="B3492" s="1" t="s">
        <v>9419</v>
      </c>
      <c r="C3492" s="5" t="s">
        <v>9420</v>
      </c>
      <c r="D3492" s="2" t="str">
        <f t="shared" si="39"/>
        <v>phụ nữ nắm tay màu da thường màu da sáng vừa</v>
      </c>
      <c r="E3492" s="3" t="str">
        <f t="shared" si="2"/>
        <v>women holding hands medium skin tone medium-light skin tone</v>
      </c>
    </row>
    <row r="3493" ht="15.75" customHeight="1">
      <c r="A3493" s="1" t="s">
        <v>9421</v>
      </c>
      <c r="B3493" s="1" t="s">
        <v>9422</v>
      </c>
      <c r="C3493" s="2" t="str">
        <f>IFERROR(__xludf.DUMMYFUNCTION("GOOGLETRANSLATE(E3493, ""en"",""vi"")"),"phụ nữ có tai thỏ")</f>
        <v>phụ nữ có tai thỏ</v>
      </c>
      <c r="D3493" s="2" t="str">
        <f t="shared" si="39"/>
        <v>phụ nữ có tai thỏ</v>
      </c>
      <c r="E3493" s="3" t="str">
        <f t="shared" si="2"/>
        <v>women with bunny ears</v>
      </c>
    </row>
    <row r="3494" ht="15.75" customHeight="1">
      <c r="A3494" s="1" t="s">
        <v>9423</v>
      </c>
      <c r="B3494" s="1" t="s">
        <v>9424</v>
      </c>
      <c r="C3494" s="2" t="s">
        <v>9425</v>
      </c>
      <c r="D3494" s="2" t="str">
        <f t="shared" si="39"/>
        <v>phụ nữ đấu vật</v>
      </c>
      <c r="E3494" s="3" t="str">
        <f t="shared" si="2"/>
        <v>women wrestling</v>
      </c>
    </row>
    <row r="3495" ht="15.75" customHeight="1">
      <c r="A3495" s="1" t="s">
        <v>9426</v>
      </c>
      <c r="B3495" s="1" t="s">
        <v>9427</v>
      </c>
      <c r="C3495" s="2" t="str">
        <f>IFERROR(__xludf.DUMMYFUNCTION("GOOGLETRANSLATE(E3495, ""en"",""vi"")"),"phòng phụ nữ")</f>
        <v>phòng phụ nữ</v>
      </c>
      <c r="D3495" s="2" t="str">
        <f t="shared" si="39"/>
        <v>phòng phụ nữ</v>
      </c>
      <c r="E3495" s="3" t="str">
        <f t="shared" si="2"/>
        <v>women’s room</v>
      </c>
    </row>
    <row r="3496" ht="15.75" customHeight="1">
      <c r="A3496" s="1" t="s">
        <v>9428</v>
      </c>
      <c r="B3496" s="1" t="s">
        <v>9429</v>
      </c>
      <c r="C3496" s="2" t="str">
        <f>IFERROR(__xludf.DUMMYFUNCTION("GOOGLETRANSLATE(E3496, ""en"",""vi"")"),"gỗ")</f>
        <v>gỗ</v>
      </c>
      <c r="D3496" s="2" t="str">
        <f t="shared" si="39"/>
        <v>gỗ</v>
      </c>
      <c r="E3496" s="3" t="str">
        <f t="shared" si="2"/>
        <v>wood</v>
      </c>
    </row>
    <row r="3497" ht="15.75" customHeight="1">
      <c r="A3497" s="1" t="s">
        <v>9430</v>
      </c>
      <c r="B3497" s="1" t="s">
        <v>9431</v>
      </c>
      <c r="C3497" s="2" t="s">
        <v>9432</v>
      </c>
      <c r="D3497" s="2" t="str">
        <f t="shared" si="39"/>
        <v>mặt khờ khạo</v>
      </c>
      <c r="E3497" s="3" t="str">
        <f t="shared" si="2"/>
        <v>woozy face</v>
      </c>
    </row>
    <row r="3498" ht="15.75" customHeight="1">
      <c r="A3498" s="1" t="s">
        <v>9433</v>
      </c>
      <c r="B3498" s="1" t="s">
        <v>9434</v>
      </c>
      <c r="C3498" s="2" t="str">
        <f>IFERROR(__xludf.DUMMYFUNCTION("GOOGLETRANSLATE(E3498, ""en"",""vi"")"),"bản đồ thế giới")</f>
        <v>bản đồ thế giới</v>
      </c>
      <c r="D3498" s="2" t="str">
        <f t="shared" si="39"/>
        <v>bản đồ thế giới</v>
      </c>
      <c r="E3498" s="3" t="str">
        <f t="shared" si="2"/>
        <v>world map</v>
      </c>
    </row>
    <row r="3499" ht="15.75" customHeight="1">
      <c r="A3499" s="1" t="s">
        <v>9435</v>
      </c>
      <c r="B3499" s="1" t="s">
        <v>9436</v>
      </c>
      <c r="C3499" s="2" t="str">
        <f>IFERROR(__xludf.DUMMYFUNCTION("GOOGLETRANSLATE(E3499, ""en"",""vi"")"),"sâu")</f>
        <v>sâu</v>
      </c>
      <c r="D3499" s="2" t="str">
        <f t="shared" si="39"/>
        <v>sâu</v>
      </c>
      <c r="E3499" s="3" t="str">
        <f t="shared" si="2"/>
        <v>worm</v>
      </c>
    </row>
    <row r="3500" ht="15.75" customHeight="1">
      <c r="A3500" s="1" t="s">
        <v>9437</v>
      </c>
      <c r="B3500" s="1" t="s">
        <v>9438</v>
      </c>
      <c r="C3500" s="2" t="str">
        <f>IFERROR(__xludf.DUMMYFUNCTION("GOOGLETRANSLATE(E3500, ""en"",""vi"")"),"khuôn mặt lo lắng")</f>
        <v>khuôn mặt lo lắng</v>
      </c>
      <c r="D3500" s="2" t="str">
        <f t="shared" si="39"/>
        <v>khuôn mặt lo lắng</v>
      </c>
      <c r="E3500" s="3" t="str">
        <f t="shared" si="2"/>
        <v>worried face</v>
      </c>
    </row>
    <row r="3501" ht="15.75" customHeight="1">
      <c r="A3501" s="1" t="s">
        <v>9439</v>
      </c>
      <c r="B3501" s="1" t="s">
        <v>9440</v>
      </c>
      <c r="C3501" s="2" t="str">
        <f>IFERROR(__xludf.DUMMYFUNCTION("GOOGLETRANSLATE(E3501, ""en"",""vi"")"),"quà tặng được gói")</f>
        <v>quà tặng được gói</v>
      </c>
      <c r="D3501" s="2" t="str">
        <f t="shared" si="39"/>
        <v>quà tặng được gói</v>
      </c>
      <c r="E3501" s="3" t="str">
        <f t="shared" si="2"/>
        <v>wrapped gift</v>
      </c>
    </row>
    <row r="3502" ht="15.75" customHeight="1">
      <c r="A3502" s="1" t="s">
        <v>9441</v>
      </c>
      <c r="B3502" s="1" t="s">
        <v>9442</v>
      </c>
      <c r="C3502" s="2" t="str">
        <f>IFERROR(__xludf.DUMMYFUNCTION("GOOGLETRANSLATE(E3502, ""en"",""vi"")"),"cờ lê")</f>
        <v>cờ lê</v>
      </c>
      <c r="D3502" s="2" t="str">
        <f t="shared" si="39"/>
        <v>cờ lê</v>
      </c>
      <c r="E3502" s="3" t="str">
        <f t="shared" si="2"/>
        <v>wrench</v>
      </c>
    </row>
    <row r="3503" ht="15.75" customHeight="1">
      <c r="A3503" s="1" t="s">
        <v>9443</v>
      </c>
      <c r="B3503" s="1" t="s">
        <v>9444</v>
      </c>
      <c r="C3503" s="2" t="s">
        <v>9445</v>
      </c>
      <c r="D3503" s="2" t="str">
        <f t="shared" si="39"/>
        <v>tay viết</v>
      </c>
      <c r="E3503" s="3" t="str">
        <f t="shared" si="2"/>
        <v>writing hand</v>
      </c>
    </row>
    <row r="3504" ht="15.75" customHeight="1">
      <c r="A3504" s="1" t="s">
        <v>9446</v>
      </c>
      <c r="B3504" s="1" t="s">
        <v>9447</v>
      </c>
      <c r="C3504" s="2" t="s">
        <v>9448</v>
      </c>
      <c r="D3504" s="2" t="str">
        <f t="shared" si="39"/>
        <v>tay viết màu da sẫm</v>
      </c>
      <c r="E3504" s="3" t="str">
        <f t="shared" si="2"/>
        <v>writing hand dark skin tone</v>
      </c>
    </row>
    <row r="3505" ht="15.75" customHeight="1">
      <c r="A3505" s="1" t="s">
        <v>9449</v>
      </c>
      <c r="B3505" s="1" t="s">
        <v>9450</v>
      </c>
      <c r="C3505" s="2" t="s">
        <v>9451</v>
      </c>
      <c r="D3505" s="2" t="str">
        <f t="shared" si="39"/>
        <v>tay viết màu da sáng</v>
      </c>
      <c r="E3505" s="3" t="str">
        <f t="shared" si="2"/>
        <v>writing hand light skin tone</v>
      </c>
    </row>
    <row r="3506" ht="15.75" customHeight="1">
      <c r="A3506" s="1" t="s">
        <v>9452</v>
      </c>
      <c r="B3506" s="1" t="s">
        <v>9453</v>
      </c>
      <c r="C3506" s="2" t="s">
        <v>9454</v>
      </c>
      <c r="D3506" s="2" t="str">
        <f t="shared" si="39"/>
        <v>tay viết màu da sẫm vừa</v>
      </c>
      <c r="E3506" s="3" t="str">
        <f t="shared" si="2"/>
        <v>writing hand medium-dark skin tone</v>
      </c>
    </row>
    <row r="3507" ht="15.75" customHeight="1">
      <c r="A3507" s="1" t="s">
        <v>9455</v>
      </c>
      <c r="B3507" s="1" t="s">
        <v>9456</v>
      </c>
      <c r="C3507" s="2" t="s">
        <v>9457</v>
      </c>
      <c r="D3507" s="2" t="str">
        <f t="shared" si="39"/>
        <v>tay viết màu da sáng vừa</v>
      </c>
      <c r="E3507" s="3" t="str">
        <f t="shared" si="2"/>
        <v>writing hand medium-light skin tone</v>
      </c>
    </row>
    <row r="3508" ht="15.75" customHeight="1">
      <c r="A3508" s="1" t="s">
        <v>9458</v>
      </c>
      <c r="B3508" s="1" t="s">
        <v>9459</v>
      </c>
      <c r="C3508" s="2" t="s">
        <v>9460</v>
      </c>
      <c r="D3508" s="2" t="str">
        <f t="shared" si="39"/>
        <v>tay viết màu da thường</v>
      </c>
      <c r="E3508" s="3" t="str">
        <f t="shared" si="2"/>
        <v>writing hand medium skin tone</v>
      </c>
    </row>
    <row r="3509" ht="15.75" customHeight="1">
      <c r="A3509" s="1" t="s">
        <v>9461</v>
      </c>
      <c r="B3509" s="1" t="s">
        <v>9462</v>
      </c>
      <c r="C3509" s="2" t="s">
        <v>9463</v>
      </c>
      <c r="D3509" s="2" t="str">
        <f t="shared" si="39"/>
        <v>sợi</v>
      </c>
      <c r="E3509" s="3" t="str">
        <f t="shared" si="2"/>
        <v>yarn</v>
      </c>
    </row>
    <row r="3510" ht="15.75" customHeight="1">
      <c r="A3510" s="1" t="s">
        <v>9464</v>
      </c>
      <c r="B3510" s="1" t="s">
        <v>9465</v>
      </c>
      <c r="C3510" s="2" t="str">
        <f>IFERROR(__xludf.DUMMYFUNCTION("GOOGLETRANSLATE(E3510, ""en"",""vi"")"),"mặt ngáp")</f>
        <v>mặt ngáp</v>
      </c>
      <c r="D3510" s="2" t="str">
        <f t="shared" si="39"/>
        <v>mặt ngáp</v>
      </c>
      <c r="E3510" s="3" t="str">
        <f t="shared" si="2"/>
        <v>yawning face</v>
      </c>
    </row>
    <row r="3511" ht="15.75" customHeight="1">
      <c r="A3511" s="1" t="s">
        <v>9466</v>
      </c>
      <c r="B3511" s="1" t="s">
        <v>9467</v>
      </c>
      <c r="C3511" s="2" t="str">
        <f>IFERROR(__xludf.DUMMYFUNCTION("GOOGLETRANSLATE(E3511, ""en"",""vi"")"),"vòng tròn màu vàng")</f>
        <v>vòng tròn màu vàng</v>
      </c>
      <c r="D3511" s="2" t="str">
        <f t="shared" si="39"/>
        <v>vòng tròn màu vàng</v>
      </c>
      <c r="E3511" s="3" t="str">
        <f t="shared" si="2"/>
        <v>yellow circle</v>
      </c>
    </row>
    <row r="3512" ht="15.75" customHeight="1">
      <c r="A3512" s="1" t="s">
        <v>9468</v>
      </c>
      <c r="B3512" s="1" t="s">
        <v>9469</v>
      </c>
      <c r="C3512" s="2" t="str">
        <f>IFERROR(__xludf.DUMMYFUNCTION("GOOGLETRANSLATE(E3512, ""en"",""vi"")"),"trái tim vàng")</f>
        <v>trái tim vàng</v>
      </c>
      <c r="D3512" s="2" t="str">
        <f t="shared" si="39"/>
        <v>trái tim vàng</v>
      </c>
      <c r="E3512" s="3" t="str">
        <f t="shared" si="2"/>
        <v>yellow heart</v>
      </c>
    </row>
    <row r="3513" ht="15.75" customHeight="1">
      <c r="A3513" s="1" t="s">
        <v>9470</v>
      </c>
      <c r="B3513" s="1" t="s">
        <v>9471</v>
      </c>
      <c r="C3513" s="2" t="s">
        <v>9472</v>
      </c>
      <c r="D3513" s="2" t="str">
        <f t="shared" si="39"/>
        <v>hình vuông màu vàng</v>
      </c>
      <c r="E3513" s="3" t="str">
        <f t="shared" si="2"/>
        <v>yellow square</v>
      </c>
    </row>
    <row r="3514" ht="15.75" customHeight="1">
      <c r="A3514" s="1" t="s">
        <v>9473</v>
      </c>
      <c r="B3514" s="1" t="s">
        <v>9474</v>
      </c>
      <c r="C3514" s="2" t="str">
        <f>IFERROR(__xludf.DUMMYFUNCTION("GOOGLETRANSLATE(E3514, ""en"",""vi"")"),"tờ tiền yên")</f>
        <v>tờ tiền yên</v>
      </c>
      <c r="D3514" s="2" t="str">
        <f t="shared" si="39"/>
        <v>tờ tiền yên</v>
      </c>
      <c r="E3514" s="3" t="str">
        <f t="shared" si="2"/>
        <v>yen banknote</v>
      </c>
    </row>
    <row r="3515" ht="15.75" customHeight="1">
      <c r="A3515" s="1" t="s">
        <v>9475</v>
      </c>
      <c r="B3515" s="1" t="s">
        <v>9476</v>
      </c>
      <c r="C3515" s="2" t="str">
        <f>IFERROR(__xludf.DUMMYFUNCTION("GOOGLETRANSLATE(E3515, ""en"",""vi"")"),"âm dương")</f>
        <v>âm dương</v>
      </c>
      <c r="D3515" s="2" t="str">
        <f t="shared" si="39"/>
        <v>âm dương</v>
      </c>
      <c r="E3515" s="3" t="str">
        <f t="shared" si="2"/>
        <v>yin yang</v>
      </c>
    </row>
    <row r="3516" ht="15.75" customHeight="1">
      <c r="A3516" s="1" t="s">
        <v>9477</v>
      </c>
      <c r="B3516" s="1" t="s">
        <v>9478</v>
      </c>
      <c r="C3516" s="2" t="s">
        <v>9479</v>
      </c>
      <c r="D3516" s="2" t="str">
        <f t="shared" si="39"/>
        <v>yoyo</v>
      </c>
      <c r="E3516" s="3" t="str">
        <f t="shared" si="2"/>
        <v>yo-yo</v>
      </c>
    </row>
    <row r="3517" ht="15.75" customHeight="1">
      <c r="A3517" s="1" t="s">
        <v>9480</v>
      </c>
      <c r="B3517" s="1" t="s">
        <v>9481</v>
      </c>
      <c r="C3517" s="2" t="s">
        <v>9482</v>
      </c>
      <c r="D3517" s="2" t="str">
        <f t="shared" si="39"/>
        <v>mặt khờ dại</v>
      </c>
      <c r="E3517" s="3" t="str">
        <f t="shared" si="2"/>
        <v>zany face</v>
      </c>
    </row>
    <row r="3518" ht="15.75" customHeight="1">
      <c r="A3518" s="1" t="s">
        <v>9483</v>
      </c>
      <c r="B3518" s="1" t="s">
        <v>9484</v>
      </c>
      <c r="C3518" s="2" t="s">
        <v>9485</v>
      </c>
      <c r="D3518" s="2" t="str">
        <f t="shared" si="39"/>
        <v>ngựa vằn</v>
      </c>
      <c r="E3518" s="3" t="str">
        <f t="shared" si="2"/>
        <v>zebra</v>
      </c>
    </row>
    <row r="3519" ht="15.75" customHeight="1">
      <c r="A3519" s="1" t="s">
        <v>9486</v>
      </c>
      <c r="B3519" s="1" t="s">
        <v>9487</v>
      </c>
      <c r="C3519" s="2" t="s">
        <v>9488</v>
      </c>
      <c r="D3519" s="2" t="str">
        <f t="shared" si="39"/>
        <v>mặt miệng dây kéo</v>
      </c>
      <c r="E3519" s="3" t="str">
        <f t="shared" si="2"/>
        <v>zipper-mouth face</v>
      </c>
    </row>
    <row r="3520" ht="15.75" customHeight="1">
      <c r="A3520" s="1" t="s">
        <v>9489</v>
      </c>
      <c r="B3520" s="1" t="s">
        <v>9490</v>
      </c>
      <c r="C3520" s="2" t="str">
        <f>IFERROR(__xludf.DUMMYFUNCTION("GOOGLETRANSLATE(E3520, ""en"",""vi"")"),"thây ma")</f>
        <v>thây ma</v>
      </c>
      <c r="D3520" s="2" t="str">
        <f t="shared" si="39"/>
        <v>thây ma</v>
      </c>
      <c r="E3520" s="3" t="str">
        <f t="shared" si="2"/>
        <v>zombie</v>
      </c>
    </row>
    <row r="3521" ht="15.75" customHeight="1">
      <c r="A3521" s="1" t="s">
        <v>9491</v>
      </c>
      <c r="B3521" s="1" t="s">
        <v>9492</v>
      </c>
      <c r="C3521" s="2" t="s">
        <v>9493</v>
      </c>
      <c r="D3521" s="2" t="str">
        <f t="shared" si="39"/>
        <v>zzz</v>
      </c>
      <c r="E3521" s="3" t="str">
        <f t="shared" si="2"/>
        <v>zzz</v>
      </c>
    </row>
    <row r="3522" ht="15.75" customHeight="1">
      <c r="A3522" s="1" t="s">
        <v>9494</v>
      </c>
      <c r="B3522" s="1" t="s">
        <v>9495</v>
      </c>
      <c r="C3522" s="2" t="str">
        <f>IFERROR(__xludf.DUMMYFUNCTION("GOOGLETRANSLATE(E3522, ""en"",""vi"")"),"Quần đảo Åland")</f>
        <v>Quần đảo Åland</v>
      </c>
      <c r="D3522" s="2" t="str">
        <f t="shared" si="39"/>
        <v>quần đảo åland</v>
      </c>
      <c r="E3522" s="3" t="str">
        <f t="shared" si="2"/>
        <v>Åland Islands</v>
      </c>
    </row>
  </sheetData>
  <drawing r:id="rId1"/>
</worksheet>
</file>