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15640" yWindow="420" windowWidth="25600" windowHeight="19020" tabRatio="500" activeTab="1"/>
  </bookViews>
  <sheets>
    <sheet name="tutoring" sheetId="1" r:id="rId1"/>
    <sheet name="workshop" sheetId="2" r:id="rId2"/>
  </sheets>
  <externalReferences>
    <externalReference r:id="rId3"/>
  </externalReferenc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68" i="2" l="1"/>
  <c r="F68" i="2"/>
  <c r="E68" i="2"/>
  <c r="G67" i="2"/>
  <c r="F67" i="2"/>
  <c r="E67" i="2"/>
  <c r="G66" i="2"/>
  <c r="F66" i="2"/>
  <c r="E66" i="2"/>
  <c r="G65" i="2"/>
  <c r="F65" i="2"/>
  <c r="E65" i="2"/>
  <c r="G64" i="2"/>
  <c r="F64" i="2"/>
  <c r="E64" i="2"/>
  <c r="G63" i="2"/>
  <c r="F63" i="2"/>
  <c r="E63" i="2"/>
  <c r="G62" i="2"/>
  <c r="F62" i="2"/>
  <c r="E62" i="2"/>
  <c r="G61" i="2"/>
  <c r="F61" i="2"/>
  <c r="E61" i="2"/>
  <c r="G60" i="2"/>
  <c r="F60" i="2"/>
  <c r="E60" i="2"/>
  <c r="G59" i="2"/>
  <c r="F59" i="2"/>
  <c r="E59" i="2"/>
  <c r="G58" i="2"/>
  <c r="F58" i="2"/>
  <c r="E58" i="2"/>
  <c r="G57" i="2"/>
  <c r="F57" i="2"/>
  <c r="E57" i="2"/>
  <c r="G56" i="2"/>
  <c r="F56" i="2"/>
  <c r="E56" i="2"/>
  <c r="G55" i="2"/>
  <c r="F55" i="2"/>
  <c r="E55" i="2"/>
  <c r="G53" i="2"/>
  <c r="F53" i="2"/>
  <c r="E53" i="2"/>
  <c r="G52" i="2"/>
  <c r="F52" i="2"/>
  <c r="E52" i="2"/>
  <c r="G51" i="2"/>
  <c r="F51" i="2"/>
  <c r="E51" i="2"/>
  <c r="G50" i="2"/>
  <c r="F50" i="2"/>
  <c r="E50" i="2"/>
  <c r="G49" i="2"/>
  <c r="F49" i="2"/>
  <c r="E49" i="2"/>
  <c r="G48" i="2"/>
  <c r="F48" i="2"/>
  <c r="E48" i="2"/>
  <c r="G47" i="2"/>
  <c r="F47" i="2"/>
  <c r="E47" i="2"/>
  <c r="G46" i="2"/>
  <c r="F46" i="2"/>
  <c r="E46" i="2"/>
  <c r="G45" i="2"/>
  <c r="F45" i="2"/>
  <c r="E45" i="2"/>
  <c r="G44" i="2"/>
  <c r="F44" i="2"/>
  <c r="E44" i="2"/>
  <c r="G43" i="2"/>
  <c r="F43" i="2"/>
  <c r="E43" i="2"/>
  <c r="G42" i="2"/>
  <c r="F42" i="2"/>
  <c r="E42" i="2"/>
  <c r="G41" i="2"/>
  <c r="F41" i="2"/>
  <c r="E41" i="2"/>
  <c r="G40" i="2"/>
  <c r="F40" i="2"/>
  <c r="E40" i="2"/>
  <c r="G39" i="2"/>
  <c r="F39" i="2"/>
  <c r="E39" i="2"/>
  <c r="G38" i="2"/>
  <c r="F38" i="2"/>
  <c r="E38" i="2"/>
  <c r="G37" i="2"/>
  <c r="F37" i="2"/>
  <c r="E37" i="2"/>
  <c r="G34" i="2"/>
  <c r="F34" i="2"/>
  <c r="E34" i="2"/>
  <c r="G33" i="2"/>
  <c r="F33" i="2"/>
  <c r="E33" i="2"/>
  <c r="G32" i="2"/>
  <c r="F32" i="2"/>
  <c r="E32" i="2"/>
  <c r="G31" i="2"/>
  <c r="F31" i="2"/>
  <c r="E31" i="2"/>
  <c r="G30" i="2"/>
  <c r="F30" i="2"/>
  <c r="E30" i="2"/>
  <c r="G29" i="2"/>
  <c r="F29" i="2"/>
  <c r="E29" i="2"/>
  <c r="G28" i="2"/>
  <c r="F28" i="2"/>
  <c r="E28" i="2"/>
  <c r="G27" i="2"/>
  <c r="F27" i="2"/>
  <c r="E27" i="2"/>
  <c r="G26" i="2"/>
  <c r="F26" i="2"/>
  <c r="E26" i="2"/>
  <c r="G25" i="2"/>
  <c r="F25" i="2"/>
  <c r="E25" i="2"/>
  <c r="G24" i="2"/>
  <c r="F24" i="2"/>
  <c r="E24" i="2"/>
  <c r="G23" i="2"/>
  <c r="F23" i="2"/>
  <c r="E23" i="2"/>
  <c r="G22" i="2"/>
  <c r="F22" i="2"/>
  <c r="E22" i="2"/>
  <c r="G21" i="2"/>
  <c r="F21" i="2"/>
  <c r="E21" i="2"/>
  <c r="G20" i="2"/>
  <c r="F20" i="2"/>
  <c r="E20" i="2"/>
  <c r="G16" i="2"/>
  <c r="F16" i="2"/>
  <c r="E16" i="2"/>
  <c r="G15" i="2"/>
  <c r="F15" i="2"/>
  <c r="E15" i="2"/>
  <c r="G14" i="2"/>
  <c r="F14" i="2"/>
  <c r="E14" i="2"/>
  <c r="G13" i="2"/>
  <c r="F13" i="2"/>
  <c r="E13" i="2"/>
  <c r="G12" i="2"/>
  <c r="F12" i="2"/>
  <c r="E12" i="2"/>
  <c r="G11" i="2"/>
  <c r="F11" i="2"/>
  <c r="E11" i="2"/>
  <c r="G10" i="2"/>
  <c r="F10" i="2"/>
  <c r="E10" i="2"/>
  <c r="G9" i="2"/>
  <c r="F9" i="2"/>
  <c r="E9" i="2"/>
  <c r="G8" i="2"/>
  <c r="F8" i="2"/>
  <c r="E8" i="2"/>
  <c r="G7" i="2"/>
  <c r="F7" i="2"/>
  <c r="E7" i="2"/>
  <c r="G6" i="2"/>
  <c r="F6" i="2"/>
  <c r="E6" i="2"/>
  <c r="G5" i="2"/>
  <c r="F5" i="2"/>
  <c r="E5" i="2"/>
  <c r="G4" i="2"/>
  <c r="F4" i="2"/>
  <c r="E4" i="2"/>
  <c r="G3" i="2"/>
  <c r="F3" i="2"/>
  <c r="E3" i="2"/>
  <c r="G2" i="2"/>
  <c r="F2" i="2"/>
  <c r="E2" i="2"/>
  <c r="F64" i="1"/>
  <c r="E64" i="1"/>
  <c r="D64" i="1"/>
  <c r="C64" i="1"/>
  <c r="B64" i="1"/>
  <c r="F63" i="1"/>
  <c r="E63" i="1"/>
  <c r="D63" i="1"/>
  <c r="C63" i="1"/>
  <c r="B63" i="1"/>
  <c r="F62" i="1"/>
  <c r="E62" i="1"/>
  <c r="D62" i="1"/>
  <c r="C62" i="1"/>
  <c r="B62" i="1"/>
  <c r="F61" i="1"/>
  <c r="E61" i="1"/>
  <c r="D61" i="1"/>
  <c r="C61" i="1"/>
  <c r="B61" i="1"/>
  <c r="F60" i="1"/>
  <c r="E60" i="1"/>
  <c r="D60" i="1"/>
  <c r="C60" i="1"/>
  <c r="B60" i="1"/>
  <c r="F59" i="1"/>
  <c r="E59" i="1"/>
  <c r="D59" i="1"/>
  <c r="C59" i="1"/>
  <c r="B59" i="1"/>
  <c r="F58" i="1"/>
  <c r="E58" i="1"/>
  <c r="D58" i="1"/>
  <c r="C58" i="1"/>
  <c r="B58" i="1"/>
  <c r="F57" i="1"/>
  <c r="E57" i="1"/>
  <c r="D57" i="1"/>
  <c r="C57" i="1"/>
  <c r="B57" i="1"/>
  <c r="F56" i="1"/>
  <c r="E56" i="1"/>
  <c r="D56" i="1"/>
  <c r="C56" i="1"/>
  <c r="B56" i="1"/>
  <c r="F55" i="1"/>
  <c r="E55" i="1"/>
  <c r="D55" i="1"/>
  <c r="C55" i="1"/>
  <c r="B55" i="1"/>
  <c r="F54" i="1"/>
  <c r="E54" i="1"/>
  <c r="D54" i="1"/>
  <c r="C54" i="1"/>
  <c r="B54" i="1"/>
  <c r="F53" i="1"/>
  <c r="E53" i="1"/>
  <c r="D53" i="1"/>
  <c r="C53" i="1"/>
  <c r="B53" i="1"/>
  <c r="F52" i="1"/>
  <c r="E52" i="1"/>
  <c r="D52" i="1"/>
  <c r="C52" i="1"/>
  <c r="B52" i="1"/>
  <c r="F51" i="1"/>
  <c r="E51" i="1"/>
  <c r="D51" i="1"/>
  <c r="C51" i="1"/>
  <c r="B51" i="1"/>
  <c r="F50" i="1"/>
  <c r="E50" i="1"/>
  <c r="D50" i="1"/>
  <c r="C50" i="1"/>
  <c r="B50" i="1"/>
  <c r="F49" i="1"/>
  <c r="E49" i="1"/>
  <c r="D49" i="1"/>
  <c r="C49" i="1"/>
  <c r="B49" i="1"/>
  <c r="F48" i="1"/>
  <c r="E48" i="1"/>
  <c r="D48" i="1"/>
  <c r="C48" i="1"/>
  <c r="B48" i="1"/>
  <c r="F47" i="1"/>
  <c r="E47" i="1"/>
  <c r="D47" i="1"/>
  <c r="C47" i="1"/>
  <c r="B47" i="1"/>
  <c r="F46" i="1"/>
  <c r="E46" i="1"/>
  <c r="D46" i="1"/>
  <c r="C46" i="1"/>
  <c r="B46" i="1"/>
  <c r="F45" i="1"/>
  <c r="E45" i="1"/>
  <c r="D45" i="1"/>
  <c r="C45" i="1"/>
  <c r="B45" i="1"/>
  <c r="F44" i="1"/>
  <c r="E44" i="1"/>
  <c r="D44" i="1"/>
  <c r="C44" i="1"/>
  <c r="B44" i="1"/>
  <c r="F43" i="1"/>
  <c r="E43" i="1"/>
  <c r="D43" i="1"/>
  <c r="C43" i="1"/>
  <c r="B43" i="1"/>
  <c r="F42" i="1"/>
  <c r="E42" i="1"/>
  <c r="D42" i="1"/>
  <c r="C42" i="1"/>
  <c r="B42" i="1"/>
  <c r="F41" i="1"/>
  <c r="E41" i="1"/>
  <c r="D41" i="1"/>
  <c r="C41" i="1"/>
  <c r="B41" i="1"/>
  <c r="F40" i="1"/>
  <c r="E40" i="1"/>
  <c r="D40" i="1"/>
  <c r="C40" i="1"/>
  <c r="B40" i="1"/>
  <c r="F12" i="1"/>
  <c r="E12" i="1"/>
  <c r="D12" i="1"/>
  <c r="C12" i="1"/>
  <c r="B12" i="1"/>
  <c r="F11" i="1"/>
  <c r="E11" i="1"/>
  <c r="D11" i="1"/>
  <c r="C11" i="1"/>
  <c r="B11" i="1"/>
  <c r="F10" i="1"/>
  <c r="E10" i="1"/>
  <c r="D10" i="1"/>
  <c r="C10" i="1"/>
  <c r="B10" i="1"/>
  <c r="F9" i="1"/>
  <c r="E9" i="1"/>
  <c r="D9" i="1"/>
  <c r="C9" i="1"/>
  <c r="B9" i="1"/>
  <c r="F8" i="1"/>
  <c r="E8" i="1"/>
  <c r="D8" i="1"/>
  <c r="C8" i="1"/>
  <c r="B8" i="1"/>
  <c r="F7" i="1"/>
  <c r="E7" i="1"/>
  <c r="D7" i="1"/>
  <c r="C7" i="1"/>
  <c r="B7" i="1"/>
  <c r="F6" i="1"/>
  <c r="E6" i="1"/>
  <c r="D6" i="1"/>
  <c r="C6" i="1"/>
  <c r="B6" i="1"/>
  <c r="F5" i="1"/>
  <c r="E5" i="1"/>
  <c r="D5" i="1"/>
  <c r="C5" i="1"/>
  <c r="B5" i="1"/>
  <c r="F4" i="1"/>
  <c r="E4" i="1"/>
  <c r="D4" i="1"/>
  <c r="C4" i="1"/>
  <c r="B4" i="1"/>
  <c r="F3" i="1"/>
  <c r="E3" i="1"/>
  <c r="D3" i="1"/>
  <c r="C3" i="1"/>
  <c r="B3" i="1"/>
  <c r="F2" i="1"/>
  <c r="E2" i="1"/>
  <c r="D2" i="1"/>
  <c r="C2" i="1"/>
  <c r="B2" i="1"/>
  <c r="F39" i="1"/>
  <c r="E39" i="1"/>
  <c r="D39" i="1"/>
  <c r="C39" i="1"/>
  <c r="B39" i="1"/>
  <c r="F38" i="1"/>
  <c r="E38" i="1"/>
  <c r="D38" i="1"/>
  <c r="C38" i="1"/>
  <c r="B38" i="1"/>
  <c r="F37" i="1"/>
  <c r="E37" i="1"/>
  <c r="D37" i="1"/>
  <c r="C37" i="1"/>
  <c r="B37" i="1"/>
  <c r="F36" i="1"/>
  <c r="E36" i="1"/>
  <c r="D36" i="1"/>
  <c r="C36" i="1"/>
  <c r="B36" i="1"/>
  <c r="F35" i="1"/>
  <c r="E35" i="1"/>
  <c r="D35" i="1"/>
  <c r="C35" i="1"/>
  <c r="B35" i="1"/>
  <c r="F34" i="1"/>
  <c r="E34" i="1"/>
  <c r="D34" i="1"/>
  <c r="C34" i="1"/>
  <c r="B34" i="1"/>
  <c r="F33" i="1"/>
  <c r="E33" i="1"/>
  <c r="D33" i="1"/>
  <c r="C33" i="1"/>
  <c r="B33" i="1"/>
  <c r="F32" i="1"/>
  <c r="E32" i="1"/>
  <c r="D32" i="1"/>
  <c r="C32" i="1"/>
  <c r="B32" i="1"/>
  <c r="F31" i="1"/>
  <c r="E31" i="1"/>
  <c r="D31" i="1"/>
  <c r="C31" i="1"/>
  <c r="B31" i="1"/>
  <c r="F30" i="1"/>
  <c r="E30" i="1"/>
  <c r="D30" i="1"/>
  <c r="C30" i="1"/>
  <c r="B30" i="1"/>
  <c r="F29" i="1"/>
  <c r="E29" i="1"/>
  <c r="D29" i="1"/>
  <c r="C29" i="1"/>
  <c r="B29" i="1"/>
  <c r="F28" i="1"/>
  <c r="E28" i="1"/>
  <c r="D28" i="1"/>
  <c r="C28" i="1"/>
  <c r="B28" i="1"/>
  <c r="F27" i="1"/>
  <c r="E27" i="1"/>
  <c r="D27" i="1"/>
  <c r="C27" i="1"/>
  <c r="B27" i="1"/>
  <c r="C26" i="1"/>
  <c r="B26" i="1"/>
  <c r="F25" i="1"/>
  <c r="E25" i="1"/>
  <c r="D25" i="1"/>
  <c r="C25" i="1"/>
  <c r="B25" i="1"/>
  <c r="F24" i="1"/>
  <c r="E24" i="1"/>
  <c r="D24" i="1"/>
  <c r="C24" i="1"/>
  <c r="B24" i="1"/>
  <c r="F23" i="1"/>
  <c r="E23" i="1"/>
  <c r="D23" i="1"/>
  <c r="C23" i="1"/>
  <c r="B23" i="1"/>
  <c r="F22" i="1"/>
  <c r="E22" i="1"/>
  <c r="D22" i="1"/>
  <c r="C22" i="1"/>
  <c r="B22" i="1"/>
  <c r="F21" i="1"/>
  <c r="E21" i="1"/>
  <c r="D21" i="1"/>
  <c r="C21" i="1"/>
  <c r="B21" i="1"/>
  <c r="F20" i="1"/>
  <c r="E20" i="1"/>
  <c r="D20" i="1"/>
  <c r="C20" i="1"/>
  <c r="B20" i="1"/>
  <c r="F19" i="1"/>
  <c r="E19" i="1"/>
  <c r="D19" i="1"/>
  <c r="C19" i="1"/>
  <c r="B19" i="1"/>
  <c r="F18" i="1"/>
  <c r="E18" i="1"/>
  <c r="D18" i="1"/>
  <c r="C18" i="1"/>
  <c r="B18" i="1"/>
  <c r="F17" i="1"/>
  <c r="E17" i="1"/>
  <c r="D17" i="1"/>
  <c r="C17" i="1"/>
  <c r="B17" i="1"/>
  <c r="D16" i="1"/>
  <c r="C16" i="1"/>
  <c r="B16" i="1"/>
  <c r="C15" i="1"/>
  <c r="B15" i="1"/>
  <c r="C14" i="1"/>
  <c r="B14" i="1"/>
  <c r="F13" i="1"/>
  <c r="E13" i="1"/>
  <c r="D13" i="1"/>
  <c r="C13" i="1"/>
  <c r="B13" i="1"/>
</calcChain>
</file>

<file path=xl/comments1.xml><?xml version="1.0" encoding="utf-8"?>
<comments xmlns="http://schemas.openxmlformats.org/spreadsheetml/2006/main">
  <authors>
    <author/>
  </authors>
  <commentList>
    <comment ref="C2" authorId="0">
      <text>
        <r>
          <rPr>
            <sz val="10"/>
            <color rgb="FF000000"/>
            <rFont val="Arial"/>
          </rPr>
          <t>MaryAnne not available and the student canceled
	-Kanako V. Suda</t>
        </r>
      </text>
    </comment>
    <comment ref="C4" authorId="0">
      <text>
        <r>
          <rPr>
            <sz val="10"/>
            <color rgb="FF000000"/>
            <rFont val="Arial"/>
          </rPr>
          <t>Kanako subbing
	-Kanako V. Suda</t>
        </r>
      </text>
    </comment>
    <comment ref="G5" authorId="0">
      <text>
        <r>
          <rPr>
            <sz val="10"/>
            <color rgb="FF000000"/>
            <rFont val="Arial"/>
          </rPr>
          <t>Student canceled in the morning
	-Kanako V. Suda</t>
        </r>
      </text>
    </comment>
    <comment ref="C6" authorId="0">
      <text>
        <r>
          <rPr>
            <sz val="10"/>
            <color rgb="FF000000"/>
            <rFont val="Arial"/>
          </rPr>
          <t>Kanako subbing
	-Kanako V. Suda</t>
        </r>
      </text>
    </comment>
    <comment ref="C8" authorId="0">
      <text>
        <r>
          <rPr>
            <sz val="10"/>
            <color rgb="FF000000"/>
            <rFont val="Arial"/>
          </rPr>
          <t>MaryAnne sick - canceled by staff
	-Kanako V. Suda</t>
        </r>
      </text>
    </comment>
    <comment ref="D25" authorId="0">
      <text>
        <r>
          <rPr>
            <sz val="10"/>
            <color rgb="FF000000"/>
            <rFont val="Arial"/>
          </rPr>
          <t>Student canceled
	-Kanako V. Suda</t>
        </r>
      </text>
    </comment>
    <comment ref="C29" authorId="0">
      <text>
        <r>
          <rPr>
            <sz val="10"/>
            <color rgb="FF000000"/>
            <rFont val="Arial"/>
          </rPr>
          <t>MaryAnne not available and the student canceled
	-Kanako V. Suda</t>
        </r>
      </text>
    </comment>
    <comment ref="C31" authorId="0">
      <text>
        <r>
          <rPr>
            <sz val="10"/>
            <color rgb="FF000000"/>
            <rFont val="Arial"/>
          </rPr>
          <t>Kanako subbing
	-Kanako V. Suda</t>
        </r>
      </text>
    </comment>
    <comment ref="G32" authorId="0">
      <text>
        <r>
          <rPr>
            <sz val="10"/>
            <color rgb="FF000000"/>
            <rFont val="Arial"/>
          </rPr>
          <t>Student canceled in the morning
	-Kanako V. Suda</t>
        </r>
      </text>
    </comment>
    <comment ref="C33" authorId="0">
      <text>
        <r>
          <rPr>
            <sz val="10"/>
            <color rgb="FF000000"/>
            <rFont val="Arial"/>
          </rPr>
          <t>Kanako subbing
	-Kanako V. Suda</t>
        </r>
      </text>
    </comment>
    <comment ref="C35" authorId="0">
      <text>
        <r>
          <rPr>
            <sz val="10"/>
            <color rgb="FF000000"/>
            <rFont val="Arial"/>
          </rPr>
          <t>MaryAnne sick - canceled by staff
	-Kanako V. Suda</t>
        </r>
      </text>
    </comment>
    <comment ref="E40" authorId="0">
      <text>
        <r>
          <rPr>
            <sz val="10"/>
            <color rgb="FF000000"/>
            <rFont val="Arial"/>
          </rPr>
          <t>Elena was no show - Someone from transfer-level class took the session.
	-Kanako V. Suda</t>
        </r>
      </text>
    </comment>
  </commentList>
</comments>
</file>

<file path=xl/sharedStrings.xml><?xml version="1.0" encoding="utf-8"?>
<sst xmlns="http://schemas.openxmlformats.org/spreadsheetml/2006/main" count="295" uniqueCount="28">
  <si>
    <t>Date</t>
  </si>
  <si>
    <t>Tutor</t>
  </si>
  <si>
    <t>Tutee</t>
  </si>
  <si>
    <t>Class</t>
  </si>
  <si>
    <t>Attendance</t>
  </si>
  <si>
    <t>CANCELED</t>
  </si>
  <si>
    <t>PRESENT</t>
  </si>
  <si>
    <t>ABSENT</t>
  </si>
  <si>
    <t>Time</t>
  </si>
  <si>
    <t>Tialnhui Zhu</t>
  </si>
  <si>
    <t>ERWT 1A</t>
  </si>
  <si>
    <t>Lang Ding</t>
  </si>
  <si>
    <t>Email</t>
  </si>
  <si>
    <t>Title</t>
  </si>
  <si>
    <t>Pronunciation</t>
  </si>
  <si>
    <t>Chris</t>
  </si>
  <si>
    <t>laura Ocampo</t>
  </si>
  <si>
    <t>ESL 261</t>
  </si>
  <si>
    <t>oscar</t>
  </si>
  <si>
    <t>Juan Wu</t>
  </si>
  <si>
    <t>Conversation</t>
  </si>
  <si>
    <t>Kanako</t>
  </si>
  <si>
    <t>miaodan zhou</t>
  </si>
  <si>
    <t>OTHERS (Non-Transferable)</t>
  </si>
  <si>
    <t>How to improve English effevtively</t>
  </si>
  <si>
    <t>Feng Wang</t>
  </si>
  <si>
    <t>ESL 251</t>
  </si>
  <si>
    <t>Supranee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</si>
</sst>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0"/>
      <color rgb="FF000000"/>
      <name val="Calibri"/>
    </font>
    <font>
      <sz val="10"/>
      <color rgb="FF000000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EBEFF1"/>
        <bgColor rgb="FFEBEFF1"/>
      </patternFill>
    </fill>
  </fills>
  <borders count="6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medium">
        <color rgb="FFFFFFFF"/>
      </bottom>
      <diagonal/>
    </border>
    <border>
      <left style="thin">
        <color rgb="FFFFFFFF"/>
      </left>
      <right style="thin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medium">
        <color rgb="FFFFFFFF"/>
      </right>
      <top style="thin">
        <color rgb="FFFFFFFF"/>
      </top>
      <bottom style="thin">
        <color rgb="FFFFFFFF"/>
      </bottom>
      <diagonal/>
    </border>
  </borders>
  <cellStyleXfs count="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4" fontId="0" fillId="0" borderId="0" xfId="0" applyNumberFormat="1"/>
    <xf numFmtId="0" fontId="0" fillId="0" borderId="0" xfId="0" applyAlignment="1">
      <alignment horizontal="center"/>
    </xf>
    <xf numFmtId="18" fontId="0" fillId="0" borderId="0" xfId="0" applyNumberFormat="1"/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63">
    <dxf>
      <font>
        <b/>
        <color rgb="FF666666"/>
      </font>
      <fill>
        <patternFill patternType="none"/>
      </fill>
    </dxf>
    <dxf>
      <font>
        <b/>
        <color rgb="FFCC0000"/>
      </font>
      <fill>
        <patternFill patternType="none"/>
      </fill>
    </dxf>
    <dxf>
      <font>
        <b/>
        <color rgb="FF6AA84F"/>
      </font>
      <fill>
        <patternFill patternType="none"/>
      </fill>
    </dxf>
    <dxf>
      <font>
        <b/>
        <color rgb="FF666666"/>
      </font>
      <fill>
        <patternFill patternType="none"/>
      </fill>
    </dxf>
    <dxf>
      <font>
        <b/>
        <color rgb="FFCC0000"/>
      </font>
      <fill>
        <patternFill patternType="none"/>
      </fill>
    </dxf>
    <dxf>
      <font>
        <b/>
        <color rgb="FF6AA84F"/>
      </font>
      <fill>
        <patternFill patternType="none"/>
      </fill>
    </dxf>
    <dxf>
      <font>
        <b/>
        <color rgb="FF666666"/>
      </font>
      <fill>
        <patternFill patternType="none"/>
      </fill>
    </dxf>
    <dxf>
      <font>
        <b/>
        <color rgb="FFCC0000"/>
      </font>
      <fill>
        <patternFill patternType="none"/>
      </fill>
    </dxf>
    <dxf>
      <font>
        <b/>
        <color rgb="FF6AA84F"/>
      </font>
      <fill>
        <patternFill patternType="none"/>
      </fill>
    </dxf>
    <dxf>
      <font>
        <b/>
        <color rgb="FF666666"/>
      </font>
      <fill>
        <patternFill patternType="none"/>
      </fill>
    </dxf>
    <dxf>
      <font>
        <b/>
        <color rgb="FFCC0000"/>
      </font>
      <fill>
        <patternFill patternType="none"/>
      </fill>
    </dxf>
    <dxf>
      <font>
        <b/>
        <color rgb="FF6AA84F"/>
      </font>
      <fill>
        <patternFill patternType="none"/>
      </fill>
    </dxf>
    <dxf>
      <font>
        <b/>
        <color rgb="FF666666"/>
      </font>
      <fill>
        <patternFill patternType="none"/>
      </fill>
    </dxf>
    <dxf>
      <font>
        <b/>
        <color rgb="FFCC0000"/>
      </font>
      <fill>
        <patternFill patternType="none"/>
      </fill>
    </dxf>
    <dxf>
      <font>
        <b/>
        <color rgb="FF6AA84F"/>
      </font>
      <fill>
        <patternFill patternType="none"/>
      </fill>
    </dxf>
    <dxf>
      <font>
        <b/>
        <color rgb="FF666666"/>
      </font>
      <fill>
        <patternFill patternType="none"/>
      </fill>
    </dxf>
    <dxf>
      <font>
        <b/>
        <color rgb="FFCC0000"/>
      </font>
      <fill>
        <patternFill patternType="none"/>
      </fill>
    </dxf>
    <dxf>
      <font>
        <b/>
        <color rgb="FF6AA84F"/>
      </font>
      <fill>
        <patternFill patternType="none"/>
      </fill>
    </dxf>
    <dxf>
      <font>
        <b/>
        <color rgb="FF666666"/>
      </font>
      <fill>
        <patternFill patternType="none"/>
      </fill>
    </dxf>
    <dxf>
      <font>
        <b/>
        <color rgb="FFCC0000"/>
      </font>
      <fill>
        <patternFill patternType="none"/>
      </fill>
    </dxf>
    <dxf>
      <font>
        <b/>
        <color rgb="FF6AA84F"/>
      </font>
      <fill>
        <patternFill patternType="none"/>
      </fill>
    </dxf>
    <dxf>
      <font>
        <b/>
        <color rgb="FF666666"/>
      </font>
      <fill>
        <patternFill patternType="none"/>
      </fill>
    </dxf>
    <dxf>
      <font>
        <b/>
        <color rgb="FFCC0000"/>
      </font>
      <fill>
        <patternFill patternType="none"/>
      </fill>
    </dxf>
    <dxf>
      <font>
        <b/>
        <color rgb="FF6AA84F"/>
      </font>
      <fill>
        <patternFill patternType="none"/>
      </fill>
    </dxf>
    <dxf>
      <font>
        <b/>
        <color rgb="FF666666"/>
      </font>
      <fill>
        <patternFill patternType="none"/>
      </fill>
    </dxf>
    <dxf>
      <font>
        <b/>
        <color rgb="FFCC0000"/>
      </font>
      <fill>
        <patternFill patternType="none"/>
      </fill>
    </dxf>
    <dxf>
      <font>
        <b/>
        <color rgb="FF6AA84F"/>
      </font>
      <fill>
        <patternFill patternType="none"/>
      </fill>
    </dxf>
    <dxf>
      <font>
        <b/>
        <color rgb="FF666666"/>
      </font>
      <fill>
        <patternFill patternType="none"/>
      </fill>
    </dxf>
    <dxf>
      <font>
        <b/>
        <color rgb="FFCC0000"/>
      </font>
      <fill>
        <patternFill patternType="none"/>
      </fill>
    </dxf>
    <dxf>
      <font>
        <b/>
        <color rgb="FF6AA84F"/>
      </font>
      <fill>
        <patternFill patternType="none"/>
      </fill>
    </dxf>
    <dxf>
      <font>
        <b/>
        <color rgb="FF666666"/>
      </font>
      <fill>
        <patternFill patternType="none"/>
      </fill>
    </dxf>
    <dxf>
      <font>
        <b/>
        <color rgb="FFCC0000"/>
      </font>
      <fill>
        <patternFill patternType="none"/>
      </fill>
    </dxf>
    <dxf>
      <font>
        <b/>
        <color rgb="FF6AA84F"/>
      </font>
      <fill>
        <patternFill patternType="none"/>
      </fill>
    </dxf>
    <dxf>
      <font>
        <b/>
        <color rgb="FF666666"/>
      </font>
      <fill>
        <patternFill patternType="none"/>
      </fill>
    </dxf>
    <dxf>
      <font>
        <b/>
        <color rgb="FFCC0000"/>
      </font>
      <fill>
        <patternFill patternType="none"/>
      </fill>
    </dxf>
    <dxf>
      <font>
        <b/>
        <color rgb="FF6AA84F"/>
      </font>
      <fill>
        <patternFill patternType="none"/>
      </fill>
    </dxf>
    <dxf>
      <font>
        <b/>
        <color rgb="FF666666"/>
      </font>
      <fill>
        <patternFill patternType="none"/>
      </fill>
    </dxf>
    <dxf>
      <font>
        <b/>
        <color rgb="FFCC0000"/>
      </font>
      <fill>
        <patternFill patternType="none"/>
      </fill>
    </dxf>
    <dxf>
      <font>
        <b/>
        <color rgb="FF6AA84F"/>
      </font>
      <fill>
        <patternFill patternType="none"/>
      </fill>
    </dxf>
    <dxf>
      <font>
        <b/>
        <color rgb="FF666666"/>
      </font>
      <fill>
        <patternFill patternType="none"/>
      </fill>
    </dxf>
    <dxf>
      <font>
        <b/>
        <color rgb="FFCC0000"/>
      </font>
      <fill>
        <patternFill patternType="none"/>
      </fill>
    </dxf>
    <dxf>
      <font>
        <b/>
        <color rgb="FF6AA84F"/>
      </font>
      <fill>
        <patternFill patternType="none"/>
      </fill>
    </dxf>
    <dxf>
      <font>
        <b/>
        <color rgb="FF666666"/>
      </font>
      <fill>
        <patternFill patternType="none"/>
      </fill>
    </dxf>
    <dxf>
      <font>
        <b/>
        <color rgb="FFCC0000"/>
      </font>
      <fill>
        <patternFill patternType="none"/>
      </fill>
    </dxf>
    <dxf>
      <font>
        <b/>
        <color rgb="FF6AA84F"/>
      </font>
      <fill>
        <patternFill patternType="none"/>
      </fill>
    </dxf>
    <dxf>
      <font>
        <b/>
        <color rgb="FF666666"/>
      </font>
      <fill>
        <patternFill patternType="none"/>
      </fill>
    </dxf>
    <dxf>
      <font>
        <b/>
        <color rgb="FFCC0000"/>
      </font>
      <fill>
        <patternFill patternType="none"/>
      </fill>
    </dxf>
    <dxf>
      <font>
        <b/>
        <color rgb="FF6AA84F"/>
      </font>
      <fill>
        <patternFill patternType="none"/>
      </fill>
    </dxf>
    <dxf>
      <font>
        <b/>
        <color rgb="FF666666"/>
      </font>
      <fill>
        <patternFill patternType="none"/>
      </fill>
    </dxf>
    <dxf>
      <font>
        <b/>
        <color rgb="FFCC0000"/>
      </font>
      <fill>
        <patternFill patternType="none"/>
      </fill>
    </dxf>
    <dxf>
      <font>
        <b/>
        <color rgb="FF6AA84F"/>
      </font>
      <fill>
        <patternFill patternType="none"/>
      </fill>
    </dxf>
    <dxf>
      <font>
        <b/>
        <color rgb="FF666666"/>
      </font>
      <fill>
        <patternFill patternType="none"/>
      </fill>
    </dxf>
    <dxf>
      <font>
        <b/>
        <color rgb="FFCC0000"/>
      </font>
      <fill>
        <patternFill patternType="none"/>
      </fill>
    </dxf>
    <dxf>
      <font>
        <b/>
        <color rgb="FF6AA84F"/>
      </font>
      <fill>
        <patternFill patternType="none"/>
      </fill>
    </dxf>
    <dxf>
      <font>
        <b/>
        <color rgb="FF666666"/>
      </font>
      <fill>
        <patternFill patternType="none"/>
      </fill>
    </dxf>
    <dxf>
      <font>
        <b/>
        <color rgb="FFCC0000"/>
      </font>
      <fill>
        <patternFill patternType="none"/>
      </fill>
    </dxf>
    <dxf>
      <font>
        <b/>
        <color rgb="FF6AA84F"/>
      </font>
      <fill>
        <patternFill patternType="none"/>
      </fill>
    </dxf>
    <dxf>
      <font>
        <b/>
        <color rgb="FF666666"/>
      </font>
      <fill>
        <patternFill patternType="none"/>
      </fill>
    </dxf>
    <dxf>
      <font>
        <b/>
        <color rgb="FFCC0000"/>
      </font>
      <fill>
        <patternFill patternType="none"/>
      </fill>
    </dxf>
    <dxf>
      <font>
        <b/>
        <color rgb="FF6AA84F"/>
      </font>
      <fill>
        <patternFill patternType="none"/>
      </fill>
    </dxf>
    <dxf>
      <font>
        <b/>
        <color rgb="FF666666"/>
      </font>
      <fill>
        <patternFill patternType="none"/>
      </fill>
    </dxf>
    <dxf>
      <font>
        <b/>
        <color rgb="FFCC0000"/>
      </font>
      <fill>
        <patternFill patternType="none"/>
      </fill>
    </dxf>
    <dxf>
      <font>
        <b/>
        <color rgb="FF6AA84F"/>
      </font>
      <fill>
        <patternFill patternType="none"/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scstaff/Downloads/&#10052;&#65039;&#128023;&#10052;&#65039;%20%20%20Winter%202019%20&#10052;&#65039;&#128023;&#10052;&#65039;%20%20/Week%2002%20(01_14-01_18)_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737720465"/>
      <sheetName val="1886859665"/>
      <sheetName val="670385148"/>
      <sheetName val="1112145352"/>
      <sheetName val="386508713"/>
      <sheetName val="TUTORING"/>
      <sheetName val="M"/>
      <sheetName val="T"/>
      <sheetName val="W"/>
      <sheetName val="TH"/>
      <sheetName val="F"/>
      <sheetName val="DB"/>
      <sheetName val="LIB"/>
      <sheetName val="CREDI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12">
          <cell r="A12" t="str">
            <v>Monday Tutoring</v>
          </cell>
        </row>
      </sheetData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64"/>
  <sheetViews>
    <sheetView workbookViewId="0">
      <selection activeCell="D1" sqref="D1:G1"/>
    </sheetView>
  </sheetViews>
  <sheetFormatPr baseColWidth="10" defaultRowHeight="15" x14ac:dyDescent="0"/>
  <sheetData>
    <row r="1" spans="1:7" s="5" customFormat="1">
      <c r="A1" s="5" t="s">
        <v>0</v>
      </c>
      <c r="B1" s="5" t="s">
        <v>8</v>
      </c>
      <c r="C1" s="5" t="s">
        <v>1</v>
      </c>
      <c r="D1" s="5" t="s">
        <v>2</v>
      </c>
      <c r="E1" s="5" t="s">
        <v>3</v>
      </c>
      <c r="F1" s="5" t="s">
        <v>12</v>
      </c>
      <c r="G1" s="5" t="s">
        <v>4</v>
      </c>
    </row>
    <row r="2" spans="1:7" ht="16" thickBot="1">
      <c r="A2" s="4">
        <v>43479</v>
      </c>
      <c r="B2" s="1" t="str">
        <f ca="1">LEFT(OFFSET([1]LIB!$A$12,4,1),8)</f>
        <v>10:00 AM</v>
      </c>
      <c r="C2" s="1" t="str">
        <f ca="1">MID(OFFSET([1]LIB!$A$12,4,1),11,100)</f>
        <v xml:space="preserve"> MaryAnne</v>
      </c>
      <c r="D2" s="1" t="str">
        <f ca="1">IFERROR(__xludf.DUMMYFUNCTION("IF(COUNTUNIQUE(OFFSET(LIB!$A$12,4,1))=0,"" "",FILTER(DB!$B:$D,SEARCH(OFFSET(LIB!$A$12,4,1),DB!$L:$L)))"),"Elena Bryntseva")</f>
        <v>Elena Bryntseva</v>
      </c>
      <c r="E2" s="1" t="str">
        <f ca="1">IFERROR(__xludf.DUMMYFUNCTION("""COMPUTED_VALUE"""),"ESL 251")</f>
        <v>ESL 251</v>
      </c>
      <c r="F2" s="1" t="str">
        <f ca="1">IFERROR(__xludf.DUMMYFUNCTION("""COMPUTED_VALUE"""),"bryntseva@gmail.com")</f>
        <v>bryntseva@gmail.com</v>
      </c>
      <c r="G2" s="1" t="s">
        <v>5</v>
      </c>
    </row>
    <row r="3" spans="1:7" ht="16" thickBot="1">
      <c r="A3" s="4">
        <v>43479</v>
      </c>
      <c r="B3" s="2" t="str">
        <f ca="1">LEFT(OFFSET([1]LIB!$A$12,4,2),8)</f>
        <v>10:00 AM</v>
      </c>
      <c r="C3" s="2" t="str">
        <f ca="1">MID(OFFSET([1]LIB!$A$12,4,2),11,100)</f>
        <v xml:space="preserve"> Negin</v>
      </c>
      <c r="D3" s="2" t="str">
        <f ca="1">IFERROR(__xludf.DUMMYFUNCTION("IF(COUNTUNIQUE(OFFSET(LIB!$A$12,4,2))=0,"" "",FILTER(DB!$B:$D,SEARCH(OFFSET(LIB!$A$12,4,2),DB!$L:$L)))"),"Elena Bryntseva")</f>
        <v>Elena Bryntseva</v>
      </c>
      <c r="E3" s="2" t="str">
        <f ca="1">IFERROR(__xludf.DUMMYFUNCTION("""COMPUTED_VALUE"""),"ESL 251")</f>
        <v>ESL 251</v>
      </c>
      <c r="F3" s="2" t="str">
        <f ca="1">IFERROR(__xludf.DUMMYFUNCTION("""COMPUTED_VALUE"""),"bryntseva@gmail.com")</f>
        <v>bryntseva@gmail.com</v>
      </c>
      <c r="G3" s="2" t="s">
        <v>6</v>
      </c>
    </row>
    <row r="4" spans="1:7" ht="16" thickBot="1">
      <c r="A4" s="4">
        <v>43479</v>
      </c>
      <c r="B4" s="3" t="str">
        <f ca="1">LEFT(OFFSET([1]LIB!$A$12,4,3),8)</f>
        <v>10:30 AM</v>
      </c>
      <c r="C4" s="3" t="str">
        <f ca="1">MID(OFFSET([1]LIB!$A$12,4,3),11,100)</f>
        <v xml:space="preserve"> MaryAnne</v>
      </c>
      <c r="D4" s="3" t="str">
        <f ca="1">IFERROR(__xludf.DUMMYFUNCTION("IF(COUNTUNIQUE(OFFSET(LIB!$A$12,4,3))=0,"" "",FILTER(DB!$B:$D,SEARCH(OFFSET(LIB!$A$12,4,3),DB!$L:$L)))"),"HAIYAN WANG")</f>
        <v>HAIYAN WANG</v>
      </c>
      <c r="E4" s="3" t="str">
        <f ca="1">IFERROR(__xludf.DUMMYFUNCTION("""COMPUTED_VALUE"""),"ESL 261")</f>
        <v>ESL 261</v>
      </c>
      <c r="F4" s="3" t="str">
        <f ca="1">IFERROR(__xludf.DUMMYFUNCTION("""COMPUTED_VALUE"""),"njustwhy@gmail.com")</f>
        <v>njustwhy@gmail.com</v>
      </c>
      <c r="G4" s="3" t="s">
        <v>6</v>
      </c>
    </row>
    <row r="5" spans="1:7" ht="16" thickBot="1">
      <c r="A5" s="4">
        <v>43479</v>
      </c>
      <c r="B5" s="2" t="str">
        <f ca="1">LEFT(OFFSET([1]LIB!$A$12,4,4),8)</f>
        <v>10:30 AM</v>
      </c>
      <c r="C5" s="2" t="str">
        <f ca="1">MID(OFFSET([1]LIB!$A$12,4,4),11,100)</f>
        <v xml:space="preserve"> Negin</v>
      </c>
      <c r="D5" s="2" t="str">
        <f ca="1">IFERROR(__xludf.DUMMYFUNCTION("IF(COUNTUNIQUE(OFFSET(LIB!$A$12,4,4))=0,"" "",FILTER(DB!$B:$D,SEARCH(OFFSET(LIB!$A$12,4,4),DB!$L:$L)))"),"Yangsook Hwang ")</f>
        <v xml:space="preserve">Yangsook Hwang </v>
      </c>
      <c r="E5" s="2" t="str">
        <f ca="1">IFERROR(__xludf.DUMMYFUNCTION("""COMPUTED_VALUE"""),"OTHERS (Transferable)")</f>
        <v>OTHERS (Transferable)</v>
      </c>
      <c r="F5" s="2" t="str">
        <f ca="1">IFERROR(__xludf.DUMMYFUNCTION("""COMPUTED_VALUE"""),"yangsookcho@yahoo.com")</f>
        <v>yangsookcho@yahoo.com</v>
      </c>
      <c r="G5" s="2" t="s">
        <v>6</v>
      </c>
    </row>
    <row r="6" spans="1:7" ht="16" thickBot="1">
      <c r="A6" s="4">
        <v>43479</v>
      </c>
      <c r="B6" s="3" t="str">
        <f ca="1">LEFT(OFFSET([1]LIB!$A$12,4,5),8)</f>
        <v>11:00 AM</v>
      </c>
      <c r="C6" s="3" t="str">
        <f ca="1">MID(OFFSET([1]LIB!$A$12,4,5),11,100)</f>
        <v xml:space="preserve"> MaryAnne</v>
      </c>
      <c r="D6" s="3" t="str">
        <f ca="1">IFERROR(__xludf.DUMMYFUNCTION("IF(COUNTUNIQUE(OFFSET(LIB!$A$12,4,5))=0,"" "",FILTER(DB!$B:$D,SEARCH(OFFSET(LIB!$A$12,4,5),DB!$L:$L)))"),"Nighat Chaudhry ")</f>
        <v xml:space="preserve">Nighat Chaudhry </v>
      </c>
      <c r="E6" s="3" t="str">
        <f ca="1">IFERROR(__xludf.DUMMYFUNCTION("""COMPUTED_VALUE"""),"ESL 251")</f>
        <v>ESL 251</v>
      </c>
      <c r="F6" s="3" t="str">
        <f ca="1">IFERROR(__xludf.DUMMYFUNCTION("""COMPUTED_VALUE"""),"nighat6@yahoo.com")</f>
        <v>nighat6@yahoo.com</v>
      </c>
      <c r="G6" s="3" t="s">
        <v>6</v>
      </c>
    </row>
    <row r="7" spans="1:7" ht="16" thickBot="1">
      <c r="A7" s="4">
        <v>43479</v>
      </c>
      <c r="B7" s="2" t="str">
        <f ca="1">LEFT(OFFSET([1]LIB!$A$12,4,6),8)</f>
        <v>11:00 AM</v>
      </c>
      <c r="C7" s="2" t="str">
        <f ca="1">MID(OFFSET([1]LIB!$A$12,4,6),11,100)</f>
        <v xml:space="preserve"> Negin</v>
      </c>
      <c r="D7" s="2" t="str">
        <f ca="1">IFERROR(__xludf.DUMMYFUNCTION("IF(COUNTUNIQUE(OFFSET(LIB!$A$12,4,6))=0,"" "",FILTER(DB!$B:$D,SEARCH(OFFSET(LIB!$A$12,4,6),DB!$L:$L)))"),"Zheyuan Wang")</f>
        <v>Zheyuan Wang</v>
      </c>
      <c r="E7" s="2" t="str">
        <f ca="1">IFERROR(__xludf.DUMMYFUNCTION("""COMPUTED_VALUE"""),"ESL 261")</f>
        <v>ESL 261</v>
      </c>
      <c r="F7" s="2" t="str">
        <f ca="1">IFERROR(__xludf.DUMMYFUNCTION("""COMPUTED_VALUE"""),"1299393623@qq.com")</f>
        <v>1299393623@qq.com</v>
      </c>
      <c r="G7" s="2" t="s">
        <v>6</v>
      </c>
    </row>
    <row r="8" spans="1:7" ht="16" thickBot="1">
      <c r="A8" s="4">
        <v>43479</v>
      </c>
      <c r="B8" s="3" t="str">
        <f ca="1">LEFT(OFFSET([1]LIB!$A$12,4,7),8)</f>
        <v>11:30 AM</v>
      </c>
      <c r="C8" s="3" t="str">
        <f ca="1">MID(OFFSET([1]LIB!$A$12,4,7),11,100)</f>
        <v xml:space="preserve"> MaryAnne</v>
      </c>
      <c r="D8" s="3" t="str">
        <f ca="1">IFERROR(__xludf.DUMMYFUNCTION("IF(COUNTUNIQUE(OFFSET(LIB!$A$12,4,7))=0,"" "",FILTER(DB!$B:$D,SEARCH(OFFSET(LIB!$A$12,4,7),DB!$L:$L)))"),"NGO BAO NGOC NGUYEN")</f>
        <v>NGO BAO NGOC NGUYEN</v>
      </c>
      <c r="E8" s="3" t="str">
        <f ca="1">IFERROR(__xludf.DUMMYFUNCTION("""COMPUTED_VALUE"""),"ESL 261")</f>
        <v>ESL 261</v>
      </c>
      <c r="F8" s="3" t="str">
        <f ca="1">IFERROR(__xludf.DUMMYFUNCTION("""COMPUTED_VALUE"""),"nguyenngobaongoc150399@gmail.com")</f>
        <v>nguyenngobaongoc150399@gmail.com</v>
      </c>
      <c r="G8" s="3" t="s">
        <v>7</v>
      </c>
    </row>
    <row r="9" spans="1:7" ht="16" thickBot="1">
      <c r="A9" s="4">
        <v>43479</v>
      </c>
      <c r="B9" s="2" t="str">
        <f ca="1">LEFT(OFFSET([1]LIB!$A$12,4,8),8)</f>
        <v>11:30 AM</v>
      </c>
      <c r="C9" s="2" t="str">
        <f ca="1">MID(OFFSET([1]LIB!$A$12,4,8),11,100)</f>
        <v xml:space="preserve"> Negin</v>
      </c>
      <c r="D9" s="2" t="str">
        <f ca="1">IFERROR(__xludf.DUMMYFUNCTION("IF(COUNTUNIQUE(OFFSET(LIB!$A$12,4,8))=0,"" "",FILTER(DB!$B:$D,SEARCH(OFFSET(LIB!$A$12,4,8),DB!$L:$L)))"),"Yilin shangguan ")</f>
        <v xml:space="preserve">Yilin shangguan </v>
      </c>
      <c r="E9" s="2" t="str">
        <f ca="1">IFERROR(__xludf.DUMMYFUNCTION("""COMPUTED_VALUE"""),"ESL 263")</f>
        <v>ESL 263</v>
      </c>
      <c r="F9" s="2" t="str">
        <f ca="1">IFERROR(__xludf.DUMMYFUNCTION("""COMPUTED_VALUE"""),"yilinee@gmail.com")</f>
        <v>yilinee@gmail.com</v>
      </c>
      <c r="G9" s="2" t="s">
        <v>6</v>
      </c>
    </row>
    <row r="10" spans="1:7" ht="16" thickBot="1">
      <c r="A10" s="4">
        <v>43479</v>
      </c>
      <c r="B10" s="3" t="str">
        <f ca="1">LEFT(OFFSET([1]LIB!$A$12,4,9),8)</f>
        <v>12:00 PM</v>
      </c>
      <c r="C10" s="3" t="str">
        <f ca="1">MID(OFFSET([1]LIB!$A$12,4,9),11,100)</f>
        <v xml:space="preserve"> Negin</v>
      </c>
      <c r="D10" s="3" t="str">
        <f ca="1">IFERROR(__xludf.DUMMYFUNCTION("IF(COUNTUNIQUE(OFFSET(LIB!$A$12,4,9))=0,"" "",FILTER(DB!$B:$D,SEARCH(OFFSET(LIB!$A$12,4,9),DB!$L:$L)))"),"Yilin shangguan ")</f>
        <v xml:space="preserve">Yilin shangguan </v>
      </c>
      <c r="E10" s="3" t="str">
        <f ca="1">IFERROR(__xludf.DUMMYFUNCTION("""COMPUTED_VALUE"""),"ESL 263")</f>
        <v>ESL 263</v>
      </c>
      <c r="F10" s="3" t="str">
        <f ca="1">IFERROR(__xludf.DUMMYFUNCTION("""COMPUTED_VALUE"""),"yilinee@gmail.com")</f>
        <v>yilinee@gmail.com</v>
      </c>
      <c r="G10" s="3" t="s">
        <v>6</v>
      </c>
    </row>
    <row r="11" spans="1:7" ht="16" thickBot="1">
      <c r="A11" s="4">
        <v>43479</v>
      </c>
      <c r="B11" s="2" t="str">
        <f ca="1">LEFT(OFFSET([1]LIB!$A$12,4,10),8)</f>
        <v>03:30 PM</v>
      </c>
      <c r="C11" s="2" t="str">
        <f ca="1">MID(OFFSET([1]LIB!$A$12,4,10),11,100)</f>
        <v xml:space="preserve"> Kanako</v>
      </c>
      <c r="D11" s="2" t="str">
        <f ca="1">IFERROR(__xludf.DUMMYFUNCTION("IF(COUNTUNIQUE(OFFSET(LIB!$A$12,4,10))=0,"" "",FILTER(DB!$B:$D,SEARCH(OFFSET(LIB!$A$12,4,10),DB!$L:$L)))"),"Boying Jin")</f>
        <v>Boying Jin</v>
      </c>
      <c r="E11" s="2" t="str">
        <f ca="1">IFERROR(__xludf.DUMMYFUNCTION("""COMPUTED_VALUE"""),"ESL 260")</f>
        <v>ESL 260</v>
      </c>
      <c r="F11" s="2" t="str">
        <f ca="1">IFERROR(__xludf.DUMMYFUNCTION("""COMPUTED_VALUE"""),"bo.ying.1986@gmail.com")</f>
        <v>bo.ying.1986@gmail.com</v>
      </c>
      <c r="G11" s="2" t="s">
        <v>6</v>
      </c>
    </row>
    <row r="12" spans="1:7" ht="16" thickBot="1">
      <c r="A12" s="4">
        <v>43479</v>
      </c>
      <c r="B12" s="3" t="str">
        <f ca="1">LEFT(OFFSET([1]LIB!$A$12,4,11),8)</f>
        <v>04:00 PM</v>
      </c>
      <c r="C12" s="3" t="str">
        <f ca="1">MID(OFFSET([1]LIB!$A$12,4,11),11,100)</f>
        <v xml:space="preserve"> Kanako</v>
      </c>
      <c r="D12" s="3" t="str">
        <f ca="1">IFERROR(__xludf.DUMMYFUNCTION("IF(COUNTUNIQUE(OFFSET(LIB!$A$12,4,11))=0,"" "",FILTER(DB!$B:$D,SEARCH(OFFSET(LIB!$A$12,4,11),DB!$L:$L)))"),"Xue Fu")</f>
        <v>Xue Fu</v>
      </c>
      <c r="E12" s="3" t="str">
        <f ca="1">IFERROR(__xludf.DUMMYFUNCTION("""COMPUTED_VALUE"""),"ESL 261")</f>
        <v>ESL 261</v>
      </c>
      <c r="F12" s="3" t="str">
        <f ca="1">IFERROR(__xludf.DUMMYFUNCTION("""COMPUTED_VALUE"""),"shirleyxuefu22@yahoo.com")</f>
        <v>shirleyxuefu22@yahoo.com</v>
      </c>
      <c r="G12" s="3" t="s">
        <v>7</v>
      </c>
    </row>
    <row r="13" spans="1:7" ht="16" thickBot="1">
      <c r="A13" s="4">
        <v>43480</v>
      </c>
      <c r="B13" s="2" t="str">
        <f ca="1">LEFT(OFFSET([1]LIB!$A$12,2,2),8)</f>
        <v>10:30 AM</v>
      </c>
      <c r="C13" s="2" t="str">
        <f ca="1">MID(OFFSET([1]LIB!$A$12,2,2),11,100)</f>
        <v xml:space="preserve"> Ted</v>
      </c>
      <c r="D13" s="2" t="str">
        <f ca="1">IFERROR(__xludf.DUMMYFUNCTION("IF(COUNTUNIQUE(OFFSET(LIB!$A$12,2,2))=0,"" "",FILTER(DB!$B:$D,SEARCH(OFFSET(LIB!$A$12,2,2),DB!$K:$K)))"),"Elena Bryntseva")</f>
        <v>Elena Bryntseva</v>
      </c>
      <c r="E13" s="2" t="str">
        <f ca="1">IFERROR(__xludf.DUMMYFUNCTION("""COMPUTED_VALUE"""),"ESL 251")</f>
        <v>ESL 251</v>
      </c>
      <c r="F13" s="2" t="str">
        <f ca="1">IFERROR(__xludf.DUMMYFUNCTION("""COMPUTED_VALUE"""),"bryntseva@gmail.com")</f>
        <v>bryntseva@gmail.com</v>
      </c>
      <c r="G13" s="2" t="s">
        <v>5</v>
      </c>
    </row>
    <row r="14" spans="1:7" ht="16" thickBot="1">
      <c r="A14" s="4">
        <v>43480</v>
      </c>
      <c r="B14" s="3" t="str">
        <f ca="1">LEFT(OFFSET([1]LIB!$A$12,2,3),8)</f>
        <v>10:30 AM</v>
      </c>
      <c r="C14" s="3" t="str">
        <f ca="1">MID(OFFSET([1]LIB!$A$12,2,3),11,100)</f>
        <v xml:space="preserve"> Austin</v>
      </c>
      <c r="D14" s="3" t="s">
        <v>9</v>
      </c>
      <c r="E14" s="3" t="s">
        <v>10</v>
      </c>
      <c r="F14" s="3"/>
      <c r="G14" s="3" t="s">
        <v>6</v>
      </c>
    </row>
    <row r="15" spans="1:7" ht="16" thickBot="1">
      <c r="A15" s="4">
        <v>43480</v>
      </c>
      <c r="B15" s="2" t="str">
        <f ca="1">LEFT(OFFSET([1]LIB!$A$12,2,4),8)</f>
        <v>10:30 AM</v>
      </c>
      <c r="C15" s="2" t="str">
        <f ca="1">MID(OFFSET([1]LIB!$A$12,2,4),11,100)</f>
        <v xml:space="preserve"> Ken</v>
      </c>
      <c r="D15" s="2" t="s">
        <v>11</v>
      </c>
      <c r="E15" s="2" t="s">
        <v>10</v>
      </c>
      <c r="F15" s="2"/>
      <c r="G15" s="2" t="s">
        <v>6</v>
      </c>
    </row>
    <row r="16" spans="1:7" ht="16" thickBot="1">
      <c r="A16" s="4">
        <v>43480</v>
      </c>
      <c r="B16" s="3" t="str">
        <f ca="1">LEFT(OFFSET([1]LIB!$A$12,2,5),8)</f>
        <v>11:00 AM</v>
      </c>
      <c r="C16" s="3" t="str">
        <f ca="1">MID(OFFSET([1]LIB!$A$12,2,5),11,100)</f>
        <v xml:space="preserve"> Ted</v>
      </c>
      <c r="D16" s="3" t="str">
        <f ca="1">IFERROR(__xludf.DUMMYFUNCTION("IF(COUNTUNIQUE(OFFSET(LIB!$A$12,2,5))=0,"" "",FILTER(DB!$B:$D,SEARCH(OFFSET(LIB!$A$12,2,5),DB!$K:$K)))"),"#REF!")</f>
        <v>#REF!</v>
      </c>
      <c r="E16" s="3"/>
      <c r="F16" s="3"/>
      <c r="G16" s="3" t="s">
        <v>7</v>
      </c>
    </row>
    <row r="17" spans="1:7" ht="16" thickBot="1">
      <c r="A17" s="4">
        <v>43480</v>
      </c>
      <c r="B17" s="2" t="str">
        <f ca="1">LEFT(OFFSET([1]LIB!$A$12,2,6),8)</f>
        <v>11:00 AM</v>
      </c>
      <c r="C17" s="2" t="str">
        <f ca="1">MID(OFFSET([1]LIB!$A$12,2,6),11,100)</f>
        <v xml:space="preserve"> Austin</v>
      </c>
      <c r="D17" s="2" t="str">
        <f ca="1">IFERROR(__xludf.DUMMYFUNCTION("IF(COUNTUNIQUE(OFFSET(LIB!$A$12,2,6))=0,"" "",FILTER(DB!$B:$D,SEARCH(OFFSET(LIB!$A$12,2,6),DB!$K:$K)))"),"Katherin")</f>
        <v>Katherin</v>
      </c>
      <c r="E17" s="2" t="str">
        <f ca="1">IFERROR(__xludf.DUMMYFUNCTION("""COMPUTED_VALUE"""),"ESL 244")</f>
        <v>ESL 244</v>
      </c>
      <c r="F17" s="2" t="str">
        <f ca="1">IFERROR(__xludf.DUMMYFUNCTION("""COMPUTED_VALUE"""),"katherine.oviedo296@gmail.com")</f>
        <v>katherine.oviedo296@gmail.com</v>
      </c>
      <c r="G17" s="2" t="s">
        <v>6</v>
      </c>
    </row>
    <row r="18" spans="1:7" ht="16" thickBot="1">
      <c r="A18" s="4">
        <v>43480</v>
      </c>
      <c r="B18" s="3" t="str">
        <f ca="1">LEFT(OFFSET([1]LIB!$A$12,2,7),8)</f>
        <v>11:00 AM</v>
      </c>
      <c r="C18" s="3" t="str">
        <f ca="1">MID(OFFSET([1]LIB!$A$12,2,7),11,100)</f>
        <v xml:space="preserve"> Ken</v>
      </c>
      <c r="D18" s="3" t="str">
        <f ca="1">IFERROR(__xludf.DUMMYFUNCTION("IF(COUNTUNIQUE(OFFSET(LIB!$A$12,2,7))=0,"" "",FILTER(DB!$B:$D,SEARCH(OFFSET(LIB!$A$12,2,7),DB!$K:$K)))"),"Ricardo vazquez ")</f>
        <v xml:space="preserve">Ricardo vazquez </v>
      </c>
      <c r="E18" s="3" t="str">
        <f ca="1">IFERROR(__xludf.DUMMYFUNCTION("""COMPUTED_VALUE"""),"ESL 262")</f>
        <v>ESL 262</v>
      </c>
      <c r="F18" s="3" t="str">
        <f ca="1">IFERROR(__xludf.DUMMYFUNCTION("""COMPUTED_VALUE"""),"ricardo.vazquez.1522@gmail.com")</f>
        <v>ricardo.vazquez.1522@gmail.com</v>
      </c>
      <c r="G18" s="3" t="s">
        <v>7</v>
      </c>
    </row>
    <row r="19" spans="1:7" ht="16" thickBot="1">
      <c r="A19" s="4">
        <v>43480</v>
      </c>
      <c r="B19" s="2" t="str">
        <f ca="1">LEFT(OFFSET([1]LIB!$A$12,2,8),8)</f>
        <v>11:30 AM</v>
      </c>
      <c r="C19" s="2" t="str">
        <f ca="1">MID(OFFSET([1]LIB!$A$12,2,8),11,100)</f>
        <v xml:space="preserve"> Austin</v>
      </c>
      <c r="D19" s="2" t="str">
        <f ca="1">IFERROR(__xludf.DUMMYFUNCTION("IF(COUNTUNIQUE(OFFSET(LIB!$A$12,2,8))=0,"" "",FILTER(DB!$B:$D,SEARCH(OFFSET(LIB!$A$12,2,8),DB!$K:$K)))"),"Yilin shangguan ")</f>
        <v xml:space="preserve">Yilin shangguan </v>
      </c>
      <c r="E19" s="2" t="str">
        <f ca="1">IFERROR(__xludf.DUMMYFUNCTION("""COMPUTED_VALUE"""),"ESL 263")</f>
        <v>ESL 263</v>
      </c>
      <c r="F19" s="2" t="str">
        <f ca="1">IFERROR(__xludf.DUMMYFUNCTION("""COMPUTED_VALUE"""),"yilinee@gmail.com")</f>
        <v>yilinee@gmail.com</v>
      </c>
      <c r="G19" s="2" t="s">
        <v>6</v>
      </c>
    </row>
    <row r="20" spans="1:7" ht="16" thickBot="1">
      <c r="A20" s="4">
        <v>43480</v>
      </c>
      <c r="B20" s="3" t="str">
        <f ca="1">LEFT(OFFSET([1]LIB!$A$12,2,9),8)</f>
        <v>12:00 PM</v>
      </c>
      <c r="C20" s="3" t="str">
        <f ca="1">MID(OFFSET([1]LIB!$A$12,2,9),11,100)</f>
        <v xml:space="preserve"> Austin</v>
      </c>
      <c r="D20" s="3" t="str">
        <f ca="1">IFERROR(__xludf.DUMMYFUNCTION("IF(COUNTUNIQUE(OFFSET(LIB!$A$12,2,9))=0,"" "",FILTER(DB!$B:$D,SEARCH(OFFSET(LIB!$A$12,2,9),DB!$K:$K)))"),"Yilin shangguan ")</f>
        <v xml:space="preserve">Yilin shangguan </v>
      </c>
      <c r="E20" s="3" t="str">
        <f ca="1">IFERROR(__xludf.DUMMYFUNCTION("""COMPUTED_VALUE"""),"ESL 263")</f>
        <v>ESL 263</v>
      </c>
      <c r="F20" s="3" t="str">
        <f ca="1">IFERROR(__xludf.DUMMYFUNCTION("""COMPUTED_VALUE"""),"yilinee@gmail.com")</f>
        <v>yilinee@gmail.com</v>
      </c>
      <c r="G20" s="3" t="s">
        <v>6</v>
      </c>
    </row>
    <row r="21" spans="1:7" ht="16" thickBot="1">
      <c r="A21" s="4">
        <v>43480</v>
      </c>
      <c r="B21" s="2" t="str">
        <f ca="1">LEFT(OFFSET([1]LIB!$A$12,2,10),8)</f>
        <v>12:30 PM</v>
      </c>
      <c r="C21" s="2" t="str">
        <f ca="1">MID(OFFSET([1]LIB!$A$12,2,10),11,100)</f>
        <v xml:space="preserve"> Xinxin</v>
      </c>
      <c r="D21" s="2" t="str">
        <f ca="1">IFERROR(__xludf.DUMMYFUNCTION("IF(COUNTUNIQUE(OFFSET(LIB!$A$12,2,10))=0,"" "",FILTER(DB!$B:$D,SEARCH(OFFSET(LIB!$A$12,2,10),DB!$K:$K)))"),"zhiyi mou")</f>
        <v>zhiyi mou</v>
      </c>
      <c r="E21" s="2" t="str">
        <f ca="1">IFERROR(__xludf.DUMMYFUNCTION("""COMPUTED_VALUE"""),"ESL 234")</f>
        <v>ESL 234</v>
      </c>
      <c r="F21" s="2" t="str">
        <f ca="1">IFERROR(__xludf.DUMMYFUNCTION("""COMPUTED_VALUE"""),"403888419@qq.com")</f>
        <v>403888419@qq.com</v>
      </c>
      <c r="G21" s="2" t="s">
        <v>6</v>
      </c>
    </row>
    <row r="22" spans="1:7" ht="16" thickBot="1">
      <c r="A22" s="4">
        <v>43480</v>
      </c>
      <c r="B22" s="3" t="str">
        <f ca="1">LEFT(OFFSET([1]LIB!$A$12,2,11),8)</f>
        <v>01:00 PM</v>
      </c>
      <c r="C22" s="3" t="str">
        <f ca="1">MID(OFFSET([1]LIB!$A$12,2,11),11,100)</f>
        <v xml:space="preserve"> Xinxin</v>
      </c>
      <c r="D22" s="3" t="str">
        <f ca="1">IFERROR(__xludf.DUMMYFUNCTION("IF(COUNTUNIQUE(OFFSET(LIB!$A$12,2,11))=0,"" "",FILTER(DB!$B:$D,SEARCH(OFFSET(LIB!$A$12,2,11),DB!$K:$K)))"),"Debbie chen")</f>
        <v>Debbie chen</v>
      </c>
      <c r="E22" s="3" t="str">
        <f ca="1">IFERROR(__xludf.DUMMYFUNCTION("""COMPUTED_VALUE"""),"ESL 261")</f>
        <v>ESL 261</v>
      </c>
      <c r="F22" s="3" t="str">
        <f ca="1">IFERROR(__xludf.DUMMYFUNCTION("""COMPUTED_VALUE"""),"debbie@studio02.net")</f>
        <v>debbie@studio02.net</v>
      </c>
      <c r="G22" s="3" t="s">
        <v>7</v>
      </c>
    </row>
    <row r="23" spans="1:7" ht="16" thickBot="1">
      <c r="A23" s="4">
        <v>43480</v>
      </c>
      <c r="B23" s="2" t="str">
        <f ca="1">LEFT(OFFSET([1]LIB!$A$12,2,12),8)</f>
        <v>01:00 PM</v>
      </c>
      <c r="C23" s="2" t="str">
        <f ca="1">MID(OFFSET([1]LIB!$A$12,2,12),11,100)</f>
        <v xml:space="preserve"> Craig</v>
      </c>
      <c r="D23" s="2" t="str">
        <f ca="1">IFERROR(__xludf.DUMMYFUNCTION("IF(COUNTUNIQUE(OFFSET(LIB!$A$12,2,12))=0,"" "",FILTER(DB!$B:$D,SEARCH(OFFSET(LIB!$A$12,2,12),DB!$K:$K)))"),"June")</f>
        <v>June</v>
      </c>
      <c r="E23" s="2" t="str">
        <f ca="1">IFERROR(__xludf.DUMMYFUNCTION("""COMPUTED_VALUE"""),"ESL 263")</f>
        <v>ESL 263</v>
      </c>
      <c r="F23" s="2" t="str">
        <f ca="1">IFERROR(__xludf.DUMMYFUNCTION("""COMPUTED_VALUE"""),"jungeunjung5228@gmail.com")</f>
        <v>jungeunjung5228@gmail.com</v>
      </c>
      <c r="G23" s="2" t="s">
        <v>6</v>
      </c>
    </row>
    <row r="24" spans="1:7" ht="16" thickBot="1">
      <c r="A24" s="4">
        <v>43480</v>
      </c>
      <c r="B24" s="3" t="str">
        <f ca="1">LEFT(OFFSET([1]LIB!$A$12,2,13),8)</f>
        <v>01:30 PM</v>
      </c>
      <c r="C24" s="3" t="str">
        <f ca="1">MID(OFFSET([1]LIB!$A$12,2,13),11,100)</f>
        <v xml:space="preserve"> Xinxin</v>
      </c>
      <c r="D24" s="3" t="str">
        <f ca="1">IFERROR(__xludf.DUMMYFUNCTION("IF(COUNTUNIQUE(OFFSET(LIB!$A$12,2,13))=0,"" "",FILTER(DB!$B:$D,SEARCH(OFFSET(LIB!$A$12,2,13),DB!$K:$K)))"),"Muyu Nie")</f>
        <v>Muyu Nie</v>
      </c>
      <c r="E24" s="3" t="str">
        <f ca="1">IFERROR(__xludf.DUMMYFUNCTION("""COMPUTED_VALUE"""),"ESL 244")</f>
        <v>ESL 244</v>
      </c>
      <c r="F24" s="3" t="str">
        <f ca="1">IFERROR(__xludf.DUMMYFUNCTION("""COMPUTED_VALUE"""),"nie.muyu@gmail.com")</f>
        <v>nie.muyu@gmail.com</v>
      </c>
      <c r="G24" s="3" t="s">
        <v>6</v>
      </c>
    </row>
    <row r="25" spans="1:7" ht="16" thickBot="1">
      <c r="A25" s="4">
        <v>43480</v>
      </c>
      <c r="B25" s="2" t="str">
        <f ca="1">LEFT(OFFSET([1]LIB!$A$12,2,14),8)</f>
        <v>01:30 PM</v>
      </c>
      <c r="C25" s="2" t="str">
        <f ca="1">MID(OFFSET([1]LIB!$A$12,2,14),11,100)</f>
        <v xml:space="preserve"> Craig</v>
      </c>
      <c r="D25" s="2" t="str">
        <f ca="1">IFERROR(__xludf.DUMMYFUNCTION("IF(COUNTUNIQUE(OFFSET(LIB!$A$12,2,14))=0,"" "",FILTER(DB!$B:$D,SEARCH(OFFSET(LIB!$A$12,2,14),DB!$K:$K)))"),"Yin-Ju Yang")</f>
        <v>Yin-Ju Yang</v>
      </c>
      <c r="E25" s="2" t="str">
        <f ca="1">IFERROR(__xludf.DUMMYFUNCTION("""COMPUTED_VALUE"""),"ESL 234")</f>
        <v>ESL 234</v>
      </c>
      <c r="F25" s="2" t="str">
        <f ca="1">IFERROR(__xludf.DUMMYFUNCTION("""COMPUTED_VALUE"""),"meko3457@gmail.com")</f>
        <v>meko3457@gmail.com</v>
      </c>
      <c r="G25" s="2" t="s">
        <v>5</v>
      </c>
    </row>
    <row r="26" spans="1:7" ht="16" thickBot="1">
      <c r="A26" s="4">
        <v>43480</v>
      </c>
      <c r="B26" s="3" t="str">
        <f ca="1">LEFT(OFFSET([1]LIB!$A$12,2,15),8)</f>
        <v>02:00 PM</v>
      </c>
      <c r="C26" s="3" t="str">
        <f ca="1">MID(OFFSET([1]LIB!$A$12,2,15),11,100)</f>
        <v xml:space="preserve"> Xinxin</v>
      </c>
      <c r="D26" s="3"/>
      <c r="E26" s="3"/>
      <c r="F26" s="3"/>
      <c r="G26" s="3"/>
    </row>
    <row r="27" spans="1:7" ht="16" thickBot="1">
      <c r="A27" s="4">
        <v>43480</v>
      </c>
      <c r="B27" s="2" t="str">
        <f ca="1">LEFT(OFFSET([1]LIB!$A$12,2,16),8)</f>
        <v>02:30 PM</v>
      </c>
      <c r="C27" s="2" t="str">
        <f ca="1">MID(OFFSET([1]LIB!$A$12,2,16),11,100)</f>
        <v xml:space="preserve"> Austin</v>
      </c>
      <c r="D27" s="2" t="str">
        <f ca="1">IFERROR(__xludf.DUMMYFUNCTION("IF(COUNTUNIQUE(OFFSET(LIB!$A$12,2,16))=0,"" "",FILTER(DB!$B:$D,SEARCH(OFFSET(LIB!$A$12,2,16),DB!$K:$K)))"),"Mingyang song")</f>
        <v>Mingyang song</v>
      </c>
      <c r="E27" s="2" t="str">
        <f ca="1">IFERROR(__xludf.DUMMYFUNCTION("""COMPUTED_VALUE"""),"ESL 234")</f>
        <v>ESL 234</v>
      </c>
      <c r="F27" s="2" t="str">
        <f ca="1">IFERROR(__xludf.DUMMYFUNCTION("""COMPUTED_VALUE"""),"yuricory22@gmail.com")</f>
        <v>yuricory22@gmail.com</v>
      </c>
      <c r="G27" s="2"/>
    </row>
    <row r="28" spans="1:7" ht="16" thickBot="1">
      <c r="A28" s="4">
        <v>43480</v>
      </c>
      <c r="B28" s="3" t="str">
        <f ca="1">LEFT(OFFSET([1]LIB!$A$12,2,17),8)</f>
        <v>03:00 PM</v>
      </c>
      <c r="C28" s="3" t="str">
        <f ca="1">MID(OFFSET([1]LIB!$A$12,2,17),11,100)</f>
        <v xml:space="preserve"> Austin</v>
      </c>
      <c r="D28" s="3" t="str">
        <f ca="1">IFERROR(__xludf.DUMMYFUNCTION("IF(COUNTUNIQUE(OFFSET(LIB!$A$12,2,17))=0,"" "",FILTER(DB!$B:$D,SEARCH(OFFSET(LIB!$A$12,2,17),DB!$K:$K)))"),"Hanna choi")</f>
        <v>Hanna choi</v>
      </c>
      <c r="E28" s="3" t="str">
        <f ca="1">IFERROR(__xludf.DUMMYFUNCTION("""COMPUTED_VALUE"""),"ESL 251")</f>
        <v>ESL 251</v>
      </c>
      <c r="F28" s="3" t="str">
        <f ca="1">IFERROR(__xludf.DUMMYFUNCTION("""COMPUTED_VALUE"""),"gksskg92@gmail.com")</f>
        <v>gksskg92@gmail.com</v>
      </c>
      <c r="G28" s="3" t="s">
        <v>7</v>
      </c>
    </row>
    <row r="29" spans="1:7" ht="16" thickBot="1">
      <c r="A29" s="4">
        <v>43481</v>
      </c>
      <c r="B29" s="1" t="str">
        <f ca="1">LEFT(OFFSET([1]LIB!$A$12,4,1),8)</f>
        <v>10:00 AM</v>
      </c>
      <c r="C29" s="1" t="str">
        <f ca="1">MID(OFFSET([1]LIB!$A$12,4,1),11,100)</f>
        <v xml:space="preserve"> MaryAnne</v>
      </c>
      <c r="D29" s="1" t="str">
        <f ca="1">IFERROR(__xludf.DUMMYFUNCTION("IF(COUNTUNIQUE(OFFSET(LIB!$A$12,4,1))=0,"" "",FILTER(DB!$B:$D,SEARCH(OFFSET(LIB!$A$12,4,1),DB!$L:$L)))"),"Elena Bryntseva")</f>
        <v>Elena Bryntseva</v>
      </c>
      <c r="E29" s="1" t="str">
        <f ca="1">IFERROR(__xludf.DUMMYFUNCTION("""COMPUTED_VALUE"""),"ESL 251")</f>
        <v>ESL 251</v>
      </c>
      <c r="F29" s="1" t="str">
        <f ca="1">IFERROR(__xludf.DUMMYFUNCTION("""COMPUTED_VALUE"""),"bryntseva@gmail.com")</f>
        <v>bryntseva@gmail.com</v>
      </c>
      <c r="G29" s="1" t="s">
        <v>5</v>
      </c>
    </row>
    <row r="30" spans="1:7" ht="16" thickBot="1">
      <c r="A30" s="4">
        <v>43481</v>
      </c>
      <c r="B30" s="2" t="str">
        <f ca="1">LEFT(OFFSET([1]LIB!$A$12,4,2),8)</f>
        <v>10:00 AM</v>
      </c>
      <c r="C30" s="2" t="str">
        <f ca="1">MID(OFFSET([1]LIB!$A$12,4,2),11,100)</f>
        <v xml:space="preserve"> Negin</v>
      </c>
      <c r="D30" s="2" t="str">
        <f ca="1">IFERROR(__xludf.DUMMYFUNCTION("IF(COUNTUNIQUE(OFFSET(LIB!$A$12,4,2))=0,"" "",FILTER(DB!$B:$D,SEARCH(OFFSET(LIB!$A$12,4,2),DB!$L:$L)))"),"Elena Bryntseva")</f>
        <v>Elena Bryntseva</v>
      </c>
      <c r="E30" s="2" t="str">
        <f ca="1">IFERROR(__xludf.DUMMYFUNCTION("""COMPUTED_VALUE"""),"ESL 251")</f>
        <v>ESL 251</v>
      </c>
      <c r="F30" s="2" t="str">
        <f ca="1">IFERROR(__xludf.DUMMYFUNCTION("""COMPUTED_VALUE"""),"bryntseva@gmail.com")</f>
        <v>bryntseva@gmail.com</v>
      </c>
      <c r="G30" s="2" t="s">
        <v>6</v>
      </c>
    </row>
    <row r="31" spans="1:7" ht="16" thickBot="1">
      <c r="A31" s="4">
        <v>43481</v>
      </c>
      <c r="B31" s="3" t="str">
        <f ca="1">LEFT(OFFSET([1]LIB!$A$12,4,3),8)</f>
        <v>10:30 AM</v>
      </c>
      <c r="C31" s="3" t="str">
        <f ca="1">MID(OFFSET([1]LIB!$A$12,4,3),11,100)</f>
        <v xml:space="preserve"> MaryAnne</v>
      </c>
      <c r="D31" s="3" t="str">
        <f ca="1">IFERROR(__xludf.DUMMYFUNCTION("IF(COUNTUNIQUE(OFFSET(LIB!$A$12,4,3))=0,"" "",FILTER(DB!$B:$D,SEARCH(OFFSET(LIB!$A$12,4,3),DB!$L:$L)))"),"HAIYAN WANG")</f>
        <v>HAIYAN WANG</v>
      </c>
      <c r="E31" s="3" t="str">
        <f ca="1">IFERROR(__xludf.DUMMYFUNCTION("""COMPUTED_VALUE"""),"ESL 261")</f>
        <v>ESL 261</v>
      </c>
      <c r="F31" s="3" t="str">
        <f ca="1">IFERROR(__xludf.DUMMYFUNCTION("""COMPUTED_VALUE"""),"njustwhy@gmail.com")</f>
        <v>njustwhy@gmail.com</v>
      </c>
      <c r="G31" s="3" t="s">
        <v>6</v>
      </c>
    </row>
    <row r="32" spans="1:7" ht="16" thickBot="1">
      <c r="A32" s="4">
        <v>43481</v>
      </c>
      <c r="B32" s="2" t="str">
        <f ca="1">LEFT(OFFSET([1]LIB!$A$12,4,4),8)</f>
        <v>10:30 AM</v>
      </c>
      <c r="C32" s="2" t="str">
        <f ca="1">MID(OFFSET([1]LIB!$A$12,4,4),11,100)</f>
        <v xml:space="preserve"> Negin</v>
      </c>
      <c r="D32" s="2" t="str">
        <f ca="1">IFERROR(__xludf.DUMMYFUNCTION("IF(COUNTUNIQUE(OFFSET(LIB!$A$12,4,4))=0,"" "",FILTER(DB!$B:$D,SEARCH(OFFSET(LIB!$A$12,4,4),DB!$L:$L)))"),"Yangsook Hwang ")</f>
        <v xml:space="preserve">Yangsook Hwang </v>
      </c>
      <c r="E32" s="2" t="str">
        <f ca="1">IFERROR(__xludf.DUMMYFUNCTION("""COMPUTED_VALUE"""),"OTHERS (Transferable)")</f>
        <v>OTHERS (Transferable)</v>
      </c>
      <c r="F32" s="2" t="str">
        <f ca="1">IFERROR(__xludf.DUMMYFUNCTION("""COMPUTED_VALUE"""),"yangsookcho@yahoo.com")</f>
        <v>yangsookcho@yahoo.com</v>
      </c>
      <c r="G32" s="2" t="s">
        <v>6</v>
      </c>
    </row>
    <row r="33" spans="1:7" ht="16" thickBot="1">
      <c r="A33" s="4">
        <v>43481</v>
      </c>
      <c r="B33" s="3" t="str">
        <f ca="1">LEFT(OFFSET([1]LIB!$A$12,4,5),8)</f>
        <v>11:00 AM</v>
      </c>
      <c r="C33" s="3" t="str">
        <f ca="1">MID(OFFSET([1]LIB!$A$12,4,5),11,100)</f>
        <v xml:space="preserve"> MaryAnne</v>
      </c>
      <c r="D33" s="3" t="str">
        <f ca="1">IFERROR(__xludf.DUMMYFUNCTION("IF(COUNTUNIQUE(OFFSET(LIB!$A$12,4,5))=0,"" "",FILTER(DB!$B:$D,SEARCH(OFFSET(LIB!$A$12,4,5),DB!$L:$L)))"),"Nighat Chaudhry ")</f>
        <v xml:space="preserve">Nighat Chaudhry </v>
      </c>
      <c r="E33" s="3" t="str">
        <f ca="1">IFERROR(__xludf.DUMMYFUNCTION("""COMPUTED_VALUE"""),"ESL 251")</f>
        <v>ESL 251</v>
      </c>
      <c r="F33" s="3" t="str">
        <f ca="1">IFERROR(__xludf.DUMMYFUNCTION("""COMPUTED_VALUE"""),"nighat6@yahoo.com")</f>
        <v>nighat6@yahoo.com</v>
      </c>
      <c r="G33" s="3" t="s">
        <v>6</v>
      </c>
    </row>
    <row r="34" spans="1:7" ht="16" thickBot="1">
      <c r="A34" s="4">
        <v>43481</v>
      </c>
      <c r="B34" s="2" t="str">
        <f ca="1">LEFT(OFFSET([1]LIB!$A$12,4,6),8)</f>
        <v>11:00 AM</v>
      </c>
      <c r="C34" s="2" t="str">
        <f ca="1">MID(OFFSET([1]LIB!$A$12,4,6),11,100)</f>
        <v xml:space="preserve"> Negin</v>
      </c>
      <c r="D34" s="2" t="str">
        <f ca="1">IFERROR(__xludf.DUMMYFUNCTION("IF(COUNTUNIQUE(OFFSET(LIB!$A$12,4,6))=0,"" "",FILTER(DB!$B:$D,SEARCH(OFFSET(LIB!$A$12,4,6),DB!$L:$L)))"),"Zheyuan Wang")</f>
        <v>Zheyuan Wang</v>
      </c>
      <c r="E34" s="2" t="str">
        <f ca="1">IFERROR(__xludf.DUMMYFUNCTION("""COMPUTED_VALUE"""),"ESL 261")</f>
        <v>ESL 261</v>
      </c>
      <c r="F34" s="2" t="str">
        <f ca="1">IFERROR(__xludf.DUMMYFUNCTION("""COMPUTED_VALUE"""),"1299393623@qq.com")</f>
        <v>1299393623@qq.com</v>
      </c>
      <c r="G34" s="2" t="s">
        <v>6</v>
      </c>
    </row>
    <row r="35" spans="1:7" ht="16" thickBot="1">
      <c r="A35" s="4">
        <v>43481</v>
      </c>
      <c r="B35" s="3" t="str">
        <f ca="1">LEFT(OFFSET([1]LIB!$A$12,4,7),8)</f>
        <v>11:30 AM</v>
      </c>
      <c r="C35" s="3" t="str">
        <f ca="1">MID(OFFSET([1]LIB!$A$12,4,7),11,100)</f>
        <v xml:space="preserve"> MaryAnne</v>
      </c>
      <c r="D35" s="3" t="str">
        <f ca="1">IFERROR(__xludf.DUMMYFUNCTION("IF(COUNTUNIQUE(OFFSET(LIB!$A$12,4,7))=0,"" "",FILTER(DB!$B:$D,SEARCH(OFFSET(LIB!$A$12,4,7),DB!$L:$L)))"),"NGO BAO NGOC NGUYEN")</f>
        <v>NGO BAO NGOC NGUYEN</v>
      </c>
      <c r="E35" s="3" t="str">
        <f ca="1">IFERROR(__xludf.DUMMYFUNCTION("""COMPUTED_VALUE"""),"ESL 261")</f>
        <v>ESL 261</v>
      </c>
      <c r="F35" s="3" t="str">
        <f ca="1">IFERROR(__xludf.DUMMYFUNCTION("""COMPUTED_VALUE"""),"nguyenngobaongoc150399@gmail.com")</f>
        <v>nguyenngobaongoc150399@gmail.com</v>
      </c>
      <c r="G35" s="3" t="s">
        <v>7</v>
      </c>
    </row>
    <row r="36" spans="1:7" ht="16" thickBot="1">
      <c r="A36" s="4">
        <v>43481</v>
      </c>
      <c r="B36" s="2" t="str">
        <f ca="1">LEFT(OFFSET([1]LIB!$A$12,4,8),8)</f>
        <v>11:30 AM</v>
      </c>
      <c r="C36" s="2" t="str">
        <f ca="1">MID(OFFSET([1]LIB!$A$12,4,8),11,100)</f>
        <v xml:space="preserve"> Negin</v>
      </c>
      <c r="D36" s="2" t="str">
        <f ca="1">IFERROR(__xludf.DUMMYFUNCTION("IF(COUNTUNIQUE(OFFSET(LIB!$A$12,4,8))=0,"" "",FILTER(DB!$B:$D,SEARCH(OFFSET(LIB!$A$12,4,8),DB!$L:$L)))"),"Yilin shangguan ")</f>
        <v xml:space="preserve">Yilin shangguan </v>
      </c>
      <c r="E36" s="2" t="str">
        <f ca="1">IFERROR(__xludf.DUMMYFUNCTION("""COMPUTED_VALUE"""),"ESL 263")</f>
        <v>ESL 263</v>
      </c>
      <c r="F36" s="2" t="str">
        <f ca="1">IFERROR(__xludf.DUMMYFUNCTION("""COMPUTED_VALUE"""),"yilinee@gmail.com")</f>
        <v>yilinee@gmail.com</v>
      </c>
      <c r="G36" s="2" t="s">
        <v>6</v>
      </c>
    </row>
    <row r="37" spans="1:7" ht="16" thickBot="1">
      <c r="A37" s="4">
        <v>43481</v>
      </c>
      <c r="B37" s="3" t="str">
        <f ca="1">LEFT(OFFSET([1]LIB!$A$12,4,9),8)</f>
        <v>12:00 PM</v>
      </c>
      <c r="C37" s="3" t="str">
        <f ca="1">MID(OFFSET([1]LIB!$A$12,4,9),11,100)</f>
        <v xml:space="preserve"> Negin</v>
      </c>
      <c r="D37" s="3" t="str">
        <f ca="1">IFERROR(__xludf.DUMMYFUNCTION("IF(COUNTUNIQUE(OFFSET(LIB!$A$12,4,9))=0,"" "",FILTER(DB!$B:$D,SEARCH(OFFSET(LIB!$A$12,4,9),DB!$L:$L)))"),"Yilin shangguan ")</f>
        <v xml:space="preserve">Yilin shangguan </v>
      </c>
      <c r="E37" s="3" t="str">
        <f ca="1">IFERROR(__xludf.DUMMYFUNCTION("""COMPUTED_VALUE"""),"ESL 263")</f>
        <v>ESL 263</v>
      </c>
      <c r="F37" s="3" t="str">
        <f ca="1">IFERROR(__xludf.DUMMYFUNCTION("""COMPUTED_VALUE"""),"yilinee@gmail.com")</f>
        <v>yilinee@gmail.com</v>
      </c>
      <c r="G37" s="3" t="s">
        <v>6</v>
      </c>
    </row>
    <row r="38" spans="1:7" ht="16" thickBot="1">
      <c r="A38" s="4">
        <v>43481</v>
      </c>
      <c r="B38" s="2" t="str">
        <f ca="1">LEFT(OFFSET([1]LIB!$A$12,4,10),8)</f>
        <v>03:30 PM</v>
      </c>
      <c r="C38" s="2" t="str">
        <f ca="1">MID(OFFSET([1]LIB!$A$12,4,10),11,100)</f>
        <v xml:space="preserve"> Kanako</v>
      </c>
      <c r="D38" s="2" t="str">
        <f ca="1">IFERROR(__xludf.DUMMYFUNCTION("IF(COUNTUNIQUE(OFFSET(LIB!$A$12,4,10))=0,"" "",FILTER(DB!$B:$D,SEARCH(OFFSET(LIB!$A$12,4,10),DB!$L:$L)))"),"Boying Jin")</f>
        <v>Boying Jin</v>
      </c>
      <c r="E38" s="2" t="str">
        <f ca="1">IFERROR(__xludf.DUMMYFUNCTION("""COMPUTED_VALUE"""),"ESL 260")</f>
        <v>ESL 260</v>
      </c>
      <c r="F38" s="2" t="str">
        <f ca="1">IFERROR(__xludf.DUMMYFUNCTION("""COMPUTED_VALUE"""),"bo.ying.1986@gmail.com")</f>
        <v>bo.ying.1986@gmail.com</v>
      </c>
      <c r="G38" s="2" t="s">
        <v>6</v>
      </c>
    </row>
    <row r="39" spans="1:7" ht="16" thickBot="1">
      <c r="A39" s="4">
        <v>43481</v>
      </c>
      <c r="B39" s="3" t="str">
        <f ca="1">LEFT(OFFSET([1]LIB!$A$12,4,11),8)</f>
        <v>04:00 PM</v>
      </c>
      <c r="C39" s="3" t="str">
        <f ca="1">MID(OFFSET([1]LIB!$A$12,4,11),11,100)</f>
        <v xml:space="preserve"> Kanako</v>
      </c>
      <c r="D39" s="3" t="str">
        <f ca="1">IFERROR(__xludf.DUMMYFUNCTION("IF(COUNTUNIQUE(OFFSET(LIB!$A$12,4,11))=0,"" "",FILTER(DB!$B:$D,SEARCH(OFFSET(LIB!$A$12,4,11),DB!$L:$L)))"),"Xue Fu")</f>
        <v>Xue Fu</v>
      </c>
      <c r="E39" s="3" t="str">
        <f ca="1">IFERROR(__xludf.DUMMYFUNCTION("""COMPUTED_VALUE"""),"ESL 261")</f>
        <v>ESL 261</v>
      </c>
      <c r="F39" s="3" t="str">
        <f ca="1">IFERROR(__xludf.DUMMYFUNCTION("""COMPUTED_VALUE"""),"shirleyxuefu22@yahoo.com")</f>
        <v>shirleyxuefu22@yahoo.com</v>
      </c>
      <c r="G39" s="3" t="s">
        <v>7</v>
      </c>
    </row>
    <row r="40" spans="1:7" ht="16" thickBot="1">
      <c r="A40" s="4">
        <v>43482</v>
      </c>
      <c r="B40" s="1" t="str">
        <f ca="1">LEFT(OFFSET([1]LIB!$A$12,6,1),8)</f>
        <v>10:30 AM</v>
      </c>
      <c r="C40" s="1" t="str">
        <f ca="1">MID(OFFSET([1]LIB!$A$12,6,1),11,100)</f>
        <v xml:space="preserve"> Austin</v>
      </c>
      <c r="D40" s="1" t="str">
        <f ca="1">IFERROR(__xludf.DUMMYFUNCTION("IF(COUNTUNIQUE(OFFSET(LIB!$A$12,6,1))=0,"" "",FILTER(DB!$B:$D,SEARCH(OFFSET(LIB!$A$12,6,1),DB!$M:$M)))"),"Elena Bryntseva")</f>
        <v>Elena Bryntseva</v>
      </c>
      <c r="E40" s="1" t="str">
        <f ca="1">IFERROR(__xludf.DUMMYFUNCTION("""COMPUTED_VALUE"""),"ESL 251")</f>
        <v>ESL 251</v>
      </c>
      <c r="F40" s="1" t="str">
        <f ca="1">IFERROR(__xludf.DUMMYFUNCTION("""COMPUTED_VALUE"""),"bryntseva@gmail.com")</f>
        <v>bryntseva@gmail.com</v>
      </c>
      <c r="G40" s="1" t="s">
        <v>6</v>
      </c>
    </row>
    <row r="41" spans="1:7" ht="16" thickBot="1">
      <c r="A41" s="4">
        <v>43482</v>
      </c>
      <c r="B41" s="2" t="str">
        <f ca="1">LEFT(OFFSET([1]LIB!$A$12,6,2),8)</f>
        <v>11:00 AM</v>
      </c>
      <c r="C41" s="2" t="str">
        <f ca="1">MID(OFFSET([1]LIB!$A$12,6,2),11,100)</f>
        <v xml:space="preserve"> Austin</v>
      </c>
      <c r="D41" s="2" t="str">
        <f ca="1">IFERROR(__xludf.DUMMYFUNCTION("IF(COUNTUNIQUE(OFFSET(LIB!$A$12,6,2))=0,"" "",FILTER(DB!$B:$D,SEARCH(OFFSET(LIB!$A$12,6,2),DB!$M:$M)))"),"Yilin shangguan ")</f>
        <v xml:space="preserve">Yilin shangguan </v>
      </c>
      <c r="E41" s="2" t="str">
        <f ca="1">IFERROR(__xludf.DUMMYFUNCTION("""COMPUTED_VALUE"""),"ESL 263")</f>
        <v>ESL 263</v>
      </c>
      <c r="F41" s="2" t="str">
        <f ca="1">IFERROR(__xludf.DUMMYFUNCTION("""COMPUTED_VALUE"""),"yilinee@gmail.com")</f>
        <v>yilinee@gmail.com</v>
      </c>
      <c r="G41" s="2" t="s">
        <v>6</v>
      </c>
    </row>
    <row r="42" spans="1:7" ht="16" thickBot="1">
      <c r="A42" s="4">
        <v>43482</v>
      </c>
      <c r="B42" s="3" t="str">
        <f ca="1">LEFT(OFFSET([1]LIB!$A$12,6,3),8)</f>
        <v>11:30 AM</v>
      </c>
      <c r="C42" s="3" t="str">
        <f ca="1">MID(OFFSET([1]LIB!$A$12,6,3),11,100)</f>
        <v xml:space="preserve"> Austin</v>
      </c>
      <c r="D42" s="3" t="str">
        <f ca="1">IFERROR(__xludf.DUMMYFUNCTION("IF(COUNTUNIQUE(OFFSET(LIB!$A$12,6,3))=0,"" "",FILTER(DB!$B:$D,SEARCH(OFFSET(LIB!$A$12,6,3),DB!$M:$M)))"),"Yilin shangguan ")</f>
        <v xml:space="preserve">Yilin shangguan </v>
      </c>
      <c r="E42" s="3" t="str">
        <f ca="1">IFERROR(__xludf.DUMMYFUNCTION("""COMPUTED_VALUE"""),"ESL 263")</f>
        <v>ESL 263</v>
      </c>
      <c r="F42" s="3" t="str">
        <f ca="1">IFERROR(__xludf.DUMMYFUNCTION("""COMPUTED_VALUE"""),"yilinee@gmail.com")</f>
        <v>yilinee@gmail.com</v>
      </c>
      <c r="G42" s="3" t="s">
        <v>6</v>
      </c>
    </row>
    <row r="43" spans="1:7" ht="16" thickBot="1">
      <c r="A43" s="4">
        <v>43482</v>
      </c>
      <c r="B43" s="2" t="str">
        <f ca="1">LEFT(OFFSET([1]LIB!$A$12,6,4),8)</f>
        <v>11:30 AM</v>
      </c>
      <c r="C43" s="2" t="str">
        <f ca="1">MID(OFFSET([1]LIB!$A$12,6,4),11,100)</f>
        <v xml:space="preserve"> Ted</v>
      </c>
      <c r="D43" s="2" t="str">
        <f ca="1">IFERROR(__xludf.DUMMYFUNCTION("IF(COUNTUNIQUE(OFFSET(LIB!$A$12,6,4))=0,"" "",FILTER(DB!$B:$D,SEARCH(OFFSET(LIB!$A$12,6,4),DB!$M:$M)))"),"Serpil Örnekoğlu beyhan")</f>
        <v>Serpil Örnekoğlu beyhan</v>
      </c>
      <c r="E43" s="2" t="str">
        <f ca="1">IFERROR(__xludf.DUMMYFUNCTION("""COMPUTED_VALUE"""),"ESL 251")</f>
        <v>ESL 251</v>
      </c>
      <c r="F43" s="2" t="str">
        <f ca="1">IFERROR(__xludf.DUMMYFUNCTION("""COMPUTED_VALUE"""),"sornekoglu@gmail.com")</f>
        <v>sornekoglu@gmail.com</v>
      </c>
      <c r="G43" s="2" t="s">
        <v>6</v>
      </c>
    </row>
    <row r="44" spans="1:7" ht="16" thickBot="1">
      <c r="A44" s="4">
        <v>43482</v>
      </c>
      <c r="B44" s="3" t="str">
        <f ca="1">LEFT(OFFSET([1]LIB!$A$12,6,5),8)</f>
        <v>12:00 PM</v>
      </c>
      <c r="C44" s="3" t="str">
        <f ca="1">MID(OFFSET([1]LIB!$A$12,6,5),11,100)</f>
        <v xml:space="preserve"> Austin</v>
      </c>
      <c r="D44" s="3" t="str">
        <f ca="1">IFERROR(__xludf.DUMMYFUNCTION("IF(COUNTUNIQUE(OFFSET(LIB!$A$12,6,5))=0,"" "",FILTER(DB!$B:$D,SEARCH(OFFSET(LIB!$A$12,6,5),DB!$M:$M)))"),"Rozhin Farahmandpoor")</f>
        <v>Rozhin Farahmandpoor</v>
      </c>
      <c r="E44" s="3" t="str">
        <f ca="1">IFERROR(__xludf.DUMMYFUNCTION("""COMPUTED_VALUE"""),"ESL 252")</f>
        <v>ESL 252</v>
      </c>
      <c r="F44" s="3" t="str">
        <f ca="1">IFERROR(__xludf.DUMMYFUNCTION("""COMPUTED_VALUE"""),"Rozhin.f.83@gmail.com")</f>
        <v>Rozhin.f.83@gmail.com</v>
      </c>
      <c r="G44" s="3" t="s">
        <v>7</v>
      </c>
    </row>
    <row r="45" spans="1:7" ht="16" thickBot="1">
      <c r="A45" s="4">
        <v>43482</v>
      </c>
      <c r="B45" s="2" t="str">
        <f ca="1">LEFT(OFFSET([1]LIB!$A$12,6,6),8)</f>
        <v>12:00 PM</v>
      </c>
      <c r="C45" s="2" t="str">
        <f ca="1">MID(OFFSET([1]LIB!$A$12,6,6),11,100)</f>
        <v xml:space="preserve"> Ted</v>
      </c>
      <c r="D45" s="2" t="str">
        <f ca="1">IFERROR(__xludf.DUMMYFUNCTION("IF(COUNTUNIQUE(OFFSET(LIB!$A$12,6,6))=0,"" "",FILTER(DB!$B:$D,SEARCH(OFFSET(LIB!$A$12,6,6),DB!$M:$M)))"),"Yin-Ju Yang")</f>
        <v>Yin-Ju Yang</v>
      </c>
      <c r="E45" s="2" t="str">
        <f ca="1">IFERROR(__xludf.DUMMYFUNCTION("""COMPUTED_VALUE"""),"ESL 234")</f>
        <v>ESL 234</v>
      </c>
      <c r="F45" s="2" t="str">
        <f ca="1">IFERROR(__xludf.DUMMYFUNCTION("""COMPUTED_VALUE"""),"meko3457@gmail.com")</f>
        <v>meko3457@gmail.com</v>
      </c>
      <c r="G45" s="2" t="s">
        <v>6</v>
      </c>
    </row>
    <row r="46" spans="1:7" ht="16" thickBot="1">
      <c r="A46" s="4">
        <v>43482</v>
      </c>
      <c r="B46" s="3" t="str">
        <f ca="1">LEFT(OFFSET([1]LIB!$A$12,6,7),8)</f>
        <v>12:30 PM</v>
      </c>
      <c r="C46" s="3" t="str">
        <f ca="1">MID(OFFSET([1]LIB!$A$12,6,7),11,100)</f>
        <v xml:space="preserve"> Xinxin</v>
      </c>
      <c r="D46" s="3" t="str">
        <f ca="1">IFERROR(__xludf.DUMMYFUNCTION("IF(COUNTUNIQUE(OFFSET(LIB!$A$12,6,7))=0,"" "",FILTER(DB!$B:$D,SEARCH(OFFSET(LIB!$A$12,6,7),DB!$M:$M)))"),"Roya Zamankhani")</f>
        <v>Roya Zamankhani</v>
      </c>
      <c r="E46" s="3" t="str">
        <f ca="1">IFERROR(__xludf.DUMMYFUNCTION("""COMPUTED_VALUE"""),"ESL 244")</f>
        <v>ESL 244</v>
      </c>
      <c r="F46" s="3" t="str">
        <f ca="1">IFERROR(__xludf.DUMMYFUNCTION("""COMPUTED_VALUE"""),"roya.zamankhani2014@gmail.com")</f>
        <v>roya.zamankhani2014@gmail.com</v>
      </c>
      <c r="G46" s="3" t="s">
        <v>6</v>
      </c>
    </row>
    <row r="47" spans="1:7" ht="16" thickBot="1">
      <c r="A47" s="4">
        <v>43482</v>
      </c>
      <c r="B47" s="2" t="str">
        <f ca="1">LEFT(OFFSET([1]LIB!$A$12,6,8),8)</f>
        <v>12:30 PM</v>
      </c>
      <c r="C47" s="2" t="str">
        <f ca="1">MID(OFFSET([1]LIB!$A$12,6,8),11,100)</f>
        <v xml:space="preserve"> Ted</v>
      </c>
      <c r="D47" s="2" t="str">
        <f ca="1">IFERROR(__xludf.DUMMYFUNCTION("IF(COUNTUNIQUE(OFFSET(LIB!$A$12,6,8))=0,"" "",FILTER(DB!$B:$D,SEARCH(OFFSET(LIB!$A$12,6,8),DB!$M:$M)))"),"Boying Jin")</f>
        <v>Boying Jin</v>
      </c>
      <c r="E47" s="2" t="str">
        <f ca="1">IFERROR(__xludf.DUMMYFUNCTION("""COMPUTED_VALUE"""),"ESL 260")</f>
        <v>ESL 260</v>
      </c>
      <c r="F47" s="2" t="str">
        <f ca="1">IFERROR(__xludf.DUMMYFUNCTION("""COMPUTED_VALUE"""),"bo.ying.1986@gmail.com")</f>
        <v>bo.ying.1986@gmail.com</v>
      </c>
      <c r="G47" s="2" t="s">
        <v>6</v>
      </c>
    </row>
    <row r="48" spans="1:7" ht="16" thickBot="1">
      <c r="A48" s="4">
        <v>43482</v>
      </c>
      <c r="B48" s="3" t="str">
        <f ca="1">LEFT(OFFSET([1]LIB!$A$12,6,9),8)</f>
        <v>01:00 PM</v>
      </c>
      <c r="C48" s="3" t="str">
        <f ca="1">MID(OFFSET([1]LIB!$A$12,6,9),11,100)</f>
        <v xml:space="preserve"> Xinxin</v>
      </c>
      <c r="D48" s="3" t="str">
        <f ca="1">IFERROR(__xludf.DUMMYFUNCTION("IF(COUNTUNIQUE(OFFSET(LIB!$A$12,6,9))=0,"" "",FILTER(DB!$B:$D,SEARCH(OFFSET(LIB!$A$12,6,9),DB!$M:$M)))"),"zhiyi mou")</f>
        <v>zhiyi mou</v>
      </c>
      <c r="E48" s="3" t="str">
        <f ca="1">IFERROR(__xludf.DUMMYFUNCTION("""COMPUTED_VALUE"""),"ESL 234")</f>
        <v>ESL 234</v>
      </c>
      <c r="F48" s="3" t="str">
        <f ca="1">IFERROR(__xludf.DUMMYFUNCTION("""COMPUTED_VALUE"""),"403888419@qq.com")</f>
        <v>403888419@qq.com</v>
      </c>
      <c r="G48" s="3" t="s">
        <v>6</v>
      </c>
    </row>
    <row r="49" spans="1:7" ht="16" thickBot="1">
      <c r="A49" s="4">
        <v>43482</v>
      </c>
      <c r="B49" s="2" t="str">
        <f ca="1">LEFT(OFFSET([1]LIB!$A$12,6,10),8)</f>
        <v>01:00 PM</v>
      </c>
      <c r="C49" s="2" t="str">
        <f ca="1">MID(OFFSET([1]LIB!$A$12,6,10),11,100)</f>
        <v xml:space="preserve"> Criag</v>
      </c>
      <c r="D49" s="2" t="str">
        <f ca="1">IFERROR(__xludf.DUMMYFUNCTION("IF(COUNTUNIQUE(OFFSET(LIB!$A$12,6,10))=0,"" "",FILTER(DB!$B:$D,SEARCH(OFFSET(LIB!$A$12,6,10),DB!$M:$M)))"),"Yahui Shi")</f>
        <v>Yahui Shi</v>
      </c>
      <c r="E49" s="2" t="str">
        <f ca="1">IFERROR(__xludf.DUMMYFUNCTION("""COMPUTED_VALUE"""),"ESL 251")</f>
        <v>ESL 251</v>
      </c>
      <c r="F49" s="2" t="str">
        <f ca="1">IFERROR(__xludf.DUMMYFUNCTION("""COMPUTED_VALUE"""),"shiyahui06s06@gmail.com")</f>
        <v>shiyahui06s06@gmail.com</v>
      </c>
      <c r="G49" s="2" t="s">
        <v>6</v>
      </c>
    </row>
    <row r="50" spans="1:7" ht="16" thickBot="1">
      <c r="A50" s="4">
        <v>43482</v>
      </c>
      <c r="B50" s="3" t="str">
        <f ca="1">LEFT(OFFSET([1]LIB!$A$12,6,11),8)</f>
        <v>01:30 PM</v>
      </c>
      <c r="C50" s="3" t="str">
        <f ca="1">MID(OFFSET([1]LIB!$A$12,6,11),11,100)</f>
        <v xml:space="preserve"> Xinxin</v>
      </c>
      <c r="D50" s="3" t="str">
        <f ca="1">IFERROR(__xludf.DUMMYFUNCTION("IF(COUNTUNIQUE(OFFSET(LIB!$A$12,6,11))=0,"" "",FILTER(DB!$B:$D,SEARCH(OFFSET(LIB!$A$12,6,11),DB!$M:$M)))"),"Stefanie Tjaden")</f>
        <v>Stefanie Tjaden</v>
      </c>
      <c r="E50" s="3" t="str">
        <f ca="1">IFERROR(__xludf.DUMMYFUNCTION("""COMPUTED_VALUE"""),"ESL 261")</f>
        <v>ESL 261</v>
      </c>
      <c r="F50" s="3" t="str">
        <f ca="1">IFERROR(__xludf.DUMMYFUNCTION("""COMPUTED_VALUE"""),"tjadenstefanie@gmail.com")</f>
        <v>tjadenstefanie@gmail.com</v>
      </c>
      <c r="G50" s="3" t="s">
        <v>6</v>
      </c>
    </row>
    <row r="51" spans="1:7" ht="16" thickBot="1">
      <c r="A51" s="4">
        <v>43482</v>
      </c>
      <c r="B51" s="2" t="str">
        <f ca="1">LEFT(OFFSET([1]LIB!$A$12,6,12),8)</f>
        <v>01:30 PM</v>
      </c>
      <c r="C51" s="2" t="str">
        <f ca="1">MID(OFFSET([1]LIB!$A$12,6,12),11,100)</f>
        <v xml:space="preserve"> Craig</v>
      </c>
      <c r="D51" s="2" t="str">
        <f ca="1">IFERROR(__xludf.DUMMYFUNCTION("IF(COUNTUNIQUE(OFFSET(LIB!$A$12,6,12))=0,"" "",FILTER(DB!$B:$D,SEARCH(OFFSET(LIB!$A$12,6,12),DB!$M:$M)))"),"Zheyuan Wang")</f>
        <v>Zheyuan Wang</v>
      </c>
      <c r="E51" s="2" t="str">
        <f ca="1">IFERROR(__xludf.DUMMYFUNCTION("""COMPUTED_VALUE"""),"ESL 261")</f>
        <v>ESL 261</v>
      </c>
      <c r="F51" s="2" t="str">
        <f ca="1">IFERROR(__xludf.DUMMYFUNCTION("""COMPUTED_VALUE"""),"1299393623@qq.com")</f>
        <v>1299393623@qq.com</v>
      </c>
      <c r="G51" s="2" t="s">
        <v>6</v>
      </c>
    </row>
    <row r="52" spans="1:7" ht="16" thickBot="1">
      <c r="A52" s="4">
        <v>43482</v>
      </c>
      <c r="B52" s="3" t="str">
        <f ca="1">LEFT(OFFSET([1]LIB!$A$12,6,13),8)</f>
        <v>02:00 PM</v>
      </c>
      <c r="C52" s="3" t="str">
        <f ca="1">MID(OFFSET([1]LIB!$A$12,6,13),11,100)</f>
        <v xml:space="preserve"> Xinxin</v>
      </c>
      <c r="D52" s="3" t="str">
        <f ca="1">IFERROR(__xludf.DUMMYFUNCTION("IF(COUNTUNIQUE(OFFSET(LIB!$A$12,6,13))=0,"" "",FILTER(DB!$B:$D,SEARCH(OFFSET(LIB!$A$12,6,13),DB!$M:$M)))"),"Muyu Nie")</f>
        <v>Muyu Nie</v>
      </c>
      <c r="E52" s="3" t="str">
        <f ca="1">IFERROR(__xludf.DUMMYFUNCTION("""COMPUTED_VALUE"""),"ESL 244")</f>
        <v>ESL 244</v>
      </c>
      <c r="F52" s="3" t="str">
        <f ca="1">IFERROR(__xludf.DUMMYFUNCTION("""COMPUTED_VALUE"""),"nie.muyu@gmail.com")</f>
        <v>nie.muyu@gmail.com</v>
      </c>
      <c r="G52" s="3" t="s">
        <v>7</v>
      </c>
    </row>
    <row r="53" spans="1:7" ht="16" thickBot="1">
      <c r="A53" s="4">
        <v>43482</v>
      </c>
      <c r="B53" s="2" t="str">
        <f ca="1">LEFT(OFFSET([1]LIB!$A$12,6,14),8)</f>
        <v>02:30 PM</v>
      </c>
      <c r="C53" s="2" t="str">
        <f ca="1">MID(OFFSET([1]LIB!$A$12,6,14),11,100)</f>
        <v xml:space="preserve"> Austin</v>
      </c>
      <c r="D53" s="2" t="str">
        <f ca="1">IFERROR(__xludf.DUMMYFUNCTION("IF(COUNTUNIQUE(OFFSET(LIB!$A$12,6,14))=0,"" "",FILTER(DB!$B:$D,SEARCH(OFFSET(LIB!$A$12,6,14),DB!$M:$M)))"),"Aiko Hayashi")</f>
        <v>Aiko Hayashi</v>
      </c>
      <c r="E53" s="2" t="str">
        <f ca="1">IFERROR(__xludf.DUMMYFUNCTION("""COMPUTED_VALUE"""),"ESL 244")</f>
        <v>ESL 244</v>
      </c>
      <c r="F53" s="2" t="str">
        <f ca="1">IFERROR(__xludf.DUMMYFUNCTION("""COMPUTED_VALUE"""),"hayashiaiko00@gmail.com")</f>
        <v>hayashiaiko00@gmail.com</v>
      </c>
      <c r="G53" s="2" t="s">
        <v>7</v>
      </c>
    </row>
    <row r="54" spans="1:7" ht="16" thickBot="1">
      <c r="A54" s="4">
        <v>43482</v>
      </c>
      <c r="B54" s="3" t="str">
        <f ca="1">LEFT(OFFSET([1]LIB!$A$12,6,15),8)</f>
        <v>03:00 PM</v>
      </c>
      <c r="C54" s="3" t="str">
        <f ca="1">MID(OFFSET([1]LIB!$A$12,6,15),11,100)</f>
        <v xml:space="preserve"> Austin</v>
      </c>
      <c r="D54" s="3" t="str">
        <f ca="1">IFERROR(__xludf.DUMMYFUNCTION("IF(COUNTUNIQUE(OFFSET(LIB!$A$12,6,15))=0,"" "",FILTER(DB!$B:$D,SEARCH(OFFSET(LIB!$A$12,6,15),DB!$M:$M)))"),"Hanna choi")</f>
        <v>Hanna choi</v>
      </c>
      <c r="E54" s="3" t="str">
        <f ca="1">IFERROR(__xludf.DUMMYFUNCTION("""COMPUTED_VALUE"""),"ESL 251")</f>
        <v>ESL 251</v>
      </c>
      <c r="F54" s="3" t="str">
        <f ca="1">IFERROR(__xludf.DUMMYFUNCTION("""COMPUTED_VALUE"""),"gksskg92@gmail.com")</f>
        <v>gksskg92@gmail.com</v>
      </c>
      <c r="G54" s="3" t="s">
        <v>6</v>
      </c>
    </row>
    <row r="55" spans="1:7" ht="16" thickBot="1">
      <c r="A55" s="4">
        <v>43482</v>
      </c>
      <c r="B55" s="2" t="str">
        <f ca="1">LEFT(OFFSET([1]LIB!$A$12,6,16),8)</f>
        <v>03:30 PM</v>
      </c>
      <c r="C55" s="2" t="str">
        <f ca="1">MID(OFFSET([1]LIB!$A$12,6,16),11,100)</f>
        <v xml:space="preserve"> Sara</v>
      </c>
      <c r="D55" s="2" t="str">
        <f ca="1">IFERROR(__xludf.DUMMYFUNCTION("IF(COUNTUNIQUE(OFFSET(LIB!$A$12,6,16))=0,"" "",FILTER(DB!$B:$D,SEARCH(OFFSET(LIB!$A$12,6,16),DB!$M:$M)))"),"Elda Trujillo")</f>
        <v>Elda Trujillo</v>
      </c>
      <c r="E55" s="2" t="str">
        <f ca="1">IFERROR(__xludf.DUMMYFUNCTION("""COMPUTED_VALUE"""),"ESL 260")</f>
        <v>ESL 260</v>
      </c>
      <c r="F55" s="2" t="str">
        <f ca="1">IFERROR(__xludf.DUMMYFUNCTION("""COMPUTED_VALUE"""),"trujilloeldac@gmail.com")</f>
        <v>trujilloeldac@gmail.com</v>
      </c>
      <c r="G55" s="2" t="s">
        <v>5</v>
      </c>
    </row>
    <row r="56" spans="1:7" ht="16" thickBot="1">
      <c r="A56" s="4">
        <v>43482</v>
      </c>
      <c r="B56" s="3" t="str">
        <f ca="1">LEFT(OFFSET([1]LIB!$A$12,6,17),8)</f>
        <v>04:00 PM</v>
      </c>
      <c r="C56" s="3" t="str">
        <f ca="1">MID(OFFSET([1]LIB!$A$12,6,17),11,100)</f>
        <v xml:space="preserve"> Sara</v>
      </c>
      <c r="D56" s="3" t="str">
        <f ca="1">IFERROR(__xludf.DUMMYFUNCTION("IF(COUNTUNIQUE(OFFSET(LIB!$A$12,6,17))=0,"" "",FILTER(DB!$B:$D,SEARCH(OFFSET(LIB!$A$12,6,17),DB!$M:$M)))"),"Cynthia Carnero")</f>
        <v>Cynthia Carnero</v>
      </c>
      <c r="E56" s="3" t="str">
        <f ca="1">IFERROR(__xludf.DUMMYFUNCTION("""COMPUTED_VALUE"""),"ESL 263")</f>
        <v>ESL 263</v>
      </c>
      <c r="F56" s="3" t="str">
        <f ca="1">IFERROR(__xludf.DUMMYFUNCTION("""COMPUTED_VALUE"""),"carnerocynthia@gmail.com")</f>
        <v>carnerocynthia@gmail.com</v>
      </c>
      <c r="G56" s="3"/>
    </row>
    <row r="57" spans="1:7" ht="16" thickBot="1">
      <c r="A57" s="4">
        <v>43483</v>
      </c>
      <c r="B57" s="1" t="str">
        <f ca="1">LEFT(OFFSET([1]LIB!$A$12,8,1),8)</f>
        <v>09:30 AM</v>
      </c>
      <c r="C57" s="1" t="str">
        <f ca="1">MID(OFFSET([1]LIB!$A$12,8,1),11,100)</f>
        <v xml:space="preserve"> Ted</v>
      </c>
      <c r="D57" s="1" t="str">
        <f ca="1">IFERROR(__xludf.DUMMYFUNCTION("IF(COUNTUNIQUE(OFFSET(LIB!$A$12,8,1))=0,"" "",FILTER(DB!$B:$D,SEARCH(OFFSET(LIB!$A$12,8,1),DB!$N:$N)))"),"Elena Bryntseva")</f>
        <v>Elena Bryntseva</v>
      </c>
      <c r="E57" s="1" t="str">
        <f ca="1">IFERROR(__xludf.DUMMYFUNCTION("""COMPUTED_VALUE"""),"ESL 251")</f>
        <v>ESL 251</v>
      </c>
      <c r="F57" s="1" t="str">
        <f ca="1">IFERROR(__xludf.DUMMYFUNCTION("""COMPUTED_VALUE"""),"bryntseva@gmail.com")</f>
        <v>bryntseva@gmail.com</v>
      </c>
      <c r="G57" s="1" t="s">
        <v>7</v>
      </c>
    </row>
    <row r="58" spans="1:7" ht="16" thickBot="1">
      <c r="A58" s="4">
        <v>43483</v>
      </c>
      <c r="B58" s="2" t="str">
        <f ca="1">LEFT(OFFSET([1]LIB!$A$12,8,2),8)</f>
        <v>10:00 AM</v>
      </c>
      <c r="C58" s="2" t="str">
        <f ca="1">MID(OFFSET([1]LIB!$A$12,8,2),11,100)</f>
        <v xml:space="preserve"> Ted</v>
      </c>
      <c r="D58" s="2" t="str">
        <f ca="1">IFERROR(__xludf.DUMMYFUNCTION("IF(COUNTUNIQUE(OFFSET(LIB!$A$12,8,2))=0,"" "",FILTER(DB!$B:$D,SEARCH(OFFSET(LIB!$A$12,8,2),DB!$N:$N)))"),"Elena Bryntseva")</f>
        <v>Elena Bryntseva</v>
      </c>
      <c r="E58" s="2" t="str">
        <f ca="1">IFERROR(__xludf.DUMMYFUNCTION("""COMPUTED_VALUE"""),"ESL 251")</f>
        <v>ESL 251</v>
      </c>
      <c r="F58" s="2" t="str">
        <f ca="1">IFERROR(__xludf.DUMMYFUNCTION("""COMPUTED_VALUE"""),"bryntseva@gmail.com")</f>
        <v>bryntseva@gmail.com</v>
      </c>
      <c r="G58" s="2" t="s">
        <v>7</v>
      </c>
    </row>
    <row r="59" spans="1:7" ht="16" thickBot="1">
      <c r="A59" s="4">
        <v>43483</v>
      </c>
      <c r="B59" s="3" t="str">
        <f ca="1">LEFT(OFFSET([1]LIB!$A$12,8,3),8)</f>
        <v>10:30 AM</v>
      </c>
      <c r="C59" s="3" t="str">
        <f ca="1">MID(OFFSET([1]LIB!$A$12,8,3),11,100)</f>
        <v xml:space="preserve"> Xinxin</v>
      </c>
      <c r="D59" s="3" t="str">
        <f ca="1">IFERROR(__xludf.DUMMYFUNCTION("IF(COUNTUNIQUE(OFFSET(LIB!$A$12,8,3))=0,"" "",FILTER(DB!$B:$D,SEARCH(OFFSET(LIB!$A$12,8,3),DB!$N:$N)))"),"Elena Bryntseva")</f>
        <v>Elena Bryntseva</v>
      </c>
      <c r="E59" s="3" t="str">
        <f ca="1">IFERROR(__xludf.DUMMYFUNCTION("""COMPUTED_VALUE"""),"ESL 251")</f>
        <v>ESL 251</v>
      </c>
      <c r="F59" s="3" t="str">
        <f ca="1">IFERROR(__xludf.DUMMYFUNCTION("""COMPUTED_VALUE"""),"bryntseva@gmail.com")</f>
        <v>bryntseva@gmail.com</v>
      </c>
      <c r="G59" s="3" t="s">
        <v>7</v>
      </c>
    </row>
    <row r="60" spans="1:7" ht="16" thickBot="1">
      <c r="A60" s="4">
        <v>43483</v>
      </c>
      <c r="B60" s="2" t="str">
        <f ca="1">LEFT(OFFSET([1]LIB!$A$12,8,4),8)</f>
        <v>10:30 AM</v>
      </c>
      <c r="C60" s="2" t="str">
        <f ca="1">MID(OFFSET([1]LIB!$A$12,8,4),11,100)</f>
        <v xml:space="preserve"> Ken</v>
      </c>
      <c r="D60" s="2" t="str">
        <f ca="1">IFERROR(__xludf.DUMMYFUNCTION("IF(COUNTUNIQUE(OFFSET(LIB!$A$12,8,4))=0,"" "",FILTER(DB!$B:$D,SEARCH(OFFSET(LIB!$A$12,8,4),DB!$N:$N)))"),"jiaona cai")</f>
        <v>jiaona cai</v>
      </c>
      <c r="E60" s="2" t="str">
        <f ca="1">IFERROR(__xludf.DUMMYFUNCTION("""COMPUTED_VALUE"""),"ESL 234")</f>
        <v>ESL 234</v>
      </c>
      <c r="F60" s="2" t="str">
        <f ca="1">IFERROR(__xludf.DUMMYFUNCTION("""COMPUTED_VALUE"""),"caijiaona@gmail.com")</f>
        <v>caijiaona@gmail.com</v>
      </c>
      <c r="G60" s="2" t="s">
        <v>6</v>
      </c>
    </row>
    <row r="61" spans="1:7" ht="16" thickBot="1">
      <c r="A61" s="4">
        <v>43483</v>
      </c>
      <c r="B61" s="3" t="str">
        <f ca="1">LEFT(OFFSET([1]LIB!$A$12,8,5),8)</f>
        <v>11:00 AM</v>
      </c>
      <c r="C61" s="3" t="str">
        <f ca="1">MID(OFFSET([1]LIB!$A$12,8,5),11,100)</f>
        <v xml:space="preserve"> Xinxin</v>
      </c>
      <c r="D61" s="3" t="str">
        <f ca="1">IFERROR(__xludf.DUMMYFUNCTION("IF(COUNTUNIQUE(OFFSET(LIB!$A$12,8,5))=0,"" "",FILTER(DB!$B:$D,SEARCH(OFFSET(LIB!$A$12,8,5),DB!$N:$N)))"),"jiaona cai")</f>
        <v>jiaona cai</v>
      </c>
      <c r="E61" s="3" t="str">
        <f ca="1">IFERROR(__xludf.DUMMYFUNCTION("""COMPUTED_VALUE"""),"ESL 234")</f>
        <v>ESL 234</v>
      </c>
      <c r="F61" s="3" t="str">
        <f ca="1">IFERROR(__xludf.DUMMYFUNCTION("""COMPUTED_VALUE"""),"caijiaona@gmail.com")</f>
        <v>caijiaona@gmail.com</v>
      </c>
      <c r="G61" s="3" t="s">
        <v>6</v>
      </c>
    </row>
    <row r="62" spans="1:7" ht="16" thickBot="1">
      <c r="A62" s="4">
        <v>43483</v>
      </c>
      <c r="B62" s="2" t="str">
        <f ca="1">LEFT(OFFSET([1]LIB!$A$12,8,6),8)</f>
        <v>11:00 AM</v>
      </c>
      <c r="C62" s="2" t="str">
        <f ca="1">MID(OFFSET([1]LIB!$A$12,8,6),11,100)</f>
        <v xml:space="preserve"> Ken</v>
      </c>
      <c r="D62" s="2" t="str">
        <f ca="1">IFERROR(__xludf.DUMMYFUNCTION("IF(COUNTUNIQUE(OFFSET(LIB!$A$12,8,6))=0,"" "",FILTER(DB!$B:$D,SEARCH(OFFSET(LIB!$A$12,8,6),DB!$N:$N)))"),"Niya Wu")</f>
        <v>Niya Wu</v>
      </c>
      <c r="E62" s="2" t="str">
        <f ca="1">IFERROR(__xludf.DUMMYFUNCTION("""COMPUTED_VALUE"""),"ESL 251")</f>
        <v>ESL 251</v>
      </c>
      <c r="F62" s="2" t="str">
        <f ca="1">IFERROR(__xludf.DUMMYFUNCTION("""COMPUTED_VALUE"""),"niya.wu5@gmail.com")</f>
        <v>niya.wu5@gmail.com</v>
      </c>
      <c r="G62" s="2" t="s">
        <v>7</v>
      </c>
    </row>
    <row r="63" spans="1:7" ht="16" thickBot="1">
      <c r="A63" s="4">
        <v>43483</v>
      </c>
      <c r="B63" s="3" t="str">
        <f ca="1">LEFT(OFFSET([1]LIB!$A$12,8,7),8)</f>
        <v>11:30 AM</v>
      </c>
      <c r="C63" s="3" t="str">
        <f ca="1">MID(OFFSET([1]LIB!$A$12,8,7),11,100)</f>
        <v xml:space="preserve"> Xinxin</v>
      </c>
      <c r="D63" s="3" t="str">
        <f ca="1">IFERROR(__xludf.DUMMYFUNCTION("IF(COUNTUNIQUE(OFFSET(LIB!$A$12,8,7))=0,"" "",FILTER(DB!$B:$D,SEARCH(OFFSET(LIB!$A$12,8,7),DB!$N:$N)))"),"Vanessa Ranarison")</f>
        <v>Vanessa Ranarison</v>
      </c>
      <c r="E63" s="3" t="str">
        <f ca="1">IFERROR(__xludf.DUMMYFUNCTION("""COMPUTED_VALUE"""),"ESL 261")</f>
        <v>ESL 261</v>
      </c>
      <c r="F63" s="3" t="str">
        <f ca="1">IFERROR(__xludf.DUMMYFUNCTION("""COMPUTED_VALUE"""),"vaneshranarison@gmail.com")</f>
        <v>vaneshranarison@gmail.com</v>
      </c>
      <c r="G63" s="3" t="s">
        <v>5</v>
      </c>
    </row>
    <row r="64" spans="1:7" ht="16" thickBot="1">
      <c r="A64" s="4">
        <v>43483</v>
      </c>
      <c r="B64" s="2" t="str">
        <f ca="1">LEFT(OFFSET([1]LIB!$A$12,8,8),8)</f>
        <v>12:00 PM</v>
      </c>
      <c r="C64" s="2" t="str">
        <f ca="1">MID(OFFSET([1]LIB!$A$12,8,8),11,100)</f>
        <v xml:space="preserve"> Xinxin</v>
      </c>
      <c r="D64" s="2" t="str">
        <f ca="1">IFERROR(__xludf.DUMMYFUNCTION("IF(COUNTUNIQUE(OFFSET(LIB!$A$12,8,8))=0,"" "",FILTER(DB!$B:$D,SEARCH(OFFSET(LIB!$A$12,8,8),DB!$N:$N)))"),"jiaona cai")</f>
        <v>jiaona cai</v>
      </c>
      <c r="E64" s="2" t="str">
        <f ca="1">IFERROR(__xludf.DUMMYFUNCTION("""COMPUTED_VALUE"""),"ESL 234")</f>
        <v>ESL 234</v>
      </c>
      <c r="F64" s="2" t="str">
        <f ca="1">IFERROR(__xludf.DUMMYFUNCTION("""COMPUTED_VALUE"""),"caijiaona@gmail.com")</f>
        <v>caijiaona@gmail.com</v>
      </c>
      <c r="G64" s="2" t="s">
        <v>5</v>
      </c>
    </row>
  </sheetData>
  <conditionalFormatting sqref="B13:G28">
    <cfRule type="containsText" dxfId="26" priority="13" operator="containsText" text="Present">
      <formula>NOT(ISERROR(SEARCH(("Present"),(B13))))</formula>
    </cfRule>
  </conditionalFormatting>
  <conditionalFormatting sqref="B13:G28">
    <cfRule type="containsText" dxfId="25" priority="14" operator="containsText" text="Absent">
      <formula>NOT(ISERROR(SEARCH(("Absent"),(B13))))</formula>
    </cfRule>
  </conditionalFormatting>
  <conditionalFormatting sqref="B13:G28">
    <cfRule type="containsText" dxfId="24" priority="15" operator="containsText" text="Canceled">
      <formula>NOT(ISERROR(SEARCH(("Canceled"),(B13))))</formula>
    </cfRule>
  </conditionalFormatting>
  <conditionalFormatting sqref="B29:G39">
    <cfRule type="containsText" dxfId="23" priority="10" operator="containsText" text="Present">
      <formula>NOT(ISERROR(SEARCH(("Present"),(B29))))</formula>
    </cfRule>
  </conditionalFormatting>
  <conditionalFormatting sqref="B29:G39">
    <cfRule type="containsText" dxfId="22" priority="11" operator="containsText" text="Absent">
      <formula>NOT(ISERROR(SEARCH(("Absent"),(B29))))</formula>
    </cfRule>
  </conditionalFormatting>
  <conditionalFormatting sqref="B29:G39">
    <cfRule type="containsText" dxfId="21" priority="12" operator="containsText" text="Canceled">
      <formula>NOT(ISERROR(SEARCH(("Canceled"),(B29))))</formula>
    </cfRule>
  </conditionalFormatting>
  <conditionalFormatting sqref="B2:G12">
    <cfRule type="containsText" dxfId="20" priority="7" operator="containsText" text="Present">
      <formula>NOT(ISERROR(SEARCH(("Present"),(B2))))</formula>
    </cfRule>
  </conditionalFormatting>
  <conditionalFormatting sqref="B2:G12">
    <cfRule type="containsText" dxfId="19" priority="8" operator="containsText" text="Absent">
      <formula>NOT(ISERROR(SEARCH(("Absent"),(B2))))</formula>
    </cfRule>
  </conditionalFormatting>
  <conditionalFormatting sqref="B2:G12">
    <cfRule type="containsText" dxfId="18" priority="9" operator="containsText" text="Canceled">
      <formula>NOT(ISERROR(SEARCH(("Canceled"),(B2))))</formula>
    </cfRule>
  </conditionalFormatting>
  <conditionalFormatting sqref="B40:G56">
    <cfRule type="containsText" dxfId="17" priority="4" operator="containsText" text="Present">
      <formula>NOT(ISERROR(SEARCH(("Present"),(B40))))</formula>
    </cfRule>
  </conditionalFormatting>
  <conditionalFormatting sqref="B40:G56">
    <cfRule type="containsText" dxfId="16" priority="5" operator="containsText" text="Absent">
      <formula>NOT(ISERROR(SEARCH(("Absent"),(B40))))</formula>
    </cfRule>
  </conditionalFormatting>
  <conditionalFormatting sqref="B40:G56">
    <cfRule type="containsText" dxfId="15" priority="6" operator="containsText" text="Canceled">
      <formula>NOT(ISERROR(SEARCH(("Canceled"),(B40))))</formula>
    </cfRule>
  </conditionalFormatting>
  <conditionalFormatting sqref="B57:G64">
    <cfRule type="containsText" dxfId="14" priority="1" operator="containsText" text="Present">
      <formula>NOT(ISERROR(SEARCH(("Present"),(B57))))</formula>
    </cfRule>
  </conditionalFormatting>
  <conditionalFormatting sqref="B57:G64">
    <cfRule type="containsText" dxfId="13" priority="2" operator="containsText" text="Absent">
      <formula>NOT(ISERROR(SEARCH(("Absent"),(B57))))</formula>
    </cfRule>
  </conditionalFormatting>
  <conditionalFormatting sqref="B57:G64">
    <cfRule type="containsText" dxfId="12" priority="3" operator="containsText" text="Canceled">
      <formula>NOT(ISERROR(SEARCH(("Canceled"),(B57))))</formula>
    </cfRule>
  </conditionalFormatting>
  <dataValidations count="1">
    <dataValidation type="list" allowBlank="1" showErrorMessage="1" sqref="G2:G64">
      <formula1>"PRESENT,ABSENT,CANCELED"</formula1>
    </dataValidation>
  </dataValidations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9"/>
  <sheetViews>
    <sheetView tabSelected="1" topLeftCell="A20" workbookViewId="0">
      <selection activeCell="F67" sqref="F67"/>
    </sheetView>
  </sheetViews>
  <sheetFormatPr baseColWidth="10" defaultRowHeight="15" x14ac:dyDescent="0"/>
  <sheetData>
    <row r="1" spans="1:8">
      <c r="A1" t="s">
        <v>0</v>
      </c>
      <c r="B1" t="s">
        <v>8</v>
      </c>
      <c r="C1" t="s">
        <v>13</v>
      </c>
      <c r="D1" t="s">
        <v>1</v>
      </c>
      <c r="E1" s="5" t="s">
        <v>2</v>
      </c>
      <c r="F1" s="5" t="s">
        <v>3</v>
      </c>
      <c r="G1" s="5" t="s">
        <v>12</v>
      </c>
      <c r="H1" s="5" t="s">
        <v>4</v>
      </c>
    </row>
    <row r="2" spans="1:8">
      <c r="A2" s="4">
        <v>43480</v>
      </c>
      <c r="B2" s="6">
        <v>0.4375</v>
      </c>
      <c r="C2" t="s">
        <v>14</v>
      </c>
      <c r="D2" t="s">
        <v>15</v>
      </c>
      <c r="E2" s="7" t="str">
        <f ca="1">IFERROR(__xludf.DUMMYFUNCTION("if(countunique(OFFSET(LIB!$B$2,0,0))=0,""NOT AVAILABLE"",filter(DB!$B:$D,SEARCH(OFFSET(LIB!$B$2,0,0),DB!$E:$E)))"),"kim")</f>
        <v>kim</v>
      </c>
      <c r="F2" s="8" t="str">
        <f ca="1">IFERROR(__xludf.DUMMYFUNCTION("""COMPUTED_VALUE"""),"ESL 005")</f>
        <v>ESL 005</v>
      </c>
      <c r="G2" s="8" t="str">
        <f ca="1">IFERROR(__xludf.DUMMYFUNCTION("""COMPUTED_VALUE"""),"KIMBERLY.Atschool@gmail.com")</f>
        <v>KIMBERLY.Atschool@gmail.com</v>
      </c>
      <c r="H2" s="9" t="s">
        <v>7</v>
      </c>
    </row>
    <row r="3" spans="1:8">
      <c r="A3" s="4">
        <v>43480</v>
      </c>
      <c r="B3" s="6">
        <v>0.4375</v>
      </c>
      <c r="C3" t="s">
        <v>14</v>
      </c>
      <c r="D3" t="s">
        <v>15</v>
      </c>
      <c r="E3" s="10" t="str">
        <f ca="1">IFERROR(__xludf.DUMMYFUNCTION("""COMPUTED_VALUE"""),"Xue Fu")</f>
        <v>Xue Fu</v>
      </c>
      <c r="F3" s="11" t="str">
        <f ca="1">IFERROR(__xludf.DUMMYFUNCTION("""COMPUTED_VALUE"""),"ESL 261")</f>
        <v>ESL 261</v>
      </c>
      <c r="G3" s="11" t="str">
        <f ca="1">IFERROR(__xludf.DUMMYFUNCTION("""COMPUTED_VALUE"""),"shirleyxuefu22@yahoo.com")</f>
        <v>shirleyxuefu22@yahoo.com</v>
      </c>
      <c r="H3" s="12" t="s">
        <v>6</v>
      </c>
    </row>
    <row r="4" spans="1:8">
      <c r="A4" s="4">
        <v>43480</v>
      </c>
      <c r="B4" s="6">
        <v>0.4375</v>
      </c>
      <c r="C4" t="s">
        <v>14</v>
      </c>
      <c r="D4" t="s">
        <v>15</v>
      </c>
      <c r="E4" s="7" t="str">
        <f ca="1">IFERROR(__xludf.DUMMYFUNCTION("""COMPUTED_VALUE"""),"XIAOHONG CHEN")</f>
        <v>XIAOHONG CHEN</v>
      </c>
      <c r="F4" s="8" t="str">
        <f ca="1">IFERROR(__xludf.DUMMYFUNCTION("""COMPUTED_VALUE"""),"ESL 261")</f>
        <v>ESL 261</v>
      </c>
      <c r="G4" s="8" t="str">
        <f ca="1">IFERROR(__xludf.DUMMYFUNCTION("""COMPUTED_VALUE"""),"selenac0623@gmail.com")</f>
        <v>selenac0623@gmail.com</v>
      </c>
      <c r="H4" s="9" t="s">
        <v>6</v>
      </c>
    </row>
    <row r="5" spans="1:8">
      <c r="A5" s="4">
        <v>43480</v>
      </c>
      <c r="B5" s="6">
        <v>0.4375</v>
      </c>
      <c r="C5" t="s">
        <v>14</v>
      </c>
      <c r="D5" t="s">
        <v>15</v>
      </c>
      <c r="E5" s="10" t="str">
        <f ca="1">IFERROR(__xludf.DUMMYFUNCTION("""COMPUTED_VALUE"""),"FERNANDO")</f>
        <v>FERNANDO</v>
      </c>
      <c r="F5" s="11" t="str">
        <f ca="1">IFERROR(__xludf.DUMMYFUNCTION("""COMPUTED_VALUE"""),"OTHERS (Transferable)")</f>
        <v>OTHERS (Transferable)</v>
      </c>
      <c r="G5" s="11" t="str">
        <f ca="1">IFERROR(__xludf.DUMMYFUNCTION("""COMPUTED_VALUE"""),"shifengluan@gmail.com")</f>
        <v>shifengluan@gmail.com</v>
      </c>
      <c r="H5" s="12" t="s">
        <v>7</v>
      </c>
    </row>
    <row r="6" spans="1:8">
      <c r="A6" s="4">
        <v>43480</v>
      </c>
      <c r="B6" s="6">
        <v>0.4375</v>
      </c>
      <c r="C6" t="s">
        <v>14</v>
      </c>
      <c r="D6" t="s">
        <v>15</v>
      </c>
      <c r="E6" s="7" t="str">
        <f ca="1">IFERROR(__xludf.DUMMYFUNCTION("""COMPUTED_VALUE"""),"yan rong")</f>
        <v>yan rong</v>
      </c>
      <c r="F6" s="8" t="str">
        <f ca="1">IFERROR(__xludf.DUMMYFUNCTION("""COMPUTED_VALUE"""),"ESL 261")</f>
        <v>ESL 261</v>
      </c>
      <c r="G6" s="8" t="str">
        <f ca="1">IFERROR(__xludf.DUMMYFUNCTION("""COMPUTED_VALUE"""),"rongyan@student.deanza.edu")</f>
        <v>rongyan@student.deanza.edu</v>
      </c>
      <c r="H6" s="9" t="s">
        <v>6</v>
      </c>
    </row>
    <row r="7" spans="1:8">
      <c r="A7" s="4">
        <v>43480</v>
      </c>
      <c r="B7" s="6">
        <v>0.4375</v>
      </c>
      <c r="C7" t="s">
        <v>14</v>
      </c>
      <c r="D7" t="s">
        <v>15</v>
      </c>
      <c r="E7" s="10" t="str">
        <f ca="1">IFERROR(__xludf.DUMMYFUNCTION("""COMPUTED_VALUE"""),"Ryan")</f>
        <v>Ryan</v>
      </c>
      <c r="F7" s="11" t="str">
        <f ca="1">IFERROR(__xludf.DUMMYFUNCTION("""COMPUTED_VALUE"""),"ESL 234")</f>
        <v>ESL 234</v>
      </c>
      <c r="G7" s="11" t="str">
        <f ca="1">IFERROR(__xludf.DUMMYFUNCTION("""COMPUTED_VALUE"""),"taylorbryan012@gmail.com")</f>
        <v>taylorbryan012@gmail.com</v>
      </c>
      <c r="H7" s="12" t="s">
        <v>7</v>
      </c>
    </row>
    <row r="8" spans="1:8">
      <c r="A8" s="4">
        <v>43480</v>
      </c>
      <c r="B8" s="6">
        <v>0.4375</v>
      </c>
      <c r="C8" t="s">
        <v>14</v>
      </c>
      <c r="D8" t="s">
        <v>15</v>
      </c>
      <c r="E8" s="7" t="str">
        <f ca="1">IFERROR(__xludf.DUMMYFUNCTION("""COMPUTED_VALUE"""),"Elena Bryntseva")</f>
        <v>Elena Bryntseva</v>
      </c>
      <c r="F8" s="8" t="str">
        <f ca="1">IFERROR(__xludf.DUMMYFUNCTION("""COMPUTED_VALUE"""),"ESL 251")</f>
        <v>ESL 251</v>
      </c>
      <c r="G8" s="8" t="str">
        <f ca="1">IFERROR(__xludf.DUMMYFUNCTION("""COMPUTED_VALUE"""),"bryntseva@gmail.com")</f>
        <v>bryntseva@gmail.com</v>
      </c>
      <c r="H8" s="9" t="s">
        <v>5</v>
      </c>
    </row>
    <row r="9" spans="1:8">
      <c r="A9" s="4">
        <v>43480</v>
      </c>
      <c r="B9" s="6">
        <v>0.4375</v>
      </c>
      <c r="C9" t="s">
        <v>14</v>
      </c>
      <c r="D9" t="s">
        <v>15</v>
      </c>
      <c r="E9" s="10" t="str">
        <f ca="1">IFERROR(__xludf.DUMMYFUNCTION("""COMPUTED_VALUE"""),"Delia Ruiz")</f>
        <v>Delia Ruiz</v>
      </c>
      <c r="F9" s="11" t="str">
        <f ca="1">IFERROR(__xludf.DUMMYFUNCTION("""COMPUTED_VALUE"""),"ESL 261")</f>
        <v>ESL 261</v>
      </c>
      <c r="G9" s="11" t="str">
        <f ca="1">IFERROR(__xludf.DUMMYFUNCTION("""COMPUTED_VALUE"""),"patyqh200@gmail.com")</f>
        <v>patyqh200@gmail.com</v>
      </c>
      <c r="H9" s="12" t="s">
        <v>7</v>
      </c>
    </row>
    <row r="10" spans="1:8">
      <c r="A10" s="4">
        <v>43480</v>
      </c>
      <c r="B10" s="6">
        <v>0.4375</v>
      </c>
      <c r="C10" t="s">
        <v>14</v>
      </c>
      <c r="D10" t="s">
        <v>15</v>
      </c>
      <c r="E10" s="7" t="str">
        <f ca="1">IFERROR(__xludf.DUMMYFUNCTION("""COMPUTED_VALUE"""),"Yangsook Hwang ")</f>
        <v xml:space="preserve">Yangsook Hwang </v>
      </c>
      <c r="F10" s="8" t="str">
        <f ca="1">IFERROR(__xludf.DUMMYFUNCTION("""COMPUTED_VALUE"""),"OTHERS (Transferable)")</f>
        <v>OTHERS (Transferable)</v>
      </c>
      <c r="G10" s="8" t="str">
        <f ca="1">IFERROR(__xludf.DUMMYFUNCTION("""COMPUTED_VALUE"""),"yangsookcho@yahoo.com")</f>
        <v>yangsookcho@yahoo.com</v>
      </c>
      <c r="H10" s="9" t="s">
        <v>6</v>
      </c>
    </row>
    <row r="11" spans="1:8">
      <c r="A11" s="4">
        <v>43480</v>
      </c>
      <c r="B11" s="6">
        <v>0.4375</v>
      </c>
      <c r="C11" t="s">
        <v>14</v>
      </c>
      <c r="D11" t="s">
        <v>15</v>
      </c>
      <c r="E11" s="10" t="str">
        <f ca="1">IFERROR(__xludf.DUMMYFUNCTION("""COMPUTED_VALUE"""),"Vanessa Ranarison")</f>
        <v>Vanessa Ranarison</v>
      </c>
      <c r="F11" s="11" t="str">
        <f ca="1">IFERROR(__xludf.DUMMYFUNCTION("""COMPUTED_VALUE"""),"ESL 261")</f>
        <v>ESL 261</v>
      </c>
      <c r="G11" s="11" t="str">
        <f ca="1">IFERROR(__xludf.DUMMYFUNCTION("""COMPUTED_VALUE"""),"vaneshranarison@gmail.com")</f>
        <v>vaneshranarison@gmail.com</v>
      </c>
      <c r="H11" s="12" t="s">
        <v>7</v>
      </c>
    </row>
    <row r="12" spans="1:8">
      <c r="A12" s="4">
        <v>43480</v>
      </c>
      <c r="B12" s="6">
        <v>0.4375</v>
      </c>
      <c r="C12" t="s">
        <v>14</v>
      </c>
      <c r="D12" t="s">
        <v>15</v>
      </c>
      <c r="E12" s="7" t="str">
        <f ca="1">IFERROR(__xludf.DUMMYFUNCTION("""COMPUTED_VALUE"""),"xiaohong chen")</f>
        <v>xiaohong chen</v>
      </c>
      <c r="F12" s="8" t="str">
        <f ca="1">IFERROR(__xludf.DUMMYFUNCTION("""COMPUTED_VALUE"""),"ESL 261")</f>
        <v>ESL 261</v>
      </c>
      <c r="G12" s="8" t="str">
        <f ca="1">IFERROR(__xludf.DUMMYFUNCTION("""COMPUTED_VALUE"""),"selenac0623@gmail.com")</f>
        <v>selenac0623@gmail.com</v>
      </c>
      <c r="H12" s="9" t="s">
        <v>7</v>
      </c>
    </row>
    <row r="13" spans="1:8">
      <c r="A13" s="4">
        <v>43480</v>
      </c>
      <c r="B13" s="6">
        <v>0.4375</v>
      </c>
      <c r="C13" t="s">
        <v>14</v>
      </c>
      <c r="D13" t="s">
        <v>15</v>
      </c>
      <c r="E13" s="10" t="str">
        <f ca="1">IFERROR(__xludf.DUMMYFUNCTION("""COMPUTED_VALUE"""),"Taeyeon Hong")</f>
        <v>Taeyeon Hong</v>
      </c>
      <c r="F13" s="11" t="str">
        <f ca="1">IFERROR(__xludf.DUMMYFUNCTION("""COMPUTED_VALUE"""),"ESL 253")</f>
        <v>ESL 253</v>
      </c>
      <c r="G13" s="11" t="str">
        <f ca="1">IFERROR(__xludf.DUMMYFUNCTION("""COMPUTED_VALUE"""),"zzum999@gmail.com")</f>
        <v>zzum999@gmail.com</v>
      </c>
      <c r="H13" s="12" t="s">
        <v>6</v>
      </c>
    </row>
    <row r="14" spans="1:8">
      <c r="A14" s="4">
        <v>43480</v>
      </c>
      <c r="B14" s="6">
        <v>0.4375</v>
      </c>
      <c r="C14" t="s">
        <v>14</v>
      </c>
      <c r="D14" t="s">
        <v>15</v>
      </c>
      <c r="E14" s="7" t="str">
        <f ca="1">IFERROR(__xludf.DUMMYFUNCTION("""COMPUTED_VALUE"""),"Liu, Xiaoyan")</f>
        <v>Liu, Xiaoyan</v>
      </c>
      <c r="F14" s="8" t="str">
        <f ca="1">IFERROR(__xludf.DUMMYFUNCTION("""COMPUTED_VALUE"""),"ESL 261")</f>
        <v>ESL 261</v>
      </c>
      <c r="G14" s="8" t="str">
        <f ca="1">IFERROR(__xludf.DUMMYFUNCTION("""COMPUTED_VALUE"""),"liuxyzy2002@gmail.com")</f>
        <v>liuxyzy2002@gmail.com</v>
      </c>
      <c r="H14" s="9" t="s">
        <v>6</v>
      </c>
    </row>
    <row r="15" spans="1:8">
      <c r="A15" s="4">
        <v>43480</v>
      </c>
      <c r="B15" s="6">
        <v>0.4375</v>
      </c>
      <c r="C15" t="s">
        <v>14</v>
      </c>
      <c r="D15" t="s">
        <v>15</v>
      </c>
      <c r="E15" s="10" t="str">
        <f ca="1">IFERROR(__xludf.DUMMYFUNCTION("""COMPUTED_VALUE"""),"Riting Cui")</f>
        <v>Riting Cui</v>
      </c>
      <c r="F15" s="11" t="str">
        <f ca="1">IFERROR(__xludf.DUMMYFUNCTION("""COMPUTED_VALUE"""),"ESL 261")</f>
        <v>ESL 261</v>
      </c>
      <c r="G15" s="11" t="str">
        <f ca="1">IFERROR(__xludf.DUMMYFUNCTION("""COMPUTED_VALUE"""),"ritingcui@gmail.com")</f>
        <v>ritingcui@gmail.com</v>
      </c>
      <c r="H15" s="12" t="s">
        <v>6</v>
      </c>
    </row>
    <row r="16" spans="1:8">
      <c r="A16" s="4">
        <v>43480</v>
      </c>
      <c r="B16" s="6">
        <v>0.4375</v>
      </c>
      <c r="C16" t="s">
        <v>14</v>
      </c>
      <c r="D16" t="s">
        <v>15</v>
      </c>
      <c r="E16" s="7" t="str">
        <f ca="1">IFERROR(__xludf.DUMMYFUNCTION("""COMPUTED_VALUE"""),"Lily Thai")</f>
        <v>Lily Thai</v>
      </c>
      <c r="F16" s="8" t="str">
        <f ca="1">IFERROR(__xludf.DUMMYFUNCTION("""COMPUTED_VALUE"""),"ESL 005")</f>
        <v>ESL 005</v>
      </c>
      <c r="G16" s="8" t="str">
        <f ca="1">IFERROR(__xludf.DUMMYFUNCTION("""COMPUTED_VALUE"""),"lilythai1220@gmail.com")</f>
        <v>lilythai1220@gmail.com</v>
      </c>
      <c r="H16" s="9" t="s">
        <v>7</v>
      </c>
    </row>
    <row r="17" spans="1:8">
      <c r="A17" s="4">
        <v>43480</v>
      </c>
      <c r="B17" s="6">
        <v>0.4375</v>
      </c>
      <c r="C17" t="s">
        <v>14</v>
      </c>
      <c r="D17" t="s">
        <v>15</v>
      </c>
      <c r="E17" s="13" t="s">
        <v>16</v>
      </c>
      <c r="F17" s="14" t="s">
        <v>17</v>
      </c>
      <c r="G17" s="14"/>
      <c r="H17" s="15" t="s">
        <v>6</v>
      </c>
    </row>
    <row r="18" spans="1:8">
      <c r="A18" s="4">
        <v>43480</v>
      </c>
      <c r="B18" s="6">
        <v>0.4375</v>
      </c>
      <c r="C18" t="s">
        <v>14</v>
      </c>
      <c r="D18" t="s">
        <v>15</v>
      </c>
      <c r="E18" s="7" t="s">
        <v>18</v>
      </c>
      <c r="F18" s="8" t="s">
        <v>17</v>
      </c>
      <c r="G18" s="8"/>
      <c r="H18" s="9" t="s">
        <v>6</v>
      </c>
    </row>
    <row r="19" spans="1:8">
      <c r="A19" s="4">
        <v>43480</v>
      </c>
      <c r="B19" s="6">
        <v>0.4375</v>
      </c>
      <c r="C19" t="s">
        <v>14</v>
      </c>
      <c r="D19" t="s">
        <v>15</v>
      </c>
      <c r="E19" s="13" t="s">
        <v>19</v>
      </c>
      <c r="F19" s="14" t="s">
        <v>17</v>
      </c>
      <c r="G19" s="14"/>
      <c r="H19" s="15" t="s">
        <v>6</v>
      </c>
    </row>
    <row r="20" spans="1:8">
      <c r="A20" s="4">
        <v>43480</v>
      </c>
      <c r="B20" s="6">
        <v>0.47916666666666669</v>
      </c>
      <c r="C20" t="s">
        <v>20</v>
      </c>
      <c r="D20" t="s">
        <v>21</v>
      </c>
      <c r="E20" s="7" t="str">
        <f ca="1">IFERROR(__xludf.DUMMYFUNCTION("if(countunique(OFFSET(LIB!$B$2,0,1))=0,""NOT AVAILABLE"",filter(DB!$B:$D,SEARCH(OFFSET(LIB!$B$2,0,1),DB!$E:$E)))"),"Lifeng Gao")</f>
        <v>Lifeng Gao</v>
      </c>
      <c r="F20" s="8" t="str">
        <f ca="1">IFERROR(__xludf.DUMMYFUNCTION("""COMPUTED_VALUE"""),"OTHERS (Non-Transferable)")</f>
        <v>OTHERS (Non-Transferable)</v>
      </c>
      <c r="G20" s="8" t="str">
        <f ca="1">IFERROR(__xludf.DUMMYFUNCTION("""COMPUTED_VALUE"""),"brendagao.lf@gmail.com")</f>
        <v>brendagao.lf@gmail.com</v>
      </c>
      <c r="H20" s="9" t="s">
        <v>6</v>
      </c>
    </row>
    <row r="21" spans="1:8">
      <c r="A21" s="4">
        <v>43480</v>
      </c>
      <c r="B21" s="6">
        <v>0.47916666666666669</v>
      </c>
      <c r="C21" t="s">
        <v>20</v>
      </c>
      <c r="D21" t="s">
        <v>21</v>
      </c>
      <c r="E21" s="10" t="str">
        <f ca="1">IFERROR(__xludf.DUMMYFUNCTION("""COMPUTED_VALUE"""),"HAIYAN WANG")</f>
        <v>HAIYAN WANG</v>
      </c>
      <c r="F21" s="11" t="str">
        <f ca="1">IFERROR(__xludf.DUMMYFUNCTION("""COMPUTED_VALUE"""),"ESL 261")</f>
        <v>ESL 261</v>
      </c>
      <c r="G21" s="11" t="str">
        <f ca="1">IFERROR(__xludf.DUMMYFUNCTION("""COMPUTED_VALUE"""),"njustwhy@gmail.com")</f>
        <v>njustwhy@gmail.com</v>
      </c>
      <c r="H21" s="12" t="s">
        <v>6</v>
      </c>
    </row>
    <row r="22" spans="1:8">
      <c r="A22" s="4">
        <v>43480</v>
      </c>
      <c r="B22" s="6">
        <v>0.47916666666666669</v>
      </c>
      <c r="C22" t="s">
        <v>20</v>
      </c>
      <c r="D22" t="s">
        <v>21</v>
      </c>
      <c r="E22" s="7" t="str">
        <f ca="1">IFERROR(__xludf.DUMMYFUNCTION("""COMPUTED_VALUE"""),"Yuanzhe Tong")</f>
        <v>Yuanzhe Tong</v>
      </c>
      <c r="F22" s="8" t="str">
        <f ca="1">IFERROR(__xludf.DUMMYFUNCTION("""COMPUTED_VALUE"""),"ESL 263")</f>
        <v>ESL 263</v>
      </c>
      <c r="G22" s="8" t="str">
        <f ca="1">IFERROR(__xludf.DUMMYFUNCTION("""COMPUTED_VALUE"""),"yuanzhet@gmail.com")</f>
        <v>yuanzhet@gmail.com</v>
      </c>
      <c r="H22" s="9" t="s">
        <v>7</v>
      </c>
    </row>
    <row r="23" spans="1:8">
      <c r="A23" s="4">
        <v>43480</v>
      </c>
      <c r="B23" s="6">
        <v>0.47916666666666669</v>
      </c>
      <c r="C23" t="s">
        <v>20</v>
      </c>
      <c r="D23" t="s">
        <v>21</v>
      </c>
      <c r="E23" s="10" t="str">
        <f ca="1">IFERROR(__xludf.DUMMYFUNCTION("""COMPUTED_VALUE"""),"ZongLin yang")</f>
        <v>ZongLin yang</v>
      </c>
      <c r="F23" s="11" t="str">
        <f ca="1">IFERROR(__xludf.DUMMYFUNCTION("""COMPUTED_VALUE"""),"ESL 261")</f>
        <v>ESL 261</v>
      </c>
      <c r="G23" s="11" t="str">
        <f ca="1">IFERROR(__xludf.DUMMYFUNCTION("""COMPUTED_VALUE"""),"yzlandyyang991005@gmail.com")</f>
        <v>yzlandyyang991005@gmail.com</v>
      </c>
      <c r="H23" s="12" t="s">
        <v>6</v>
      </c>
    </row>
    <row r="24" spans="1:8">
      <c r="A24" s="4">
        <v>43480</v>
      </c>
      <c r="B24" s="6">
        <v>0.47916666666666669</v>
      </c>
      <c r="C24" t="s">
        <v>20</v>
      </c>
      <c r="D24" t="s">
        <v>21</v>
      </c>
      <c r="E24" s="7" t="str">
        <f ca="1">IFERROR(__xludf.DUMMYFUNCTION("""COMPUTED_VALUE"""),"Ryan")</f>
        <v>Ryan</v>
      </c>
      <c r="F24" s="8" t="str">
        <f ca="1">IFERROR(__xludf.DUMMYFUNCTION("""COMPUTED_VALUE"""),"ESL 234")</f>
        <v>ESL 234</v>
      </c>
      <c r="G24" s="8" t="str">
        <f ca="1">IFERROR(__xludf.DUMMYFUNCTION("""COMPUTED_VALUE"""),"taylorbryan012@gmail.com")</f>
        <v>taylorbryan012@gmail.com</v>
      </c>
      <c r="H24" s="9" t="s">
        <v>7</v>
      </c>
    </row>
    <row r="25" spans="1:8">
      <c r="A25" s="4">
        <v>43480</v>
      </c>
      <c r="B25" s="6">
        <v>0.47916666666666669</v>
      </c>
      <c r="C25" t="s">
        <v>20</v>
      </c>
      <c r="D25" t="s">
        <v>21</v>
      </c>
      <c r="E25" s="10" t="str">
        <f ca="1">IFERROR(__xludf.DUMMYFUNCTION("""COMPUTED_VALUE"""),"Ievgeniia Avramych ")</f>
        <v xml:space="preserve">Ievgeniia Avramych </v>
      </c>
      <c r="F25" s="11" t="str">
        <f ca="1">IFERROR(__xludf.DUMMYFUNCTION("""COMPUTED_VALUE"""),"ESL 261")</f>
        <v>ESL 261</v>
      </c>
      <c r="G25" s="11" t="str">
        <f ca="1">IFERROR(__xludf.DUMMYFUNCTION("""COMPUTED_VALUE"""),"yanezh.ivga@gmail.com")</f>
        <v>yanezh.ivga@gmail.com</v>
      </c>
      <c r="H25" s="12" t="s">
        <v>6</v>
      </c>
    </row>
    <row r="26" spans="1:8">
      <c r="A26" s="4">
        <v>43480</v>
      </c>
      <c r="B26" s="6">
        <v>0.47916666666666669</v>
      </c>
      <c r="C26" t="s">
        <v>20</v>
      </c>
      <c r="D26" t="s">
        <v>21</v>
      </c>
      <c r="E26" s="7" t="str">
        <f ca="1">IFERROR(__xludf.DUMMYFUNCTION("""COMPUTED_VALUE"""),"Delia Ruiz")</f>
        <v>Delia Ruiz</v>
      </c>
      <c r="F26" s="8" t="str">
        <f ca="1">IFERROR(__xludf.DUMMYFUNCTION("""COMPUTED_VALUE"""),"ESL 261")</f>
        <v>ESL 261</v>
      </c>
      <c r="G26" s="8" t="str">
        <f ca="1">IFERROR(__xludf.DUMMYFUNCTION("""COMPUTED_VALUE"""),"patyqh200@gmail.com")</f>
        <v>patyqh200@gmail.com</v>
      </c>
      <c r="H26" s="9" t="s">
        <v>7</v>
      </c>
    </row>
    <row r="27" spans="1:8">
      <c r="A27" s="4">
        <v>43480</v>
      </c>
      <c r="B27" s="6">
        <v>0.47916666666666669</v>
      </c>
      <c r="C27" t="s">
        <v>20</v>
      </c>
      <c r="D27" t="s">
        <v>21</v>
      </c>
      <c r="E27" s="10" t="str">
        <f ca="1">IFERROR(__xludf.DUMMYFUNCTION("""COMPUTED_VALUE"""),"Jessica")</f>
        <v>Jessica</v>
      </c>
      <c r="F27" s="11" t="str">
        <f ca="1">IFERROR(__xludf.DUMMYFUNCTION("""COMPUTED_VALUE"""),"ESL 244")</f>
        <v>ESL 244</v>
      </c>
      <c r="G27" s="11" t="str">
        <f ca="1">IFERROR(__xludf.DUMMYFUNCTION("""COMPUTED_VALUE"""),"j9a8y2000@gmail.com")</f>
        <v>j9a8y2000@gmail.com</v>
      </c>
      <c r="H27" s="12" t="s">
        <v>6</v>
      </c>
    </row>
    <row r="28" spans="1:8">
      <c r="A28" s="4">
        <v>43480</v>
      </c>
      <c r="B28" s="6">
        <v>0.47916666666666669</v>
      </c>
      <c r="C28" t="s">
        <v>20</v>
      </c>
      <c r="D28" t="s">
        <v>21</v>
      </c>
      <c r="E28" s="7" t="str">
        <f ca="1">IFERROR(__xludf.DUMMYFUNCTION("""COMPUTED_VALUE"""),"Taeyeon Hong")</f>
        <v>Taeyeon Hong</v>
      </c>
      <c r="F28" s="8" t="str">
        <f ca="1">IFERROR(__xludf.DUMMYFUNCTION("""COMPUTED_VALUE"""),"ESL 253")</f>
        <v>ESL 253</v>
      </c>
      <c r="G28" s="8" t="str">
        <f ca="1">IFERROR(__xludf.DUMMYFUNCTION("""COMPUTED_VALUE"""),"zzum999@gmail.com")</f>
        <v>zzum999@gmail.com</v>
      </c>
      <c r="H28" s="9" t="s">
        <v>6</v>
      </c>
    </row>
    <row r="29" spans="1:8">
      <c r="A29" s="4">
        <v>43480</v>
      </c>
      <c r="B29" s="6">
        <v>0.47916666666666669</v>
      </c>
      <c r="C29" t="s">
        <v>20</v>
      </c>
      <c r="D29" t="s">
        <v>21</v>
      </c>
      <c r="E29" s="10" t="str">
        <f ca="1">IFERROR(__xludf.DUMMYFUNCTION("""COMPUTED_VALUE"""),"Nighat Chaudhry ")</f>
        <v xml:space="preserve">Nighat Chaudhry </v>
      </c>
      <c r="F29" s="11" t="str">
        <f ca="1">IFERROR(__xludf.DUMMYFUNCTION("""COMPUTED_VALUE"""),"ESL 251")</f>
        <v>ESL 251</v>
      </c>
      <c r="G29" s="11" t="str">
        <f ca="1">IFERROR(__xludf.DUMMYFUNCTION("""COMPUTED_VALUE"""),"nighat6@yahoo.com")</f>
        <v>nighat6@yahoo.com</v>
      </c>
      <c r="H29" s="12" t="s">
        <v>6</v>
      </c>
    </row>
    <row r="30" spans="1:8">
      <c r="A30" s="4">
        <v>43480</v>
      </c>
      <c r="B30" s="6">
        <v>0.47916666666666669</v>
      </c>
      <c r="C30" t="s">
        <v>20</v>
      </c>
      <c r="D30" t="s">
        <v>21</v>
      </c>
      <c r="E30" s="7" t="str">
        <f ca="1">IFERROR(__xludf.DUMMYFUNCTION("""COMPUTED_VALUE"""),"Riting Cui")</f>
        <v>Riting Cui</v>
      </c>
      <c r="F30" s="8" t="str">
        <f ca="1">IFERROR(__xludf.DUMMYFUNCTION("""COMPUTED_VALUE"""),"ESL 261")</f>
        <v>ESL 261</v>
      </c>
      <c r="G30" s="8" t="str">
        <f ca="1">IFERROR(__xludf.DUMMYFUNCTION("""COMPUTED_VALUE"""),"ritingcui@gmail.com")</f>
        <v>ritingcui@gmail.com</v>
      </c>
      <c r="H30" s="9" t="s">
        <v>6</v>
      </c>
    </row>
    <row r="31" spans="1:8">
      <c r="A31" s="4">
        <v>43480</v>
      </c>
      <c r="B31" s="6">
        <v>0.47916666666666669</v>
      </c>
      <c r="C31" t="s">
        <v>20</v>
      </c>
      <c r="D31" t="s">
        <v>21</v>
      </c>
      <c r="E31" s="10" t="str">
        <f ca="1">IFERROR(__xludf.DUMMYFUNCTION("""COMPUTED_VALUE"""),"Xinyi Guo")</f>
        <v>Xinyi Guo</v>
      </c>
      <c r="F31" s="11" t="str">
        <f ca="1">IFERROR(__xludf.DUMMYFUNCTION("""COMPUTED_VALUE"""),"EWRT 1A or above")</f>
        <v>EWRT 1A or above</v>
      </c>
      <c r="G31" s="11" t="str">
        <f ca="1">IFERROR(__xludf.DUMMYFUNCTION("""COMPUTED_VALUE"""),"kristy.guo2018@gmail.com")</f>
        <v>kristy.guo2018@gmail.com</v>
      </c>
      <c r="H31" s="12" t="s">
        <v>7</v>
      </c>
    </row>
    <row r="32" spans="1:8">
      <c r="A32" s="4">
        <v>43480</v>
      </c>
      <c r="B32" s="6">
        <v>0.47916666666666669</v>
      </c>
      <c r="C32" t="s">
        <v>20</v>
      </c>
      <c r="D32" t="s">
        <v>21</v>
      </c>
      <c r="E32" s="7" t="str">
        <f ca="1">IFERROR(__xludf.DUMMYFUNCTION("""COMPUTED_VALUE"""),"Wai TANG")</f>
        <v>Wai TANG</v>
      </c>
      <c r="F32" s="8" t="str">
        <f ca="1">IFERROR(__xludf.DUMMYFUNCTION("""COMPUTED_VALUE"""),"OTHERS (Transferable)")</f>
        <v>OTHERS (Transferable)</v>
      </c>
      <c r="G32" s="8" t="str">
        <f ca="1">IFERROR(__xludf.DUMMYFUNCTION("""COMPUTED_VALUE"""),"wltangusa@hotmail.com")</f>
        <v>wltangusa@hotmail.com</v>
      </c>
      <c r="H32" s="9" t="s">
        <v>7</v>
      </c>
    </row>
    <row r="33" spans="1:8">
      <c r="A33" s="4">
        <v>43480</v>
      </c>
      <c r="B33" s="6">
        <v>0.47916666666666669</v>
      </c>
      <c r="C33" t="s">
        <v>20</v>
      </c>
      <c r="D33" t="s">
        <v>21</v>
      </c>
      <c r="E33" s="10" t="str">
        <f ca="1">IFERROR(__xludf.DUMMYFUNCTION("""COMPUTED_VALUE"""),"fatemeh rafiei")</f>
        <v>fatemeh rafiei</v>
      </c>
      <c r="F33" s="11" t="str">
        <f ca="1">IFERROR(__xludf.DUMMYFUNCTION("""COMPUTED_VALUE"""),"ESL 253")</f>
        <v>ESL 253</v>
      </c>
      <c r="G33" s="11" t="str">
        <f ca="1">IFERROR(__xludf.DUMMYFUNCTION("""COMPUTED_VALUE"""),"ghazal.rafiei2@gmail.com")</f>
        <v>ghazal.rafiei2@gmail.com</v>
      </c>
      <c r="H33" s="12" t="s">
        <v>5</v>
      </c>
    </row>
    <row r="34" spans="1:8">
      <c r="A34" s="4">
        <v>43480</v>
      </c>
      <c r="B34" s="6">
        <v>0.47916666666666669</v>
      </c>
      <c r="C34" t="s">
        <v>20</v>
      </c>
      <c r="D34" t="s">
        <v>21</v>
      </c>
      <c r="E34" s="7" t="str">
        <f ca="1">IFERROR(__xludf.DUMMYFUNCTION("""COMPUTED_VALUE"""),"Yahui Shi")</f>
        <v>Yahui Shi</v>
      </c>
      <c r="F34" s="8" t="str">
        <f ca="1">IFERROR(__xludf.DUMMYFUNCTION("""COMPUTED_VALUE"""),"ESL 251")</f>
        <v>ESL 251</v>
      </c>
      <c r="G34" s="8" t="str">
        <f ca="1">IFERROR(__xludf.DUMMYFUNCTION("""COMPUTED_VALUE"""),"shiyahui06s06@gmail.com")</f>
        <v>shiyahui06s06@gmail.com</v>
      </c>
      <c r="H34" s="9" t="s">
        <v>7</v>
      </c>
    </row>
    <row r="35" spans="1:8">
      <c r="A35" s="4">
        <v>43480</v>
      </c>
      <c r="B35" s="6">
        <v>0.47916666666666669</v>
      </c>
      <c r="C35" t="s">
        <v>20</v>
      </c>
      <c r="D35" t="s">
        <v>21</v>
      </c>
      <c r="E35" s="13" t="s">
        <v>18</v>
      </c>
      <c r="F35" s="14" t="s">
        <v>17</v>
      </c>
      <c r="G35" s="14"/>
      <c r="H35" s="15" t="s">
        <v>6</v>
      </c>
    </row>
    <row r="36" spans="1:8">
      <c r="A36" s="4">
        <v>43480</v>
      </c>
      <c r="B36" s="6">
        <v>0.47916666666666669</v>
      </c>
      <c r="C36" t="s">
        <v>20</v>
      </c>
      <c r="D36" t="s">
        <v>21</v>
      </c>
      <c r="E36" s="7" t="s">
        <v>22</v>
      </c>
      <c r="F36" s="8" t="s">
        <v>23</v>
      </c>
      <c r="G36" s="8"/>
      <c r="H36" s="9" t="s">
        <v>6</v>
      </c>
    </row>
    <row r="37" spans="1:8">
      <c r="A37" s="4">
        <v>43480</v>
      </c>
      <c r="B37" s="6">
        <v>2.0833333333333332E-2</v>
      </c>
      <c r="C37" t="s">
        <v>24</v>
      </c>
      <c r="D37" t="s">
        <v>21</v>
      </c>
      <c r="E37" s="16" t="str">
        <f ca="1">IFERROR(__xludf.DUMMYFUNCTION("if(countunique(OFFSET(LIB!$B$2,0,2))=0,""NOT AVAILABLE"",filter(DB!$B:$D,SEARCH(OFFSET(LIB!$B$2,0,2),DB!$E:$E)))"),"June")</f>
        <v>June</v>
      </c>
      <c r="F37" s="17" t="str">
        <f ca="1">IFERROR(__xludf.DUMMYFUNCTION("""COMPUTED_VALUE"""),"ESL 263")</f>
        <v>ESL 263</v>
      </c>
      <c r="G37" s="17" t="str">
        <f ca="1">IFERROR(__xludf.DUMMYFUNCTION("""COMPUTED_VALUE"""),"jungeunjung5228@gmail.com")</f>
        <v>jungeunjung5228@gmail.com</v>
      </c>
      <c r="H37" s="18" t="s">
        <v>7</v>
      </c>
    </row>
    <row r="38" spans="1:8">
      <c r="A38" s="4">
        <v>43480</v>
      </c>
      <c r="B38" s="6">
        <v>2.0833333333333332E-2</v>
      </c>
      <c r="C38" t="s">
        <v>24</v>
      </c>
      <c r="D38" t="s">
        <v>21</v>
      </c>
      <c r="E38" s="16" t="str">
        <f ca="1">IFERROR(__xludf.DUMMYFUNCTION("""COMPUTED_VALUE"""),"Yu Hsiao")</f>
        <v>Yu Hsiao</v>
      </c>
      <c r="F38" s="17" t="str">
        <f ca="1">IFERROR(__xludf.DUMMYFUNCTION("""COMPUTED_VALUE"""),"ESL 251")</f>
        <v>ESL 251</v>
      </c>
      <c r="G38" s="17" t="str">
        <f ca="1">IFERROR(__xludf.DUMMYFUNCTION("""COMPUTED_VALUE"""),"michellexiao418@gmail.com")</f>
        <v>michellexiao418@gmail.com</v>
      </c>
      <c r="H38" s="18" t="s">
        <v>6</v>
      </c>
    </row>
    <row r="39" spans="1:8">
      <c r="A39" s="4">
        <v>43480</v>
      </c>
      <c r="B39" s="6">
        <v>2.0833333333333332E-2</v>
      </c>
      <c r="C39" t="s">
        <v>24</v>
      </c>
      <c r="D39" t="s">
        <v>21</v>
      </c>
      <c r="E39" s="16" t="str">
        <f ca="1">IFERROR(__xludf.DUMMYFUNCTION("""COMPUTED_VALUE"""),"Shu-Yu Chiu")</f>
        <v>Shu-Yu Chiu</v>
      </c>
      <c r="F39" s="17" t="str">
        <f ca="1">IFERROR(__xludf.DUMMYFUNCTION("""COMPUTED_VALUE"""),"ESL 244")</f>
        <v>ESL 244</v>
      </c>
      <c r="G39" s="17" t="str">
        <f ca="1">IFERROR(__xludf.DUMMYFUNCTION("""COMPUTED_VALUE"""),"crischiou@gmail.com")</f>
        <v>crischiou@gmail.com</v>
      </c>
      <c r="H39" s="18" t="s">
        <v>6</v>
      </c>
    </row>
    <row r="40" spans="1:8">
      <c r="A40" s="4">
        <v>43480</v>
      </c>
      <c r="B40" s="6">
        <v>2.0833333333333332E-2</v>
      </c>
      <c r="C40" t="s">
        <v>24</v>
      </c>
      <c r="D40" t="s">
        <v>21</v>
      </c>
      <c r="E40" s="16" t="str">
        <f ca="1">IFERROR(__xludf.DUMMYFUNCTION("""COMPUTED_VALUE"""),"Vrashab Sheregar")</f>
        <v>Vrashab Sheregar</v>
      </c>
      <c r="F40" s="17" t="str">
        <f ca="1">IFERROR(__xludf.DUMMYFUNCTION("""COMPUTED_VALUE"""),"ESL 261")</f>
        <v>ESL 261</v>
      </c>
      <c r="G40" s="17" t="str">
        <f ca="1">IFERROR(__xludf.DUMMYFUNCTION("""COMPUTED_VALUE"""),"vrashab.sheregar@gmail.com")</f>
        <v>vrashab.sheregar@gmail.com</v>
      </c>
      <c r="H40" s="18" t="s">
        <v>6</v>
      </c>
    </row>
    <row r="41" spans="1:8">
      <c r="A41" s="4">
        <v>43480</v>
      </c>
      <c r="B41" s="6">
        <v>2.0833333333333332E-2</v>
      </c>
      <c r="C41" t="s">
        <v>24</v>
      </c>
      <c r="D41" t="s">
        <v>21</v>
      </c>
      <c r="E41" s="16" t="str">
        <f ca="1">IFERROR(__xludf.DUMMYFUNCTION("""COMPUTED_VALUE"""),"Xiaofeng Zhang")</f>
        <v>Xiaofeng Zhang</v>
      </c>
      <c r="F41" s="17" t="str">
        <f ca="1">IFERROR(__xludf.DUMMYFUNCTION("""COMPUTED_VALUE"""),"ESL 244")</f>
        <v>ESL 244</v>
      </c>
      <c r="G41" s="17" t="str">
        <f ca="1">IFERROR(__xludf.DUMMYFUNCTION("""COMPUTED_VALUE"""),"405138462cici@gmail.com")</f>
        <v>405138462cici@gmail.com</v>
      </c>
      <c r="H41" s="18" t="s">
        <v>6</v>
      </c>
    </row>
    <row r="42" spans="1:8">
      <c r="A42" s="4">
        <v>43480</v>
      </c>
      <c r="B42" s="6">
        <v>2.0833333333333332E-2</v>
      </c>
      <c r="C42" t="s">
        <v>24</v>
      </c>
      <c r="D42" t="s">
        <v>21</v>
      </c>
      <c r="E42" s="16" t="str">
        <f ca="1">IFERROR(__xludf.DUMMYFUNCTION("""COMPUTED_VALUE"""),"Satsuki Inoue")</f>
        <v>Satsuki Inoue</v>
      </c>
      <c r="F42" s="17" t="str">
        <f ca="1">IFERROR(__xludf.DUMMYFUNCTION("""COMPUTED_VALUE"""),"ESL 261")</f>
        <v>ESL 261</v>
      </c>
      <c r="G42" s="17" t="str">
        <f ca="1">IFERROR(__xludf.DUMMYFUNCTION("""COMPUTED_VALUE"""),"satsuki19990525@gmail.com")</f>
        <v>satsuki19990525@gmail.com</v>
      </c>
      <c r="H42" s="18" t="s">
        <v>6</v>
      </c>
    </row>
    <row r="43" spans="1:8">
      <c r="A43" s="4">
        <v>43480</v>
      </c>
      <c r="B43" s="6">
        <v>2.0833333333333332E-2</v>
      </c>
      <c r="C43" t="s">
        <v>24</v>
      </c>
      <c r="D43" t="s">
        <v>21</v>
      </c>
      <c r="E43" s="16" t="str">
        <f ca="1">IFERROR(__xludf.DUMMYFUNCTION("""COMPUTED_VALUE"""),"Hue Dinh")</f>
        <v>Hue Dinh</v>
      </c>
      <c r="F43" s="17" t="str">
        <f ca="1">IFERROR(__xludf.DUMMYFUNCTION("""COMPUTED_VALUE"""),"ESL 260")</f>
        <v>ESL 260</v>
      </c>
      <c r="G43" s="17" t="str">
        <f ca="1">IFERROR(__xludf.DUMMYFUNCTION("""COMPUTED_VALUE"""),"myhuett@gmail.com")</f>
        <v>myhuett@gmail.com</v>
      </c>
      <c r="H43" s="18" t="s">
        <v>7</v>
      </c>
    </row>
    <row r="44" spans="1:8">
      <c r="A44" s="4">
        <v>43480</v>
      </c>
      <c r="B44" s="6">
        <v>2.0833333333333332E-2</v>
      </c>
      <c r="C44" t="s">
        <v>24</v>
      </c>
      <c r="D44" t="s">
        <v>21</v>
      </c>
      <c r="E44" s="16" t="str">
        <f ca="1">IFERROR(__xludf.DUMMYFUNCTION("""COMPUTED_VALUE"""),"Shumei Gan")</f>
        <v>Shumei Gan</v>
      </c>
      <c r="F44" s="17" t="str">
        <f ca="1">IFERROR(__xludf.DUMMYFUNCTION("""COMPUTED_VALUE"""),"ESL 244")</f>
        <v>ESL 244</v>
      </c>
      <c r="G44" s="17" t="str">
        <f ca="1">IFERROR(__xludf.DUMMYFUNCTION("""COMPUTED_VALUE"""),"guado@sbcglobal.net")</f>
        <v>guado@sbcglobal.net</v>
      </c>
      <c r="H44" s="18" t="s">
        <v>6</v>
      </c>
    </row>
    <row r="45" spans="1:8">
      <c r="A45" s="4">
        <v>43480</v>
      </c>
      <c r="B45" s="6">
        <v>2.0833333333333332E-2</v>
      </c>
      <c r="C45" t="s">
        <v>24</v>
      </c>
      <c r="D45" t="s">
        <v>21</v>
      </c>
      <c r="E45" s="16" t="str">
        <f ca="1">IFERROR(__xludf.DUMMYFUNCTION("""COMPUTED_VALUE"""),"Yu Hsiao")</f>
        <v>Yu Hsiao</v>
      </c>
      <c r="F45" s="17" t="str">
        <f ca="1">IFERROR(__xludf.DUMMYFUNCTION("""COMPUTED_VALUE"""),"ESL 251")</f>
        <v>ESL 251</v>
      </c>
      <c r="G45" s="17" t="str">
        <f ca="1">IFERROR(__xludf.DUMMYFUNCTION("""COMPUTED_VALUE"""),"michellexiao418@gmail.com")</f>
        <v>michellexiao418@gmail.com</v>
      </c>
      <c r="H45" s="18" t="s">
        <v>7</v>
      </c>
    </row>
    <row r="46" spans="1:8">
      <c r="A46" s="4">
        <v>43480</v>
      </c>
      <c r="B46" s="6">
        <v>2.0833333333333332E-2</v>
      </c>
      <c r="C46" t="s">
        <v>24</v>
      </c>
      <c r="D46" t="s">
        <v>21</v>
      </c>
      <c r="E46" s="16" t="str">
        <f ca="1">IFERROR(__xludf.DUMMYFUNCTION("""COMPUTED_VALUE"""),"Yan Zuo")</f>
        <v>Yan Zuo</v>
      </c>
      <c r="F46" s="17" t="str">
        <f ca="1">IFERROR(__xludf.DUMMYFUNCTION("""COMPUTED_VALUE"""),"ESL 261")</f>
        <v>ESL 261</v>
      </c>
      <c r="G46" s="17" t="str">
        <f ca="1">IFERROR(__xludf.DUMMYFUNCTION("""COMPUTED_VALUE"""),"49072234@qq.com")</f>
        <v>49072234@qq.com</v>
      </c>
      <c r="H46" s="18" t="s">
        <v>6</v>
      </c>
    </row>
    <row r="47" spans="1:8">
      <c r="A47" s="4">
        <v>43480</v>
      </c>
      <c r="B47" s="6">
        <v>2.0833333333333332E-2</v>
      </c>
      <c r="C47" t="s">
        <v>24</v>
      </c>
      <c r="D47" t="s">
        <v>21</v>
      </c>
      <c r="E47" s="16" t="str">
        <f ca="1">IFERROR(__xludf.DUMMYFUNCTION("""COMPUTED_VALUE"""),"pei xu")</f>
        <v>pei xu</v>
      </c>
      <c r="F47" s="17" t="str">
        <f ca="1">IFERROR(__xludf.DUMMYFUNCTION("""COMPUTED_VALUE"""),"ESL 234")</f>
        <v>ESL 234</v>
      </c>
      <c r="G47" s="17" t="str">
        <f ca="1">IFERROR(__xludf.DUMMYFUNCTION("""COMPUTED_VALUE"""),"sophiexu1981@yahoo.co.jp")</f>
        <v>sophiexu1981@yahoo.co.jp</v>
      </c>
      <c r="H47" s="18" t="s">
        <v>6</v>
      </c>
    </row>
    <row r="48" spans="1:8">
      <c r="A48" s="4">
        <v>43480</v>
      </c>
      <c r="B48" s="6">
        <v>2.0833333333333332E-2</v>
      </c>
      <c r="C48" t="s">
        <v>24</v>
      </c>
      <c r="D48" t="s">
        <v>21</v>
      </c>
      <c r="E48" s="16" t="str">
        <f ca="1">IFERROR(__xludf.DUMMYFUNCTION("""COMPUTED_VALUE"""),"Qiao Zhang")</f>
        <v>Qiao Zhang</v>
      </c>
      <c r="F48" s="17" t="str">
        <f ca="1">IFERROR(__xludf.DUMMYFUNCTION("""COMPUTED_VALUE"""),"ESL 251")</f>
        <v>ESL 251</v>
      </c>
      <c r="G48" s="17" t="str">
        <f ca="1">IFERROR(__xludf.DUMMYFUNCTION("""COMPUTED_VALUE"""),"zhangq823@gmail.com")</f>
        <v>zhangq823@gmail.com</v>
      </c>
      <c r="H48" s="18" t="s">
        <v>6</v>
      </c>
    </row>
    <row r="49" spans="1:8">
      <c r="A49" s="4">
        <v>43480</v>
      </c>
      <c r="B49" s="6">
        <v>2.0833333333333332E-2</v>
      </c>
      <c r="C49" t="s">
        <v>24</v>
      </c>
      <c r="D49" t="s">
        <v>21</v>
      </c>
      <c r="E49" s="16" t="str">
        <f ca="1">IFERROR(__xludf.DUMMYFUNCTION("""COMPUTED_VALUE"""),"Christian Gonzalez")</f>
        <v>Christian Gonzalez</v>
      </c>
      <c r="F49" s="17" t="str">
        <f ca="1">IFERROR(__xludf.DUMMYFUNCTION("""COMPUTED_VALUE"""),"ESL 234")</f>
        <v>ESL 234</v>
      </c>
      <c r="G49" s="17" t="str">
        <f ca="1">IFERROR(__xludf.DUMMYFUNCTION("""COMPUTED_VALUE"""),"christian_cgb@hotmail.com")</f>
        <v>christian_cgb@hotmail.com</v>
      </c>
      <c r="H49" s="18" t="s">
        <v>6</v>
      </c>
    </row>
    <row r="50" spans="1:8">
      <c r="A50" s="4">
        <v>43480</v>
      </c>
      <c r="B50" s="6">
        <v>2.0833333333333332E-2</v>
      </c>
      <c r="C50" t="s">
        <v>24</v>
      </c>
      <c r="D50" t="s">
        <v>21</v>
      </c>
      <c r="E50" s="16" t="str">
        <f ca="1">IFERROR(__xludf.DUMMYFUNCTION("""COMPUTED_VALUE"""),"Yin-Ju Yang")</f>
        <v>Yin-Ju Yang</v>
      </c>
      <c r="F50" s="17" t="str">
        <f ca="1">IFERROR(__xludf.DUMMYFUNCTION("""COMPUTED_VALUE"""),"ESL 234")</f>
        <v>ESL 234</v>
      </c>
      <c r="G50" s="17" t="str">
        <f ca="1">IFERROR(__xludf.DUMMYFUNCTION("""COMPUTED_VALUE"""),"meko3457@gmail.com")</f>
        <v>meko3457@gmail.com</v>
      </c>
      <c r="H50" s="18" t="s">
        <v>6</v>
      </c>
    </row>
    <row r="51" spans="1:8">
      <c r="A51" s="4">
        <v>43480</v>
      </c>
      <c r="B51" s="6">
        <v>2.0833333333333332E-2</v>
      </c>
      <c r="C51" t="s">
        <v>24</v>
      </c>
      <c r="D51" t="s">
        <v>21</v>
      </c>
      <c r="E51" s="16" t="str">
        <f ca="1">IFERROR(__xludf.DUMMYFUNCTION("""COMPUTED_VALUE"""),"yan rong")</f>
        <v>yan rong</v>
      </c>
      <c r="F51" s="17" t="str">
        <f ca="1">IFERROR(__xludf.DUMMYFUNCTION("""COMPUTED_VALUE"""),"ESL 261")</f>
        <v>ESL 261</v>
      </c>
      <c r="G51" s="17" t="str">
        <f ca="1">IFERROR(__xludf.DUMMYFUNCTION("""COMPUTED_VALUE"""),"rongyan@student.deanza.edu")</f>
        <v>rongyan@student.deanza.edu</v>
      </c>
      <c r="H51" s="18" t="s">
        <v>5</v>
      </c>
    </row>
    <row r="52" spans="1:8">
      <c r="A52" s="4">
        <v>43480</v>
      </c>
      <c r="B52" s="6">
        <v>2.0833333333333332E-2</v>
      </c>
      <c r="C52" t="s">
        <v>24</v>
      </c>
      <c r="D52" t="s">
        <v>21</v>
      </c>
      <c r="E52" s="16" t="str">
        <f ca="1">IFERROR(__xludf.DUMMYFUNCTION("""COMPUTED_VALUE"""),"Ryan")</f>
        <v>Ryan</v>
      </c>
      <c r="F52" s="17" t="str">
        <f ca="1">IFERROR(__xludf.DUMMYFUNCTION("""COMPUTED_VALUE"""),"ESL 234")</f>
        <v>ESL 234</v>
      </c>
      <c r="G52" s="17" t="str">
        <f ca="1">IFERROR(__xludf.DUMMYFUNCTION("""COMPUTED_VALUE"""),"taylorbryan012@gmail.com")</f>
        <v>taylorbryan012@gmail.com</v>
      </c>
      <c r="H52" s="18"/>
    </row>
    <row r="53" spans="1:8">
      <c r="A53" s="4">
        <v>43480</v>
      </c>
      <c r="B53" s="6">
        <v>2.0833333333333332E-2</v>
      </c>
      <c r="C53" t="s">
        <v>24</v>
      </c>
      <c r="D53" t="s">
        <v>21</v>
      </c>
      <c r="E53" s="16" t="str">
        <f ca="1">IFERROR(__xludf.DUMMYFUNCTION("""COMPUTED_VALUE"""),"Yuki Noda")</f>
        <v>Yuki Noda</v>
      </c>
      <c r="F53" s="17" t="str">
        <f ca="1">IFERROR(__xludf.DUMMYFUNCTION("""COMPUTED_VALUE"""),"ESL 252")</f>
        <v>ESL 252</v>
      </c>
      <c r="G53" s="17" t="str">
        <f ca="1">IFERROR(__xludf.DUMMYFUNCTION("""COMPUTED_VALUE"""),"nyanya331@gmail.com")</f>
        <v>nyanya331@gmail.com</v>
      </c>
      <c r="H53" s="18"/>
    </row>
    <row r="54" spans="1:8">
      <c r="A54" s="4">
        <v>43480</v>
      </c>
      <c r="B54" s="6">
        <v>2.0833333333333332E-2</v>
      </c>
      <c r="C54" t="s">
        <v>24</v>
      </c>
      <c r="D54" t="s">
        <v>21</v>
      </c>
      <c r="E54" s="16" t="s">
        <v>18</v>
      </c>
      <c r="F54" s="17" t="s">
        <v>17</v>
      </c>
      <c r="G54" s="17"/>
      <c r="H54" s="18" t="s">
        <v>6</v>
      </c>
    </row>
    <row r="55" spans="1:8">
      <c r="A55" s="4">
        <v>43480</v>
      </c>
      <c r="B55" s="6">
        <v>0.625</v>
      </c>
      <c r="C55" t="s">
        <v>20</v>
      </c>
      <c r="D55" t="s">
        <v>27</v>
      </c>
      <c r="E55" s="16" t="str">
        <f ca="1">IFERROR(__xludf.DUMMYFUNCTION("if(countunique(OFFSET(LIB!$B$2,0,3))=0,""NOT AVAILABLE"",filter(DB!$B:$D,SEARCH(OFFSET(LIB!$B$2,0,3),DB!$E:$E)))"),"Tracy chou")</f>
        <v>Tracy chou</v>
      </c>
      <c r="F55" s="17" t="str">
        <f ca="1">IFERROR(__xludf.DUMMYFUNCTION("""COMPUTED_VALUE"""),"ESL 244")</f>
        <v>ESL 244</v>
      </c>
      <c r="G55" s="17" t="str">
        <f ca="1">IFERROR(__xludf.DUMMYFUNCTION("""COMPUTED_VALUE"""),"candychou1998@gmail.com")</f>
        <v>candychou1998@gmail.com</v>
      </c>
      <c r="H55" s="18" t="s">
        <v>6</v>
      </c>
    </row>
    <row r="56" spans="1:8">
      <c r="A56" s="4">
        <v>43480</v>
      </c>
      <c r="B56" s="6">
        <v>0.625</v>
      </c>
      <c r="C56" t="s">
        <v>20</v>
      </c>
      <c r="D56" t="s">
        <v>27</v>
      </c>
      <c r="E56" s="16" t="str">
        <f ca="1">IFERROR(__xludf.DUMMYFUNCTION("""COMPUTED_VALUE"""),"pei xu")</f>
        <v>pei xu</v>
      </c>
      <c r="F56" s="17" t="str">
        <f ca="1">IFERROR(__xludf.DUMMYFUNCTION("""COMPUTED_VALUE"""),"ESL 234")</f>
        <v>ESL 234</v>
      </c>
      <c r="G56" s="17" t="str">
        <f ca="1">IFERROR(__xludf.DUMMYFUNCTION("""COMPUTED_VALUE"""),"sophiexu1981@yahoo.co.jp")</f>
        <v>sophiexu1981@yahoo.co.jp</v>
      </c>
      <c r="H56" s="18" t="s">
        <v>7</v>
      </c>
    </row>
    <row r="57" spans="1:8">
      <c r="A57" s="4">
        <v>43480</v>
      </c>
      <c r="B57" s="6">
        <v>0.625</v>
      </c>
      <c r="C57" t="s">
        <v>20</v>
      </c>
      <c r="D57" t="s">
        <v>27</v>
      </c>
      <c r="E57" s="16" t="str">
        <f ca="1">IFERROR(__xludf.DUMMYFUNCTION("""COMPUTED_VALUE"""),"Christian Gonzalez")</f>
        <v>Christian Gonzalez</v>
      </c>
      <c r="F57" s="17" t="str">
        <f ca="1">IFERROR(__xludf.DUMMYFUNCTION("""COMPUTED_VALUE"""),"ESL 234")</f>
        <v>ESL 234</v>
      </c>
      <c r="G57" s="17" t="str">
        <f ca="1">IFERROR(__xludf.DUMMYFUNCTION("""COMPUTED_VALUE"""),"christian_cgb@hotmail.com")</f>
        <v>christian_cgb@hotmail.com</v>
      </c>
      <c r="H57" s="18" t="s">
        <v>6</v>
      </c>
    </row>
    <row r="58" spans="1:8">
      <c r="A58" s="4">
        <v>43480</v>
      </c>
      <c r="B58" s="6">
        <v>0.625</v>
      </c>
      <c r="C58" t="s">
        <v>20</v>
      </c>
      <c r="D58" t="s">
        <v>27</v>
      </c>
      <c r="E58" s="16" t="str">
        <f ca="1">IFERROR(__xludf.DUMMYFUNCTION("""COMPUTED_VALUE"""),"Vanessa Ranarison")</f>
        <v>Vanessa Ranarison</v>
      </c>
      <c r="F58" s="17" t="str">
        <f ca="1">IFERROR(__xludf.DUMMYFUNCTION("""COMPUTED_VALUE"""),"ESL 261")</f>
        <v>ESL 261</v>
      </c>
      <c r="G58" s="17" t="str">
        <f ca="1">IFERROR(__xludf.DUMMYFUNCTION("""COMPUTED_VALUE"""),"vaneshranarison@gmail.com")</f>
        <v>vaneshranarison@gmail.com</v>
      </c>
      <c r="H58" s="18" t="s">
        <v>7</v>
      </c>
    </row>
    <row r="59" spans="1:8">
      <c r="A59" s="4">
        <v>43480</v>
      </c>
      <c r="B59" s="6">
        <v>0.625</v>
      </c>
      <c r="C59" t="s">
        <v>20</v>
      </c>
      <c r="D59" t="s">
        <v>27</v>
      </c>
      <c r="E59" s="16" t="str">
        <f ca="1">IFERROR(__xludf.DUMMYFUNCTION("""COMPUTED_VALUE"""),"Ricardo vazquez ")</f>
        <v xml:space="preserve">Ricardo vazquez </v>
      </c>
      <c r="F59" s="17" t="str">
        <f ca="1">IFERROR(__xludf.DUMMYFUNCTION("""COMPUTED_VALUE"""),"ESL 262")</f>
        <v>ESL 262</v>
      </c>
      <c r="G59" s="17" t="str">
        <f ca="1">IFERROR(__xludf.DUMMYFUNCTION("""COMPUTED_VALUE"""),"ricardo.vazquez.1522@gmail.com")</f>
        <v>ricardo.vazquez.1522@gmail.com</v>
      </c>
      <c r="H59" s="18" t="s">
        <v>7</v>
      </c>
    </row>
    <row r="60" spans="1:8">
      <c r="A60" s="4">
        <v>43480</v>
      </c>
      <c r="B60" s="6">
        <v>0.625</v>
      </c>
      <c r="C60" t="s">
        <v>20</v>
      </c>
      <c r="D60" t="s">
        <v>27</v>
      </c>
      <c r="E60" s="16" t="str">
        <f ca="1">IFERROR(__xludf.DUMMYFUNCTION("""COMPUTED_VALUE"""),"hanna choi")</f>
        <v>hanna choi</v>
      </c>
      <c r="F60" s="17" t="str">
        <f ca="1">IFERROR(__xludf.DUMMYFUNCTION("""COMPUTED_VALUE"""),"ESL 251")</f>
        <v>ESL 251</v>
      </c>
      <c r="G60" s="17" t="str">
        <f ca="1">IFERROR(__xludf.DUMMYFUNCTION("""COMPUTED_VALUE"""),"gksskg92@gmail.com")</f>
        <v>gksskg92@gmail.com</v>
      </c>
      <c r="H60" s="18" t="s">
        <v>7</v>
      </c>
    </row>
    <row r="61" spans="1:8">
      <c r="A61" s="4">
        <v>43480</v>
      </c>
      <c r="B61" s="6">
        <v>0.625</v>
      </c>
      <c r="C61" t="s">
        <v>20</v>
      </c>
      <c r="D61" t="s">
        <v>27</v>
      </c>
      <c r="E61" s="16" t="str">
        <f ca="1">IFERROR(__xludf.DUMMYFUNCTION("""COMPUTED_VALUE"""),"Wai TANG")</f>
        <v>Wai TANG</v>
      </c>
      <c r="F61" s="17" t="str">
        <f ca="1">IFERROR(__xludf.DUMMYFUNCTION("""COMPUTED_VALUE"""),"OTHERS (Transferable)")</f>
        <v>OTHERS (Transferable)</v>
      </c>
      <c r="G61" s="17" t="str">
        <f ca="1">IFERROR(__xludf.DUMMYFUNCTION("""COMPUTED_VALUE"""),"wltangusa@hotmail.com")</f>
        <v>wltangusa@hotmail.com</v>
      </c>
      <c r="H61" s="18" t="s">
        <v>7</v>
      </c>
    </row>
    <row r="62" spans="1:8">
      <c r="A62" s="4">
        <v>43480</v>
      </c>
      <c r="B62" s="6">
        <v>0.625</v>
      </c>
      <c r="C62" t="s">
        <v>20</v>
      </c>
      <c r="D62" t="s">
        <v>27</v>
      </c>
      <c r="E62" s="16" t="str">
        <f ca="1">IFERROR(__xludf.DUMMYFUNCTION("""COMPUTED_VALUE"""),"Huy Pham")</f>
        <v>Huy Pham</v>
      </c>
      <c r="F62" s="17" t="str">
        <f ca="1">IFERROR(__xludf.DUMMYFUNCTION("""COMPUTED_VALUE"""),"ESL 253")</f>
        <v>ESL 253</v>
      </c>
      <c r="G62" s="17" t="str">
        <f ca="1">IFERROR(__xludf.DUMMYFUNCTION("""COMPUTED_VALUE"""),"phamlehuy1010@gmail.com")</f>
        <v>phamlehuy1010@gmail.com</v>
      </c>
      <c r="H62" s="18" t="s">
        <v>6</v>
      </c>
    </row>
    <row r="63" spans="1:8">
      <c r="A63" s="4">
        <v>43480</v>
      </c>
      <c r="B63" s="6">
        <v>0.625</v>
      </c>
      <c r="C63" t="s">
        <v>20</v>
      </c>
      <c r="D63" t="s">
        <v>27</v>
      </c>
      <c r="E63" s="16" t="str">
        <f ca="1">IFERROR(__xludf.DUMMYFUNCTION("""COMPUTED_VALUE"""),"jiaona cai")</f>
        <v>jiaona cai</v>
      </c>
      <c r="F63" s="17" t="str">
        <f ca="1">IFERROR(__xludf.DUMMYFUNCTION("""COMPUTED_VALUE"""),"ESL 234")</f>
        <v>ESL 234</v>
      </c>
      <c r="G63" s="17" t="str">
        <f ca="1">IFERROR(__xludf.DUMMYFUNCTION("""COMPUTED_VALUE"""),"caijiaona@gmail.com")</f>
        <v>caijiaona@gmail.com</v>
      </c>
      <c r="H63" s="18" t="s">
        <v>6</v>
      </c>
    </row>
    <row r="64" spans="1:8">
      <c r="A64" s="4">
        <v>43480</v>
      </c>
      <c r="B64" s="6">
        <v>0.625</v>
      </c>
      <c r="C64" t="s">
        <v>20</v>
      </c>
      <c r="D64" t="s">
        <v>27</v>
      </c>
      <c r="E64" s="16" t="str">
        <f ca="1">IFERROR(__xludf.DUMMYFUNCTION("""COMPUTED_VALUE"""),"Siyao Shao")</f>
        <v>Siyao Shao</v>
      </c>
      <c r="F64" s="17" t="str">
        <f ca="1">IFERROR(__xludf.DUMMYFUNCTION("""COMPUTED_VALUE"""),"ESL 251")</f>
        <v>ESL 251</v>
      </c>
      <c r="G64" s="17" t="str">
        <f ca="1">IFERROR(__xludf.DUMMYFUNCTION("""COMPUTED_VALUE"""),"shaosiyao0722@gmail.com")</f>
        <v>shaosiyao0722@gmail.com</v>
      </c>
      <c r="H64" s="18" t="s">
        <v>6</v>
      </c>
    </row>
    <row r="65" spans="1:8">
      <c r="A65" s="4">
        <v>43480</v>
      </c>
      <c r="B65" s="6">
        <v>0.625</v>
      </c>
      <c r="C65" t="s">
        <v>20</v>
      </c>
      <c r="D65" t="s">
        <v>27</v>
      </c>
      <c r="E65" s="16" t="str">
        <f ca="1">IFERROR(__xludf.DUMMYFUNCTION("""COMPUTED_VALUE"""),"Muyu Nie")</f>
        <v>Muyu Nie</v>
      </c>
      <c r="F65" s="17" t="str">
        <f ca="1">IFERROR(__xludf.DUMMYFUNCTION("""COMPUTED_VALUE"""),"ESL 244")</f>
        <v>ESL 244</v>
      </c>
      <c r="G65" s="17" t="str">
        <f ca="1">IFERROR(__xludf.DUMMYFUNCTION("""COMPUTED_VALUE"""),"nie.muyu@gmail.com")</f>
        <v>nie.muyu@gmail.com</v>
      </c>
      <c r="H65" s="18" t="s">
        <v>7</v>
      </c>
    </row>
    <row r="66" spans="1:8">
      <c r="A66" s="4">
        <v>43480</v>
      </c>
      <c r="B66" s="6">
        <v>0.625</v>
      </c>
      <c r="C66" t="s">
        <v>20</v>
      </c>
      <c r="D66" t="s">
        <v>27</v>
      </c>
      <c r="E66" s="16" t="str">
        <f ca="1">IFERROR(__xludf.DUMMYFUNCTION("""COMPUTED_VALUE"""),"Liu xiaoyan")</f>
        <v>Liu xiaoyan</v>
      </c>
      <c r="F66" s="17" t="str">
        <f ca="1">IFERROR(__xludf.DUMMYFUNCTION("""COMPUTED_VALUE"""),"ESL 261")</f>
        <v>ESL 261</v>
      </c>
      <c r="G66" s="17" t="str">
        <f ca="1">IFERROR(__xludf.DUMMYFUNCTION("""COMPUTED_VALUE"""),"liuxyzy@aliyun.com")</f>
        <v>liuxyzy@aliyun.com</v>
      </c>
      <c r="H66" s="18" t="s">
        <v>7</v>
      </c>
    </row>
    <row r="67" spans="1:8">
      <c r="A67" s="4">
        <v>43480</v>
      </c>
      <c r="B67" s="6">
        <v>0.625</v>
      </c>
      <c r="C67" t="s">
        <v>20</v>
      </c>
      <c r="D67" t="s">
        <v>27</v>
      </c>
      <c r="E67" s="16" t="str">
        <f ca="1">IFERROR(__xludf.DUMMYFUNCTION("""COMPUTED_VALUE"""),"Stefanie Tjaden")</f>
        <v>Stefanie Tjaden</v>
      </c>
      <c r="F67" s="17" t="str">
        <f ca="1">IFERROR(__xludf.DUMMYFUNCTION("""COMPUTED_VALUE"""),"ESL 261")</f>
        <v>ESL 261</v>
      </c>
      <c r="G67" s="17" t="str">
        <f ca="1">IFERROR(__xludf.DUMMYFUNCTION("""COMPUTED_VALUE"""),"tjadenstefanie@gmail.com")</f>
        <v>tjadenstefanie@gmail.com</v>
      </c>
      <c r="H67" s="18" t="s">
        <v>6</v>
      </c>
    </row>
    <row r="68" spans="1:8">
      <c r="A68" s="4">
        <v>43480</v>
      </c>
      <c r="B68" s="6">
        <v>0.625</v>
      </c>
      <c r="C68" t="s">
        <v>20</v>
      </c>
      <c r="D68" t="s">
        <v>27</v>
      </c>
      <c r="E68" s="16" t="str">
        <f ca="1">IFERROR(__xludf.DUMMYFUNCTION("""COMPUTED_VALUE"""),"Jean Wu")</f>
        <v>Jean Wu</v>
      </c>
      <c r="F68" s="17" t="str">
        <f ca="1">IFERROR(__xludf.DUMMYFUNCTION("""COMPUTED_VALUE"""),"EWRT/READ/LART 200")</f>
        <v>EWRT/READ/LART 200</v>
      </c>
      <c r="G68" s="17" t="str">
        <f ca="1">IFERROR(__xludf.DUMMYFUNCTION("""COMPUTED_VALUE"""),"jeanlwul@gmail.com")</f>
        <v>jeanlwul@gmail.com</v>
      </c>
      <c r="H68" s="18" t="s">
        <v>6</v>
      </c>
    </row>
    <row r="69" spans="1:8">
      <c r="A69" s="4">
        <v>43480</v>
      </c>
      <c r="B69" s="6">
        <v>0.625</v>
      </c>
      <c r="C69" t="s">
        <v>20</v>
      </c>
      <c r="D69" t="s">
        <v>27</v>
      </c>
      <c r="E69" s="16" t="s">
        <v>25</v>
      </c>
      <c r="F69" s="17" t="s">
        <v>26</v>
      </c>
      <c r="G69" s="17"/>
      <c r="H69" s="18" t="s">
        <v>6</v>
      </c>
    </row>
  </sheetData>
  <conditionalFormatting sqref="E2:H16 E37:H69">
    <cfRule type="containsText" dxfId="11" priority="16" operator="containsText" text="Present">
      <formula>NOT(ISERROR(SEARCH(("Present"),(E2))))</formula>
    </cfRule>
  </conditionalFormatting>
  <conditionalFormatting sqref="E2:H16 E37:H69">
    <cfRule type="containsText" dxfId="10" priority="17" operator="containsText" text="Absent">
      <formula>NOT(ISERROR(SEARCH(("Absent"),(E2))))</formula>
    </cfRule>
  </conditionalFormatting>
  <conditionalFormatting sqref="E2:H16 E37:H69">
    <cfRule type="containsText" dxfId="9" priority="18" operator="containsText" text="Canceled">
      <formula>NOT(ISERROR(SEARCH(("Canceled"),(E2))))</formula>
    </cfRule>
  </conditionalFormatting>
  <conditionalFormatting sqref="E17:H19">
    <cfRule type="containsText" dxfId="8" priority="13" operator="containsText" text="Present">
      <formula>NOT(ISERROR(SEARCH(("Present"),(E17))))</formula>
    </cfRule>
  </conditionalFormatting>
  <conditionalFormatting sqref="E17:H19">
    <cfRule type="containsText" dxfId="7" priority="14" operator="containsText" text="Absent">
      <formula>NOT(ISERROR(SEARCH(("Absent"),(E17))))</formula>
    </cfRule>
  </conditionalFormatting>
  <conditionalFormatting sqref="E17:H19">
    <cfRule type="containsText" dxfId="6" priority="15" operator="containsText" text="Canceled">
      <formula>NOT(ISERROR(SEARCH(("Canceled"),(E17))))</formula>
    </cfRule>
  </conditionalFormatting>
  <conditionalFormatting sqref="E20:H34">
    <cfRule type="containsText" dxfId="5" priority="10" operator="containsText" text="Present">
      <formula>NOT(ISERROR(SEARCH(("Present"),(E20))))</formula>
    </cfRule>
  </conditionalFormatting>
  <conditionalFormatting sqref="E20:H34">
    <cfRule type="containsText" dxfId="4" priority="11" operator="containsText" text="Absent">
      <formula>NOT(ISERROR(SEARCH(("Absent"),(E20))))</formula>
    </cfRule>
  </conditionalFormatting>
  <conditionalFormatting sqref="E20:H34">
    <cfRule type="containsText" dxfId="3" priority="12" operator="containsText" text="Canceled">
      <formula>NOT(ISERROR(SEARCH(("Canceled"),(E20))))</formula>
    </cfRule>
  </conditionalFormatting>
  <conditionalFormatting sqref="E35:H36">
    <cfRule type="containsText" dxfId="2" priority="7" operator="containsText" text="Present">
      <formula>NOT(ISERROR(SEARCH(("Present"),(E35))))</formula>
    </cfRule>
  </conditionalFormatting>
  <conditionalFormatting sqref="E35:H36">
    <cfRule type="containsText" dxfId="1" priority="8" operator="containsText" text="Absent">
      <formula>NOT(ISERROR(SEARCH(("Absent"),(E35))))</formula>
    </cfRule>
  </conditionalFormatting>
  <conditionalFormatting sqref="E35:H36">
    <cfRule type="containsText" dxfId="0" priority="9" operator="containsText" text="Canceled">
      <formula>NOT(ISERROR(SEARCH(("Canceled"),(E35))))</formula>
    </cfRule>
  </conditionalFormatting>
  <dataValidations count="2">
    <dataValidation type="list" allowBlank="1" showErrorMessage="1" sqref="H2:H69">
      <formula1>"PRESENT,ABSENT,CANCELED"</formula1>
    </dataValidation>
    <dataValidation type="list" allowBlank="1" showErrorMessage="1" sqref="F17:F19 F35:F36 F54 F69">
      <formula1>"ESL 005,ESL 006,ESL 200,ESL 234,ESL 244,ESL 251,ESL 252,ESL 253,ESL 260,ESL 261,ESL 262,ESL 263,ESL 272,ESL 273,ESL 274,EWRT/READ/LART 200,EWRT/READ/LART 211,EWRT 1A,SPCH,OTHERS (Transferable),OTHERS (Non-Transferable)"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tutoring</vt:lpstr>
      <vt:lpstr>workshop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LSC Staff</dc:creator>
  <cp:lastModifiedBy>LSC Staff</cp:lastModifiedBy>
  <dcterms:created xsi:type="dcterms:W3CDTF">2019-06-04T21:43:30Z</dcterms:created>
  <dcterms:modified xsi:type="dcterms:W3CDTF">2019-06-04T22:12:58Z</dcterms:modified>
</cp:coreProperties>
</file>