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9F236F08-8B43-4F32-96CC-E1E8B38C2B8C}" xr6:coauthVersionLast="47" xr6:coauthVersionMax="47" xr10:uidLastSave="{00000000-0000-0000-0000-000000000000}"/>
  <bookViews>
    <workbookView xWindow="-108" yWindow="-108" windowWidth="23256" windowHeight="13896" activeTab="3" xr2:uid="{73D36004-3F2C-4BDA-96D3-71E56B0E331A}"/>
  </bookViews>
  <sheets>
    <sheet name="Incomestatement" sheetId="3" r:id="rId1"/>
    <sheet name="Ratio" sheetId="2" r:id="rId2"/>
    <sheet name="Balancesheet" sheetId="4" r:id="rId3"/>
    <sheet name="Cashflow" sheetId="5" r:id="rId4"/>
    <sheet name="Firm_Value" sheetId="1" r:id="rId5"/>
    <sheet name="Black_Scholes" sheetId="6" r:id="rId6"/>
    <sheet name="Intrinsic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6" l="1"/>
  <c r="D25" i="6"/>
  <c r="C25" i="6"/>
  <c r="B25" i="6"/>
  <c r="B20" i="6"/>
  <c r="B23" i="6"/>
  <c r="B21" i="6"/>
  <c r="C8" i="6"/>
  <c r="C11" i="6"/>
  <c r="C9" i="6"/>
  <c r="C12" i="6"/>
  <c r="C14" i="6"/>
  <c r="D8" i="6"/>
  <c r="D11" i="6"/>
  <c r="B8" i="6"/>
  <c r="B11" i="6"/>
  <c r="C11" i="2"/>
  <c r="C13" i="2"/>
  <c r="B11" i="2"/>
  <c r="B13" i="2"/>
  <c r="C19" i="2"/>
  <c r="C21" i="2"/>
  <c r="C20" i="2"/>
  <c r="B19" i="2"/>
  <c r="B21" i="2"/>
  <c r="B22" i="2"/>
  <c r="C22" i="2"/>
  <c r="B20" i="2"/>
  <c r="B31" i="4"/>
  <c r="B24" i="2"/>
  <c r="C31" i="4"/>
  <c r="C24" i="2"/>
  <c r="B46" i="4"/>
  <c r="B49" i="4"/>
  <c r="B38" i="4"/>
  <c r="C46" i="4"/>
  <c r="C38" i="4"/>
  <c r="C47" i="4"/>
  <c r="B14" i="4"/>
  <c r="B24" i="4"/>
  <c r="B23" i="4"/>
  <c r="C14" i="4"/>
  <c r="C24" i="4"/>
  <c r="C23" i="4"/>
  <c r="C49" i="4"/>
  <c r="B22" i="3"/>
  <c r="C22" i="3"/>
  <c r="B4" i="3"/>
  <c r="B35" i="2"/>
  <c r="B10" i="3"/>
  <c r="B36" i="2"/>
  <c r="B15" i="3"/>
  <c r="B37" i="2"/>
  <c r="C4" i="3"/>
  <c r="C35" i="2"/>
  <c r="C53" i="2"/>
  <c r="B53" i="2"/>
  <c r="C44" i="2"/>
  <c r="C4" i="2"/>
  <c r="B15" i="2"/>
  <c r="C15" i="2"/>
  <c r="B14" i="2"/>
  <c r="C14" i="2"/>
  <c r="D13" i="1"/>
  <c r="D17" i="1"/>
  <c r="D19" i="1"/>
  <c r="D2" i="1"/>
  <c r="D4" i="1"/>
  <c r="C17" i="1"/>
  <c r="C19" i="1"/>
  <c r="C20" i="1"/>
  <c r="D14" i="1"/>
  <c r="C42" i="1"/>
  <c r="D42" i="1"/>
  <c r="D49" i="1"/>
  <c r="C47" i="1"/>
  <c r="D47" i="1"/>
  <c r="C14" i="1"/>
  <c r="B12" i="1"/>
  <c r="B13" i="1"/>
  <c r="B23" i="1"/>
  <c r="B24" i="1"/>
  <c r="B2" i="1"/>
  <c r="B4" i="1"/>
  <c r="B6" i="1"/>
  <c r="B7" i="1"/>
  <c r="C37" i="1"/>
  <c r="C36" i="1"/>
  <c r="C39" i="1"/>
  <c r="C2" i="1"/>
  <c r="C4" i="1"/>
  <c r="C31" i="1"/>
  <c r="C32" i="1"/>
  <c r="C38" i="1"/>
  <c r="C40" i="1"/>
  <c r="D31" i="1"/>
  <c r="D32" i="1"/>
  <c r="C12" i="1"/>
  <c r="C13" i="1"/>
  <c r="C23" i="1"/>
  <c r="C24" i="1"/>
  <c r="D24" i="1"/>
  <c r="D36" i="1"/>
  <c r="D39" i="1"/>
  <c r="D37" i="1"/>
  <c r="D23" i="1"/>
  <c r="D12" i="1"/>
  <c r="B48" i="4"/>
  <c r="B50" i="4"/>
  <c r="D51" i="1"/>
  <c r="D38" i="1"/>
  <c r="D6" i="1"/>
  <c r="D7" i="1"/>
  <c r="D14" i="6"/>
  <c r="B31" i="2"/>
  <c r="B23" i="2"/>
  <c r="B25" i="2"/>
  <c r="B28" i="2"/>
  <c r="D52" i="1"/>
  <c r="D20" i="1"/>
  <c r="C50" i="4"/>
  <c r="C48" i="4"/>
  <c r="C6" i="1"/>
  <c r="C7" i="1"/>
  <c r="C25" i="1"/>
  <c r="C26" i="1"/>
  <c r="D44" i="1"/>
  <c r="D45" i="1"/>
  <c r="C31" i="2"/>
  <c r="C25" i="2"/>
  <c r="C28" i="2"/>
  <c r="C23" i="2"/>
  <c r="B18" i="3"/>
  <c r="B38" i="2"/>
  <c r="D25" i="1"/>
  <c r="D26" i="1"/>
  <c r="C10" i="3"/>
  <c r="B30" i="2"/>
  <c r="B9" i="6"/>
  <c r="B12" i="6"/>
  <c r="B14" i="6"/>
  <c r="B22" i="6"/>
  <c r="B47" i="4"/>
  <c r="D9" i="6"/>
  <c r="D12" i="6"/>
  <c r="D27" i="1"/>
  <c r="D28" i="1"/>
  <c r="D29" i="1"/>
  <c r="C26" i="2"/>
  <c r="C29" i="2"/>
  <c r="C27" i="1"/>
  <c r="C29" i="1"/>
  <c r="C28" i="1"/>
  <c r="B26" i="2"/>
  <c r="B29" i="2"/>
  <c r="D43" i="1"/>
  <c r="D46" i="1"/>
  <c r="D40" i="1"/>
  <c r="C15" i="3"/>
  <c r="C36" i="2"/>
  <c r="C5" i="2"/>
  <c r="C49" i="2"/>
  <c r="D53" i="1"/>
  <c r="C30" i="2"/>
  <c r="C40" i="2"/>
  <c r="C37" i="2"/>
  <c r="C18" i="3"/>
  <c r="C39" i="2"/>
  <c r="C6" i="2"/>
  <c r="C38" i="2"/>
  <c r="C48" i="2"/>
  <c r="C51" i="2"/>
  <c r="C57" i="2"/>
  <c r="C56" i="2"/>
  <c r="C55" i="2"/>
</calcChain>
</file>

<file path=xl/sharedStrings.xml><?xml version="1.0" encoding="utf-8"?>
<sst xmlns="http://schemas.openxmlformats.org/spreadsheetml/2006/main" count="217" uniqueCount="211">
  <si>
    <t>Short term debt</t>
    <phoneticPr fontId="2" type="noConversion"/>
  </si>
  <si>
    <t>Long term debt</t>
    <phoneticPr fontId="2" type="noConversion"/>
  </si>
  <si>
    <t>Interest Expense</t>
    <phoneticPr fontId="2" type="noConversion"/>
  </si>
  <si>
    <t>Average Total Debt</t>
    <phoneticPr fontId="2" type="noConversion"/>
  </si>
  <si>
    <t>Total Debt</t>
    <phoneticPr fontId="2" type="noConversion"/>
  </si>
  <si>
    <t>Cost of Debt</t>
    <phoneticPr fontId="2" type="noConversion"/>
  </si>
  <si>
    <t>Dividend</t>
    <phoneticPr fontId="2" type="noConversion"/>
  </si>
  <si>
    <t>EPS</t>
    <phoneticPr fontId="2" type="noConversion"/>
  </si>
  <si>
    <t>Payout ratio</t>
    <phoneticPr fontId="2" type="noConversion"/>
  </si>
  <si>
    <t>ROE</t>
    <phoneticPr fontId="2" type="noConversion"/>
  </si>
  <si>
    <t>Beta</t>
    <phoneticPr fontId="2" type="noConversion"/>
  </si>
  <si>
    <t>Risk-Free Rate</t>
    <phoneticPr fontId="2" type="noConversion"/>
  </si>
  <si>
    <t>Rm</t>
    <phoneticPr fontId="2" type="noConversion"/>
  </si>
  <si>
    <t>Cost of equity</t>
    <phoneticPr fontId="2" type="noConversion"/>
  </si>
  <si>
    <t>equity proportion</t>
    <phoneticPr fontId="2" type="noConversion"/>
  </si>
  <si>
    <t>debt proportion</t>
    <phoneticPr fontId="2" type="noConversion"/>
  </si>
  <si>
    <t>Growth rate=ROE*(1-payout)</t>
    <phoneticPr fontId="2" type="noConversion"/>
  </si>
  <si>
    <t>Profit attributable to shareholder</t>
    <phoneticPr fontId="2" type="noConversion"/>
  </si>
  <si>
    <t>Number of Ordinary? Share(Profit/EPS)</t>
    <phoneticPr fontId="2" type="noConversion"/>
  </si>
  <si>
    <t>Market Value of equity</t>
    <phoneticPr fontId="2" type="noConversion"/>
  </si>
  <si>
    <t>Price ( year ended? )</t>
    <phoneticPr fontId="2" type="noConversion"/>
  </si>
  <si>
    <t>Total Market Company Value</t>
    <phoneticPr fontId="2" type="noConversion"/>
  </si>
  <si>
    <t>CFO</t>
    <phoneticPr fontId="2" type="noConversion"/>
  </si>
  <si>
    <t>Tax Rate</t>
    <phoneticPr fontId="2" type="noConversion"/>
  </si>
  <si>
    <t>Increase in Fixed Capital</t>
    <phoneticPr fontId="2" type="noConversion"/>
  </si>
  <si>
    <t>Increase in Net Borrowing</t>
    <phoneticPr fontId="2" type="noConversion"/>
  </si>
  <si>
    <t>Total Current Liabilities</t>
    <phoneticPr fontId="2" type="noConversion"/>
  </si>
  <si>
    <t>FCFF from CFO</t>
    <phoneticPr fontId="2" type="noConversion"/>
  </si>
  <si>
    <t>Firm Value using FCFF</t>
    <phoneticPr fontId="2" type="noConversion"/>
  </si>
  <si>
    <t>FCFE from FCFF</t>
    <phoneticPr fontId="2" type="noConversion"/>
  </si>
  <si>
    <t>FCFE from CFO</t>
    <phoneticPr fontId="2" type="noConversion"/>
  </si>
  <si>
    <t>Firm Value using FCFE</t>
    <phoneticPr fontId="2" type="noConversion"/>
  </si>
  <si>
    <t>EPS from Firm Value using FCFE</t>
    <phoneticPr fontId="2" type="noConversion"/>
  </si>
  <si>
    <t>EPS from Firm Value using FCFF</t>
    <phoneticPr fontId="2" type="noConversion"/>
  </si>
  <si>
    <t>Pretax Income</t>
    <phoneticPr fontId="2" type="noConversion"/>
  </si>
  <si>
    <t>WACC using 1-Cost of equity</t>
    <phoneticPr fontId="2" type="noConversion"/>
  </si>
  <si>
    <t>WACC using cost of debt directly</t>
    <phoneticPr fontId="2" type="noConversion"/>
  </si>
  <si>
    <t>Growth rate of Yield of Market Index</t>
    <phoneticPr fontId="2" type="noConversion"/>
  </si>
  <si>
    <t>Tax Expense ( Be care ful deferred tax )</t>
    <phoneticPr fontId="2" type="noConversion"/>
  </si>
  <si>
    <t>Cost of debt from notes to account</t>
    <phoneticPr fontId="2" type="noConversion"/>
  </si>
  <si>
    <t>Cost of debt  = 1- cost of equity</t>
    <phoneticPr fontId="2" type="noConversion"/>
  </si>
  <si>
    <t>Property, Plant and Equipment(Fixed Asset)</t>
    <phoneticPr fontId="2" type="noConversion"/>
  </si>
  <si>
    <t>not include tax deferred</t>
    <phoneticPr fontId="2" type="noConversion"/>
  </si>
  <si>
    <t>equity capital</t>
    <phoneticPr fontId="2" type="noConversion"/>
  </si>
  <si>
    <t>equity charge</t>
    <phoneticPr fontId="2" type="noConversion"/>
  </si>
  <si>
    <t>Net Income</t>
    <phoneticPr fontId="2" type="noConversion"/>
  </si>
  <si>
    <t>Residual Income</t>
    <phoneticPr fontId="2" type="noConversion"/>
  </si>
  <si>
    <t>ROA</t>
    <phoneticPr fontId="2" type="noConversion"/>
  </si>
  <si>
    <t>Growth rate of FCFF</t>
    <phoneticPr fontId="2" type="noConversion"/>
  </si>
  <si>
    <t>PE ratio ( percentage ) of Hang Seng Index</t>
    <phoneticPr fontId="2" type="noConversion"/>
  </si>
  <si>
    <t>Activity Analysis</t>
  </si>
  <si>
    <t>Liquidity Analysis</t>
  </si>
  <si>
    <t>Long Term Debt and Solvency Analysis</t>
  </si>
  <si>
    <t>Profitability Analysis</t>
  </si>
  <si>
    <t>Growth</t>
  </si>
  <si>
    <t xml:space="preserve">  </t>
    <phoneticPr fontId="2" type="noConversion"/>
  </si>
  <si>
    <t>(plus) Days of receivable outstanding</t>
    <phoneticPr fontId="2" type="noConversion"/>
  </si>
  <si>
    <t>Average no. of days inventory in stock</t>
    <phoneticPr fontId="2" type="noConversion"/>
  </si>
  <si>
    <t>Cash ratio</t>
  </si>
  <si>
    <t>Defensive interval no. of days</t>
    <phoneticPr fontId="2" type="noConversion"/>
  </si>
  <si>
    <t>Total debt</t>
    <phoneticPr fontId="2" type="noConversion"/>
  </si>
  <si>
    <t>Length of cash cycle</t>
    <phoneticPr fontId="2" type="noConversion"/>
  </si>
  <si>
    <t>Inventory turnover</t>
    <phoneticPr fontId="2" type="noConversion"/>
  </si>
  <si>
    <t>AR turnover</t>
    <phoneticPr fontId="2" type="noConversion"/>
  </si>
  <si>
    <t>Fixed assets turnover</t>
    <phoneticPr fontId="2" type="noConversion"/>
  </si>
  <si>
    <t>Total asset turnover</t>
    <phoneticPr fontId="2" type="noConversion"/>
  </si>
  <si>
    <t>Length of operating cycle</t>
    <phoneticPr fontId="2" type="noConversion"/>
  </si>
  <si>
    <t>Trade payables</t>
    <phoneticPr fontId="2" type="noConversion"/>
  </si>
  <si>
    <t>Times interest earned</t>
    <phoneticPr fontId="2" type="noConversion"/>
  </si>
  <si>
    <t>CFO to debt</t>
    <phoneticPr fontId="2" type="noConversion"/>
  </si>
  <si>
    <t>Debt to equity</t>
    <phoneticPr fontId="2" type="noConversion"/>
  </si>
  <si>
    <t>Debt to equity(include trade)</t>
    <phoneticPr fontId="2" type="noConversion"/>
  </si>
  <si>
    <t>Total debt ( including trade )</t>
    <phoneticPr fontId="2" type="noConversion"/>
  </si>
  <si>
    <t>Total equity</t>
    <phoneticPr fontId="2" type="noConversion"/>
  </si>
  <si>
    <t>Total capital</t>
    <phoneticPr fontId="2" type="noConversion"/>
  </si>
  <si>
    <t>Total capital (including trade)</t>
    <phoneticPr fontId="2" type="noConversion"/>
  </si>
  <si>
    <t>Gross margin pre Alliance revenue</t>
    <phoneticPr fontId="2" type="noConversion"/>
  </si>
  <si>
    <t>Gross margin</t>
    <phoneticPr fontId="2" type="noConversion"/>
  </si>
  <si>
    <t>ROTC after tax</t>
    <phoneticPr fontId="2" type="noConversion"/>
  </si>
  <si>
    <t>ROE after tax</t>
    <phoneticPr fontId="2" type="noConversion"/>
  </si>
  <si>
    <t>ROA after tax</t>
    <phoneticPr fontId="2" type="noConversion"/>
  </si>
  <si>
    <t>Operating margin</t>
    <phoneticPr fontId="2" type="noConversion"/>
  </si>
  <si>
    <t>Pretax margin</t>
    <phoneticPr fontId="2" type="noConversion"/>
  </si>
  <si>
    <t>Profit margin</t>
    <phoneticPr fontId="2" type="noConversion"/>
  </si>
  <si>
    <t>Sales</t>
    <phoneticPr fontId="2" type="noConversion"/>
  </si>
  <si>
    <t>Book assets</t>
    <phoneticPr fontId="2" type="noConversion"/>
  </si>
  <si>
    <t>Net income before unusual gain/loss</t>
    <phoneticPr fontId="2" type="noConversion"/>
  </si>
  <si>
    <t>Adjusted NOPAT</t>
    <phoneticPr fontId="2" type="noConversion"/>
  </si>
  <si>
    <t xml:space="preserve">Net income  </t>
    <phoneticPr fontId="2" type="noConversion"/>
  </si>
  <si>
    <t>Operating income</t>
    <phoneticPr fontId="2" type="noConversion"/>
  </si>
  <si>
    <t>income statement</t>
    <phoneticPr fontId="2" type="noConversion"/>
  </si>
  <si>
    <t>Turnover</t>
    <phoneticPr fontId="2" type="noConversion"/>
  </si>
  <si>
    <t>Operating costs</t>
    <phoneticPr fontId="2" type="noConversion"/>
  </si>
  <si>
    <t>Gross profit</t>
    <phoneticPr fontId="2" type="noConversion"/>
  </si>
  <si>
    <t>Other income</t>
    <phoneticPr fontId="2" type="noConversion"/>
  </si>
  <si>
    <t>Administrative and general expenses</t>
    <phoneticPr fontId="2" type="noConversion"/>
  </si>
  <si>
    <t>Finance costs</t>
    <phoneticPr fontId="2" type="noConversion"/>
  </si>
  <si>
    <t>Share of profit of an associated company</t>
    <phoneticPr fontId="2" type="noConversion"/>
  </si>
  <si>
    <t>Profit before income tax</t>
    <phoneticPr fontId="2" type="noConversion"/>
  </si>
  <si>
    <t>Income tax expense</t>
    <phoneticPr fontId="2" type="noConversion"/>
  </si>
  <si>
    <t>Profit for the year</t>
    <phoneticPr fontId="2" type="noConversion"/>
  </si>
  <si>
    <t>Operating profit</t>
    <phoneticPr fontId="2" type="noConversion"/>
  </si>
  <si>
    <t>Attributable to Equity holders of the Company</t>
    <phoneticPr fontId="2" type="noConversion"/>
  </si>
  <si>
    <t>Minority interest</t>
    <phoneticPr fontId="2" type="noConversion"/>
  </si>
  <si>
    <t>Dividends</t>
    <phoneticPr fontId="2" type="noConversion"/>
  </si>
  <si>
    <t>Basic earning per share</t>
    <phoneticPr fontId="2" type="noConversion"/>
  </si>
  <si>
    <t>Asset</t>
    <phoneticPr fontId="2" type="noConversion"/>
  </si>
  <si>
    <t>Non-current assets</t>
    <phoneticPr fontId="2" type="noConversion"/>
  </si>
  <si>
    <t>Current assets</t>
    <phoneticPr fontId="2" type="noConversion"/>
  </si>
  <si>
    <t>Total assets</t>
    <phoneticPr fontId="2" type="noConversion"/>
  </si>
  <si>
    <t>Equity</t>
    <phoneticPr fontId="2" type="noConversion"/>
  </si>
  <si>
    <t>Capital and reserves attributable to equity holders</t>
    <phoneticPr fontId="2" type="noConversion"/>
  </si>
  <si>
    <t>Minority interest</t>
    <phoneticPr fontId="2" type="noConversion"/>
  </si>
  <si>
    <t>Liabilities</t>
    <phoneticPr fontId="2" type="noConversion"/>
  </si>
  <si>
    <t>Non-current liabilities</t>
    <phoneticPr fontId="2" type="noConversion"/>
  </si>
  <si>
    <t>Current liabilities</t>
    <phoneticPr fontId="2" type="noConversion"/>
  </si>
  <si>
    <t>Total liabilities</t>
    <phoneticPr fontId="2" type="noConversion"/>
  </si>
  <si>
    <t>Total equity and liabilities</t>
    <phoneticPr fontId="2" type="noConversion"/>
  </si>
  <si>
    <t>Net current assets</t>
    <phoneticPr fontId="2" type="noConversion"/>
  </si>
  <si>
    <t>Total assets less current liabilities</t>
    <phoneticPr fontId="2" type="noConversion"/>
  </si>
  <si>
    <t>Current ratio</t>
    <phoneticPr fontId="2" type="noConversion"/>
  </si>
  <si>
    <t>Cash flows from operating activities</t>
    <phoneticPr fontId="2" type="noConversion"/>
  </si>
  <si>
    <t>Cash generated from operations</t>
    <phoneticPr fontId="2" type="noConversion"/>
  </si>
  <si>
    <t>Income tax paid</t>
    <phoneticPr fontId="2" type="noConversion"/>
  </si>
  <si>
    <t>Net cash generated from operating activities</t>
    <phoneticPr fontId="2" type="noConversion"/>
  </si>
  <si>
    <t>Cash flows from investing activities</t>
    <phoneticPr fontId="2" type="noConversion"/>
  </si>
  <si>
    <t>Purchase of fixed assets</t>
    <phoneticPr fontId="2" type="noConversion"/>
  </si>
  <si>
    <t>Proceeds from disposal of fixed assets</t>
    <phoneticPr fontId="2" type="noConversion"/>
  </si>
  <si>
    <t>Net cash outflow from acquisition of additional equity interest in a subsidiary</t>
    <phoneticPr fontId="2" type="noConversion"/>
  </si>
  <si>
    <t>Dividends received from an associated company</t>
    <phoneticPr fontId="2" type="noConversion"/>
  </si>
  <si>
    <t>Interest received</t>
    <phoneticPr fontId="2" type="noConversion"/>
  </si>
  <si>
    <t>Net cash used in investing activities</t>
    <phoneticPr fontId="2" type="noConversion"/>
  </si>
  <si>
    <t>Cash flows from financing activities</t>
    <phoneticPr fontId="2" type="noConversion"/>
  </si>
  <si>
    <t>Interest paid</t>
    <phoneticPr fontId="2" type="noConversion"/>
  </si>
  <si>
    <t>Proceeds from short-term and long-term bank loans</t>
    <phoneticPr fontId="2" type="noConversion"/>
  </si>
  <si>
    <t>Repayments of short-term and long-term bank loans</t>
    <phoneticPr fontId="2" type="noConversion"/>
  </si>
  <si>
    <t>Decrease in amount due to ultimate holding company</t>
    <phoneticPr fontId="2" type="noConversion"/>
  </si>
  <si>
    <t>Capital element of finance lease payments</t>
    <phoneticPr fontId="2" type="noConversion"/>
  </si>
  <si>
    <t>Interest element of finance lease payments</t>
    <phoneticPr fontId="2" type="noConversion"/>
  </si>
  <si>
    <t>Net proceeds from issuance of H shares upon listing</t>
    <phoneticPr fontId="2" type="noConversion"/>
  </si>
  <si>
    <t>Dividends paid to Company's shareholders</t>
    <phoneticPr fontId="2" type="noConversion"/>
  </si>
  <si>
    <t>Dividends paid to minority shareholders</t>
    <phoneticPr fontId="2" type="noConversion"/>
  </si>
  <si>
    <t>Capital injection by minority shareholders</t>
    <phoneticPr fontId="2" type="noConversion"/>
  </si>
  <si>
    <t>Net cash (used in)/generated from financing activities</t>
    <phoneticPr fontId="2" type="noConversion"/>
  </si>
  <si>
    <t>Net (decrease)/increase in cash and cash equivalents</t>
    <phoneticPr fontId="2" type="noConversion"/>
  </si>
  <si>
    <t>Cash and cash equivalents at beginning of the year</t>
    <phoneticPr fontId="2" type="noConversion"/>
  </si>
  <si>
    <t>Cash and cash equivalents at end of the year</t>
    <phoneticPr fontId="2" type="noConversion"/>
  </si>
  <si>
    <t>Z-score</t>
    <phoneticPr fontId="2" type="noConversion"/>
  </si>
  <si>
    <t>Current Price</t>
    <phoneticPr fontId="2" type="noConversion"/>
  </si>
  <si>
    <t>Number of Share</t>
    <phoneticPr fontId="2" type="noConversion"/>
  </si>
  <si>
    <t>Indication</t>
    <phoneticPr fontId="2" type="noConversion"/>
  </si>
  <si>
    <t>Selling and distribution expense</t>
    <phoneticPr fontId="2" type="noConversion"/>
  </si>
  <si>
    <t>other income, net</t>
    <phoneticPr fontId="2" type="noConversion"/>
  </si>
  <si>
    <t>Share of profit of joint controlled company</t>
    <phoneticPr fontId="2" type="noConversion"/>
  </si>
  <si>
    <t>Leasehold land and land use rights</t>
  </si>
  <si>
    <t>Property, plant and equipment</t>
  </si>
  <si>
    <t>Intangible assets</t>
  </si>
  <si>
    <t>Interests in associated companies</t>
  </si>
  <si>
    <t>Interests in jointly controlled entities</t>
  </si>
  <si>
    <t>Long-term investments</t>
  </si>
  <si>
    <t>Available-for-sale financial assets</t>
  </si>
  <si>
    <t>Deferred tax assets</t>
  </si>
  <si>
    <t>Bank deposits</t>
  </si>
  <si>
    <t>Other non-current assets</t>
  </si>
  <si>
    <t>Inventories</t>
  </si>
  <si>
    <t>Trade receivables</t>
  </si>
  <si>
    <t>Deposits, prepayments and other receivables</t>
  </si>
  <si>
    <t>Amounts due from related companies</t>
  </si>
  <si>
    <t>Amounts due from associated companies and jointly controlled entities</t>
  </si>
  <si>
    <t>Bank balances and cash</t>
  </si>
  <si>
    <t>Bank borrowings</t>
  </si>
  <si>
    <t>Retirement benefit obligations</t>
  </si>
  <si>
    <t>Deferred tax liabilities</t>
  </si>
  <si>
    <t>Other long-term liabilities</t>
  </si>
  <si>
    <t>Trade and bills payables</t>
  </si>
  <si>
    <t>Other payables and accruals</t>
  </si>
  <si>
    <t>Amounts due to related companies</t>
  </si>
  <si>
    <t>Amounts due to associated companies and jointly controlled entities</t>
  </si>
  <si>
    <t>Taxation payable</t>
  </si>
  <si>
    <t>Share capital</t>
  </si>
  <si>
    <t>Other reserves</t>
  </si>
  <si>
    <t>Retained earnings</t>
  </si>
  <si>
    <t>COGS/average inventory</t>
    <phoneticPr fontId="2" type="noConversion"/>
  </si>
  <si>
    <t>Total revenue/Avg. AR(Trade)</t>
    <phoneticPr fontId="2" type="noConversion"/>
  </si>
  <si>
    <t>Total revenue/Avg. Fixed Asset</t>
    <phoneticPr fontId="2" type="noConversion"/>
  </si>
  <si>
    <t>Total revneue/Avg. Total Asset</t>
    <phoneticPr fontId="2" type="noConversion"/>
  </si>
  <si>
    <t>365/inventory turnover</t>
    <phoneticPr fontId="2" type="noConversion"/>
  </si>
  <si>
    <t>365/AR turnover</t>
    <phoneticPr fontId="2" type="noConversion"/>
  </si>
  <si>
    <t>B9 + B10</t>
    <phoneticPr fontId="2" type="noConversion"/>
  </si>
  <si>
    <t>(less) Payables outstanding</t>
    <phoneticPr fontId="2" type="noConversion"/>
  </si>
  <si>
    <t>365/AP turnover</t>
    <phoneticPr fontId="2" type="noConversion"/>
  </si>
  <si>
    <t>C11 - C12</t>
    <phoneticPr fontId="2" type="noConversion"/>
  </si>
  <si>
    <t>Current Asset/Current Liabilities</t>
    <phoneticPr fontId="2" type="noConversion"/>
  </si>
  <si>
    <t>(Cash + Marketable Securities)/Current Liabilities</t>
    <phoneticPr fontId="2" type="noConversion"/>
  </si>
  <si>
    <t>365*(Cash + Martketable Securities+AR)/(COGS+other operating expense except depr.)</t>
    <phoneticPr fontId="2" type="noConversion"/>
  </si>
  <si>
    <t>Current Price</t>
    <phoneticPr fontId="2" type="noConversion"/>
  </si>
  <si>
    <t>Executed Price</t>
    <phoneticPr fontId="2" type="noConversion"/>
  </si>
  <si>
    <t>Risk-free rate</t>
    <phoneticPr fontId="2" type="noConversion"/>
  </si>
  <si>
    <t>Maturity</t>
    <phoneticPr fontId="2" type="noConversion"/>
  </si>
  <si>
    <t>d1</t>
    <phoneticPr fontId="2" type="noConversion"/>
  </si>
  <si>
    <t>d2</t>
    <phoneticPr fontId="2" type="noConversion"/>
  </si>
  <si>
    <t>N(d1)</t>
    <phoneticPr fontId="2" type="noConversion"/>
  </si>
  <si>
    <t>N(d2)</t>
    <phoneticPr fontId="2" type="noConversion"/>
  </si>
  <si>
    <t>Call Price</t>
    <phoneticPr fontId="2" type="noConversion"/>
  </si>
  <si>
    <t>Number</t>
    <phoneticPr fontId="2" type="noConversion"/>
  </si>
  <si>
    <t>Volatility</t>
    <phoneticPr fontId="2" type="noConversion"/>
  </si>
  <si>
    <t>Mean</t>
    <phoneticPr fontId="2" type="noConversion"/>
  </si>
  <si>
    <t>Std</t>
    <phoneticPr fontId="2" type="noConversion"/>
  </si>
  <si>
    <t>Min - 止蝕位</t>
    <phoneticPr fontId="2" type="noConversion"/>
  </si>
  <si>
    <t xml:space="preserve">Max </t>
    <phoneticPr fontId="2" type="noConversion"/>
  </si>
  <si>
    <t>std err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</si>
</sst>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80" formatCode="_(&quot;HK$&quot;* #,##0_);_(&quot;HK$&quot;* \(#,##0\);_(&quot;HK$&quot;* &quot;-&quot;_);_(@_)"/>
    <numFmt numFmtId="181" formatCode="_(&quot;HK$&quot;* #,##0.00_);_(&quot;HK$&quot;* \(#,##0.00\);_(&quot;HK$&quot;* &quot;-&quot;??_);_(@_)"/>
    <numFmt numFmtId="182" formatCode="_(&quot;HK$&quot;* #,##0.0000_);_(&quot;HK$&quot;* \(#,##0.0000\);_(&quot;HK$&quot;* &quot;-&quot;????_);_(@_)"/>
    <numFmt numFmtId="183" formatCode="0.0000_ "/>
    <numFmt numFmtId="184" formatCode="_(* #,##0.00000000_);_(* \(#,##0.00000000\);_(* &quot;-&quot;????????_);_(@_)"/>
    <numFmt numFmtId="191" formatCode="_(* #,##0.0000_);_(* \(#,##0.0000\);_(* &quot;-&quot;????_);_(@_)"/>
  </numFmts>
  <fonts count="10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48"/>
      <name val="Times New Roman"/>
      <family val="1"/>
    </font>
    <font>
      <b/>
      <sz val="12"/>
      <color indexed="8"/>
      <name val="新細明體"/>
      <family val="1"/>
      <charset val="136"/>
    </font>
    <font>
      <b/>
      <sz val="12"/>
      <name val="新細明體"/>
      <family val="1"/>
      <charset val="136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15" fontId="0" fillId="0" borderId="0" xfId="0" applyNumberFormat="1">
      <alignment vertical="center"/>
    </xf>
    <xf numFmtId="180" fontId="0" fillId="0" borderId="0" xfId="0" applyNumberFormat="1">
      <alignment vertical="center"/>
    </xf>
    <xf numFmtId="10" fontId="0" fillId="0" borderId="0" xfId="0" applyNumberFormat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41" fontId="0" fillId="0" borderId="0" xfId="0" applyNumberFormat="1">
      <alignment vertical="center"/>
    </xf>
    <xf numFmtId="43" fontId="0" fillId="0" borderId="0" xfId="0" applyNumberFormat="1">
      <alignment vertical="center"/>
    </xf>
    <xf numFmtId="10" fontId="0" fillId="2" borderId="0" xfId="0" applyNumberFormat="1" applyFill="1">
      <alignment vertical="center"/>
    </xf>
    <xf numFmtId="180" fontId="0" fillId="2" borderId="0" xfId="0" applyNumberFormat="1" applyFill="1">
      <alignment vertical="center"/>
    </xf>
    <xf numFmtId="0" fontId="0" fillId="2" borderId="0" xfId="0" applyFill="1">
      <alignment vertical="center"/>
    </xf>
    <xf numFmtId="15" fontId="0" fillId="2" borderId="0" xfId="0" applyNumberFormat="1" applyFill="1">
      <alignment vertical="center"/>
    </xf>
    <xf numFmtId="184" fontId="0" fillId="0" borderId="0" xfId="0" applyNumberFormat="1">
      <alignment vertical="center"/>
    </xf>
    <xf numFmtId="184" fontId="0" fillId="2" borderId="0" xfId="0" applyNumberFormat="1" applyFill="1">
      <alignment vertical="center"/>
    </xf>
    <xf numFmtId="15" fontId="0" fillId="3" borderId="0" xfId="0" applyNumberFormat="1" applyFill="1">
      <alignment vertical="center"/>
    </xf>
    <xf numFmtId="10" fontId="0" fillId="3" borderId="0" xfId="0" applyNumberFormat="1" applyFill="1">
      <alignment vertical="center"/>
    </xf>
    <xf numFmtId="0" fontId="0" fillId="3" borderId="0" xfId="0" applyFill="1">
      <alignment vertical="center"/>
    </xf>
    <xf numFmtId="181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NumberFormat="1">
      <alignment vertical="center"/>
    </xf>
    <xf numFmtId="41" fontId="0" fillId="0" borderId="1" xfId="0" applyNumberFormat="1" applyBorder="1">
      <alignment vertical="center"/>
    </xf>
    <xf numFmtId="9" fontId="0" fillId="0" borderId="0" xfId="0" applyNumberFormat="1">
      <alignment vertical="center"/>
    </xf>
    <xf numFmtId="3" fontId="0" fillId="0" borderId="0" xfId="0" applyNumberFormat="1">
      <alignment vertical="center"/>
    </xf>
    <xf numFmtId="43" fontId="0" fillId="2" borderId="0" xfId="0" applyNumberFormat="1" applyFill="1">
      <alignment vertical="center"/>
    </xf>
    <xf numFmtId="41" fontId="0" fillId="2" borderId="0" xfId="0" applyNumberFormat="1" applyFill="1">
      <alignment vertical="center"/>
    </xf>
    <xf numFmtId="41" fontId="9" fillId="0" borderId="0" xfId="0" applyNumberFormat="1" applyFont="1">
      <alignment vertical="center"/>
    </xf>
    <xf numFmtId="0" fontId="9" fillId="0" borderId="0" xfId="0" applyFont="1">
      <alignment vertical="center"/>
    </xf>
    <xf numFmtId="43" fontId="9" fillId="0" borderId="0" xfId="0" applyNumberFormat="1" applyFont="1">
      <alignment vertical="center"/>
    </xf>
    <xf numFmtId="10" fontId="9" fillId="0" borderId="0" xfId="0" applyNumberFormat="1" applyFont="1">
      <alignment vertical="center"/>
    </xf>
    <xf numFmtId="191" fontId="9" fillId="0" borderId="0" xfId="0" applyNumberFormat="1" applyFont="1">
      <alignment vertical="center"/>
    </xf>
    <xf numFmtId="19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D62C4-2462-4D41-AB19-15DEDC79BD8C}">
  <dimension ref="A1:C24"/>
  <sheetViews>
    <sheetView workbookViewId="0">
      <selection activeCell="C15" sqref="C15"/>
    </sheetView>
  </sheetViews>
  <sheetFormatPr defaultRowHeight="16.2"/>
  <cols>
    <col min="1" max="1" width="37.109375" customWidth="1"/>
    <col min="2" max="2" width="13.109375" customWidth="1"/>
    <col min="3" max="3" width="13.6640625" customWidth="1"/>
  </cols>
  <sheetData>
    <row r="1" spans="1:3">
      <c r="A1" s="23" t="s">
        <v>90</v>
      </c>
      <c r="B1">
        <v>2004</v>
      </c>
      <c r="C1">
        <v>2005</v>
      </c>
    </row>
    <row r="2" spans="1:3">
      <c r="A2" t="s">
        <v>91</v>
      </c>
      <c r="B2" s="6">
        <v>553766</v>
      </c>
      <c r="C2" s="6">
        <v>590234</v>
      </c>
    </row>
    <row r="3" spans="1:3">
      <c r="A3" t="s">
        <v>92</v>
      </c>
      <c r="B3" s="6">
        <v>-427967</v>
      </c>
      <c r="C3" s="6">
        <v>-479445</v>
      </c>
    </row>
    <row r="4" spans="1:3">
      <c r="A4" s="22" t="s">
        <v>93</v>
      </c>
      <c r="B4" s="6">
        <f>SUM(B2:B3)</f>
        <v>125799</v>
      </c>
      <c r="C4" s="6">
        <f>SUM(C2:C3)</f>
        <v>110789</v>
      </c>
    </row>
    <row r="6" spans="1:3">
      <c r="A6" t="s">
        <v>94</v>
      </c>
      <c r="B6" s="6">
        <v>2643</v>
      </c>
      <c r="C6" s="6">
        <v>3818</v>
      </c>
    </row>
    <row r="7" spans="1:3">
      <c r="A7" t="s">
        <v>151</v>
      </c>
      <c r="B7" s="6">
        <v>-22381</v>
      </c>
      <c r="C7" s="6">
        <v>-14325</v>
      </c>
    </row>
    <row r="8" spans="1:3">
      <c r="A8" t="s">
        <v>95</v>
      </c>
      <c r="B8" s="6">
        <v>-71609</v>
      </c>
      <c r="C8" s="6">
        <v>-79089</v>
      </c>
    </row>
    <row r="9" spans="1:3">
      <c r="A9" t="s">
        <v>152</v>
      </c>
      <c r="B9" s="26">
        <v>3911</v>
      </c>
      <c r="C9" s="26">
        <v>1862</v>
      </c>
    </row>
    <row r="10" spans="1:3">
      <c r="A10" s="22" t="s">
        <v>101</v>
      </c>
      <c r="B10" s="6">
        <f>SUM(B4:B9)</f>
        <v>38363</v>
      </c>
      <c r="C10" s="6">
        <f>SUM(C4:C9)</f>
        <v>23055</v>
      </c>
    </row>
    <row r="12" spans="1:3">
      <c r="A12" t="s">
        <v>96</v>
      </c>
      <c r="B12" s="6">
        <v>-1432</v>
      </c>
      <c r="C12" s="6">
        <v>-3474</v>
      </c>
    </row>
    <row r="13" spans="1:3">
      <c r="A13" t="s">
        <v>97</v>
      </c>
      <c r="B13" s="6">
        <v>529</v>
      </c>
      <c r="C13" s="6">
        <v>-1891</v>
      </c>
    </row>
    <row r="14" spans="1:3">
      <c r="A14" t="s">
        <v>153</v>
      </c>
      <c r="B14" s="26">
        <v>-847</v>
      </c>
      <c r="C14" s="26">
        <v>-257</v>
      </c>
    </row>
    <row r="15" spans="1:3">
      <c r="A15" s="22" t="s">
        <v>98</v>
      </c>
      <c r="B15" s="6">
        <f>SUM(B10:B14)</f>
        <v>36613</v>
      </c>
      <c r="C15" s="6">
        <f>SUM(C10:C14)</f>
        <v>17433</v>
      </c>
    </row>
    <row r="17" spans="1:3">
      <c r="A17" t="s">
        <v>99</v>
      </c>
      <c r="B17" s="6">
        <v>-6205</v>
      </c>
      <c r="C17" s="6">
        <v>-2933</v>
      </c>
    </row>
    <row r="18" spans="1:3">
      <c r="A18" s="22" t="s">
        <v>100</v>
      </c>
      <c r="B18" s="6">
        <f>SUM(B15:B17)</f>
        <v>30408</v>
      </c>
      <c r="C18" s="6">
        <f>SUM(C15:C17)</f>
        <v>14500</v>
      </c>
    </row>
    <row r="20" spans="1:3">
      <c r="A20" t="s">
        <v>102</v>
      </c>
      <c r="B20" s="6">
        <v>30361</v>
      </c>
      <c r="C20" s="6">
        <v>13240</v>
      </c>
    </row>
    <row r="21" spans="1:3">
      <c r="A21" t="s">
        <v>103</v>
      </c>
      <c r="B21" s="26">
        <v>47</v>
      </c>
      <c r="C21" s="26">
        <v>1260</v>
      </c>
    </row>
    <row r="22" spans="1:3">
      <c r="B22" s="6">
        <f>SUM(B20:B21)</f>
        <v>30408</v>
      </c>
      <c r="C22" s="6">
        <f>SUM(C20:C21)</f>
        <v>14500</v>
      </c>
    </row>
    <row r="23" spans="1:3">
      <c r="A23" s="23" t="s">
        <v>104</v>
      </c>
      <c r="B23" s="6">
        <v>12561</v>
      </c>
      <c r="C23" s="6">
        <v>3970</v>
      </c>
    </row>
    <row r="24" spans="1:3">
      <c r="A24" s="23" t="s">
        <v>105</v>
      </c>
      <c r="B24" s="7">
        <v>0.39</v>
      </c>
      <c r="C24" s="7">
        <v>0.13</v>
      </c>
    </row>
  </sheetData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6095E-305B-4D9F-BF8C-3FCD64BEEB1F}">
  <dimension ref="A1:D57"/>
  <sheetViews>
    <sheetView topLeftCell="A33" workbookViewId="0">
      <selection activeCell="A51" sqref="A51"/>
    </sheetView>
  </sheetViews>
  <sheetFormatPr defaultRowHeight="16.2"/>
  <cols>
    <col min="1" max="1" width="27.77734375" customWidth="1"/>
    <col min="2" max="2" width="15.109375" customWidth="1"/>
    <col min="3" max="3" width="13.21875" customWidth="1"/>
    <col min="4" max="4" width="38.33203125" customWidth="1"/>
  </cols>
  <sheetData>
    <row r="1" spans="1:4">
      <c r="B1">
        <v>2004</v>
      </c>
      <c r="C1">
        <v>2005</v>
      </c>
    </row>
    <row r="2" spans="1:4">
      <c r="A2" s="21" t="s">
        <v>50</v>
      </c>
    </row>
    <row r="3" spans="1:4">
      <c r="A3" s="18" t="s">
        <v>62</v>
      </c>
      <c r="B3" s="10"/>
      <c r="C3" s="30"/>
      <c r="D3" t="s">
        <v>182</v>
      </c>
    </row>
    <row r="4" spans="1:4">
      <c r="A4" s="18" t="s">
        <v>63</v>
      </c>
      <c r="B4" s="30"/>
      <c r="C4" s="30">
        <f>Incomestatement!C2/AVERAGE(Incomestatement!C13, Incomestatement!B13)</f>
        <v>-866.71659324522761</v>
      </c>
      <c r="D4" t="s">
        <v>183</v>
      </c>
    </row>
    <row r="5" spans="1:4">
      <c r="A5" s="18" t="s">
        <v>64</v>
      </c>
      <c r="B5" s="30"/>
      <c r="C5" s="30">
        <f>Incomestatement!C2/AVERAGE(Incomestatement!C10,Incomestatement!B10)</f>
        <v>19.220228597479565</v>
      </c>
      <c r="D5" t="s">
        <v>184</v>
      </c>
    </row>
    <row r="6" spans="1:4">
      <c r="A6" s="18" t="s">
        <v>65</v>
      </c>
      <c r="B6" s="30"/>
      <c r="C6" s="30">
        <f>Incomestatement!C2/AVERAGE(Incomestatement!C18,Incomestatement!B18)</f>
        <v>26.286363231495503</v>
      </c>
      <c r="D6" t="s">
        <v>185</v>
      </c>
    </row>
    <row r="7" spans="1:4">
      <c r="A7" s="18"/>
      <c r="B7" s="6"/>
      <c r="C7" s="6"/>
    </row>
    <row r="8" spans="1:4">
      <c r="A8" s="21" t="s">
        <v>51</v>
      </c>
    </row>
    <row r="9" spans="1:4">
      <c r="A9" s="19" t="s">
        <v>57</v>
      </c>
      <c r="D9" t="s">
        <v>186</v>
      </c>
    </row>
    <row r="10" spans="1:4">
      <c r="A10" s="19" t="s">
        <v>56</v>
      </c>
      <c r="D10" t="s">
        <v>187</v>
      </c>
    </row>
    <row r="11" spans="1:4">
      <c r="A11" s="18" t="s">
        <v>66</v>
      </c>
      <c r="B11">
        <f>B9+B10</f>
        <v>0</v>
      </c>
      <c r="C11">
        <f>C9+C10</f>
        <v>0</v>
      </c>
      <c r="D11" t="s">
        <v>188</v>
      </c>
    </row>
    <row r="12" spans="1:4">
      <c r="A12" s="19" t="s">
        <v>189</v>
      </c>
      <c r="D12" t="s">
        <v>190</v>
      </c>
    </row>
    <row r="13" spans="1:4">
      <c r="A13" s="20" t="s">
        <v>61</v>
      </c>
      <c r="B13">
        <f>B11-B12</f>
        <v>0</v>
      </c>
      <c r="C13">
        <f>C11-C12</f>
        <v>0</v>
      </c>
      <c r="D13" t="s">
        <v>191</v>
      </c>
    </row>
    <row r="14" spans="1:4">
      <c r="A14" s="20" t="s">
        <v>120</v>
      </c>
      <c r="B14" s="25" t="e">
        <f>Balancesheet!C23/Balancesheet!#REF!</f>
        <v>#REF!</v>
      </c>
      <c r="C14" s="25" t="e">
        <f>Balancesheet!B23/Balancesheet!#REF!</f>
        <v>#REF!</v>
      </c>
      <c r="D14" t="s">
        <v>192</v>
      </c>
    </row>
    <row r="15" spans="1:4">
      <c r="A15" s="20" t="s">
        <v>58</v>
      </c>
      <c r="B15" t="e">
        <f>Balancesheet!C20/Balancesheet!#REF!</f>
        <v>#REF!</v>
      </c>
      <c r="C15" t="e">
        <f>Balancesheet!B20/Balancesheet!#REF!</f>
        <v>#REF!</v>
      </c>
      <c r="D15" t="s">
        <v>193</v>
      </c>
    </row>
    <row r="16" spans="1:4">
      <c r="A16" s="18" t="s">
        <v>59</v>
      </c>
      <c r="D16" t="s">
        <v>194</v>
      </c>
    </row>
    <row r="17" spans="1:3">
      <c r="A17" s="19" t="s">
        <v>55</v>
      </c>
    </row>
    <row r="18" spans="1:3">
      <c r="A18" s="21" t="s">
        <v>52</v>
      </c>
    </row>
    <row r="19" spans="1:3">
      <c r="A19" s="19" t="s">
        <v>0</v>
      </c>
      <c r="B19" s="6">
        <f>Balancesheet!B$41+Balancesheet!B$44</f>
        <v>86936</v>
      </c>
      <c r="C19" s="6">
        <f>Balancesheet!C$41+Balancesheet!C$44</f>
        <v>141369</v>
      </c>
    </row>
    <row r="20" spans="1:3">
      <c r="A20" s="19" t="s">
        <v>1</v>
      </c>
      <c r="B20" s="6">
        <f>Balancesheet!B$34</f>
        <v>54000</v>
      </c>
      <c r="C20" s="6">
        <f>Balancesheet!C$34</f>
        <v>386</v>
      </c>
    </row>
    <row r="21" spans="1:3">
      <c r="A21" s="18" t="s">
        <v>60</v>
      </c>
      <c r="B21" s="6">
        <f>B19+B20</f>
        <v>140936</v>
      </c>
      <c r="C21" s="6">
        <f>C19+C20</f>
        <v>141755</v>
      </c>
    </row>
    <row r="22" spans="1:3">
      <c r="A22" s="19" t="s">
        <v>67</v>
      </c>
      <c r="B22" s="6">
        <f>Balancesheet!B$40</f>
        <v>30066</v>
      </c>
      <c r="C22" s="6">
        <f>Balancesheet!C$40</f>
        <v>31558</v>
      </c>
    </row>
    <row r="23" spans="1:3">
      <c r="A23" s="18" t="s">
        <v>72</v>
      </c>
      <c r="B23" s="6">
        <f>B21+B22</f>
        <v>171002</v>
      </c>
      <c r="C23" s="6">
        <f>C21+C22</f>
        <v>173313</v>
      </c>
    </row>
    <row r="24" spans="1:3">
      <c r="A24" s="18" t="s">
        <v>73</v>
      </c>
      <c r="B24" s="6">
        <f>Balancesheet!B$31</f>
        <v>174526</v>
      </c>
      <c r="C24" s="6">
        <f>Balancesheet!C$31</f>
        <v>224004</v>
      </c>
    </row>
    <row r="25" spans="1:3">
      <c r="A25" s="18" t="s">
        <v>74</v>
      </c>
      <c r="B25" s="6">
        <f>B21+B24</f>
        <v>315462</v>
      </c>
      <c r="C25" s="6">
        <f>C21+C24</f>
        <v>365759</v>
      </c>
    </row>
    <row r="26" spans="1:3">
      <c r="A26" s="18" t="s">
        <v>75</v>
      </c>
      <c r="B26" s="6">
        <f>B23+B24</f>
        <v>345528</v>
      </c>
      <c r="C26" s="6">
        <f>C23+C24</f>
        <v>397317</v>
      </c>
    </row>
    <row r="27" spans="1:3">
      <c r="A27" s="19"/>
    </row>
    <row r="28" spans="1:3">
      <c r="A28" s="18" t="s">
        <v>70</v>
      </c>
      <c r="B28" s="7">
        <f>B21/B24</f>
        <v>0.80753583993215916</v>
      </c>
      <c r="C28" s="7">
        <f>C21/C24</f>
        <v>0.63282352100855344</v>
      </c>
    </row>
    <row r="29" spans="1:3">
      <c r="A29" s="18" t="s">
        <v>71</v>
      </c>
      <c r="B29" s="7">
        <f>B23/B24</f>
        <v>0.97980816611851529</v>
      </c>
      <c r="C29" s="7">
        <f>C23/C24</f>
        <v>0.77370493384046712</v>
      </c>
    </row>
    <row r="30" spans="1:3">
      <c r="A30" s="18" t="s">
        <v>68</v>
      </c>
      <c r="B30" s="7">
        <f>ABS((Incomestatement!B15+Incomestatement!B12*(1-16%))/Incomestatement!B12)</f>
        <v>24.727737430167601</v>
      </c>
      <c r="C30" s="7">
        <f>ABS((Incomestatement!C15+Incomestatement!C12*(1-16%))/Incomestatement!C12)</f>
        <v>4.1781347150259069</v>
      </c>
    </row>
    <row r="31" spans="1:3">
      <c r="A31" s="18" t="s">
        <v>69</v>
      </c>
      <c r="B31" s="29">
        <f>Cashflow!C5/B21</f>
        <v>36.616655787023895</v>
      </c>
      <c r="C31" s="29">
        <f>Cashflow!D5/C21</f>
        <v>36.267842404147999</v>
      </c>
    </row>
    <row r="33" spans="1:3">
      <c r="A33" s="21" t="s">
        <v>53</v>
      </c>
    </row>
    <row r="34" spans="1:3">
      <c r="A34" s="19" t="s">
        <v>76</v>
      </c>
    </row>
    <row r="35" spans="1:3">
      <c r="A35" s="19" t="s">
        <v>77</v>
      </c>
      <c r="B35" s="7">
        <f>Incomestatement!B4/Incomestatement!B2</f>
        <v>0.22716995987474853</v>
      </c>
      <c r="C35" s="7">
        <f>Incomestatement!C4/Incomestatement!C2</f>
        <v>0.18770352097642629</v>
      </c>
    </row>
    <row r="36" spans="1:3">
      <c r="A36" s="18" t="s">
        <v>81</v>
      </c>
      <c r="B36" s="27">
        <f>Incomestatement!B10/Incomestatement!B2</f>
        <v>6.9276553634567667E-2</v>
      </c>
      <c r="C36" s="27">
        <f>Incomestatement!C10/Incomestatement!C2</f>
        <v>3.906077928414832E-2</v>
      </c>
    </row>
    <row r="37" spans="1:3">
      <c r="A37" s="18" t="s">
        <v>82</v>
      </c>
      <c r="B37" s="27">
        <f>Incomestatement!B15/Incomestatement!B2</f>
        <v>6.6116374064135397E-2</v>
      </c>
      <c r="C37" s="27">
        <f>Incomestatement!C15/Incomestatement!C2</f>
        <v>2.9535743450902523E-2</v>
      </c>
    </row>
    <row r="38" spans="1:3">
      <c r="A38" s="18" t="s">
        <v>83</v>
      </c>
      <c r="B38" s="27">
        <f>Incomestatement!B18/Incomestatement!B2</f>
        <v>5.4911280215831235E-2</v>
      </c>
      <c r="C38" s="27">
        <f>Incomestatement!C18/Incomestatement!C2</f>
        <v>2.4566527851665611E-2</v>
      </c>
    </row>
    <row r="39" spans="1:3">
      <c r="A39" s="18" t="s">
        <v>80</v>
      </c>
      <c r="B39" s="7"/>
      <c r="C39" s="7">
        <f>(Incomestatement!C15+Incomestatement!C12*(1-16%))/AVERAGE(Balancesheet!C24,Balancesheet!B24)</f>
        <v>3.7741123977643697E-2</v>
      </c>
    </row>
    <row r="40" spans="1:3">
      <c r="A40" s="18" t="s">
        <v>79</v>
      </c>
      <c r="B40" s="7"/>
      <c r="C40" s="7">
        <f>Incomestatement!C15/AVERAGE(Balancesheet!C31:'Balancesheet'!B31)</f>
        <v>8.7486512935036259E-2</v>
      </c>
    </row>
    <row r="41" spans="1:3">
      <c r="A41" s="18" t="s">
        <v>78</v>
      </c>
      <c r="B41" s="7"/>
      <c r="C41" s="7"/>
    </row>
    <row r="42" spans="1:3">
      <c r="A42" s="19"/>
    </row>
    <row r="43" spans="1:3">
      <c r="A43" s="18" t="s">
        <v>54</v>
      </c>
    </row>
    <row r="44" spans="1:3">
      <c r="A44" s="19" t="s">
        <v>84</v>
      </c>
      <c r="B44" s="7"/>
      <c r="C44" s="7">
        <f>Incomestatement!C2/Incomestatement!B2</f>
        <v>1.0658545306140139</v>
      </c>
    </row>
    <row r="45" spans="1:3">
      <c r="A45" s="19" t="s">
        <v>85</v>
      </c>
      <c r="B45" s="7"/>
      <c r="C45" s="7"/>
    </row>
    <row r="46" spans="1:3">
      <c r="A46" s="19" t="s">
        <v>86</v>
      </c>
      <c r="B46" s="7"/>
      <c r="C46" s="7"/>
    </row>
    <row r="47" spans="1:3">
      <c r="A47" s="19" t="s">
        <v>87</v>
      </c>
      <c r="B47" s="7"/>
      <c r="C47" s="7"/>
    </row>
    <row r="48" spans="1:3">
      <c r="A48" s="19" t="s">
        <v>88</v>
      </c>
      <c r="B48" s="7"/>
      <c r="C48" s="7">
        <f>Incomestatement!C18/Incomestatement!B18</f>
        <v>0.47684819784267296</v>
      </c>
    </row>
    <row r="49" spans="1:3">
      <c r="A49" s="19" t="s">
        <v>89</v>
      </c>
      <c r="B49" s="7"/>
      <c r="C49" s="7">
        <f>Incomestatement!C10/Incomestatement!B10</f>
        <v>0.60096968433125664</v>
      </c>
    </row>
    <row r="50" spans="1:3">
      <c r="A50" s="19"/>
    </row>
    <row r="51" spans="1:3">
      <c r="A51" s="19" t="s">
        <v>147</v>
      </c>
      <c r="C51" s="7" t="e">
        <f>1.2*(Balancesheet!B23-Balancesheet!#REF!)/Balancesheet!C24+1.4*Incomestatement!C18/Balancesheet!C24+3.3*Incomestatement!C10/Balancesheet!C24+0.6*C52*C53/(Balancesheet!C38+Balancesheet!#REF!)+Incomestatement!C2/Balancesheet!C24</f>
        <v>#REF!</v>
      </c>
    </row>
    <row r="52" spans="1:3">
      <c r="A52" s="19" t="s">
        <v>148</v>
      </c>
      <c r="C52">
        <v>1.88</v>
      </c>
    </row>
    <row r="53" spans="1:3">
      <c r="A53" s="19" t="s">
        <v>149</v>
      </c>
      <c r="B53" s="6">
        <f>Incomestatement!B20/Incomestatement!B24</f>
        <v>77848.717948717953</v>
      </c>
      <c r="C53" s="6">
        <f>Incomestatement!C20/Incomestatement!C24</f>
        <v>101846.15384615384</v>
      </c>
    </row>
    <row r="55" spans="1:3">
      <c r="A55" s="19" t="s">
        <v>150</v>
      </c>
      <c r="C55" t="e">
        <f>IF(C51&gt;2.99, "non-bankrupt","")</f>
        <v>#REF!</v>
      </c>
    </row>
    <row r="56" spans="1:3">
      <c r="A56" s="19" t="s">
        <v>150</v>
      </c>
      <c r="C56" t="e">
        <f>IF(2.99&gt;C51&gt;1.81, "gray area","")</f>
        <v>#REF!</v>
      </c>
    </row>
    <row r="57" spans="1:3">
      <c r="A57" s="19" t="s">
        <v>150</v>
      </c>
      <c r="C57" t="e">
        <f>IF(C51&lt;1.81, "bankrupty","")</f>
        <v>#REF!</v>
      </c>
    </row>
  </sheetData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8509C-4B50-472F-B1BC-04687504D9A1}">
  <dimension ref="A1:C50"/>
  <sheetViews>
    <sheetView topLeftCell="A9" workbookViewId="0">
      <selection activeCell="A33" sqref="A33"/>
    </sheetView>
  </sheetViews>
  <sheetFormatPr defaultRowHeight="16.2"/>
  <cols>
    <col min="1" max="1" width="45.21875" customWidth="1"/>
    <col min="2" max="2" width="11.88671875" bestFit="1" customWidth="1"/>
    <col min="3" max="3" width="11.6640625" customWidth="1"/>
  </cols>
  <sheetData>
    <row r="1" spans="1:3">
      <c r="B1">
        <v>2004</v>
      </c>
      <c r="C1">
        <v>2005</v>
      </c>
    </row>
    <row r="2" spans="1:3">
      <c r="A2" t="s">
        <v>106</v>
      </c>
    </row>
    <row r="3" spans="1:3">
      <c r="A3" s="23" t="s">
        <v>107</v>
      </c>
      <c r="B3" s="6"/>
    </row>
    <row r="4" spans="1:3">
      <c r="A4" t="s">
        <v>154</v>
      </c>
      <c r="B4" s="6">
        <v>3515</v>
      </c>
      <c r="C4" s="6">
        <v>4727</v>
      </c>
    </row>
    <row r="5" spans="1:3">
      <c r="A5" t="s">
        <v>155</v>
      </c>
      <c r="B5" s="6">
        <v>72195</v>
      </c>
      <c r="C5" s="6">
        <v>84309</v>
      </c>
    </row>
    <row r="6" spans="1:3">
      <c r="A6" t="s">
        <v>156</v>
      </c>
      <c r="B6" s="6">
        <v>3965</v>
      </c>
      <c r="C6" s="6">
        <v>21852</v>
      </c>
    </row>
    <row r="7" spans="1:3">
      <c r="A7" t="s">
        <v>157</v>
      </c>
      <c r="B7" s="6">
        <v>2688</v>
      </c>
      <c r="C7" s="6">
        <v>231</v>
      </c>
    </row>
    <row r="8" spans="1:3">
      <c r="A8" t="s">
        <v>158</v>
      </c>
      <c r="B8" s="6">
        <v>852</v>
      </c>
      <c r="C8" s="6">
        <v>2560</v>
      </c>
    </row>
    <row r="9" spans="1:3">
      <c r="A9" t="s">
        <v>159</v>
      </c>
      <c r="B9" s="6">
        <v>1648</v>
      </c>
      <c r="C9" s="6">
        <v>0</v>
      </c>
    </row>
    <row r="10" spans="1:3">
      <c r="A10" t="s">
        <v>160</v>
      </c>
      <c r="B10" s="6">
        <v>0</v>
      </c>
      <c r="C10" s="6">
        <v>2023</v>
      </c>
    </row>
    <row r="11" spans="1:3">
      <c r="A11" t="s">
        <v>161</v>
      </c>
      <c r="B11" s="6">
        <v>822</v>
      </c>
      <c r="C11" s="6">
        <v>792</v>
      </c>
    </row>
    <row r="12" spans="1:3">
      <c r="A12" t="s">
        <v>162</v>
      </c>
      <c r="B12" s="6">
        <v>52226</v>
      </c>
      <c r="C12" s="6">
        <v>0</v>
      </c>
    </row>
    <row r="13" spans="1:3">
      <c r="A13" t="s">
        <v>163</v>
      </c>
      <c r="B13" s="6">
        <v>3358</v>
      </c>
      <c r="C13" s="6">
        <v>2535</v>
      </c>
    </row>
    <row r="14" spans="1:3">
      <c r="B14" s="6">
        <f>SUM(B4:B13)</f>
        <v>141269</v>
      </c>
      <c r="C14" s="6">
        <f>SUM(C4:C13)</f>
        <v>119029</v>
      </c>
    </row>
    <row r="15" spans="1:3">
      <c r="B15" s="6"/>
      <c r="C15" s="6"/>
    </row>
    <row r="16" spans="1:3">
      <c r="A16" s="23" t="s">
        <v>108</v>
      </c>
    </row>
    <row r="17" spans="1:3">
      <c r="A17" t="s">
        <v>164</v>
      </c>
      <c r="B17" s="6">
        <v>62568</v>
      </c>
      <c r="C17" s="6">
        <v>64783</v>
      </c>
    </row>
    <row r="18" spans="1:3">
      <c r="A18" t="s">
        <v>165</v>
      </c>
      <c r="B18" s="6">
        <v>75115</v>
      </c>
      <c r="C18" s="6">
        <v>71318</v>
      </c>
    </row>
    <row r="19" spans="1:3">
      <c r="A19" t="s">
        <v>166</v>
      </c>
      <c r="B19" s="6">
        <v>8878</v>
      </c>
      <c r="C19" s="6">
        <v>6934</v>
      </c>
    </row>
    <row r="20" spans="1:3">
      <c r="A20" t="s">
        <v>167</v>
      </c>
      <c r="B20" s="6">
        <v>2414</v>
      </c>
      <c r="C20" s="6">
        <v>3273</v>
      </c>
    </row>
    <row r="21" spans="1:3">
      <c r="A21" t="s">
        <v>168</v>
      </c>
      <c r="B21" s="6">
        <v>4683</v>
      </c>
      <c r="C21" s="6">
        <v>2045</v>
      </c>
    </row>
    <row r="22" spans="1:3">
      <c r="A22" t="s">
        <v>169</v>
      </c>
      <c r="B22" s="6">
        <v>58832</v>
      </c>
      <c r="C22" s="6">
        <v>148038</v>
      </c>
    </row>
    <row r="23" spans="1:3">
      <c r="B23" s="6">
        <f>SUM(B17:B22)</f>
        <v>212490</v>
      </c>
      <c r="C23" s="6">
        <f>SUM(C17:C22)</f>
        <v>296391</v>
      </c>
    </row>
    <row r="24" spans="1:3">
      <c r="A24" s="23" t="s">
        <v>109</v>
      </c>
      <c r="B24" s="6">
        <f>SUM(B14,B23)</f>
        <v>353759</v>
      </c>
      <c r="C24" s="6">
        <f>SUM(C14,C23)</f>
        <v>415420</v>
      </c>
    </row>
    <row r="25" spans="1:3">
      <c r="A25" s="23" t="s">
        <v>110</v>
      </c>
    </row>
    <row r="26" spans="1:3">
      <c r="A26" s="23" t="s">
        <v>111</v>
      </c>
    </row>
    <row r="27" spans="1:3">
      <c r="A27" s="24" t="s">
        <v>179</v>
      </c>
      <c r="B27" s="28">
        <v>9023</v>
      </c>
      <c r="C27" s="6">
        <v>9925</v>
      </c>
    </row>
    <row r="28" spans="1:3">
      <c r="A28" s="24" t="s">
        <v>180</v>
      </c>
      <c r="B28" s="6">
        <v>79799</v>
      </c>
      <c r="C28" s="6">
        <v>117726</v>
      </c>
    </row>
    <row r="29" spans="1:3">
      <c r="A29" s="24" t="s">
        <v>181</v>
      </c>
      <c r="B29" s="6">
        <v>85406</v>
      </c>
      <c r="C29" s="6">
        <v>91063</v>
      </c>
    </row>
    <row r="30" spans="1:3">
      <c r="A30" t="s">
        <v>112</v>
      </c>
      <c r="B30" s="6">
        <v>298</v>
      </c>
      <c r="C30" s="6">
        <v>5290</v>
      </c>
    </row>
    <row r="31" spans="1:3">
      <c r="A31" t="s">
        <v>73</v>
      </c>
      <c r="B31" s="6">
        <f>SUM(B27:B30)</f>
        <v>174526</v>
      </c>
      <c r="C31" s="6">
        <f>SUM(C27:C30)</f>
        <v>224004</v>
      </c>
    </row>
    <row r="32" spans="1:3">
      <c r="A32" s="23" t="s">
        <v>113</v>
      </c>
    </row>
    <row r="33" spans="1:3">
      <c r="A33" s="23" t="s">
        <v>114</v>
      </c>
    </row>
    <row r="34" spans="1:3">
      <c r="A34" t="s">
        <v>170</v>
      </c>
      <c r="B34" s="6">
        <v>54000</v>
      </c>
      <c r="C34" s="6">
        <v>386</v>
      </c>
    </row>
    <row r="35" spans="1:3">
      <c r="A35" t="s">
        <v>171</v>
      </c>
      <c r="B35" s="6">
        <v>1597</v>
      </c>
      <c r="C35" s="6">
        <v>2041</v>
      </c>
    </row>
    <row r="36" spans="1:3">
      <c r="A36" t="s">
        <v>172</v>
      </c>
      <c r="B36" s="6">
        <v>0</v>
      </c>
      <c r="C36" s="6">
        <v>401</v>
      </c>
    </row>
    <row r="37" spans="1:3">
      <c r="A37" t="s">
        <v>173</v>
      </c>
      <c r="B37" s="6">
        <v>0</v>
      </c>
      <c r="C37" s="6">
        <v>10296</v>
      </c>
    </row>
    <row r="38" spans="1:3">
      <c r="B38" s="6">
        <f>SUM(B34:B37)</f>
        <v>55597</v>
      </c>
      <c r="C38" s="6">
        <f>SUM(C34:C37)</f>
        <v>13124</v>
      </c>
    </row>
    <row r="39" spans="1:3">
      <c r="A39" s="23" t="s">
        <v>115</v>
      </c>
    </row>
    <row r="40" spans="1:3">
      <c r="A40" t="s">
        <v>174</v>
      </c>
      <c r="B40" s="6">
        <v>30066</v>
      </c>
      <c r="C40" s="6">
        <v>31558</v>
      </c>
    </row>
    <row r="41" spans="1:3">
      <c r="A41" t="s">
        <v>175</v>
      </c>
      <c r="B41" s="6">
        <v>43544</v>
      </c>
      <c r="C41" s="6">
        <v>58068</v>
      </c>
    </row>
    <row r="42" spans="1:3">
      <c r="A42" t="s">
        <v>176</v>
      </c>
      <c r="B42" s="6">
        <v>495</v>
      </c>
      <c r="C42" s="6">
        <v>2775</v>
      </c>
    </row>
    <row r="43" spans="1:3">
      <c r="A43" t="s">
        <v>177</v>
      </c>
      <c r="B43" s="6">
        <v>644</v>
      </c>
      <c r="C43" s="6">
        <v>0</v>
      </c>
    </row>
    <row r="44" spans="1:3">
      <c r="A44" t="s">
        <v>170</v>
      </c>
      <c r="B44" s="6">
        <v>43392</v>
      </c>
      <c r="C44" s="6">
        <v>83301</v>
      </c>
    </row>
    <row r="45" spans="1:3">
      <c r="A45" t="s">
        <v>178</v>
      </c>
      <c r="B45" s="6">
        <v>5495</v>
      </c>
      <c r="C45" s="6">
        <v>2590</v>
      </c>
    </row>
    <row r="46" spans="1:3">
      <c r="B46" s="6">
        <f>SUM(B40:B45)</f>
        <v>123636</v>
      </c>
      <c r="C46" s="6">
        <f>SUM(C40:C45)</f>
        <v>178292</v>
      </c>
    </row>
    <row r="47" spans="1:3">
      <c r="A47" s="23" t="s">
        <v>116</v>
      </c>
      <c r="B47" s="6">
        <f>SUM(B46,B38)</f>
        <v>179233</v>
      </c>
      <c r="C47" s="6">
        <f>SUM(C46,C38)</f>
        <v>191416</v>
      </c>
    </row>
    <row r="48" spans="1:3">
      <c r="A48" s="23" t="s">
        <v>117</v>
      </c>
      <c r="B48" s="6">
        <f>SUM(B24)</f>
        <v>353759</v>
      </c>
      <c r="C48" s="6">
        <f>SUM(C24)</f>
        <v>415420</v>
      </c>
    </row>
    <row r="49" spans="1:3">
      <c r="A49" s="23" t="s">
        <v>118</v>
      </c>
      <c r="B49" s="6">
        <f>B23-B46</f>
        <v>88854</v>
      </c>
      <c r="C49" s="6">
        <f>C23-C46</f>
        <v>118099</v>
      </c>
    </row>
    <row r="50" spans="1:3">
      <c r="A50" s="23" t="s">
        <v>119</v>
      </c>
      <c r="B50" s="6">
        <f>B24-B46</f>
        <v>230123</v>
      </c>
      <c r="C50" s="6">
        <f>C24-C46</f>
        <v>237128</v>
      </c>
    </row>
  </sheetData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211D4-AEDE-462A-B694-5E33A95B990E}">
  <dimension ref="A1:D31"/>
  <sheetViews>
    <sheetView tabSelected="1" workbookViewId="0">
      <selection activeCell="D5" sqref="D5"/>
    </sheetView>
  </sheetViews>
  <sheetFormatPr defaultRowHeight="16.2"/>
  <cols>
    <col min="1" max="1" width="60.6640625" customWidth="1"/>
    <col min="2" max="2" width="13.88671875" customWidth="1"/>
    <col min="3" max="3" width="13.109375" customWidth="1"/>
    <col min="4" max="4" width="15.6640625" customWidth="1"/>
  </cols>
  <sheetData>
    <row r="1" spans="1:4">
      <c r="B1">
        <v>2003</v>
      </c>
      <c r="C1">
        <v>2004</v>
      </c>
      <c r="D1">
        <v>2005</v>
      </c>
    </row>
    <row r="2" spans="1:4">
      <c r="A2" s="23" t="s">
        <v>121</v>
      </c>
    </row>
    <row r="3" spans="1:4">
      <c r="A3" t="s">
        <v>122</v>
      </c>
      <c r="B3" s="6"/>
      <c r="C3" s="6">
        <v>5479183</v>
      </c>
      <c r="D3" s="6">
        <v>5304218</v>
      </c>
    </row>
    <row r="4" spans="1:4">
      <c r="A4" t="s">
        <v>123</v>
      </c>
      <c r="B4" s="6"/>
      <c r="C4" s="6">
        <v>-318578</v>
      </c>
      <c r="D4" s="6">
        <v>-163070</v>
      </c>
    </row>
    <row r="5" spans="1:4">
      <c r="A5" t="s">
        <v>124</v>
      </c>
      <c r="B5" s="6"/>
      <c r="C5" s="6">
        <v>5160605</v>
      </c>
      <c r="D5" s="6">
        <v>5141148</v>
      </c>
    </row>
    <row r="7" spans="1:4">
      <c r="A7" s="23" t="s">
        <v>125</v>
      </c>
    </row>
    <row r="8" spans="1:4">
      <c r="A8" t="s">
        <v>126</v>
      </c>
      <c r="C8" s="6">
        <v>-6277173</v>
      </c>
      <c r="D8" s="6">
        <v>-5088539</v>
      </c>
    </row>
    <row r="9" spans="1:4">
      <c r="A9" t="s">
        <v>127</v>
      </c>
      <c r="C9" s="6">
        <v>1654</v>
      </c>
      <c r="D9" s="6">
        <v>877</v>
      </c>
    </row>
    <row r="10" spans="1:4">
      <c r="A10" t="s">
        <v>128</v>
      </c>
      <c r="C10" s="6">
        <v>-29707</v>
      </c>
      <c r="D10" s="6">
        <v>0</v>
      </c>
    </row>
    <row r="11" spans="1:4">
      <c r="A11" t="s">
        <v>129</v>
      </c>
      <c r="C11" s="6">
        <v>5291</v>
      </c>
      <c r="D11" s="6">
        <v>5256</v>
      </c>
    </row>
    <row r="12" spans="1:4">
      <c r="A12" t="s">
        <v>130</v>
      </c>
      <c r="C12" s="6">
        <v>14040</v>
      </c>
      <c r="D12" s="6">
        <v>84801</v>
      </c>
    </row>
    <row r="13" spans="1:4">
      <c r="A13" t="s">
        <v>131</v>
      </c>
      <c r="C13" s="6">
        <v>6285895</v>
      </c>
      <c r="D13" s="6">
        <v>4997605</v>
      </c>
    </row>
    <row r="15" spans="1:4">
      <c r="A15" s="23" t="s">
        <v>132</v>
      </c>
    </row>
    <row r="16" spans="1:4">
      <c r="A16" t="s">
        <v>133</v>
      </c>
    </row>
    <row r="17" spans="1:1">
      <c r="A17" t="s">
        <v>134</v>
      </c>
    </row>
    <row r="18" spans="1:1">
      <c r="A18" t="s">
        <v>135</v>
      </c>
    </row>
    <row r="19" spans="1:1">
      <c r="A19" t="s">
        <v>136</v>
      </c>
    </row>
    <row r="20" spans="1:1">
      <c r="A20" t="s">
        <v>137</v>
      </c>
    </row>
    <row r="21" spans="1:1">
      <c r="A21" t="s">
        <v>138</v>
      </c>
    </row>
    <row r="22" spans="1:1">
      <c r="A22" t="s">
        <v>139</v>
      </c>
    </row>
    <row r="23" spans="1:1">
      <c r="A23" t="s">
        <v>140</v>
      </c>
    </row>
    <row r="24" spans="1:1">
      <c r="A24" t="s">
        <v>141</v>
      </c>
    </row>
    <row r="25" spans="1:1">
      <c r="A25" t="s">
        <v>142</v>
      </c>
    </row>
    <row r="26" spans="1:1">
      <c r="A26" t="s">
        <v>143</v>
      </c>
    </row>
    <row r="28" spans="1:1">
      <c r="A28" t="s">
        <v>144</v>
      </c>
    </row>
    <row r="29" spans="1:1">
      <c r="A29" t="s">
        <v>145</v>
      </c>
    </row>
    <row r="31" spans="1:1">
      <c r="A31" t="s">
        <v>146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010FD-A4E7-49FE-990D-D154078CB078}">
  <dimension ref="A1:G57"/>
  <sheetViews>
    <sheetView workbookViewId="0">
      <selection activeCell="B16" sqref="B16"/>
    </sheetView>
  </sheetViews>
  <sheetFormatPr defaultRowHeight="16.2"/>
  <cols>
    <col min="1" max="1" width="39.33203125" customWidth="1"/>
    <col min="2" max="2" width="17.6640625" customWidth="1"/>
    <col min="3" max="3" width="21.21875" customWidth="1"/>
    <col min="4" max="4" width="23.6640625" customWidth="1"/>
    <col min="5" max="5" width="12" customWidth="1"/>
  </cols>
  <sheetData>
    <row r="1" spans="1:7">
      <c r="B1">
        <v>2003</v>
      </c>
      <c r="C1">
        <v>2004</v>
      </c>
      <c r="D1">
        <v>2005</v>
      </c>
      <c r="E1">
        <v>2006</v>
      </c>
      <c r="F1">
        <v>2007</v>
      </c>
      <c r="G1">
        <v>2008</v>
      </c>
    </row>
    <row r="2" spans="1:7">
      <c r="A2" t="s">
        <v>0</v>
      </c>
      <c r="B2" s="9">
        <f>1389720000+387515000</f>
        <v>1777235000</v>
      </c>
      <c r="C2" s="9">
        <f>381520000+445030000</f>
        <v>826550000</v>
      </c>
      <c r="D2" s="9">
        <f>501053000+458681000+2759412000</f>
        <v>3719146000</v>
      </c>
    </row>
    <row r="3" spans="1:7">
      <c r="A3" t="s">
        <v>1</v>
      </c>
      <c r="B3" s="9">
        <v>4232772000</v>
      </c>
      <c r="C3" s="9">
        <v>4569928000</v>
      </c>
      <c r="D3" s="9">
        <v>5107112000</v>
      </c>
    </row>
    <row r="4" spans="1:7">
      <c r="A4" t="s">
        <v>4</v>
      </c>
      <c r="B4" s="2">
        <f>B2+B3</f>
        <v>6010007000</v>
      </c>
      <c r="C4" s="2">
        <f>C2+C3</f>
        <v>5396478000</v>
      </c>
      <c r="D4" s="2">
        <f>D2+D3</f>
        <v>8826258000</v>
      </c>
    </row>
    <row r="5" spans="1:7">
      <c r="A5" t="s">
        <v>2</v>
      </c>
      <c r="B5" s="2">
        <v>575639000</v>
      </c>
      <c r="C5" s="2">
        <v>608209000</v>
      </c>
      <c r="D5" s="2">
        <v>566924000</v>
      </c>
    </row>
    <row r="6" spans="1:7">
      <c r="A6" t="s">
        <v>3</v>
      </c>
      <c r="B6" s="2">
        <f>B4+B5</f>
        <v>6585646000</v>
      </c>
      <c r="C6" s="2">
        <f>AVERAGE(C4,B4)</f>
        <v>5703242500</v>
      </c>
      <c r="D6" s="2">
        <f>AVERAGE(D4,C4)</f>
        <v>7111368000</v>
      </c>
    </row>
    <row r="7" spans="1:7">
      <c r="A7" t="s">
        <v>5</v>
      </c>
      <c r="B7" s="12">
        <f>B5/B6</f>
        <v>8.7408129741562174E-2</v>
      </c>
      <c r="C7" s="12">
        <f>C5/C6</f>
        <v>0.10664266862227935</v>
      </c>
      <c r="D7" s="13">
        <f>D5/D6</f>
        <v>7.9720807585825962E-2</v>
      </c>
    </row>
    <row r="8" spans="1:7">
      <c r="A8" s="14" t="s">
        <v>49</v>
      </c>
      <c r="B8" s="15">
        <v>0.16273299999999999</v>
      </c>
      <c r="C8" s="15">
        <v>0.187725</v>
      </c>
      <c r="D8" s="15">
        <v>0.162633</v>
      </c>
    </row>
    <row r="9" spans="1:7">
      <c r="A9" s="1" t="s">
        <v>6</v>
      </c>
      <c r="B9" s="4">
        <v>0</v>
      </c>
      <c r="C9" s="4">
        <v>0.28000000000000003</v>
      </c>
      <c r="D9" s="4">
        <v>0.12</v>
      </c>
    </row>
    <row r="10" spans="1:7">
      <c r="A10" s="1" t="s">
        <v>7</v>
      </c>
      <c r="B10" s="4">
        <v>0.46</v>
      </c>
      <c r="C10" s="4">
        <v>0.8</v>
      </c>
      <c r="D10" s="4">
        <v>0.59</v>
      </c>
    </row>
    <row r="11" spans="1:7">
      <c r="A11" s="1" t="s">
        <v>9</v>
      </c>
      <c r="B11" s="3">
        <v>0.72284999999999999</v>
      </c>
      <c r="C11" s="3">
        <v>0.44746000000000002</v>
      </c>
      <c r="D11" s="3">
        <v>0.23186000000000001</v>
      </c>
    </row>
    <row r="12" spans="1:7">
      <c r="A12" s="1" t="s">
        <v>8</v>
      </c>
      <c r="B12" s="5">
        <f>B9/B10</f>
        <v>0</v>
      </c>
      <c r="C12" s="5">
        <f>C9/C10</f>
        <v>0.35000000000000003</v>
      </c>
      <c r="D12" s="5">
        <f>D9/D10</f>
        <v>0.20338983050847459</v>
      </c>
    </row>
    <row r="13" spans="1:7">
      <c r="A13" s="1" t="s">
        <v>16</v>
      </c>
      <c r="B13">
        <f>B11*(1-B12)</f>
        <v>0.72284999999999999</v>
      </c>
      <c r="C13">
        <f>C11*(1-C12)</f>
        <v>0.29084899999999997</v>
      </c>
      <c r="D13">
        <f>D11*(1-D12)</f>
        <v>0.18470203389830508</v>
      </c>
    </row>
    <row r="14" spans="1:7">
      <c r="A14" s="14" t="s">
        <v>37</v>
      </c>
      <c r="B14" s="16"/>
      <c r="C14" s="16">
        <f>C8/B8-1</f>
        <v>0.15357671769094172</v>
      </c>
      <c r="D14" s="16">
        <f>D8/C8-1</f>
        <v>-0.13366360367558927</v>
      </c>
    </row>
    <row r="15" spans="1:7">
      <c r="A15" s="1" t="s">
        <v>10</v>
      </c>
      <c r="C15">
        <v>1.1599999999999999</v>
      </c>
      <c r="D15">
        <v>0.73</v>
      </c>
    </row>
    <row r="16" spans="1:7">
      <c r="A16" s="1" t="s">
        <v>11</v>
      </c>
      <c r="C16" s="3">
        <v>4.6100000000000002E-2</v>
      </c>
      <c r="D16" s="3">
        <v>4.2099999999999999E-2</v>
      </c>
    </row>
    <row r="17" spans="1:4">
      <c r="A17" s="14" t="s">
        <v>12</v>
      </c>
      <c r="B17" s="16"/>
      <c r="C17" s="15">
        <f>C8-C16</f>
        <v>0.141625</v>
      </c>
      <c r="D17" s="15">
        <f>D8-D16</f>
        <v>0.120533</v>
      </c>
    </row>
    <row r="18" spans="1:4">
      <c r="A18" s="1" t="s">
        <v>20</v>
      </c>
      <c r="C18">
        <v>1.38</v>
      </c>
      <c r="D18">
        <v>2.67</v>
      </c>
    </row>
    <row r="19" spans="1:4">
      <c r="A19" s="1" t="s">
        <v>13</v>
      </c>
      <c r="C19" s="10">
        <f>C16+C15*(C17-C16)</f>
        <v>0.15690899999999999</v>
      </c>
      <c r="D19" s="10">
        <f>D16+D15*(D17-D16)</f>
        <v>9.9356090000000008E-2</v>
      </c>
    </row>
    <row r="20" spans="1:4">
      <c r="A20" s="1" t="s">
        <v>40</v>
      </c>
      <c r="C20" s="8">
        <f>1-C19</f>
        <v>0.84309100000000003</v>
      </c>
      <c r="D20" s="8">
        <f>1-D19</f>
        <v>0.90064390999999999</v>
      </c>
    </row>
    <row r="21" spans="1:4">
      <c r="A21" s="1" t="s">
        <v>39</v>
      </c>
      <c r="C21" s="8">
        <v>5.2499999999999998E-2</v>
      </c>
      <c r="D21" s="8">
        <v>5.4600000000000003E-2</v>
      </c>
    </row>
    <row r="22" spans="1:4">
      <c r="A22" s="1" t="s">
        <v>17</v>
      </c>
      <c r="B22" s="6">
        <v>1382872000</v>
      </c>
      <c r="C22" s="6">
        <v>4013622000</v>
      </c>
      <c r="D22" s="6">
        <v>3582782000</v>
      </c>
    </row>
    <row r="23" spans="1:4">
      <c r="A23" s="1" t="s">
        <v>18</v>
      </c>
      <c r="B23" s="6">
        <f>B22/B10</f>
        <v>3006243478.2608695</v>
      </c>
      <c r="C23" s="6">
        <f>C22/C10</f>
        <v>5017027500</v>
      </c>
      <c r="D23" s="6">
        <f>D22/D10</f>
        <v>6072511864.4067802</v>
      </c>
    </row>
    <row r="24" spans="1:4">
      <c r="A24" s="1" t="s">
        <v>19</v>
      </c>
      <c r="B24" s="7">
        <f>B18*B23</f>
        <v>0</v>
      </c>
      <c r="C24" s="7">
        <f>C18*C23</f>
        <v>6923497949.999999</v>
      </c>
      <c r="D24" s="7">
        <f>D18*D23</f>
        <v>16213606677.966103</v>
      </c>
    </row>
    <row r="25" spans="1:4">
      <c r="A25" s="1" t="s">
        <v>21</v>
      </c>
      <c r="B25" s="7"/>
      <c r="C25" s="7">
        <f>C24+C4</f>
        <v>12319975950</v>
      </c>
      <c r="D25" s="7">
        <f>D24+D4</f>
        <v>25039864677.966103</v>
      </c>
    </row>
    <row r="26" spans="1:4">
      <c r="A26" s="1" t="s">
        <v>14</v>
      </c>
      <c r="C26">
        <f>C24/C25</f>
        <v>0.56197333323528109</v>
      </c>
      <c r="D26">
        <f>D24/D25</f>
        <v>0.64751175321779231</v>
      </c>
    </row>
    <row r="27" spans="1:4">
      <c r="A27" s="1" t="s">
        <v>15</v>
      </c>
      <c r="C27">
        <f>1-C26</f>
        <v>0.43802666676471891</v>
      </c>
      <c r="D27">
        <f>1-D26</f>
        <v>0.35248824678220769</v>
      </c>
    </row>
    <row r="28" spans="1:4">
      <c r="A28" s="1" t="s">
        <v>35</v>
      </c>
      <c r="C28">
        <f>C26*C19+C27*C20*(1-C32)</f>
        <v>0.40444114639740414</v>
      </c>
      <c r="D28">
        <f>D26*D19+D27*D20*(1-D32)</f>
        <v>0.32845067021592234</v>
      </c>
    </row>
    <row r="29" spans="1:4">
      <c r="A29" s="1" t="s">
        <v>36</v>
      </c>
      <c r="C29" s="7">
        <f>C26*C19+C27*C7*(1-C32)</f>
        <v>0.12818274693336196</v>
      </c>
      <c r="D29" s="7">
        <f>D26*D19+D27*D7*(1-D32)</f>
        <v>8.7712593664124622E-2</v>
      </c>
    </row>
    <row r="30" spans="1:4">
      <c r="A30" s="1" t="s">
        <v>34</v>
      </c>
      <c r="B30" s="6"/>
      <c r="C30" s="6">
        <v>4694568000</v>
      </c>
      <c r="D30" s="6">
        <v>4309263000</v>
      </c>
    </row>
    <row r="31" spans="1:4">
      <c r="A31" s="1" t="s">
        <v>38</v>
      </c>
      <c r="B31" s="6"/>
      <c r="C31" s="6">
        <f>674177000</f>
        <v>674177000</v>
      </c>
      <c r="D31" s="6">
        <f>724168000</f>
        <v>724168000</v>
      </c>
    </row>
    <row r="32" spans="1:4">
      <c r="A32" s="1" t="s">
        <v>23</v>
      </c>
      <c r="B32" s="8"/>
      <c r="C32" s="3">
        <f>C31/C30</f>
        <v>0.14360788894739623</v>
      </c>
      <c r="D32" s="3">
        <f>D31/D30</f>
        <v>0.1680491536487794</v>
      </c>
    </row>
    <row r="33" spans="1:4">
      <c r="A33" s="1" t="s">
        <v>22</v>
      </c>
      <c r="B33" s="6"/>
      <c r="C33" s="6">
        <v>5160605000</v>
      </c>
      <c r="D33" s="6">
        <v>5141148000</v>
      </c>
    </row>
    <row r="34" spans="1:4">
      <c r="A34" s="11" t="s">
        <v>41</v>
      </c>
      <c r="B34" s="6">
        <v>9087847000</v>
      </c>
      <c r="C34" s="6">
        <v>15190586000</v>
      </c>
      <c r="D34" s="6">
        <v>20770813000</v>
      </c>
    </row>
    <row r="35" spans="1:4">
      <c r="A35" s="1" t="s">
        <v>26</v>
      </c>
      <c r="B35" s="6">
        <v>4063178000</v>
      </c>
      <c r="C35" s="6">
        <v>4352958000</v>
      </c>
      <c r="D35" s="6">
        <v>4226798000</v>
      </c>
    </row>
    <row r="36" spans="1:4">
      <c r="A36" s="1" t="s">
        <v>24</v>
      </c>
      <c r="B36" s="6"/>
      <c r="C36" s="6">
        <f>C34-B34</f>
        <v>6102739000</v>
      </c>
      <c r="D36" s="6">
        <f>D34-C34</f>
        <v>5580227000</v>
      </c>
    </row>
    <row r="37" spans="1:4">
      <c r="A37" s="1" t="s">
        <v>25</v>
      </c>
      <c r="B37" s="6"/>
      <c r="C37" s="6">
        <f>C35-B35</f>
        <v>289780000</v>
      </c>
      <c r="D37" s="6">
        <f>D35-C35</f>
        <v>-126160000</v>
      </c>
    </row>
    <row r="38" spans="1:4">
      <c r="A38" s="1" t="s">
        <v>27</v>
      </c>
      <c r="B38" s="6"/>
      <c r="C38" s="6">
        <f>C33+C5*(1-C32)-C36</f>
        <v>-421268610.52880669</v>
      </c>
      <c r="D38" s="6">
        <f>D33+D5*(1-D32)-D36</f>
        <v>32573901.616819382</v>
      </c>
    </row>
    <row r="39" spans="1:4">
      <c r="A39" s="1" t="s">
        <v>30</v>
      </c>
      <c r="B39" s="6"/>
      <c r="C39" s="6">
        <f>C33-C36+C37</f>
        <v>-652354000</v>
      </c>
      <c r="D39" s="6">
        <f>D33-D36+D37</f>
        <v>-565239000</v>
      </c>
    </row>
    <row r="40" spans="1:4">
      <c r="A40" s="1" t="s">
        <v>29</v>
      </c>
      <c r="B40" s="6"/>
      <c r="C40" s="6">
        <f>C38-C5*(1-C32)+C37</f>
        <v>-652353999.99999976</v>
      </c>
      <c r="D40" s="6">
        <f>D38-D5*(1-D32)+D37</f>
        <v>-565239000</v>
      </c>
    </row>
    <row r="41" spans="1:4">
      <c r="A41" s="1" t="s">
        <v>47</v>
      </c>
      <c r="B41" s="3">
        <v>0.12446</v>
      </c>
      <c r="C41" s="3">
        <v>0.2084</v>
      </c>
      <c r="D41" s="3">
        <v>0.1326</v>
      </c>
    </row>
    <row r="42" spans="1:4">
      <c r="A42" s="1" t="s">
        <v>48</v>
      </c>
      <c r="B42" s="2"/>
      <c r="C42" s="3">
        <f>C41*(1-C12)</f>
        <v>0.13545999999999997</v>
      </c>
      <c r="D42" s="3">
        <f>D41*(1-D12)</f>
        <v>0.10563050847457627</v>
      </c>
    </row>
    <row r="43" spans="1:4">
      <c r="A43" s="1" t="s">
        <v>28</v>
      </c>
      <c r="D43" s="2">
        <f>D38*(1+D42)/(D29-D42)</f>
        <v>-2009982734.5198233</v>
      </c>
    </row>
    <row r="44" spans="1:4">
      <c r="A44" s="1" t="s">
        <v>31</v>
      </c>
      <c r="D44" s="2">
        <f>D39*(1+D13)/(D19-D13)</f>
        <v>7846181814.2940807</v>
      </c>
    </row>
    <row r="45" spans="1:4">
      <c r="A45" s="1" t="s">
        <v>32</v>
      </c>
      <c r="D45">
        <f>D44/D23</f>
        <v>1.2920817594912297</v>
      </c>
    </row>
    <row r="46" spans="1:4">
      <c r="A46" s="1" t="s">
        <v>33</v>
      </c>
      <c r="D46">
        <f>D43/D23</f>
        <v>-0.33099692176825041</v>
      </c>
    </row>
    <row r="47" spans="1:4">
      <c r="A47" s="1"/>
      <c r="B47" t="s">
        <v>42</v>
      </c>
      <c r="C47" s="6">
        <f>674177000-241007000</f>
        <v>433170000</v>
      </c>
      <c r="D47" s="6">
        <f>724168000-487163000</f>
        <v>237005000</v>
      </c>
    </row>
    <row r="48" spans="1:4">
      <c r="A48" s="1"/>
    </row>
    <row r="49" spans="1:4">
      <c r="A49" s="1" t="s">
        <v>43</v>
      </c>
      <c r="D49" s="17">
        <f>D18*D23</f>
        <v>16213606677.966103</v>
      </c>
    </row>
    <row r="51" spans="1:4">
      <c r="A51" s="1" t="s">
        <v>45</v>
      </c>
      <c r="D51" s="17">
        <f>4730576000*(1-D32)</f>
        <v>3935606706.928772</v>
      </c>
    </row>
    <row r="52" spans="1:4">
      <c r="A52" s="1" t="s">
        <v>44</v>
      </c>
      <c r="D52" s="17">
        <f>D19*D49</f>
        <v>1610920564.3206012</v>
      </c>
    </row>
    <row r="53" spans="1:4">
      <c r="A53" s="1" t="s">
        <v>46</v>
      </c>
      <c r="D53" s="6">
        <f>D51-D52</f>
        <v>2324686142.6081705</v>
      </c>
    </row>
    <row r="54" spans="1:4">
      <c r="A54" s="1"/>
    </row>
    <row r="55" spans="1:4">
      <c r="A55" s="1"/>
    </row>
    <row r="56" spans="1:4">
      <c r="A56" s="1"/>
    </row>
    <row r="57" spans="1:4">
      <c r="A57" s="1"/>
    </row>
  </sheetData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222D4-FC83-499F-B6ED-EBA5EF2CACAC}">
  <dimension ref="A1:D27"/>
  <sheetViews>
    <sheetView topLeftCell="A10" workbookViewId="0">
      <selection activeCell="B26" sqref="B26"/>
    </sheetView>
  </sheetViews>
  <sheetFormatPr defaultRowHeight="16.2"/>
  <cols>
    <col min="1" max="1" width="15.44140625" customWidth="1"/>
    <col min="2" max="2" width="17.33203125" style="32" customWidth="1"/>
    <col min="3" max="3" width="12" customWidth="1"/>
  </cols>
  <sheetData>
    <row r="1" spans="1:4">
      <c r="A1" t="s">
        <v>204</v>
      </c>
      <c r="B1" s="32">
        <v>9973</v>
      </c>
      <c r="C1">
        <v>9391</v>
      </c>
      <c r="D1">
        <v>9792</v>
      </c>
    </row>
    <row r="2" spans="1:4">
      <c r="A2" t="s">
        <v>195</v>
      </c>
      <c r="B2" s="31">
        <v>64</v>
      </c>
      <c r="C2" s="31">
        <v>64</v>
      </c>
      <c r="D2" s="31">
        <v>64</v>
      </c>
    </row>
    <row r="3" spans="1:4">
      <c r="A3" t="s">
        <v>196</v>
      </c>
      <c r="B3" s="33">
        <v>64.88</v>
      </c>
      <c r="C3" s="31">
        <v>65</v>
      </c>
      <c r="D3">
        <v>66</v>
      </c>
    </row>
    <row r="4" spans="1:4">
      <c r="A4" t="s">
        <v>197</v>
      </c>
      <c r="B4" s="34">
        <v>3.7900000000000003E-2</v>
      </c>
      <c r="C4" s="34">
        <v>3.7900000000000003E-2</v>
      </c>
      <c r="D4" s="34">
        <v>3.7900000000000003E-2</v>
      </c>
    </row>
    <row r="5" spans="1:4">
      <c r="A5" t="s">
        <v>198</v>
      </c>
      <c r="B5" s="33">
        <v>0.38082191780821917</v>
      </c>
      <c r="C5" s="33">
        <v>0.33150684931506852</v>
      </c>
      <c r="D5" s="7">
        <v>0.33972602739726027</v>
      </c>
    </row>
    <row r="6" spans="1:4">
      <c r="A6" t="s">
        <v>205</v>
      </c>
      <c r="B6" s="34">
        <v>0.29795871000000002</v>
      </c>
      <c r="C6" s="34">
        <v>0.29795871000000002</v>
      </c>
      <c r="D6" s="34">
        <v>0.29795871000000002</v>
      </c>
    </row>
    <row r="7" spans="1:4">
      <c r="C7" s="32"/>
    </row>
    <row r="8" spans="1:4">
      <c r="A8" t="s">
        <v>199</v>
      </c>
      <c r="B8" s="35">
        <f>(LN(B2/B3)+(B4+0.5*B6^2)*B5)/(B6*SQRT(B5))</f>
        <v>9.6161103360213995E-2</v>
      </c>
      <c r="C8" s="35">
        <f>(LN(C2/C3)+(C4+0.5*C6^2)*C5)/(C6*SQRT(C5))</f>
        <v>6.8639443380313095E-2</v>
      </c>
      <c r="D8" s="35">
        <f>(LN(D2/D3)+(D4+0.5*D6^2)*D5)/(D6*SQRT(D5))</f>
        <v>-1.6213133739234664E-2</v>
      </c>
    </row>
    <row r="9" spans="1:4">
      <c r="A9" t="s">
        <v>200</v>
      </c>
      <c r="B9" s="35">
        <f>B8-SQRT(B5)*B6</f>
        <v>-8.7711511927236807E-2</v>
      </c>
      <c r="C9" s="35">
        <f>C8-SQRT(C5)*C6</f>
        <v>-0.10291514505361886</v>
      </c>
      <c r="D9" s="35">
        <f>D8-SQRT(D5)*D6</f>
        <v>-0.18988141078694695</v>
      </c>
    </row>
    <row r="11" spans="1:4">
      <c r="A11" t="s">
        <v>201</v>
      </c>
      <c r="B11" s="35">
        <f t="shared" ref="B11:D12" si="0">NORMSDIST(B8)</f>
        <v>0.53830368868587464</v>
      </c>
      <c r="C11" s="35">
        <f t="shared" si="0"/>
        <v>0.52736168919449011</v>
      </c>
      <c r="D11" s="35">
        <f t="shared" si="0"/>
        <v>0.49353217881625422</v>
      </c>
    </row>
    <row r="12" spans="1:4">
      <c r="A12" t="s">
        <v>202</v>
      </c>
      <c r="B12" s="35">
        <f t="shared" si="0"/>
        <v>0.46505298484788637</v>
      </c>
      <c r="C12" s="35">
        <f t="shared" si="0"/>
        <v>0.45901515875642163</v>
      </c>
      <c r="D12" s="35">
        <f t="shared" si="0"/>
        <v>0.4247010297503534</v>
      </c>
    </row>
    <row r="14" spans="1:4">
      <c r="A14" t="s">
        <v>203</v>
      </c>
      <c r="B14" s="33">
        <f>B2*B11-B3*EXP(-B4*B5)*B12</f>
        <v>4.7111569910501956</v>
      </c>
      <c r="C14" s="33">
        <f>C2*C11-C3*EXP(-C4*C5)*C12</f>
        <v>4.2876803027383339</v>
      </c>
      <c r="D14" s="33">
        <f>D2*D11-D3*EXP(-D4*D5)*D12</f>
        <v>3.9143849496977943</v>
      </c>
    </row>
    <row r="17" spans="1:4">
      <c r="A17" t="s">
        <v>206</v>
      </c>
      <c r="B17" s="34">
        <v>4.7067238999999997E-2</v>
      </c>
    </row>
    <row r="18" spans="1:4">
      <c r="A18" t="s">
        <v>207</v>
      </c>
      <c r="B18" s="34">
        <v>0.29795871000000002</v>
      </c>
    </row>
    <row r="20" spans="1:4">
      <c r="B20" s="33">
        <f>LN(B2)+(B17-B18^2/2)*3/247</f>
        <v>4.1589156041196018</v>
      </c>
    </row>
    <row r="21" spans="1:4">
      <c r="B21" s="33">
        <f>B18*SQRT(3/247)</f>
        <v>3.2837360141015265E-2</v>
      </c>
    </row>
    <row r="22" spans="1:4">
      <c r="A22" t="s">
        <v>208</v>
      </c>
      <c r="B22" s="33">
        <f>EXP(B20-1.96*B21)</f>
        <v>60.012590282041955</v>
      </c>
    </row>
    <row r="23" spans="1:4">
      <c r="A23" t="s">
        <v>209</v>
      </c>
      <c r="B23" s="33">
        <f>EXP(B20+1.96*B21)</f>
        <v>68.256784109436296</v>
      </c>
    </row>
    <row r="25" spans="1:4">
      <c r="B25" s="33">
        <f>0.52*(1-0.05)</f>
        <v>0.49399999999999999</v>
      </c>
      <c r="C25" s="33">
        <f>0.5*(1-0.05)</f>
        <v>0.47499999999999998</v>
      </c>
      <c r="D25" s="33">
        <f>0.45*(1-0.05)</f>
        <v>0.42749999999999999</v>
      </c>
    </row>
    <row r="26" spans="1:4">
      <c r="A26" t="s">
        <v>210</v>
      </c>
      <c r="B26" s="35">
        <f>B6/SQRT(2*37)</f>
        <v>3.4636996480654415E-2</v>
      </c>
      <c r="C26" s="36"/>
      <c r="D26" s="36"/>
    </row>
    <row r="27" spans="1:4">
      <c r="B27" s="33"/>
    </row>
  </sheetData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C90CE-37FB-4F2F-AD6A-50B5CC6D1997}">
  <dimension ref="A1"/>
  <sheetViews>
    <sheetView workbookViewId="0">
      <selection activeCell="A4" sqref="A2:A4"/>
    </sheetView>
  </sheetViews>
  <sheetFormatPr defaultRowHeight="16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Incomestatement</vt:lpstr>
      <vt:lpstr>Ratio</vt:lpstr>
      <vt:lpstr>Balancesheet</vt:lpstr>
      <vt:lpstr>Cashflow</vt:lpstr>
      <vt:lpstr>Firm_Value</vt:lpstr>
      <vt:lpstr>Black_Scholes</vt:lpstr>
      <vt:lpstr>Intrinsic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Macro</dc:creator>
  <cp:lastModifiedBy>Ho Yeung Lee</cp:lastModifiedBy>
  <dcterms:created xsi:type="dcterms:W3CDTF">2006-09-09T08:14:01Z</dcterms:created>
  <dcterms:modified xsi:type="dcterms:W3CDTF">2025-10-25T11:09:03Z</dcterms:modified>
</cp:coreProperties>
</file>