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4.xml" ContentType="application/vnd.openxmlformats-officedocument.spreadsheetml.workshee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5.xml" ContentType="application/vnd.openxmlformats-officedocument.spreadsheetml.worksheet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sheet6.xml" ContentType="application/vnd.openxmlformats-officedocument.spreadsheetml.worksheet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7.xml" ContentType="application/vnd.openxmlformats-officedocument.spreadsheetml.worksheet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sheets/sheet8.xml" ContentType="application/vnd.openxmlformats-officedocument.spreadsheetml.worksheet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9.xml" ContentType="application/vnd.openxmlformats-officedocument.spreadsheetml.workshee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sheets/sheet10.xml" ContentType="application/vnd.openxmlformats-officedocument.spreadsheetml.worksheet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sheets/sheet11.xml" ContentType="application/vnd.openxmlformats-officedocument.spreadsheetml.worksheet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sheets/sheet12.xml" ContentType="application/vnd.openxmlformats-officedocument.spreadsheetml.worksheet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sheets/sheet13.xml" ContentType="application/vnd.openxmlformats-officedocument.spreadsheetml.worksheet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sheets/sheet14.xml" ContentType="application/vnd.openxmlformats-officedocument.spreadsheetml.worksheet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5.xml" ContentType="application/vnd.openxmlformats-officedocument.spreadsheetml.worksheet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sheets/sheet16.xml" ContentType="application/vnd.openxmlformats-officedocument.spreadsheetml.worksheet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sheets/sheet18.xml" ContentType="application/vnd.openxmlformats-officedocument.spreadsheetml.worksheet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sheets/sheet19.xml" ContentType="application/vnd.openxmlformats-officedocument.spreadsheetml.worksheet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2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Unlicensed version" sheetId="20" r:id="R77a449f719f3469d"/>
    <sheet name="Sheet1" sheetId="1" r:id="rId1"/>
    <sheet name="Sheet2" sheetId="2" r:id="R0a8ebcc6f3c34c35"/>
    <sheet name="Sheet3" sheetId="3" r:id="Rd043e55cfac842fa"/>
    <sheet name="Sheet4" sheetId="4" r:id="R9dda3de9a2e24453"/>
    <sheet name="Sheet5" sheetId="5" r:id="R2d4d4d23e94c4f64"/>
    <sheet name="Sheet6" sheetId="6" r:id="R7e3ccb707ec349bd"/>
    <sheet name="Sheet7" sheetId="7" r:id="R018690d592a341a7"/>
    <sheet name="Sheet8" sheetId="8" r:id="Rb30092cf58ff42d6"/>
    <sheet name="Sheet9" sheetId="9" r:id="R84537502740a4bab"/>
    <sheet name="Sheet10" sheetId="10" r:id="Rf9ad4a8eeb644a14"/>
    <sheet name="Sheet11" sheetId="11" r:id="R57705c23d7f24b1c"/>
    <sheet name="Sheet12" sheetId="12" r:id="R90c637258ea64027"/>
    <sheet name="Sheet13" sheetId="13" r:id="R07d7539912fc4ecf"/>
    <sheet name="Sheet14" sheetId="14" r:id="R88780b7c5c304197"/>
    <sheet name="Sheet15" sheetId="15" r:id="Rd3c52236c6d04a36"/>
    <sheet name="Sheet16" sheetId="16" r:id="Ra91fe3c8e25e481e"/>
    <sheet name="Sheet17" sheetId="17" r:id="R0810a031380f4cd9"/>
    <sheet name="Sheet18" sheetId="18" r:id="R1b7e1ae8e1c544c5"/>
    <sheet name="Sheet19" sheetId="19" r:id="R5fb6d9c006534da3"/>
  </sheets>
  <calcPr calcId="145621" fullCalcOnLoad="1"/>
</workbook>
</file>

<file path=xl/calcChain.xml><?xml version="1.0" encoding="utf-8"?>
<calcChain xmlns="http://schemas.openxmlformats.org/spreadsheetml/2006/main">
  <c r="I40" i="1" l="1"/>
  <c r="I38" i="1"/>
  <c r="H40" i="1"/>
  <c r="H38" i="1"/>
  <c r="G40" i="1"/>
  <c r="G38" i="1"/>
  <c r="F40" i="1"/>
  <c r="F38" i="1"/>
  <c r="E40" i="1"/>
  <c r="E38" i="1"/>
  <c r="D40" i="1"/>
  <c r="D38" i="1"/>
  <c r="C40" i="1"/>
  <c r="C38" i="1"/>
  <c r="K38" i="1" l="1"/>
  <c r="J38" i="1"/>
  <c r="H41" i="1" l="1"/>
  <c r="H46" i="1" l="1"/>
  <c r="G46" i="1"/>
  <c r="E46" i="1"/>
  <c r="D46" i="1"/>
  <c r="D47" i="1"/>
  <c r="E47" i="1"/>
  <c r="F47" i="1"/>
  <c r="G47" i="1"/>
  <c r="H47" i="1"/>
  <c r="I47" i="1"/>
  <c r="C47" i="1"/>
  <c r="I41" i="1" l="1"/>
  <c r="G41" i="1"/>
  <c r="F41" i="1"/>
  <c r="E41" i="1"/>
  <c r="D41" i="1"/>
  <c r="G39" i="1" l="1"/>
  <c r="F39" i="1"/>
  <c r="H39" i="1"/>
  <c r="C41" i="1"/>
  <c r="F46" i="1" l="1"/>
  <c r="I46" i="1"/>
  <c r="C46" i="1"/>
  <c r="I39" i="1" l="1"/>
  <c r="E39" i="1"/>
  <c r="D39" i="1"/>
  <c r="C39" i="1"/>
</calcChain>
</file>

<file path=xl/sharedStrings.xml><?xml version="1.0" encoding="utf-8"?>
<sst xmlns="http://schemas.openxmlformats.org/spreadsheetml/2006/main" count="75" uniqueCount="75">
  <si>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</si>
  <si>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</si>
  <si>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</si>
  <si>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</si>
  <si>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</si>
  <si>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</si>
  <si>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</si>
  <si>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</si>
  <si>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</si>
  <si>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</si>
  <si>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</si>
  <si>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</si>
  <si>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</si>
  <si>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Jackson (duration)</t>
  </si>
  <si>
    <t>Jackson (size)</t>
  </si>
  <si>
    <t>Protobuf.NET (size)</t>
  </si>
  <si>
    <t>Protobuf.NET (duration)</t>
  </si>
  <si>
    <t>[[serialization.NewtonsoftJson.Duration]]</t>
  </si>
  <si>
    <t>[[serialization.NewtonsoftJson.Size]]</t>
  </si>
  <si>
    <t>[[serialization.Jackson.Duration]]</t>
  </si>
  <si>
    <t>[[serialization.Jackson.Size]]</t>
  </si>
  <si>
    <t>[[serialization.Protobuf.Duration]]</t>
  </si>
  <si>
    <t>[[serialization.Protobuf.Size]]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</si>
  <si>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</si>
  <si>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</si>
  <si>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</si>
  <si>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</si>
  <si>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</si>
  <si>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</si>
  <si>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</si>
  <si>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</si>
  <si>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</si>
  <si>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</si>
  <si>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</si>
  <si>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</si>
  <si>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</si>
  <si>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</si>
  <si>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</si>
  <si>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[[description]:clone]</t>
  </si>
  <si>
    <t>.NET (instance only)</t>
  </si>
  <si>
    <t>JVM (instance only)</t>
  </si>
  <si>
    <t>[[both.Net]]</t>
  </si>
  <si>
    <t>[[both.Jvm]]</t>
  </si>
  <si>
    <t>Revenj.Net full</t>
  </si>
  <si>
    <t>Revenj.Net minimal</t>
  </si>
  <si>
    <t>DSL client Java full</t>
  </si>
  <si>
    <t>DSL client Java minimal</t>
  </si>
  <si>
    <t>Revenj.NET full (duration)</t>
  </si>
  <si>
    <t>Revenj.NET full (size)</t>
  </si>
  <si>
    <t>Revenj.NET minimal (duration)</t>
  </si>
  <si>
    <t>Revenj.NET minimal (size)</t>
  </si>
  <si>
    <t>DSL client Java full (duration)</t>
  </si>
  <si>
    <t>DSL client Java full (size)</t>
  </si>
  <si>
    <t>DSL client Java minimal (duration)</t>
  </si>
  <si>
    <t>DSL client Java minimal (size)</t>
  </si>
  <si>
    <t>Startup times: SmallObject.Message</t>
  </si>
  <si>
    <t>Startup times: LargeObjects.Book</t>
  </si>
  <si>
    <t>100.000 SmallObjects.Message</t>
  </si>
  <si>
    <t>1.000.000 SmallObjects.Message</t>
  </si>
  <si>
    <t>10.000.000 SmallObjects.Message</t>
  </si>
  <si>
    <t>100.000 SmallObjects.Complex</t>
  </si>
  <si>
    <t>1.000.000 SmallObjects.Complex</t>
  </si>
  <si>
    <t>10.000.000 SmallObjects.Complex</t>
  </si>
  <si>
    <t>100.000 SmallObjects.Post</t>
  </si>
  <si>
    <t>1.000.000 SmallObjects.Post</t>
  </si>
  <si>
    <t>10.000.000 SmallObjects.Post</t>
  </si>
  <si>
    <t>10.000 StandardObjects.DeletePost</t>
  </si>
  <si>
    <t>100.000 StandardObjects.DeletePost</t>
  </si>
  <si>
    <t>1.000.000 StandardObjects.DeletePost</t>
  </si>
  <si>
    <t>10.000 StandardObjects.Post</t>
  </si>
  <si>
    <t>100.000 StandardObjects.Post</t>
  </si>
  <si>
    <t>1.000.000 StandardObjects.Post</t>
  </si>
  <si>
    <t>100 LargeObjects.Book</t>
  </si>
  <si>
    <t>1.000 LargeObjects.Book</t>
  </si>
  <si>
    <r>
      <rPr>
        <b/>
      </rPr>
      <t>Unlicensed version. Please register @ templater.info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</si>
</sst>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0a8ebcc6f3c34c35" /><Relationship Type="http://schemas.openxmlformats.org/officeDocument/2006/relationships/worksheet" Target="/xl/worksheets/sheet3.xml" Id="Rd043e55cfac842fa" /><Relationship Type="http://schemas.openxmlformats.org/officeDocument/2006/relationships/worksheet" Target="/xl/worksheets/sheet4.xml" Id="R9dda3de9a2e24453" /><Relationship Type="http://schemas.openxmlformats.org/officeDocument/2006/relationships/worksheet" Target="/xl/worksheets/sheet5.xml" Id="R2d4d4d23e94c4f64" /><Relationship Type="http://schemas.openxmlformats.org/officeDocument/2006/relationships/worksheet" Target="/xl/worksheets/sheet6.xml" Id="R7e3ccb707ec349bd" /><Relationship Type="http://schemas.openxmlformats.org/officeDocument/2006/relationships/worksheet" Target="/xl/worksheets/sheet7.xml" Id="R018690d592a341a7" /><Relationship Type="http://schemas.openxmlformats.org/officeDocument/2006/relationships/worksheet" Target="/xl/worksheets/sheet8.xml" Id="Rb30092cf58ff42d6" /><Relationship Type="http://schemas.openxmlformats.org/officeDocument/2006/relationships/worksheet" Target="/xl/worksheets/sheet9.xml" Id="R84537502740a4bab" /><Relationship Type="http://schemas.openxmlformats.org/officeDocument/2006/relationships/worksheet" Target="/xl/worksheets/sheet10.xml" Id="Rf9ad4a8eeb644a14" /><Relationship Type="http://schemas.openxmlformats.org/officeDocument/2006/relationships/worksheet" Target="/xl/worksheets/sheet11.xml" Id="R57705c23d7f24b1c" /><Relationship Type="http://schemas.openxmlformats.org/officeDocument/2006/relationships/worksheet" Target="/xl/worksheets/sheet12.xml" Id="R90c637258ea64027" /><Relationship Type="http://schemas.openxmlformats.org/officeDocument/2006/relationships/worksheet" Target="/xl/worksheets/sheet13.xml" Id="R07d7539912fc4ecf" /><Relationship Type="http://schemas.openxmlformats.org/officeDocument/2006/relationships/worksheet" Target="/xl/worksheets/sheet14.xml" Id="R88780b7c5c304197" /><Relationship Type="http://schemas.openxmlformats.org/officeDocument/2006/relationships/worksheet" Target="/xl/worksheets/sheet15.xml" Id="Rd3c52236c6d04a36" /><Relationship Type="http://schemas.openxmlformats.org/officeDocument/2006/relationships/worksheet" Target="/xl/worksheets/sheet16.xml" Id="Ra91fe3c8e25e481e" /><Relationship Type="http://schemas.openxmlformats.org/officeDocument/2006/relationships/worksheet" Target="/xl/worksheets/sheet17.xml" Id="R0810a031380f4cd9" /><Relationship Type="http://schemas.openxmlformats.org/officeDocument/2006/relationships/worksheet" Target="/xl/worksheets/sheet18.xml" Id="R1b7e1ae8e1c544c5" /><Relationship Type="http://schemas.openxmlformats.org/officeDocument/2006/relationships/worksheet" Target="/xl/worksheets/sheet19.xml" Id="R5fb6d9c006534da3" /><Relationship Type="http://schemas.openxmlformats.org/officeDocument/2006/relationships/worksheet" Target="/xl/worksheets/sheet20.xml" Id="R77a449f719f3469d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Sheet10!$B$41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Sheet10!$C$37:$I$37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Sheet10!$C$41:$I$41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Sheet10!$B$39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Sheet10!$C$37:$K$37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Sheet10!$C$39:$K$39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Sheet11!$C$37:$I$37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Sheet11!$C$37:$K$37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Sheet2!$B$41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Sheet2!$C$37:$I$37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Sheet2!$C$41:$I$41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Sheet15!$B$39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Sheet15!$C$37:$K$37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Sheet15!$C$39:$K$39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Sheet16!$B$41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Sheet16!$C$37:$I$37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Sheet16!$C$41:$I$41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Sheet16!$B$39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Sheet16!$C$37:$K$37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Sheet16!$C$39:$K$39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Sheet17!$B$41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Sheet17!$C$37:$I$37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Sheet17!$C$41:$I$41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Sheet17!$B$38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Sheet17!$B$39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Sheet17!$C$37:$K$37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Sheet17!$C$39:$K$39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Sheet18!$B$41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Sheet18!$C$37:$I$37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Sheet18!$C$41:$I$41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Sheet18!$B$38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Sheet18!$B$39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Sheet18!$C$37:$K$37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Sheet18!$C$39:$K$39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Sheet19!$B$41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Sheet19!$C$37:$I$37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Sheet19!$C$41:$I$41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Sheet19!$B$38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Sheet19!$B$39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Sheet19!$C$37:$K$37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Sheet19!$C$39:$K$39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Sheet2!$C$37:$K$37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Sheet2!$C$39:$K$39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Sheet3!$C$37:$I$37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Sheet3!$C$41:$I$41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Sheet3!$C$37:$K$37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Sheet3!$C$39:$K$39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Sheet4!$B$41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Sheet4!$C$37:$I$37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Sheet4!$C$41:$I$41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Sheet4!$C$37:$K$37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Sheet4!$C$39:$K$39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57088"/>
        <c:axId val="136858624"/>
      </c:barChart>
      <c:catAx>
        <c:axId val="136857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58624"/>
        <c:crosses val="autoZero"/>
        <c:auto val="1"/>
        <c:lblAlgn val="ctr"/>
        <c:lblOffset val="100"/>
        <c:noMultiLvlLbl val="0"/>
      </c:catAx>
      <c:valAx>
        <c:axId val="1368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368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Sheet5!$B$41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Sheet5!$C$37:$I$37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Sheet5!$C$41:$I$41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87680"/>
        <c:axId val="136893568"/>
      </c:barChart>
      <c:catAx>
        <c:axId val="136887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6893568"/>
        <c:crosses val="autoZero"/>
        <c:auto val="1"/>
        <c:lblAlgn val="ctr"/>
        <c:lblOffset val="100"/>
        <c:noMultiLvlLbl val="0"/>
      </c:catAx>
      <c:valAx>
        <c:axId val="136893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688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charts/chart19.xml" Id="rId2" /><Relationship Type="http://schemas.openxmlformats.org/officeDocument/2006/relationships/chart" Target="/xl/charts/chart20.xml" Id="rId1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22.xml" Id="rId1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charts/chart23.xml" Id="rId2" /><Relationship Type="http://schemas.openxmlformats.org/officeDocument/2006/relationships/chart" Target="/xl/charts/chart24.xml" Id="rId1" /></Relationships>
</file>

<file path=xl/drawings/_rels/drawing13.xml.rels>&#65279;<?xml version="1.0" encoding="utf-8"?><Relationships xmlns="http://schemas.openxmlformats.org/package/2006/relationships"><Relationship Type="http://schemas.openxmlformats.org/officeDocument/2006/relationships/chart" Target="/xl/charts/chart25.xml" Id="rId2" /><Relationship Type="http://schemas.openxmlformats.org/officeDocument/2006/relationships/chart" Target="/xl/charts/chart26.xml" Id="rId1" /></Relationships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/xl/charts/chart27.xml" Id="rId2" /><Relationship Type="http://schemas.openxmlformats.org/officeDocument/2006/relationships/chart" Target="/xl/charts/chart28.xml" Id="rId1" /></Relationships>
</file>

<file path=xl/drawings/_rels/drawing15.xml.rels>&#65279;<?xml version="1.0" encoding="utf-8"?><Relationships xmlns="http://schemas.openxmlformats.org/package/2006/relationships"><Relationship Type="http://schemas.openxmlformats.org/officeDocument/2006/relationships/chart" Target="/xl/charts/chart29.xml" Id="rId2" /><Relationship Type="http://schemas.openxmlformats.org/officeDocument/2006/relationships/chart" Target="/xl/charts/chart30.xml" Id="rId1" /></Relationships>
</file>

<file path=xl/drawings/_rels/drawing16.xml.rels>&#65279;<?xml version="1.0" encoding="utf-8"?><Relationships xmlns="http://schemas.openxmlformats.org/package/2006/relationships"><Relationship Type="http://schemas.openxmlformats.org/officeDocument/2006/relationships/chart" Target="/xl/charts/chart31.xml" Id="rId2" /><Relationship Type="http://schemas.openxmlformats.org/officeDocument/2006/relationships/chart" Target="/xl/charts/chart32.xml" Id="rId1" /></Relationships>
</file>

<file path=xl/drawings/_rels/drawing17.xml.rels>&#65279;<?xml version="1.0" encoding="utf-8"?><Relationships xmlns="http://schemas.openxmlformats.org/package/2006/relationships"><Relationship Type="http://schemas.openxmlformats.org/officeDocument/2006/relationships/chart" Target="/xl/charts/chart33.xml" Id="rId2" /><Relationship Type="http://schemas.openxmlformats.org/officeDocument/2006/relationships/chart" Target="/xl/charts/chart34.xml" Id="rId1" /></Relationships>
</file>

<file path=xl/drawings/_rels/drawing18.xml.rels>&#65279;<?xml version="1.0" encoding="utf-8"?><Relationships xmlns="http://schemas.openxmlformats.org/package/2006/relationships"><Relationship Type="http://schemas.openxmlformats.org/officeDocument/2006/relationships/chart" Target="/xl/charts/chart35.xml" Id="rId2" /><Relationship Type="http://schemas.openxmlformats.org/officeDocument/2006/relationships/chart" Target="/xl/charts/chart36.xml" Id="rId1" /></Relationships>
</file>

<file path=xl/drawings/_rels/drawing19.xml.rels>&#65279;<?xml version="1.0" encoding="utf-8"?><Relationships xmlns="http://schemas.openxmlformats.org/package/2006/relationships"><Relationship Type="http://schemas.openxmlformats.org/officeDocument/2006/relationships/chart" Target="/xl/charts/chart37.xml" Id="rId2" /><Relationship Type="http://schemas.openxmlformats.org/officeDocument/2006/relationships/chart" Target="/xl/charts/chart38.xml" Id="rId1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charts/chart3.xml" Id="rId2" /><Relationship Type="http://schemas.openxmlformats.org/officeDocument/2006/relationships/chart" Target="/xl/charts/chart4.xml" Id="rId1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charts/chart5.xml" Id="rId2" /><Relationship Type="http://schemas.openxmlformats.org/officeDocument/2006/relationships/chart" Target="/xl/charts/chart6.xml" Id="rId1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charts/chart7.xml" Id="rId2" /><Relationship Type="http://schemas.openxmlformats.org/officeDocument/2006/relationships/chart" Target="/xl/charts/chart8.xml" Id="rId1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charts/chart9.xml" Id="rId2" /><Relationship Type="http://schemas.openxmlformats.org/officeDocument/2006/relationships/chart" Target="/xl/charts/chart10.xml" Id="rId1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charts/chart11.xml" Id="rId2" /><Relationship Type="http://schemas.openxmlformats.org/officeDocument/2006/relationships/chart" Target="/xl/charts/chart12.xml" Id="rId1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charts/chart13.xml" Id="rId2" /><Relationship Type="http://schemas.openxmlformats.org/officeDocument/2006/relationships/chart" Target="/xl/charts/chart14.xml" Id="rId1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charts/chart15.xml" Id="rId2" /><Relationship Type="http://schemas.openxmlformats.org/officeDocument/2006/relationships/chart" Target="/xl/charts/chart16.xml" Id="rId1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charts/chart17.xml" Id="rId2" /><Relationship Type="http://schemas.openxmlformats.org/officeDocument/2006/relationships/chart" Target="/xl/charts/chart18.xml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Table16" displayName="Table1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8" name="Table18" displayName="Table1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9" displayName="Table1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20" displayName="Table2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1" name="Table21" displayName="Table2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2" name="Table22" displayName="Table2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3" name="Table23" displayName="Table2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4" name="Table24" displayName="Table2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5" name="Table25" displayName="Table2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6" name="Table26" displayName="Table2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7" name="Table27" displayName="Table2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8" name="Table28" displayName="Table2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9" name="Table29" displayName="Table2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0" name="Table30" displayName="Table3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2" name="Table32" displayName="Table3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5" displayName="Table3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6" displayName="Table3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7" name="Table37" displayName="Table3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8" name="Table38" displayName="Table3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9" name="Table39" displayName="Table3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40" name="Table40" displayName="Table4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41" name="Table41" displayName="Table4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42" name="Table42" displayName="Table4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43" name="Table43" displayName="Table4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44" name="Table44" displayName="Table4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45" name="Table45" displayName="Table4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6" name="Table46" displayName="Table4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7" name="Table47" displayName="Table4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8" name="Table48" displayName="Table4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9" name="Table49" displayName="Table4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50" name="Table50" displayName="Table5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51" name="Table51" displayName="Table5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52" name="Table52" displayName="Table5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53" name="Table53" displayName="Table5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54" name="Table54" displayName="Table5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55" name="Table55" displayName="Table5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56" name="Table56" displayName="Table5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57" name="Table57" displayName="Table5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58" name="Table58" displayName="Table5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59" name="Table59" displayName="Table5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60" name="Table60" displayName="Table6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61" name="Table61" displayName="Table6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62" name="Table62" displayName="Table6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63" name="Table63" displayName="Table63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64" name="Table64" displayName="Table64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65" name="Table65" displayName="Table65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66" name="Table66" displayName="Table66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67" name="Table67" displayName="Table67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68" name="Table68" displayName="Table68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69" name="Table69" displayName="Table69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70" name="Table70" displayName="Table70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71" name="Table71" displayName="Table71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72" name="Table72" displayName="Table72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73" name="Table73" displayName="Table7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74" name="Table74" displayName="Table7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75" name="Table75" displayName="Table7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76" name="Table76" displayName="Table76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77" name="Table77" displayName="Table77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8" name="Table78" displayName="Table78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9" name="Table79" displayName="Table79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80" name="Table80" displayName="Table80" ref="B57:J60">
  <autoFilter ref="B57:J60"/>
  <tableColumns count="9">
    <tableColumn id="2" name="Newtonsoft (duration)" totalsRowFunction="custom">
      <totalsRowFormula>AverageNumbers[](Both[Newtonsoft (duration)])</totalsRowFormula>
    </tableColumn>
    <tableColumn id="1" name="Revenj.NET full (duration)"/>
    <tableColumn id="9" name="Revenj.NET minimal (duration)"/>
    <tableColumn id="4" name="Jackson (duration)" totalsRowFunction="custom">
      <totalsRowFormula>AverageNumbers[](Both[Jackson (duration)])</totalsRowFormula>
    </tableColumn>
    <tableColumn id="10" name="DSL client Java full (duration)"/>
    <tableColumn id="15" name="DSL client Java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81" name="Table81" displayName="Table81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Revenj.Net full" dataDxfId="5"/>
    <tableColumn id="4" name="Revenj.Net minimal" dataDxfId="4"/>
    <tableColumn id="5" name="Jackson" dataDxfId="3"/>
    <tableColumn id="6" name="DSL client Java full" dataDxfId="2"/>
    <tableColumn id="7" name="DSL client Java minimal" dataDxfId="1"/>
    <tableColumn id="8" name="Protobuf.NET" dataDxfId="0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82" name="Table82" displayName="Table82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le14" displayName="Table14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Revenj.Net full" dataDxfId="14"/>
    <tableColumn id="4" name="Revenj.Net minimal" dataDxfId="13"/>
    <tableColumn id="8" name="Jackson" dataDxfId="12"/>
    <tableColumn id="7" name="DSL client Java full" dataDxfId="11"/>
    <tableColumn id="5" name="DSL client Java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B51:O54">
  <autoFilter ref="B51:O54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Revenj.NET full (duration)"/>
    <tableColumn id="3" name="Revenj.NET full (size)" totalsRowFunction="custom">
      <totalsRowFormula>AverageNumbers[](Serialization[Revenj.NET full (size)])</totalsRowFormula>
    </tableColumn>
    <tableColumn id="9" name="Revenj.NET minimal (duration)"/>
    <tableColumn id="8" name="Revenj.NET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DSL client Java full (duration)"/>
    <tableColumn id="5" name="DSL client Java full (size)" totalsRowFunction="custom">
      <totalsRowFormula>AverageNumbers[](Serialization[DSL client Java full (size)])</totalsRowFormula>
    </tableColumn>
    <tableColumn id="15" name="DSL client Java minimal (duration)"/>
    <tableColumn id="14" name="DSL client Java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7.xml" Id="rId3" /><Relationship Type="http://schemas.openxmlformats.org/officeDocument/2006/relationships/table" Target="/xl/tables/table38.xml" Id="rId6" /><Relationship Type="http://schemas.openxmlformats.org/officeDocument/2006/relationships/table" Target="/xl/tables/table39.xml" Id="rId5" /><Relationship Type="http://schemas.openxmlformats.org/officeDocument/2006/relationships/table" Target="/xl/tables/table40.xml" Id="rId4" /><Relationship Type="http://schemas.openxmlformats.org/officeDocument/2006/relationships/drawing" Target="/xl/drawings/drawing10.x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1.xml" Id="rId3" /><Relationship Type="http://schemas.openxmlformats.org/officeDocument/2006/relationships/table" Target="/xl/tables/table42.xml" Id="rId6" /><Relationship Type="http://schemas.openxmlformats.org/officeDocument/2006/relationships/table" Target="/xl/tables/table43.xml" Id="rId5" /><Relationship Type="http://schemas.openxmlformats.org/officeDocument/2006/relationships/table" Target="/xl/tables/table44.xml" Id="rId4" /><Relationship Type="http://schemas.openxmlformats.org/officeDocument/2006/relationships/drawing" Target="/xl/drawings/drawing11.x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5.xml" Id="rId3" /><Relationship Type="http://schemas.openxmlformats.org/officeDocument/2006/relationships/table" Target="/xl/tables/table46.xml" Id="rId6" /><Relationship Type="http://schemas.openxmlformats.org/officeDocument/2006/relationships/table" Target="/xl/tables/table47.xml" Id="rId5" /><Relationship Type="http://schemas.openxmlformats.org/officeDocument/2006/relationships/table" Target="/xl/tables/table48.xml" Id="rId4" /><Relationship Type="http://schemas.openxmlformats.org/officeDocument/2006/relationships/drawing" Target="/xl/drawings/drawing12.x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49.xml" Id="rId3" /><Relationship Type="http://schemas.openxmlformats.org/officeDocument/2006/relationships/table" Target="/xl/tables/table50.xml" Id="rId6" /><Relationship Type="http://schemas.openxmlformats.org/officeDocument/2006/relationships/table" Target="/xl/tables/table51.xml" Id="rId5" /><Relationship Type="http://schemas.openxmlformats.org/officeDocument/2006/relationships/table" Target="/xl/tables/table52.xml" Id="rId4" /><Relationship Type="http://schemas.openxmlformats.org/officeDocument/2006/relationships/drawing" Target="/xl/drawings/drawing13.xml" Id="rId2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3.xml" Id="rId3" /><Relationship Type="http://schemas.openxmlformats.org/officeDocument/2006/relationships/table" Target="/xl/tables/table54.xml" Id="rId6" /><Relationship Type="http://schemas.openxmlformats.org/officeDocument/2006/relationships/table" Target="/xl/tables/table55.xml" Id="rId5" /><Relationship Type="http://schemas.openxmlformats.org/officeDocument/2006/relationships/table" Target="/xl/tables/table56.xml" Id="rId4" /><Relationship Type="http://schemas.openxmlformats.org/officeDocument/2006/relationships/drawing" Target="/xl/drawings/drawing14.xml" Id="rId2" /></Relationships>
</file>

<file path=xl/worksheets/_rels/sheet1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7.xml" Id="rId3" /><Relationship Type="http://schemas.openxmlformats.org/officeDocument/2006/relationships/table" Target="/xl/tables/table58.xml" Id="rId6" /><Relationship Type="http://schemas.openxmlformats.org/officeDocument/2006/relationships/table" Target="/xl/tables/table59.xml" Id="rId5" /><Relationship Type="http://schemas.openxmlformats.org/officeDocument/2006/relationships/table" Target="/xl/tables/table60.xml" Id="rId4" /><Relationship Type="http://schemas.openxmlformats.org/officeDocument/2006/relationships/drawing" Target="/xl/drawings/drawing15.xml" Id="rId2" /></Relationships>
</file>

<file path=xl/worksheets/_rels/sheet1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1.xml" Id="rId3" /><Relationship Type="http://schemas.openxmlformats.org/officeDocument/2006/relationships/table" Target="/xl/tables/table62.xml" Id="rId6" /><Relationship Type="http://schemas.openxmlformats.org/officeDocument/2006/relationships/table" Target="/xl/tables/table63.xml" Id="rId5" /><Relationship Type="http://schemas.openxmlformats.org/officeDocument/2006/relationships/table" Target="/xl/tables/table64.xml" Id="rId4" /><Relationship Type="http://schemas.openxmlformats.org/officeDocument/2006/relationships/drawing" Target="/xl/drawings/drawing16.xml" Id="rId2" /></Relationships>
</file>

<file path=xl/worksheets/_rels/sheet1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5.xml" Id="rId3" /><Relationship Type="http://schemas.openxmlformats.org/officeDocument/2006/relationships/table" Target="/xl/tables/table66.xml" Id="rId6" /><Relationship Type="http://schemas.openxmlformats.org/officeDocument/2006/relationships/table" Target="/xl/tables/table67.xml" Id="rId5" /><Relationship Type="http://schemas.openxmlformats.org/officeDocument/2006/relationships/table" Target="/xl/tables/table68.xml" Id="rId4" /><Relationship Type="http://schemas.openxmlformats.org/officeDocument/2006/relationships/drawing" Target="/xl/drawings/drawing17.xml" Id="rId2" /></Relationships>
</file>

<file path=xl/worksheets/_rels/sheet1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69.xml" Id="rId3" /><Relationship Type="http://schemas.openxmlformats.org/officeDocument/2006/relationships/table" Target="/xl/tables/table70.xml" Id="rId6" /><Relationship Type="http://schemas.openxmlformats.org/officeDocument/2006/relationships/table" Target="/xl/tables/table71.xml" Id="rId5" /><Relationship Type="http://schemas.openxmlformats.org/officeDocument/2006/relationships/table" Target="/xl/tables/table72.xml" Id="rId4" /><Relationship Type="http://schemas.openxmlformats.org/officeDocument/2006/relationships/drawing" Target="/xl/drawings/drawing18.xml" Id="rId2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73.xml" Id="rId3" /><Relationship Type="http://schemas.openxmlformats.org/officeDocument/2006/relationships/table" Target="/xl/tables/table74.xml" Id="rId6" /><Relationship Type="http://schemas.openxmlformats.org/officeDocument/2006/relationships/table" Target="/xl/tables/table75.xml" Id="rId5" /><Relationship Type="http://schemas.openxmlformats.org/officeDocument/2006/relationships/table" Target="/xl/tables/table76.xml" Id="rId4" /><Relationship Type="http://schemas.openxmlformats.org/officeDocument/2006/relationships/drawing" Target="/xl/drawings/drawing19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.xml" Id="rId3" /><Relationship Type="http://schemas.openxmlformats.org/officeDocument/2006/relationships/table" Target="/xl/tables/table6.xml" Id="rId6" /><Relationship Type="http://schemas.openxmlformats.org/officeDocument/2006/relationships/table" Target="/xl/tables/table7.xml" Id="rId5" /><Relationship Type="http://schemas.openxmlformats.org/officeDocument/2006/relationships/table" Target="/xl/tables/table8.xml" Id="rId4" /><Relationship Type="http://schemas.openxmlformats.org/officeDocument/2006/relationships/drawing" Target="/xl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9.xml" Id="rId3" /><Relationship Type="http://schemas.openxmlformats.org/officeDocument/2006/relationships/table" Target="/xl/tables/table10.xml" Id="rId6" /><Relationship Type="http://schemas.openxmlformats.org/officeDocument/2006/relationships/table" Target="/xl/tables/table11.xml" Id="rId5" /><Relationship Type="http://schemas.openxmlformats.org/officeDocument/2006/relationships/table" Target="/xl/tables/table12.xml" Id="rId4" /><Relationship Type="http://schemas.openxmlformats.org/officeDocument/2006/relationships/drawing" Target="/xl/drawings/drawing3.x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3.xml" Id="rId3" /><Relationship Type="http://schemas.openxmlformats.org/officeDocument/2006/relationships/table" Target="/xl/tables/table14.xml" Id="rId6" /><Relationship Type="http://schemas.openxmlformats.org/officeDocument/2006/relationships/table" Target="/xl/tables/table15.xml" Id="rId5" /><Relationship Type="http://schemas.openxmlformats.org/officeDocument/2006/relationships/table" Target="/xl/tables/table16.xml" Id="rId4" /><Relationship Type="http://schemas.openxmlformats.org/officeDocument/2006/relationships/drawing" Target="/xl/drawings/drawing4.x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17.xml" Id="rId3" /><Relationship Type="http://schemas.openxmlformats.org/officeDocument/2006/relationships/table" Target="/xl/tables/table18.xml" Id="rId6" /><Relationship Type="http://schemas.openxmlformats.org/officeDocument/2006/relationships/table" Target="/xl/tables/table19.xml" Id="rId5" /><Relationship Type="http://schemas.openxmlformats.org/officeDocument/2006/relationships/table" Target="/xl/tables/table20.xml" Id="rId4" /><Relationship Type="http://schemas.openxmlformats.org/officeDocument/2006/relationships/drawing" Target="/xl/drawings/drawing5.x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1.xml" Id="rId3" /><Relationship Type="http://schemas.openxmlformats.org/officeDocument/2006/relationships/table" Target="/xl/tables/table22.xml" Id="rId6" /><Relationship Type="http://schemas.openxmlformats.org/officeDocument/2006/relationships/table" Target="/xl/tables/table23.xml" Id="rId5" /><Relationship Type="http://schemas.openxmlformats.org/officeDocument/2006/relationships/table" Target="/xl/tables/table24.xml" Id="rId4" /><Relationship Type="http://schemas.openxmlformats.org/officeDocument/2006/relationships/drawing" Target="/xl/drawings/drawing6.x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5.xml" Id="rId3" /><Relationship Type="http://schemas.openxmlformats.org/officeDocument/2006/relationships/table" Target="/xl/tables/table26.xml" Id="rId6" /><Relationship Type="http://schemas.openxmlformats.org/officeDocument/2006/relationships/table" Target="/xl/tables/table27.xml" Id="rId5" /><Relationship Type="http://schemas.openxmlformats.org/officeDocument/2006/relationships/table" Target="/xl/tables/table28.xml" Id="rId4" /><Relationship Type="http://schemas.openxmlformats.org/officeDocument/2006/relationships/drawing" Target="/xl/drawings/drawing7.x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29.xml" Id="rId3" /><Relationship Type="http://schemas.openxmlformats.org/officeDocument/2006/relationships/table" Target="/xl/tables/table30.xml" Id="rId6" /><Relationship Type="http://schemas.openxmlformats.org/officeDocument/2006/relationships/table" Target="/xl/tables/table31.xml" Id="rId5" /><Relationship Type="http://schemas.openxmlformats.org/officeDocument/2006/relationships/table" Target="/xl/tables/table32.xml" Id="rId4" /><Relationship Type="http://schemas.openxmlformats.org/officeDocument/2006/relationships/drawing" Target="/xl/drawings/drawing8.x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33.xml" Id="rId3" /><Relationship Type="http://schemas.openxmlformats.org/officeDocument/2006/relationships/table" Target="/xl/tables/table34.xml" Id="rId6" /><Relationship Type="http://schemas.openxmlformats.org/officeDocument/2006/relationships/table" Target="/xl/tables/table35.xml" Id="rId5" /><Relationship Type="http://schemas.openxmlformats.org/officeDocument/2006/relationships/table" Target="/xl/tables/table36.xml" Id="rId4" /><Relationship Type="http://schemas.openxmlformats.org/officeDocument/2006/relationships/drawing" Target="/xl/drawings/drawing9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55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AVERAGE(Serialization[Newtonsoft (duration)]) - J38</f>
      </c>
      <c r="D38" s="2" t="e">
        <f>AVERAGE(Serialization[Revenj.NET full (duration)]) - J38</f>
      </c>
      <c r="E38" s="2" t="e">
        <f>AVERAGE(Serialization[Revenj.NET minimal (duration)]) - J38</f>
      </c>
      <c r="F38" s="2" t="e">
        <f>AVERAGE(Serialization[Jackson (duration)]) - J39</f>
      </c>
      <c r="G38" s="2" t="e">
        <f>AVERAGE(Serialization[DSL client Java full (duration)]) - J39</f>
      </c>
      <c r="H38" s="2" t="e">
        <f>AVERAGE(Serialization[DSL client Java minimal (duration)]) - J39</f>
      </c>
      <c r="I38" s="2" t="e">
        <f>AVERAGE(Serialization[Protobuf.NET (duration)]) - J38</f>
      </c>
      <c r="J38" s="2" t="e">
        <f>AVERAGE(Both[.NET (instance only)])</f>
      </c>
      <c r="K38" s="2" t="e">
        <f>AVERAGE(Both[JVM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AVERAGE(Both[Newtonsoft (duration)]) - J38</f>
      </c>
      <c r="D40" s="2" t="e">
        <f>AVERAGE(Both[Revenj.NET full (duration)]) - J38</f>
      </c>
      <c r="E40" s="2" t="e">
        <f>AVERAGE(Both[Revenj.NET minimal (duration)]) - J38</f>
      </c>
      <c r="F40" s="2" t="e">
        <f>AVERAGE(Both[Jackson (duration)]) - J39</f>
      </c>
      <c r="G40" s="2" t="e">
        <f>AVERAGE(Both[DSL client Java full (duration)]) - J39</f>
      </c>
      <c r="H40" s="2" t="e">
        <f>AVERAGE(Both[DSL client Java minimal (duration)]) - J39</f>
      </c>
      <c r="I40" s="2" t="e">
        <f>AVERAGE(Both[Protobuf.NET (duration)]) - J38</f>
      </c>
      <c r="J40" s="2"/>
      <c r="K40" s="2"/>
    </row>
    <row r="41" spans="2:11" x14ac:dyDescent="0.25">
      <c r="B41" t="s">
        <v>8</v>
      </c>
      <c r="C41" s="3" t="e">
        <f>AVERAGE(Serialization[Newtonsoft (size)])</f>
      </c>
      <c r="D41" s="3" t="e">
        <f>AVERAGE(Serialization[Revenj.NET full (size)])</f>
      </c>
      <c r="E41" s="3" t="e">
        <f>AVERAGE(Serialization[Revenj.NET minimal (size)])</f>
      </c>
      <c r="F41" s="3" t="e">
        <f>AVERAGE(Serialization[Jackson (size)])</f>
      </c>
      <c r="G41" s="3" t="e">
        <f>AVERAGE(Serialization[DSL client Java full (size)])</f>
      </c>
      <c r="H41" s="3" t="e">
        <f>AVERAGE(Serialization[DSL client Java minimal (size)])</f>
      </c>
      <c r="I41" s="3" t="e">
        <f>AVERAGE(Serialization[Protobuf.NET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DEVSQ(Serialization[Newtonsoft (duration)])</f>
      </c>
      <c r="D46" s="2" t="e">
        <f>DEVSQ(Serialization[Revenj.NET full (duration)])</f>
      </c>
      <c r="E46" s="2" t="e">
        <f>DEVSQ(Serialization[Revenj.NET minimal (duration)])</f>
      </c>
      <c r="F46" s="2" t="e">
        <f>DEVSQ(Serialization[Jackson (duration)])</f>
      </c>
      <c r="G46" s="2" t="e">
        <f>DEVSQ(Serialization[DSL client Java full (duration)])</f>
      </c>
      <c r="H46" s="2" t="e">
        <f>DEVSQ(Serialization[DSL client Java minimal (duration)])</f>
      </c>
      <c r="I46" s="2" t="e">
        <f>DEVSQ(Serialization[Protobuf.NET (duration)])</f>
      </c>
    </row>
    <row r="47" spans="2:11" x14ac:dyDescent="0.25">
      <c r="B47" t="s">
        <v>1</v>
      </c>
      <c r="C47" s="2" t="e">
        <f>DEVSQ(Both[Newtonsoft (duration)])</f>
      </c>
      <c r="D47" s="2" t="e">
        <f>DEVSQ(Both[Revenj.NET full (duration)])</f>
      </c>
      <c r="E47" s="2" t="e">
        <f>DEVSQ(Both[Revenj.NET minimal (duration)])</f>
      </c>
      <c r="F47" s="2" t="e">
        <f>DEVSQ(Both[Jackson (duration)])</f>
      </c>
      <c r="G47" s="2" t="e">
        <f>DEVSQ(Both[DSL client Java full (duration)])</f>
      </c>
      <c r="H47" s="2" t="e">
        <f>DEVSQ(Both[DSL client Java minimal (duration)])</f>
      </c>
      <c r="I47" s="2" t="e">
        <f>DEVSQ(Both[Protobuf.NET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81</v>
      </c>
      <c r="C52">
        <v>28</v>
      </c>
      <c r="D52">
        <v>3</v>
      </c>
      <c r="E52">
        <v>40</v>
      </c>
      <c r="F52">
        <v>3</v>
      </c>
      <c r="G52">
        <v>28</v>
      </c>
      <c r="H52">
        <v>46</v>
      </c>
      <c r="I52">
        <v>40</v>
      </c>
      <c r="J52">
        <v>0</v>
      </c>
      <c r="K52">
        <v>40</v>
      </c>
      <c r="L52">
        <v>0</v>
      </c>
      <c r="M52">
        <v>28</v>
      </c>
      <c r="N52">
        <v>39</v>
      </c>
      <c r="O52">
        <v>16</v>
      </c>
    </row>
    <row r="53" spans="2:15" x14ac:dyDescent="0.25">
      <c r="B53">
        <v>82</v>
      </c>
      <c r="C53">
        <v>28</v>
      </c>
      <c r="D53">
        <v>3</v>
      </c>
      <c r="E53">
        <v>40</v>
      </c>
      <c r="F53">
        <v>3</v>
      </c>
      <c r="G53">
        <v>28</v>
      </c>
      <c r="H53">
        <v>47</v>
      </c>
      <c r="I53">
        <v>40</v>
      </c>
      <c r="J53">
        <v>16</v>
      </c>
      <c r="K53">
        <v>40</v>
      </c>
      <c r="L53">
        <v>0</v>
      </c>
      <c r="M53">
        <v>28</v>
      </c>
      <c r="N53">
        <v>39</v>
      </c>
      <c r="O53">
        <v>16</v>
      </c>
    </row>
    <row r="54" spans="2:15" x14ac:dyDescent="0.25">
      <c r="B54">
        <v>82</v>
      </c>
      <c r="C54">
        <v>28</v>
      </c>
      <c r="D54">
        <v>3</v>
      </c>
      <c r="E54">
        <v>40</v>
      </c>
      <c r="F54">
        <v>3</v>
      </c>
      <c r="G54">
        <v>28</v>
      </c>
      <c r="H54">
        <v>47</v>
      </c>
      <c r="I54">
        <v>40</v>
      </c>
      <c r="J54">
        <v>0</v>
      </c>
      <c r="K54">
        <v>40</v>
      </c>
      <c r="L54">
        <v>0</v>
      </c>
      <c r="M54">
        <v>28</v>
      </c>
      <c r="N54">
        <v>39</v>
      </c>
      <c r="O54">
        <v>16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117</v>
      </c>
      <c r="C58">
        <v>14</v>
      </c>
      <c r="D58">
        <v>14</v>
      </c>
      <c r="E58">
        <v>78</v>
      </c>
      <c r="F58">
        <v>0</v>
      </c>
      <c r="G58">
        <v>0</v>
      </c>
      <c r="H58">
        <v>43</v>
      </c>
      <c r="I58">
        <v>0</v>
      </c>
      <c r="J58">
        <v>0</v>
      </c>
    </row>
    <row r="59" spans="2:15" x14ac:dyDescent="0.25">
      <c r="B59">
        <v>112</v>
      </c>
      <c r="C59">
        <v>14</v>
      </c>
      <c r="D59">
        <v>13</v>
      </c>
      <c r="E59">
        <v>62</v>
      </c>
      <c r="F59">
        <v>16</v>
      </c>
      <c r="G59">
        <v>0</v>
      </c>
      <c r="H59">
        <v>43</v>
      </c>
      <c r="I59">
        <v>0</v>
      </c>
      <c r="J59">
        <v>0</v>
      </c>
    </row>
    <row r="60" spans="2:15" x14ac:dyDescent="0.25">
      <c r="B60">
        <v>112</v>
      </c>
      <c r="C60">
        <v>13</v>
      </c>
      <c r="D60">
        <v>13</v>
      </c>
      <c r="E60">
        <v>63</v>
      </c>
      <c r="F60">
        <v>0</v>
      </c>
      <c r="G60">
        <v>0</v>
      </c>
      <c r="H60">
        <v>43</v>
      </c>
      <c r="I60">
        <v>0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64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AVERAGE(Table43[Newtonsoft (duration)]) - J38</f>
      </c>
      <c r="D38" s="2" t="e">
        <f>AVERAGE(Table43[Revenj.NET full (duration)]) - J38</f>
      </c>
      <c r="E38" s="2" t="e">
        <f>AVERAGE(Table43[Revenj.NET minimal (duration)]) - J38</f>
      </c>
      <c r="F38" s="2" t="e">
        <f>AVERAGE(Table43[Jackson (duration)]) - J39</f>
      </c>
      <c r="G38" s="2" t="e">
        <f>AVERAGE(Table43[DSL client Java full (duration)]) - J39</f>
      </c>
      <c r="H38" s="2" t="e">
        <f>AVERAGE(Table43[DSL client Java minimal (duration)]) - J39</f>
      </c>
      <c r="I38" s="2" t="e">
        <f>AVERAGE(Table43[Protobuf.NET (duration)]) - J38</f>
      </c>
      <c r="J38" s="2" t="e">
        <f>AVERAGE(Table44[.NET (instance only)])</f>
      </c>
      <c r="K38" s="2" t="e">
        <f>AVERAGE(Table44[JVM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AVERAGE(Table44[Newtonsoft (duration)]) - J38</f>
      </c>
      <c r="D40" s="2" t="e">
        <f>AVERAGE(Table44[Revenj.NET full (duration)]) - J38</f>
      </c>
      <c r="E40" s="2" t="e">
        <f>AVERAGE(Table44[Revenj.NET minimal (duration)]) - J38</f>
      </c>
      <c r="F40" s="2" t="e">
        <f>AVERAGE(Table44[Jackson (duration)]) - J39</f>
      </c>
      <c r="G40" s="2" t="e">
        <f>AVERAGE(Table44[DSL client Java full (duration)]) - J39</f>
      </c>
      <c r="H40" s="2" t="e">
        <f>AVERAGE(Table44[DSL client Java minimal (duration)]) - J39</f>
      </c>
      <c r="I40" s="2" t="e">
        <f>AVERAGE(Table44[Protobuf.NET (duration)]) - J38</f>
      </c>
      <c r="J40" s="2"/>
      <c r="K40" s="2"/>
    </row>
    <row r="41" spans="2:11" x14ac:dyDescent="0.25">
      <c r="B41" t="s">
        <v>8</v>
      </c>
      <c r="C41" s="3" t="e">
        <f>AVERAGE(Table43[Newtonsoft (size)])</f>
      </c>
      <c r="D41" s="3" t="e">
        <f>AVERAGE(Table43[Revenj.NET full (size)])</f>
      </c>
      <c r="E41" s="3" t="e">
        <f>AVERAGE(Table43[Revenj.NET minimal (size)])</f>
      </c>
      <c r="F41" s="3" t="e">
        <f>AVERAGE(Table43[Jackson (size)])</f>
      </c>
      <c r="G41" s="3" t="e">
        <f>AVERAGE(Table43[DSL client Java full (size)])</f>
      </c>
      <c r="H41" s="3" t="e">
        <f>AVERAGE(Table43[DSL client Java minimal (size)])</f>
      </c>
      <c r="I41" s="3" t="e">
        <f>AVERAGE(Table43[Protobuf.NET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DEVSQ(Table43[Newtonsoft (duration)])</f>
      </c>
      <c r="D46" s="2" t="e">
        <f>DEVSQ(Table43[Revenj.NET full (duration)])</f>
      </c>
      <c r="E46" s="2" t="e">
        <f>DEVSQ(Table43[Revenj.NET minimal (duration)])</f>
      </c>
      <c r="F46" s="2" t="e">
        <f>DEVSQ(Table43[Jackson (duration)])</f>
      </c>
      <c r="G46" s="2" t="e">
        <f>DEVSQ(Table43[DSL client Java full (duration)])</f>
      </c>
      <c r="H46" s="2" t="e">
        <f>DEVSQ(Table43[DSL client Java minimal (duration)])</f>
      </c>
      <c r="I46" s="2" t="e">
        <f>DEVSQ(Table43[Protobuf.NET (duration)])</f>
      </c>
    </row>
    <row r="47" spans="2:11" x14ac:dyDescent="0.25">
      <c r="B47" t="s">
        <v>1</v>
      </c>
      <c r="C47" s="2" t="e">
        <f>DEVSQ(Table44[Newtonsoft (duration)])</f>
      </c>
      <c r="D47" s="2" t="e">
        <f>DEVSQ(Table44[Revenj.NET full (duration)])</f>
      </c>
      <c r="E47" s="2" t="e">
        <f>DEVSQ(Table44[Revenj.NET minimal (duration)])</f>
      </c>
      <c r="F47" s="2" t="e">
        <f>DEVSQ(Table44[Jackson (duration)])</f>
      </c>
      <c r="G47" s="2" t="e">
        <f>DEVSQ(Table44[DSL client Java full (duration)])</f>
      </c>
      <c r="H47" s="2" t="e">
        <f>DEVSQ(Table44[DSL client Java minimal (duration)])</f>
      </c>
      <c r="I47" s="2" t="e">
        <f>DEVSQ(Table44[Protobuf.NET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3685</v>
      </c>
      <c r="C52">
        <v>129722895</v>
      </c>
      <c r="D52">
        <v>2146</v>
      </c>
      <c r="E52">
        <v>127222890</v>
      </c>
      <c r="F52">
        <v>2221</v>
      </c>
      <c r="G52">
        <v>119722890</v>
      </c>
      <c r="H52">
        <v>1779</v>
      </c>
      <c r="I52">
        <v>128871260</v>
      </c>
      <c r="J52">
        <v>921</v>
      </c>
      <c r="K52">
        <v>128871259</v>
      </c>
      <c r="L52">
        <v>936</v>
      </c>
      <c r="M52">
        <v>121371259</v>
      </c>
      <c r="N52">
        <v>1974</v>
      </c>
      <c r="O52">
        <v>55722893</v>
      </c>
    </row>
    <row r="53" spans="2:15" x14ac:dyDescent="0.25">
      <c r="B53">
        <v>3814</v>
      </c>
      <c r="C53">
        <v>129722895</v>
      </c>
      <c r="D53">
        <v>2154</v>
      </c>
      <c r="E53">
        <v>127222890</v>
      </c>
      <c r="F53">
        <v>2152</v>
      </c>
      <c r="G53">
        <v>119722890</v>
      </c>
      <c r="H53">
        <v>1919</v>
      </c>
      <c r="I53">
        <v>128871260</v>
      </c>
      <c r="J53">
        <v>952</v>
      </c>
      <c r="K53">
        <v>128871259</v>
      </c>
      <c r="L53">
        <v>936</v>
      </c>
      <c r="M53">
        <v>121371259</v>
      </c>
      <c r="N53">
        <v>2009</v>
      </c>
      <c r="O53">
        <v>55722893</v>
      </c>
    </row>
    <row r="54" spans="2:15" x14ac:dyDescent="0.25">
      <c r="B54">
        <v>3923</v>
      </c>
      <c r="C54">
        <v>129722895</v>
      </c>
      <c r="D54">
        <v>2165</v>
      </c>
      <c r="E54">
        <v>127222890</v>
      </c>
      <c r="F54">
        <v>2151</v>
      </c>
      <c r="G54">
        <v>119722890</v>
      </c>
      <c r="H54">
        <v>1654</v>
      </c>
      <c r="I54">
        <v>128871260</v>
      </c>
      <c r="J54">
        <v>936</v>
      </c>
      <c r="K54">
        <v>128871259</v>
      </c>
      <c r="L54">
        <v>998</v>
      </c>
      <c r="M54">
        <v>121371259</v>
      </c>
      <c r="N54">
        <v>1998</v>
      </c>
      <c r="O54">
        <v>55722893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12264</v>
      </c>
      <c r="C58">
        <v>3398</v>
      </c>
      <c r="D58">
        <v>3327</v>
      </c>
      <c r="E58">
        <v>5288</v>
      </c>
      <c r="F58">
        <v>1404</v>
      </c>
      <c r="G58">
        <v>1342</v>
      </c>
      <c r="H58">
        <v>4434</v>
      </c>
      <c r="I58">
        <v>1146</v>
      </c>
      <c r="J58">
        <v>655</v>
      </c>
    </row>
    <row r="59" spans="2:15" x14ac:dyDescent="0.25">
      <c r="B59">
        <v>11853</v>
      </c>
      <c r="C59">
        <v>3404</v>
      </c>
      <c r="D59">
        <v>3325</v>
      </c>
      <c r="E59">
        <v>5304</v>
      </c>
      <c r="F59">
        <v>1342</v>
      </c>
      <c r="G59">
        <v>1326</v>
      </c>
      <c r="H59">
        <v>4869</v>
      </c>
      <c r="I59">
        <v>1144</v>
      </c>
      <c r="J59">
        <v>702</v>
      </c>
    </row>
    <row r="60" spans="2:15" x14ac:dyDescent="0.25">
      <c r="B60">
        <v>11737</v>
      </c>
      <c r="C60">
        <v>3368</v>
      </c>
      <c r="D60">
        <v>3345</v>
      </c>
      <c r="E60">
        <v>5601</v>
      </c>
      <c r="F60">
        <v>1341</v>
      </c>
      <c r="G60">
        <v>1372</v>
      </c>
      <c r="H60">
        <v>4268</v>
      </c>
      <c r="I60">
        <v>1151</v>
      </c>
      <c r="J60">
        <v>655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65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AVERAGE(Table47[Newtonsoft (duration)]) - J38</f>
      </c>
      <c r="D38" s="2" t="e">
        <f>AVERAGE(Table47[Revenj.NET full (duration)]) - J38</f>
      </c>
      <c r="E38" s="2" t="e">
        <f>AVERAGE(Table47[Revenj.NET minimal (duration)]) - J38</f>
      </c>
      <c r="F38" s="2" t="e">
        <f>AVERAGE(Table47[Jackson (duration)]) - J39</f>
      </c>
      <c r="G38" s="2" t="e">
        <f>AVERAGE(Table47[DSL client Java full (duration)]) - J39</f>
      </c>
      <c r="H38" s="2" t="e">
        <f>AVERAGE(Table47[DSL client Java minimal (duration)]) - J39</f>
      </c>
      <c r="I38" s="2" t="e">
        <f>AVERAGE(Table47[Protobuf.NET (duration)]) - J38</f>
      </c>
      <c r="J38" s="2" t="e">
        <f>AVERAGE(Table48[.NET (instance only)])</f>
      </c>
      <c r="K38" s="2" t="e">
        <f>AVERAGE(Table48[JVM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AVERAGE(Table48[Newtonsoft (duration)]) - J38</f>
      </c>
      <c r="D40" s="2" t="e">
        <f>AVERAGE(Table48[Revenj.NET full (duration)]) - J38</f>
      </c>
      <c r="E40" s="2" t="e">
        <f>AVERAGE(Table48[Revenj.NET minimal (duration)]) - J38</f>
      </c>
      <c r="F40" s="2" t="e">
        <f>AVERAGE(Table48[Jackson (duration)]) - J39</f>
      </c>
      <c r="G40" s="2" t="e">
        <f>AVERAGE(Table48[DSL client Java full (duration)]) - J39</f>
      </c>
      <c r="H40" s="2" t="e">
        <f>AVERAGE(Table48[DSL client Java minimal (duration)]) - J39</f>
      </c>
      <c r="I40" s="2" t="e">
        <f>AVERAGE(Table48[Protobuf.NET (duration)]) - J38</f>
      </c>
      <c r="J40" s="2"/>
      <c r="K40" s="2"/>
    </row>
    <row r="41" spans="2:11" x14ac:dyDescent="0.25">
      <c r="B41" t="s">
        <v>8</v>
      </c>
      <c r="C41" s="3" t="e">
        <f>AVERAGE(Table47[Newtonsoft (size)])</f>
      </c>
      <c r="D41" s="3" t="e">
        <f>AVERAGE(Table47[Revenj.NET full (size)])</f>
      </c>
      <c r="E41" s="3" t="e">
        <f>AVERAGE(Table47[Revenj.NET minimal (size)])</f>
      </c>
      <c r="F41" s="3" t="e">
        <f>AVERAGE(Table47[Jackson (size)])</f>
      </c>
      <c r="G41" s="3" t="e">
        <f>AVERAGE(Table47[DSL client Java full (size)])</f>
      </c>
      <c r="H41" s="3" t="e">
        <f>AVERAGE(Table47[DSL client Java minimal (size)])</f>
      </c>
      <c r="I41" s="3" t="e">
        <f>AVERAGE(Table47[Protobuf.NET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DEVSQ(Table47[Newtonsoft (duration)])</f>
      </c>
      <c r="D46" s="2" t="e">
        <f>DEVSQ(Table47[Revenj.NET full (duration)])</f>
      </c>
      <c r="E46" s="2" t="e">
        <f>DEVSQ(Table47[Revenj.NET minimal (duration)])</f>
      </c>
      <c r="F46" s="2" t="e">
        <f>DEVSQ(Table47[Jackson (duration)])</f>
      </c>
      <c r="G46" s="2" t="e">
        <f>DEVSQ(Table47[DSL client Java full (duration)])</f>
      </c>
      <c r="H46" s="2" t="e">
        <f>DEVSQ(Table47[DSL client Java minimal (duration)])</f>
      </c>
      <c r="I46" s="2" t="e">
        <f>DEVSQ(Table47[Protobuf.NET (duration)])</f>
      </c>
    </row>
    <row r="47" spans="2:11" x14ac:dyDescent="0.25">
      <c r="B47" t="s">
        <v>1</v>
      </c>
      <c r="C47" s="2" t="e">
        <f>DEVSQ(Table48[Newtonsoft (duration)])</f>
      </c>
      <c r="D47" s="2" t="e">
        <f>DEVSQ(Table48[Revenj.NET full (duration)])</f>
      </c>
      <c r="E47" s="2" t="e">
        <f>DEVSQ(Table48[Revenj.NET minimal (duration)])</f>
      </c>
      <c r="F47" s="2" t="e">
        <f>DEVSQ(Table48[Jackson (duration)])</f>
      </c>
      <c r="G47" s="2" t="e">
        <f>DEVSQ(Table48[DSL client Java full (duration)])</f>
      </c>
      <c r="H47" s="2" t="e">
        <f>DEVSQ(Table48[DSL client Java minimal (duration)])</f>
      </c>
      <c r="I47" s="2" t="e">
        <f>DEVSQ(Table48[Protobuf.NET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40455</v>
      </c>
      <c r="C52">
        <v>1307232793</v>
      </c>
      <c r="D52">
        <v>21510</v>
      </c>
      <c r="E52">
        <v>1282232786</v>
      </c>
      <c r="F52">
        <v>21364</v>
      </c>
      <c r="G52">
        <v>1207232786</v>
      </c>
      <c r="H52">
        <v>15787</v>
      </c>
      <c r="I52">
        <v>1298716394</v>
      </c>
      <c r="J52">
        <v>8190</v>
      </c>
      <c r="K52">
        <v>1298716389</v>
      </c>
      <c r="L52">
        <v>8221</v>
      </c>
      <c r="M52">
        <v>1223716389</v>
      </c>
      <c r="N52">
        <v>19560</v>
      </c>
      <c r="O52">
        <v>567232787</v>
      </c>
    </row>
    <row r="53" spans="2:15" x14ac:dyDescent="0.25">
      <c r="B53">
        <v>36941</v>
      </c>
      <c r="C53">
        <v>1307232793</v>
      </c>
      <c r="D53">
        <v>21464</v>
      </c>
      <c r="E53">
        <v>1282232786</v>
      </c>
      <c r="F53">
        <v>21431</v>
      </c>
      <c r="G53">
        <v>1207232786</v>
      </c>
      <c r="H53">
        <v>16926</v>
      </c>
      <c r="I53">
        <v>1298716394</v>
      </c>
      <c r="J53">
        <v>8019</v>
      </c>
      <c r="K53">
        <v>1298716389</v>
      </c>
      <c r="L53">
        <v>8221</v>
      </c>
      <c r="M53">
        <v>1223716389</v>
      </c>
      <c r="N53">
        <v>19821</v>
      </c>
      <c r="O53">
        <v>567232787</v>
      </c>
    </row>
    <row r="54" spans="2:15" x14ac:dyDescent="0.25">
      <c r="B54">
        <v>36976</v>
      </c>
      <c r="C54">
        <v>1307232793</v>
      </c>
      <c r="D54">
        <v>21557</v>
      </c>
      <c r="E54">
        <v>1282232786</v>
      </c>
      <c r="F54">
        <v>22631</v>
      </c>
      <c r="G54">
        <v>1207232786</v>
      </c>
      <c r="H54">
        <v>16225</v>
      </c>
      <c r="I54">
        <v>1298716394</v>
      </c>
      <c r="J54">
        <v>8299</v>
      </c>
      <c r="K54">
        <v>1298716389</v>
      </c>
      <c r="L54">
        <v>8502</v>
      </c>
      <c r="M54">
        <v>1223716389</v>
      </c>
      <c r="N54">
        <v>19596</v>
      </c>
      <c r="O54">
        <v>567232787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117248</v>
      </c>
      <c r="C58">
        <v>35199</v>
      </c>
      <c r="D58">
        <v>33547</v>
      </c>
      <c r="E58">
        <v>49031</v>
      </c>
      <c r="F58">
        <v>11887</v>
      </c>
      <c r="G58">
        <v>11560</v>
      </c>
      <c r="H58">
        <v>43201</v>
      </c>
      <c r="I58">
        <v>11600</v>
      </c>
      <c r="J58">
        <v>5616</v>
      </c>
    </row>
    <row r="59" spans="2:15" x14ac:dyDescent="0.25">
      <c r="B59">
        <v>117912</v>
      </c>
      <c r="C59">
        <v>34930</v>
      </c>
      <c r="D59">
        <v>33209</v>
      </c>
      <c r="E59">
        <v>47097</v>
      </c>
      <c r="F59">
        <v>12105</v>
      </c>
      <c r="G59">
        <v>12137</v>
      </c>
      <c r="H59">
        <v>42598</v>
      </c>
      <c r="I59">
        <v>11588</v>
      </c>
      <c r="J59">
        <v>5616</v>
      </c>
    </row>
    <row r="60" spans="2:15" x14ac:dyDescent="0.25">
      <c r="B60">
        <v>119050</v>
      </c>
      <c r="C60">
        <v>35262</v>
      </c>
      <c r="D60">
        <v>33644</v>
      </c>
      <c r="E60">
        <v>51792</v>
      </c>
      <c r="F60">
        <v>13541</v>
      </c>
      <c r="G60">
        <v>12433</v>
      </c>
      <c r="H60">
        <v>42261</v>
      </c>
      <c r="I60">
        <v>11601</v>
      </c>
      <c r="J60">
        <v>5632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66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AVERAGE(Table51[Newtonsoft (duration)]) - J38</f>
      </c>
      <c r="D38" s="2" t="e">
        <f>AVERAGE(Table51[Revenj.NET full (duration)]) - J38</f>
      </c>
      <c r="E38" s="2" t="e">
        <f>AVERAGE(Table51[Revenj.NET minimal (duration)]) - J38</f>
      </c>
      <c r="F38" s="2" t="e">
        <f>AVERAGE(Table51[Jackson (duration)]) - J39</f>
      </c>
      <c r="G38" s="2" t="e">
        <f>AVERAGE(Table51[DSL client Java full (duration)]) - J39</f>
      </c>
      <c r="H38" s="2" t="e">
        <f>AVERAGE(Table51[DSL client Java minimal (duration)]) - J39</f>
      </c>
      <c r="I38" s="2" t="e">
        <f>AVERAGE(Table51[Protobuf.NET (duration)]) - J38</f>
      </c>
      <c r="J38" s="2" t="e">
        <f>AVERAGE(Table52[.NET (instance only)])</f>
      </c>
      <c r="K38" s="2" t="e">
        <f>AVERAGE(Table52[JVM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AVERAGE(Table52[Newtonsoft (duration)]) - J38</f>
      </c>
      <c r="D40" s="2" t="e">
        <f>AVERAGE(Table52[Revenj.NET full (duration)]) - J38</f>
      </c>
      <c r="E40" s="2" t="e">
        <f>AVERAGE(Table52[Revenj.NET minimal (duration)]) - J38</f>
      </c>
      <c r="F40" s="2" t="e">
        <f>AVERAGE(Table52[Jackson (duration)]) - J39</f>
      </c>
      <c r="G40" s="2" t="e">
        <f>AVERAGE(Table52[DSL client Java full (duration)]) - J39</f>
      </c>
      <c r="H40" s="2" t="e">
        <f>AVERAGE(Table52[DSL client Java minimal (duration)]) - J39</f>
      </c>
      <c r="I40" s="2" t="e">
        <f>AVERAGE(Table52[Protobuf.NET (duration)]) - J38</f>
      </c>
      <c r="J40" s="2"/>
      <c r="K40" s="2"/>
    </row>
    <row r="41" spans="2:11" x14ac:dyDescent="0.25">
      <c r="B41" t="s">
        <v>8</v>
      </c>
      <c r="C41" s="3" t="e">
        <f>AVERAGE(Table51[Newtonsoft (size)])</f>
      </c>
      <c r="D41" s="3" t="e">
        <f>AVERAGE(Table51[Revenj.NET full (size)])</f>
      </c>
      <c r="E41" s="3" t="e">
        <f>AVERAGE(Table51[Revenj.NET minimal (size)])</f>
      </c>
      <c r="F41" s="3" t="e">
        <f>AVERAGE(Table51[Jackson (size)])</f>
      </c>
      <c r="G41" s="3" t="e">
        <f>AVERAGE(Table51[DSL client Java full (size)])</f>
      </c>
      <c r="H41" s="3" t="e">
        <f>AVERAGE(Table51[DSL client Java minimal (size)])</f>
      </c>
      <c r="I41" s="3" t="e">
        <f>AVERAGE(Table51[Protobuf.NET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DEVSQ(Table51[Newtonsoft (duration)])</f>
      </c>
      <c r="D46" s="2" t="e">
        <f>DEVSQ(Table51[Revenj.NET full (duration)])</f>
      </c>
      <c r="E46" s="2" t="e">
        <f>DEVSQ(Table51[Revenj.NET minimal (duration)])</f>
      </c>
      <c r="F46" s="2" t="e">
        <f>DEVSQ(Table51[Jackson (duration)])</f>
      </c>
      <c r="G46" s="2" t="e">
        <f>DEVSQ(Table51[DSL client Java full (duration)])</f>
      </c>
      <c r="H46" s="2" t="e">
        <f>DEVSQ(Table51[DSL client Java minimal (duration)])</f>
      </c>
      <c r="I46" s="2" t="e">
        <f>DEVSQ(Table51[Protobuf.NET (duration)])</f>
      </c>
    </row>
    <row r="47" spans="2:11" x14ac:dyDescent="0.25">
      <c r="B47" t="s">
        <v>1</v>
      </c>
      <c r="C47" s="2" t="e">
        <f>DEVSQ(Table52[Newtonsoft (duration)])</f>
      </c>
      <c r="D47" s="2" t="e">
        <f>DEVSQ(Table52[Revenj.NET full (duration)])</f>
      </c>
      <c r="E47" s="2" t="e">
        <f>DEVSQ(Table52[Revenj.NET minimal (duration)])</f>
      </c>
      <c r="F47" s="2" t="e">
        <f>DEVSQ(Table52[Jackson (duration)])</f>
      </c>
      <c r="G47" s="2" t="e">
        <f>DEVSQ(Table52[DSL client Java full (duration)])</f>
      </c>
      <c r="H47" s="2" t="e">
        <f>DEVSQ(Table52[DSL client Java minimal (duration)])</f>
      </c>
      <c r="I47" s="2" t="e">
        <f>DEVSQ(Table52[Protobuf.NET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156</v>
      </c>
      <c r="C52">
        <v>1787253</v>
      </c>
      <c r="D52">
        <v>38</v>
      </c>
      <c r="E52">
        <v>2249785</v>
      </c>
      <c r="F52">
        <v>37</v>
      </c>
      <c r="G52">
        <v>1802584</v>
      </c>
      <c r="H52">
        <v>218</v>
      </c>
      <c r="I52">
        <v>1763995</v>
      </c>
      <c r="J52">
        <v>78</v>
      </c>
      <c r="K52">
        <v>2209785</v>
      </c>
      <c r="L52">
        <v>78</v>
      </c>
      <c r="M52">
        <v>1762584</v>
      </c>
      <c r="N52">
        <v>79</v>
      </c>
      <c r="O52">
        <v>704000</v>
      </c>
    </row>
    <row r="53" spans="2:15" x14ac:dyDescent="0.25">
      <c r="B53">
        <v>158</v>
      </c>
      <c r="C53">
        <v>1787253</v>
      </c>
      <c r="D53">
        <v>38</v>
      </c>
      <c r="E53">
        <v>2249785</v>
      </c>
      <c r="F53">
        <v>37</v>
      </c>
      <c r="G53">
        <v>1802584</v>
      </c>
      <c r="H53">
        <v>250</v>
      </c>
      <c r="I53">
        <v>1763995</v>
      </c>
      <c r="J53">
        <v>78</v>
      </c>
      <c r="K53">
        <v>2189785</v>
      </c>
      <c r="L53">
        <v>78</v>
      </c>
      <c r="M53">
        <v>1762584</v>
      </c>
      <c r="N53">
        <v>79</v>
      </c>
      <c r="O53">
        <v>704000</v>
      </c>
    </row>
    <row r="54" spans="2:15" x14ac:dyDescent="0.25">
      <c r="B54">
        <v>156</v>
      </c>
      <c r="C54">
        <v>1787253</v>
      </c>
      <c r="D54">
        <v>37</v>
      </c>
      <c r="E54">
        <v>2249785</v>
      </c>
      <c r="F54">
        <v>37</v>
      </c>
      <c r="G54">
        <v>1802584</v>
      </c>
      <c r="H54">
        <v>219</v>
      </c>
      <c r="I54">
        <v>1763995</v>
      </c>
      <c r="J54">
        <v>78</v>
      </c>
      <c r="K54">
        <v>2209785</v>
      </c>
      <c r="L54">
        <v>93</v>
      </c>
      <c r="M54">
        <v>1762584</v>
      </c>
      <c r="N54">
        <v>79</v>
      </c>
      <c r="O54">
        <v>704000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299</v>
      </c>
      <c r="C58">
        <v>123</v>
      </c>
      <c r="D58">
        <v>87</v>
      </c>
      <c r="E58">
        <v>530</v>
      </c>
      <c r="F58">
        <v>141</v>
      </c>
      <c r="G58">
        <v>125</v>
      </c>
      <c r="H58">
        <v>109</v>
      </c>
      <c r="I58">
        <v>9</v>
      </c>
      <c r="J58">
        <v>31</v>
      </c>
    </row>
    <row r="59" spans="2:15" x14ac:dyDescent="0.25">
      <c r="B59">
        <v>309</v>
      </c>
      <c r="C59">
        <v>92</v>
      </c>
      <c r="D59">
        <v>87</v>
      </c>
      <c r="E59">
        <v>515</v>
      </c>
      <c r="F59">
        <v>172</v>
      </c>
      <c r="G59">
        <v>141</v>
      </c>
      <c r="H59">
        <v>109</v>
      </c>
      <c r="I59">
        <v>9</v>
      </c>
      <c r="J59">
        <v>31</v>
      </c>
    </row>
    <row r="60" spans="2:15" x14ac:dyDescent="0.25">
      <c r="B60">
        <v>316</v>
      </c>
      <c r="C60">
        <v>90</v>
      </c>
      <c r="D60">
        <v>86</v>
      </c>
      <c r="E60">
        <v>515</v>
      </c>
      <c r="F60">
        <v>141</v>
      </c>
      <c r="G60">
        <v>140</v>
      </c>
      <c r="H60">
        <v>111</v>
      </c>
      <c r="I60">
        <v>8</v>
      </c>
      <c r="J60">
        <v>15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67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AVERAGE(Table55[Newtonsoft (duration)]) - J38</f>
      </c>
      <c r="D38" s="2" t="e">
        <f>AVERAGE(Table55[Revenj.NET full (duration)]) - J38</f>
      </c>
      <c r="E38" s="2" t="e">
        <f>AVERAGE(Table55[Revenj.NET minimal (duration)]) - J38</f>
      </c>
      <c r="F38" s="2" t="e">
        <f>AVERAGE(Table55[Jackson (duration)]) - J39</f>
      </c>
      <c r="G38" s="2" t="e">
        <f>AVERAGE(Table55[DSL client Java full (duration)]) - J39</f>
      </c>
      <c r="H38" s="2" t="e">
        <f>AVERAGE(Table55[DSL client Java minimal (duration)]) - J39</f>
      </c>
      <c r="I38" s="2" t="e">
        <f>AVERAGE(Table55[Protobuf.NET (duration)]) - J38</f>
      </c>
      <c r="J38" s="2" t="e">
        <f>AVERAGE(Table56[.NET (instance only)])</f>
      </c>
      <c r="K38" s="2" t="e">
        <f>AVERAGE(Table56[JVM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AVERAGE(Table56[Newtonsoft (duration)]) - J38</f>
      </c>
      <c r="D40" s="2" t="e">
        <f>AVERAGE(Table56[Revenj.NET full (duration)]) - J38</f>
      </c>
      <c r="E40" s="2" t="e">
        <f>AVERAGE(Table56[Revenj.NET minimal (duration)]) - J38</f>
      </c>
      <c r="F40" s="2" t="e">
        <f>AVERAGE(Table56[Jackson (duration)]) - J39</f>
      </c>
      <c r="G40" s="2" t="e">
        <f>AVERAGE(Table56[DSL client Java full (duration)]) - J39</f>
      </c>
      <c r="H40" s="2" t="e">
        <f>AVERAGE(Table56[DSL client Java minimal (duration)]) - J39</f>
      </c>
      <c r="I40" s="2" t="e">
        <f>AVERAGE(Table56[Protobuf.NET (duration)]) - J38</f>
      </c>
      <c r="J40" s="2"/>
      <c r="K40" s="2"/>
    </row>
    <row r="41" spans="2:11" x14ac:dyDescent="0.25">
      <c r="B41" t="s">
        <v>8</v>
      </c>
      <c r="C41" s="3" t="e">
        <f>AVERAGE(Table55[Newtonsoft (size)])</f>
      </c>
      <c r="D41" s="3" t="e">
        <f>AVERAGE(Table55[Revenj.NET full (size)])</f>
      </c>
      <c r="E41" s="3" t="e">
        <f>AVERAGE(Table55[Revenj.NET minimal (size)])</f>
      </c>
      <c r="F41" s="3" t="e">
        <f>AVERAGE(Table55[Jackson (size)])</f>
      </c>
      <c r="G41" s="3" t="e">
        <f>AVERAGE(Table55[DSL client Java full (size)])</f>
      </c>
      <c r="H41" s="3" t="e">
        <f>AVERAGE(Table55[DSL client Java minimal (size)])</f>
      </c>
      <c r="I41" s="3" t="e">
        <f>AVERAGE(Table55[Protobuf.NET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DEVSQ(Table55[Newtonsoft (duration)])</f>
      </c>
      <c r="D46" s="2" t="e">
        <f>DEVSQ(Table55[Revenj.NET full (duration)])</f>
      </c>
      <c r="E46" s="2" t="e">
        <f>DEVSQ(Table55[Revenj.NET minimal (duration)])</f>
      </c>
      <c r="F46" s="2" t="e">
        <f>DEVSQ(Table55[Jackson (duration)])</f>
      </c>
      <c r="G46" s="2" t="e">
        <f>DEVSQ(Table55[DSL client Java full (duration)])</f>
      </c>
      <c r="H46" s="2" t="e">
        <f>DEVSQ(Table55[DSL client Java minimal (duration)])</f>
      </c>
      <c r="I46" s="2" t="e">
        <f>DEVSQ(Table55[Protobuf.NET (duration)])</f>
      </c>
    </row>
    <row r="47" spans="2:11" x14ac:dyDescent="0.25">
      <c r="B47" t="s">
        <v>1</v>
      </c>
      <c r="C47" s="2" t="e">
        <f>DEVSQ(Table56[Newtonsoft (duration)])</f>
      </c>
      <c r="D47" s="2" t="e">
        <f>DEVSQ(Table56[Revenj.NET full (duration)])</f>
      </c>
      <c r="E47" s="2" t="e">
        <f>DEVSQ(Table56[Revenj.NET minimal (duration)])</f>
      </c>
      <c r="F47" s="2" t="e">
        <f>DEVSQ(Table56[Jackson (duration)])</f>
      </c>
      <c r="G47" s="2" t="e">
        <f>DEVSQ(Table56[DSL client Java full (duration)])</f>
      </c>
      <c r="H47" s="2" t="e">
        <f>DEVSQ(Table56[DSL client Java minimal (duration)])</f>
      </c>
      <c r="I47" s="2" t="e">
        <f>DEVSQ(Table56[Protobuf.NET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728</v>
      </c>
      <c r="C52">
        <v>18786512</v>
      </c>
      <c r="D52">
        <v>294</v>
      </c>
      <c r="E52">
        <v>23399332</v>
      </c>
      <c r="F52">
        <v>278</v>
      </c>
      <c r="G52">
        <v>18939843</v>
      </c>
      <c r="H52">
        <v>499</v>
      </c>
      <c r="I52">
        <v>18541254</v>
      </c>
      <c r="J52">
        <v>218</v>
      </c>
      <c r="K52">
        <v>22999332</v>
      </c>
      <c r="L52">
        <v>218</v>
      </c>
      <c r="M52">
        <v>18539843</v>
      </c>
      <c r="N52">
        <v>227</v>
      </c>
      <c r="O52">
        <v>7506385</v>
      </c>
    </row>
    <row r="53" spans="2:15" x14ac:dyDescent="0.25">
      <c r="B53">
        <v>703</v>
      </c>
      <c r="C53">
        <v>18786512</v>
      </c>
      <c r="D53">
        <v>294</v>
      </c>
      <c r="E53">
        <v>23399332</v>
      </c>
      <c r="F53">
        <v>278</v>
      </c>
      <c r="G53">
        <v>18939843</v>
      </c>
      <c r="H53">
        <v>500</v>
      </c>
      <c r="I53">
        <v>18541254</v>
      </c>
      <c r="J53">
        <v>250</v>
      </c>
      <c r="K53">
        <v>22999332</v>
      </c>
      <c r="L53">
        <v>218</v>
      </c>
      <c r="M53">
        <v>18539843</v>
      </c>
      <c r="N53">
        <v>229</v>
      </c>
      <c r="O53">
        <v>7506385</v>
      </c>
    </row>
    <row r="54" spans="2:15" x14ac:dyDescent="0.25">
      <c r="B54">
        <v>718</v>
      </c>
      <c r="C54">
        <v>18786512</v>
      </c>
      <c r="D54">
        <v>289</v>
      </c>
      <c r="E54">
        <v>23399332</v>
      </c>
      <c r="F54">
        <v>281</v>
      </c>
      <c r="G54">
        <v>18939843</v>
      </c>
      <c r="H54">
        <v>515</v>
      </c>
      <c r="I54">
        <v>18541254</v>
      </c>
      <c r="J54">
        <v>203</v>
      </c>
      <c r="K54">
        <v>22999332</v>
      </c>
      <c r="L54">
        <v>203</v>
      </c>
      <c r="M54">
        <v>18539843</v>
      </c>
      <c r="N54">
        <v>227</v>
      </c>
      <c r="O54">
        <v>7506385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1877</v>
      </c>
      <c r="C58">
        <v>672</v>
      </c>
      <c r="D58">
        <v>636</v>
      </c>
      <c r="E58">
        <v>1358</v>
      </c>
      <c r="F58">
        <v>452</v>
      </c>
      <c r="G58">
        <v>437</v>
      </c>
      <c r="H58">
        <v>445</v>
      </c>
      <c r="I58">
        <v>73</v>
      </c>
      <c r="J58">
        <v>78</v>
      </c>
    </row>
    <row r="59" spans="2:15" x14ac:dyDescent="0.25">
      <c r="B59">
        <v>1916</v>
      </c>
      <c r="C59">
        <v>674</v>
      </c>
      <c r="D59">
        <v>639</v>
      </c>
      <c r="E59">
        <v>1233</v>
      </c>
      <c r="F59">
        <v>437</v>
      </c>
      <c r="G59">
        <v>421</v>
      </c>
      <c r="H59">
        <v>436</v>
      </c>
      <c r="I59">
        <v>73</v>
      </c>
      <c r="J59">
        <v>78</v>
      </c>
    </row>
    <row r="60" spans="2:15" x14ac:dyDescent="0.25">
      <c r="B60">
        <v>1702</v>
      </c>
      <c r="C60">
        <v>674</v>
      </c>
      <c r="D60">
        <v>729</v>
      </c>
      <c r="E60">
        <v>1294</v>
      </c>
      <c r="F60">
        <v>468</v>
      </c>
      <c r="G60">
        <v>437</v>
      </c>
      <c r="H60">
        <v>445</v>
      </c>
      <c r="I60">
        <v>74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68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AVERAGE(Table59[Newtonsoft (duration)]) - J38</f>
      </c>
      <c r="D38" s="2" t="e">
        <f>AVERAGE(Table59[Revenj.NET full (duration)]) - J38</f>
      </c>
      <c r="E38" s="2" t="e">
        <f>AVERAGE(Table59[Revenj.NET minimal (duration)]) - J38</f>
      </c>
      <c r="F38" s="2" t="e">
        <f>AVERAGE(Table59[Jackson (duration)]) - J39</f>
      </c>
      <c r="G38" s="2" t="e">
        <f>AVERAGE(Table59[DSL client Java full (duration)]) - J39</f>
      </c>
      <c r="H38" s="2" t="e">
        <f>AVERAGE(Table59[DSL client Java minimal (duration)]) - J39</f>
      </c>
      <c r="I38" s="2" t="e">
        <f>AVERAGE(Table59[Protobuf.NET (duration)]) - J38</f>
      </c>
      <c r="J38" s="2" t="e">
        <f>AVERAGE(Table60[.NET (instance only)])</f>
      </c>
      <c r="K38" s="2" t="e">
        <f>AVERAGE(Table60[JVM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AVERAGE(Table60[Newtonsoft (duration)]) - J38</f>
      </c>
      <c r="D40" s="2" t="e">
        <f>AVERAGE(Table60[Revenj.NET full (duration)]) - J38</f>
      </c>
      <c r="E40" s="2" t="e">
        <f>AVERAGE(Table60[Revenj.NET minimal (duration)]) - J38</f>
      </c>
      <c r="F40" s="2" t="e">
        <f>AVERAGE(Table60[Jackson (duration)]) - J39</f>
      </c>
      <c r="G40" s="2" t="e">
        <f>AVERAGE(Table60[DSL client Java full (duration)]) - J39</f>
      </c>
      <c r="H40" s="2" t="e">
        <f>AVERAGE(Table60[DSL client Java minimal (duration)]) - J39</f>
      </c>
      <c r="I40" s="2" t="e">
        <f>AVERAGE(Table60[Protobuf.NET (duration)]) - J38</f>
      </c>
      <c r="J40" s="2"/>
      <c r="K40" s="2"/>
    </row>
    <row r="41" spans="2:11" x14ac:dyDescent="0.25">
      <c r="B41" t="s">
        <v>8</v>
      </c>
      <c r="C41" s="3" t="e">
        <f>AVERAGE(Table59[Newtonsoft (size)])</f>
      </c>
      <c r="D41" s="3" t="e">
        <f>AVERAGE(Table59[Revenj.NET full (size)])</f>
      </c>
      <c r="E41" s="3" t="e">
        <f>AVERAGE(Table59[Revenj.NET minimal (size)])</f>
      </c>
      <c r="F41" s="3" t="e">
        <f>AVERAGE(Table59[Jackson (size)])</f>
      </c>
      <c r="G41" s="3" t="e">
        <f>AVERAGE(Table59[DSL client Java full (size)])</f>
      </c>
      <c r="H41" s="3" t="e">
        <f>AVERAGE(Table59[DSL client Java minimal (size)])</f>
      </c>
      <c r="I41" s="3" t="e">
        <f>AVERAGE(Table59[Protobuf.NET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DEVSQ(Table59[Newtonsoft (duration)])</f>
      </c>
      <c r="D46" s="2" t="e">
        <f>DEVSQ(Table59[Revenj.NET full (duration)])</f>
      </c>
      <c r="E46" s="2" t="e">
        <f>DEVSQ(Table59[Revenj.NET minimal (duration)])</f>
      </c>
      <c r="F46" s="2" t="e">
        <f>DEVSQ(Table59[Jackson (duration)])</f>
      </c>
      <c r="G46" s="2" t="e">
        <f>DEVSQ(Table59[DSL client Java full (duration)])</f>
      </c>
      <c r="H46" s="2" t="e">
        <f>DEVSQ(Table59[DSL client Java minimal (duration)])</f>
      </c>
      <c r="I46" s="2" t="e">
        <f>DEVSQ(Table59[Protobuf.NET (duration)])</f>
      </c>
    </row>
    <row r="47" spans="2:11" x14ac:dyDescent="0.25">
      <c r="B47" t="s">
        <v>1</v>
      </c>
      <c r="C47" s="2" t="e">
        <f>DEVSQ(Table60[Newtonsoft (duration)])</f>
      </c>
      <c r="D47" s="2" t="e">
        <f>DEVSQ(Table60[Revenj.NET full (duration)])</f>
      </c>
      <c r="E47" s="2" t="e">
        <f>DEVSQ(Table60[Revenj.NET minimal (duration)])</f>
      </c>
      <c r="F47" s="2" t="e">
        <f>DEVSQ(Table60[Jackson (duration)])</f>
      </c>
      <c r="G47" s="2" t="e">
        <f>DEVSQ(Table60[DSL client Java full (duration)])</f>
      </c>
      <c r="H47" s="2" t="e">
        <f>DEVSQ(Table60[DSL client Java minimal (duration)])</f>
      </c>
      <c r="I47" s="2" t="e">
        <f>DEVSQ(Table60[Protobuf.NET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6234</v>
      </c>
      <c r="C52">
        <v>196941225</v>
      </c>
      <c r="D52">
        <v>2824</v>
      </c>
      <c r="E52">
        <v>243056893</v>
      </c>
      <c r="F52">
        <v>2713</v>
      </c>
      <c r="G52">
        <v>198474556</v>
      </c>
      <c r="H52">
        <v>1997</v>
      </c>
      <c r="I52">
        <v>194475967</v>
      </c>
      <c r="J52">
        <v>998</v>
      </c>
      <c r="K52">
        <v>239056893</v>
      </c>
      <c r="L52">
        <v>967</v>
      </c>
      <c r="M52">
        <v>194474556</v>
      </c>
      <c r="N52">
        <v>1694</v>
      </c>
      <c r="O52">
        <v>79244720</v>
      </c>
    </row>
    <row r="53" spans="2:15" x14ac:dyDescent="0.25">
      <c r="B53">
        <v>6632</v>
      </c>
      <c r="C53">
        <v>196941225</v>
      </c>
      <c r="D53">
        <v>2827</v>
      </c>
      <c r="E53">
        <v>243056893</v>
      </c>
      <c r="F53">
        <v>2715</v>
      </c>
      <c r="G53">
        <v>198474556</v>
      </c>
      <c r="H53">
        <v>2028</v>
      </c>
      <c r="I53">
        <v>194475967</v>
      </c>
      <c r="J53">
        <v>998</v>
      </c>
      <c r="K53">
        <v>239056893</v>
      </c>
      <c r="L53">
        <v>967</v>
      </c>
      <c r="M53">
        <v>194474556</v>
      </c>
      <c r="N53">
        <v>1703</v>
      </c>
      <c r="O53">
        <v>79244720</v>
      </c>
    </row>
    <row r="54" spans="2:15" x14ac:dyDescent="0.25">
      <c r="B54">
        <v>6564</v>
      </c>
      <c r="C54">
        <v>196941225</v>
      </c>
      <c r="D54">
        <v>2826</v>
      </c>
      <c r="E54">
        <v>243056893</v>
      </c>
      <c r="F54">
        <v>3331</v>
      </c>
      <c r="G54">
        <v>198474556</v>
      </c>
      <c r="H54">
        <v>1950</v>
      </c>
      <c r="I54">
        <v>194475967</v>
      </c>
      <c r="J54">
        <v>998</v>
      </c>
      <c r="K54">
        <v>239056893</v>
      </c>
      <c r="L54">
        <v>967</v>
      </c>
      <c r="M54">
        <v>194474556</v>
      </c>
      <c r="N54">
        <v>2188</v>
      </c>
      <c r="O54">
        <v>79244720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17129</v>
      </c>
      <c r="C58">
        <v>6635</v>
      </c>
      <c r="D58">
        <v>6289</v>
      </c>
      <c r="E58">
        <v>7223</v>
      </c>
      <c r="F58">
        <v>2043</v>
      </c>
      <c r="G58">
        <v>1919</v>
      </c>
      <c r="H58">
        <v>3727</v>
      </c>
      <c r="I58">
        <v>705</v>
      </c>
      <c r="J58">
        <v>249</v>
      </c>
    </row>
    <row r="59" spans="2:15" x14ac:dyDescent="0.25">
      <c r="B59">
        <v>15821</v>
      </c>
      <c r="C59">
        <v>6559</v>
      </c>
      <c r="D59">
        <v>6207</v>
      </c>
      <c r="E59">
        <v>7301</v>
      </c>
      <c r="F59">
        <v>2090</v>
      </c>
      <c r="G59">
        <v>2012</v>
      </c>
      <c r="H59">
        <v>3811</v>
      </c>
      <c r="I59">
        <v>708</v>
      </c>
      <c r="J59">
        <v>234</v>
      </c>
    </row>
    <row r="60" spans="2:15" x14ac:dyDescent="0.25">
      <c r="B60">
        <v>16815</v>
      </c>
      <c r="C60">
        <v>6713</v>
      </c>
      <c r="D60">
        <v>6206</v>
      </c>
      <c r="E60">
        <v>7270</v>
      </c>
      <c r="F60">
        <v>2028</v>
      </c>
      <c r="G60">
        <v>1903</v>
      </c>
      <c r="H60">
        <v>3735</v>
      </c>
      <c r="I60">
        <v>705</v>
      </c>
      <c r="J60">
        <v>250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69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AVERAGE(Table63[Newtonsoft (duration)]) - J38</f>
      </c>
      <c r="D38" s="2" t="e">
        <f>AVERAGE(Table63[Revenj.NET full (duration)]) - J38</f>
      </c>
      <c r="E38" s="2" t="e">
        <f>AVERAGE(Table63[Revenj.NET minimal (duration)]) - J38</f>
      </c>
      <c r="F38" s="2" t="e">
        <f>AVERAGE(Table63[Jackson (duration)]) - J39</f>
      </c>
      <c r="G38" s="2" t="e">
        <f>AVERAGE(Table63[DSL client Java full (duration)]) - J39</f>
      </c>
      <c r="H38" s="2" t="e">
        <f>AVERAGE(Table63[DSL client Java minimal (duration)]) - J39</f>
      </c>
      <c r="I38" s="2" t="e">
        <f>AVERAGE(Table63[Protobuf.NET (duration)]) - J38</f>
      </c>
      <c r="J38" s="2" t="e">
        <f>AVERAGE(Table64[.NET (instance only)])</f>
      </c>
      <c r="K38" s="2" t="e">
        <f>AVERAGE(Table64[JVM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AVERAGE(Table64[Newtonsoft (duration)]) - J38</f>
      </c>
      <c r="D40" s="2" t="e">
        <f>AVERAGE(Table64[Revenj.NET full (duration)]) - J38</f>
      </c>
      <c r="E40" s="2" t="e">
        <f>AVERAGE(Table64[Revenj.NET minimal (duration)]) - J38</f>
      </c>
      <c r="F40" s="2" t="e">
        <f>AVERAGE(Table64[Jackson (duration)]) - J39</f>
      </c>
      <c r="G40" s="2" t="e">
        <f>AVERAGE(Table64[DSL client Java full (duration)]) - J39</f>
      </c>
      <c r="H40" s="2" t="e">
        <f>AVERAGE(Table64[DSL client Java minimal (duration)]) - J39</f>
      </c>
      <c r="I40" s="2" t="e">
        <f>AVERAGE(Table64[Protobuf.NET (duration)]) - J38</f>
      </c>
      <c r="J40" s="2"/>
      <c r="K40" s="2"/>
    </row>
    <row r="41" spans="2:11" x14ac:dyDescent="0.25">
      <c r="B41" t="s">
        <v>8</v>
      </c>
      <c r="C41" s="3" t="e">
        <f>AVERAGE(Table63[Newtonsoft (size)])</f>
      </c>
      <c r="D41" s="3" t="e">
        <f>AVERAGE(Table63[Revenj.NET full (size)])</f>
      </c>
      <c r="E41" s="3" t="e">
        <f>AVERAGE(Table63[Revenj.NET minimal (size)])</f>
      </c>
      <c r="F41" s="3" t="e">
        <f>AVERAGE(Table63[Jackson (size)])</f>
      </c>
      <c r="G41" s="3" t="e">
        <f>AVERAGE(Table63[DSL client Java full (size)])</f>
      </c>
      <c r="H41" s="3" t="e">
        <f>AVERAGE(Table63[DSL client Java minimal (size)])</f>
      </c>
      <c r="I41" s="3" t="e">
        <f>AVERAGE(Table63[Protobuf.NET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DEVSQ(Table63[Newtonsoft (duration)])</f>
      </c>
      <c r="D46" s="2" t="e">
        <f>DEVSQ(Table63[Revenj.NET full (duration)])</f>
      </c>
      <c r="E46" s="2" t="e">
        <f>DEVSQ(Table63[Revenj.NET minimal (duration)])</f>
      </c>
      <c r="F46" s="2" t="e">
        <f>DEVSQ(Table63[Jackson (duration)])</f>
      </c>
      <c r="G46" s="2" t="e">
        <f>DEVSQ(Table63[DSL client Java full (duration)])</f>
      </c>
      <c r="H46" s="2" t="e">
        <f>DEVSQ(Table63[DSL client Java minimal (duration)])</f>
      </c>
      <c r="I46" s="2" t="e">
        <f>DEVSQ(Table63[Protobuf.NET (duration)])</f>
      </c>
    </row>
    <row r="47" spans="2:11" x14ac:dyDescent="0.25">
      <c r="B47" t="s">
        <v>1</v>
      </c>
      <c r="C47" s="2" t="e">
        <f>DEVSQ(Table64[Newtonsoft (duration)])</f>
      </c>
      <c r="D47" s="2" t="e">
        <f>DEVSQ(Table64[Revenj.NET full (duration)])</f>
      </c>
      <c r="E47" s="2" t="e">
        <f>DEVSQ(Table64[Revenj.NET minimal (duration)])</f>
      </c>
      <c r="F47" s="2" t="e">
        <f>DEVSQ(Table64[Jackson (duration)])</f>
      </c>
      <c r="G47" s="2" t="e">
        <f>DEVSQ(Table64[DSL client Java full (duration)])</f>
      </c>
      <c r="H47" s="2" t="e">
        <f>DEVSQ(Table64[DSL client Java minimal (duration)])</f>
      </c>
      <c r="I47" s="2" t="e">
        <f>DEVSQ(Table64[Protobuf.NET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2759</v>
      </c>
      <c r="C52">
        <v>102068216</v>
      </c>
      <c r="D52">
        <v>1369</v>
      </c>
      <c r="E52">
        <v>100367182</v>
      </c>
      <c r="F52">
        <v>1367</v>
      </c>
      <c r="G52">
        <v>94448479</v>
      </c>
      <c r="H52">
        <v>796</v>
      </c>
      <c r="I52">
        <v>93002714</v>
      </c>
      <c r="J52">
        <v>499</v>
      </c>
      <c r="K52">
        <v>98536025</v>
      </c>
      <c r="L52">
        <v>453</v>
      </c>
      <c r="M52">
        <v>87101222</v>
      </c>
      <c r="N52">
        <v>942</v>
      </c>
      <c r="O52">
        <v>46379642</v>
      </c>
    </row>
    <row r="53" spans="2:15" x14ac:dyDescent="0.25">
      <c r="B53">
        <v>2822</v>
      </c>
      <c r="C53">
        <v>102068216</v>
      </c>
      <c r="D53">
        <v>1368</v>
      </c>
      <c r="E53">
        <v>100367182</v>
      </c>
      <c r="F53">
        <v>1361</v>
      </c>
      <c r="G53">
        <v>94448479</v>
      </c>
      <c r="H53">
        <v>842</v>
      </c>
      <c r="I53">
        <v>93002711</v>
      </c>
      <c r="J53">
        <v>499</v>
      </c>
      <c r="K53">
        <v>98541305</v>
      </c>
      <c r="L53">
        <v>530</v>
      </c>
      <c r="M53">
        <v>87106502</v>
      </c>
      <c r="N53">
        <v>953</v>
      </c>
      <c r="O53">
        <v>46379642</v>
      </c>
    </row>
    <row r="54" spans="2:15" x14ac:dyDescent="0.25">
      <c r="B54">
        <v>2797</v>
      </c>
      <c r="C54">
        <v>102068216</v>
      </c>
      <c r="D54">
        <v>1376</v>
      </c>
      <c r="E54">
        <v>100367182</v>
      </c>
      <c r="F54">
        <v>1360</v>
      </c>
      <c r="G54">
        <v>94448479</v>
      </c>
      <c r="H54">
        <v>811</v>
      </c>
      <c r="I54">
        <v>93002711</v>
      </c>
      <c r="J54">
        <v>483</v>
      </c>
      <c r="K54">
        <v>98534265</v>
      </c>
      <c r="L54">
        <v>484</v>
      </c>
      <c r="M54">
        <v>87101222</v>
      </c>
      <c r="N54">
        <v>946</v>
      </c>
      <c r="O54">
        <v>46379642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6839</v>
      </c>
      <c r="C58">
        <v>2261</v>
      </c>
      <c r="D58">
        <v>2213</v>
      </c>
      <c r="E58">
        <v>2949</v>
      </c>
      <c r="F58">
        <v>920</v>
      </c>
      <c r="G58">
        <v>858</v>
      </c>
      <c r="H58">
        <v>1873</v>
      </c>
      <c r="I58">
        <v>628</v>
      </c>
      <c r="J58">
        <v>203</v>
      </c>
    </row>
    <row r="59" spans="2:15" x14ac:dyDescent="0.25">
      <c r="B59">
        <v>7249</v>
      </c>
      <c r="C59">
        <v>2270</v>
      </c>
      <c r="D59">
        <v>2211</v>
      </c>
      <c r="E59">
        <v>2995</v>
      </c>
      <c r="F59">
        <v>827</v>
      </c>
      <c r="G59">
        <v>826</v>
      </c>
      <c r="H59">
        <v>1866</v>
      </c>
      <c r="I59">
        <v>639</v>
      </c>
      <c r="J59">
        <v>234</v>
      </c>
    </row>
    <row r="60" spans="2:15" x14ac:dyDescent="0.25">
      <c r="B60">
        <v>7628</v>
      </c>
      <c r="C60">
        <v>2255</v>
      </c>
      <c r="D60">
        <v>2210</v>
      </c>
      <c r="E60">
        <v>2964</v>
      </c>
      <c r="F60">
        <v>936</v>
      </c>
      <c r="G60">
        <v>780</v>
      </c>
      <c r="H60">
        <v>1867</v>
      </c>
      <c r="I60">
        <v>624</v>
      </c>
      <c r="J60">
        <v>234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70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AVERAGE(Table67[Newtonsoft (duration)]) - J38</f>
      </c>
      <c r="D38" s="2" t="e">
        <f>AVERAGE(Table67[Revenj.NET full (duration)]) - J38</f>
      </c>
      <c r="E38" s="2" t="e">
        <f>AVERAGE(Table67[Revenj.NET minimal (duration)]) - J38</f>
      </c>
      <c r="F38" s="2" t="e">
        <f>AVERAGE(Table67[Jackson (duration)]) - J39</f>
      </c>
      <c r="G38" s="2" t="e">
        <f>AVERAGE(Table67[DSL client Java full (duration)]) - J39</f>
      </c>
      <c r="H38" s="2" t="e">
        <f>AVERAGE(Table67[DSL client Java minimal (duration)]) - J39</f>
      </c>
      <c r="I38" s="2" t="e">
        <f>AVERAGE(Table67[Protobuf.NET (duration)]) - J38</f>
      </c>
      <c r="J38" s="2" t="e">
        <f>AVERAGE(Table68[.NET (instance only)])</f>
      </c>
      <c r="K38" s="2" t="e">
        <f>AVERAGE(Table68[JVM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AVERAGE(Table68[Newtonsoft (duration)]) - J38</f>
      </c>
      <c r="D40" s="2" t="e">
        <f>AVERAGE(Table68[Revenj.NET full (duration)]) - J38</f>
      </c>
      <c r="E40" s="2" t="e">
        <f>AVERAGE(Table68[Revenj.NET minimal (duration)]) - J38</f>
      </c>
      <c r="F40" s="2" t="e">
        <f>AVERAGE(Table68[Jackson (duration)]) - J39</f>
      </c>
      <c r="G40" s="2" t="e">
        <f>AVERAGE(Table68[DSL client Java full (duration)]) - J39</f>
      </c>
      <c r="H40" s="2" t="e">
        <f>AVERAGE(Table68[DSL client Java minimal (duration)]) - J39</f>
      </c>
      <c r="I40" s="2" t="e">
        <f>AVERAGE(Table68[Protobuf.NET (duration)]) - J38</f>
      </c>
      <c r="J40" s="2"/>
      <c r="K40" s="2"/>
    </row>
    <row r="41" spans="2:11" x14ac:dyDescent="0.25">
      <c r="B41" t="s">
        <v>8</v>
      </c>
      <c r="C41" s="3" t="e">
        <f>AVERAGE(Table67[Newtonsoft (size)])</f>
      </c>
      <c r="D41" s="3" t="e">
        <f>AVERAGE(Table67[Revenj.NET full (size)])</f>
      </c>
      <c r="E41" s="3" t="e">
        <f>AVERAGE(Table67[Revenj.NET minimal (size)])</f>
      </c>
      <c r="F41" s="3" t="e">
        <f>AVERAGE(Table67[Jackson (size)])</f>
      </c>
      <c r="G41" s="3" t="e">
        <f>AVERAGE(Table67[DSL client Java full (size)])</f>
      </c>
      <c r="H41" s="3" t="e">
        <f>AVERAGE(Table67[DSL client Java minimal (size)])</f>
      </c>
      <c r="I41" s="3" t="e">
        <f>AVERAGE(Table67[Protobuf.NET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DEVSQ(Table67[Newtonsoft (duration)])</f>
      </c>
      <c r="D46" s="2" t="e">
        <f>DEVSQ(Table67[Revenj.NET full (duration)])</f>
      </c>
      <c r="E46" s="2" t="e">
        <f>DEVSQ(Table67[Revenj.NET minimal (duration)])</f>
      </c>
      <c r="F46" s="2" t="e">
        <f>DEVSQ(Table67[Jackson (duration)])</f>
      </c>
      <c r="G46" s="2" t="e">
        <f>DEVSQ(Table67[DSL client Java full (duration)])</f>
      </c>
      <c r="H46" s="2" t="e">
        <f>DEVSQ(Table67[DSL client Java minimal (duration)])</f>
      </c>
      <c r="I46" s="2" t="e">
        <f>DEVSQ(Table67[Protobuf.NET (duration)])</f>
      </c>
    </row>
    <row r="47" spans="2:11" x14ac:dyDescent="0.25">
      <c r="B47" t="s">
        <v>1</v>
      </c>
      <c r="C47" s="2" t="e">
        <f>DEVSQ(Table68[Newtonsoft (duration)])</f>
      </c>
      <c r="D47" s="2" t="e">
        <f>DEVSQ(Table68[Revenj.NET full (duration)])</f>
      </c>
      <c r="E47" s="2" t="e">
        <f>DEVSQ(Table68[Revenj.NET minimal (duration)])</f>
      </c>
      <c r="F47" s="2" t="e">
        <f>DEVSQ(Table68[Jackson (duration)])</f>
      </c>
      <c r="G47" s="2" t="e">
        <f>DEVSQ(Table68[DSL client Java full (duration)])</f>
      </c>
      <c r="H47" s="2" t="e">
        <f>DEVSQ(Table68[DSL client Java minimal (duration)])</f>
      </c>
      <c r="I47" s="2" t="e">
        <f>DEVSQ(Table68[Protobuf.NET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27467</v>
      </c>
      <c r="C52">
        <v>1036016757</v>
      </c>
      <c r="D52">
        <v>14055</v>
      </c>
      <c r="E52">
        <v>1019005810</v>
      </c>
      <c r="F52">
        <v>13753</v>
      </c>
      <c r="G52">
        <v>959819407</v>
      </c>
      <c r="H52">
        <v>6739</v>
      </c>
      <c r="I52">
        <v>940324279</v>
      </c>
      <c r="J52">
        <v>3370</v>
      </c>
      <c r="K52">
        <v>995639873</v>
      </c>
      <c r="L52">
        <v>3323</v>
      </c>
      <c r="M52">
        <v>881340870</v>
      </c>
      <c r="N52">
        <v>9420</v>
      </c>
      <c r="O52">
        <v>474011652</v>
      </c>
    </row>
    <row r="53" spans="2:15" x14ac:dyDescent="0.25">
      <c r="B53">
        <v>27466</v>
      </c>
      <c r="C53">
        <v>1036016757</v>
      </c>
      <c r="D53">
        <v>13944</v>
      </c>
      <c r="E53">
        <v>1019005810</v>
      </c>
      <c r="F53">
        <v>13765</v>
      </c>
      <c r="G53">
        <v>959819407</v>
      </c>
      <c r="H53">
        <v>7160</v>
      </c>
      <c r="I53">
        <v>940324279</v>
      </c>
      <c r="J53">
        <v>3338</v>
      </c>
      <c r="K53">
        <v>995646473</v>
      </c>
      <c r="L53">
        <v>3338</v>
      </c>
      <c r="M53">
        <v>881321070</v>
      </c>
      <c r="N53">
        <v>9432</v>
      </c>
      <c r="O53">
        <v>474011652</v>
      </c>
    </row>
    <row r="54" spans="2:15" x14ac:dyDescent="0.25">
      <c r="B54">
        <v>27549</v>
      </c>
      <c r="C54">
        <v>1036016757</v>
      </c>
      <c r="D54">
        <v>13827</v>
      </c>
      <c r="E54">
        <v>1019005810</v>
      </c>
      <c r="F54">
        <v>13773</v>
      </c>
      <c r="G54">
        <v>959819407</v>
      </c>
      <c r="H54">
        <v>7223</v>
      </c>
      <c r="I54">
        <v>940324279</v>
      </c>
      <c r="J54">
        <v>3369</v>
      </c>
      <c r="K54">
        <v>995661873</v>
      </c>
      <c r="L54">
        <v>3369</v>
      </c>
      <c r="M54">
        <v>881325470</v>
      </c>
      <c r="N54">
        <v>9431</v>
      </c>
      <c r="O54">
        <v>474011652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73911</v>
      </c>
      <c r="C58">
        <v>22694</v>
      </c>
      <c r="D58">
        <v>22880</v>
      </c>
      <c r="E58">
        <v>26629</v>
      </c>
      <c r="F58">
        <v>5913</v>
      </c>
      <c r="G58">
        <v>5616</v>
      </c>
      <c r="H58">
        <v>18986</v>
      </c>
      <c r="I58">
        <v>6365</v>
      </c>
      <c r="J58">
        <v>1233</v>
      </c>
    </row>
    <row r="59" spans="2:15" x14ac:dyDescent="0.25">
      <c r="B59">
        <v>72516</v>
      </c>
      <c r="C59">
        <v>22705</v>
      </c>
      <c r="D59">
        <v>22182</v>
      </c>
      <c r="E59">
        <v>26317</v>
      </c>
      <c r="F59">
        <v>5943</v>
      </c>
      <c r="G59">
        <v>5460</v>
      </c>
      <c r="H59">
        <v>18692</v>
      </c>
      <c r="I59">
        <v>6341</v>
      </c>
      <c r="J59">
        <v>1747</v>
      </c>
    </row>
    <row r="60" spans="2:15" x14ac:dyDescent="0.25">
      <c r="B60">
        <v>67853</v>
      </c>
      <c r="C60">
        <v>22740</v>
      </c>
      <c r="D60">
        <v>22380</v>
      </c>
      <c r="E60">
        <v>25740</v>
      </c>
      <c r="F60">
        <v>5975</v>
      </c>
      <c r="G60">
        <v>5491</v>
      </c>
      <c r="H60">
        <v>18976</v>
      </c>
      <c r="I60">
        <v>6452</v>
      </c>
      <c r="J60">
        <v>1264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71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AVERAGE(Table71[Newtonsoft (duration)]) - J38</f>
      </c>
      <c r="D38" s="2" t="e">
        <f>AVERAGE(Table71[Revenj.NET full (duration)]) - J38</f>
      </c>
      <c r="E38" s="2" t="e">
        <f>AVERAGE(Table71[Revenj.NET minimal (duration)]) - J38</f>
      </c>
      <c r="F38" s="2" t="e">
        <f>AVERAGE(Table71[Jackson (duration)]) - J39</f>
      </c>
      <c r="G38" s="2" t="e">
        <f>AVERAGE(Table71[DSL client Java full (duration)]) - J39</f>
      </c>
      <c r="H38" s="2" t="e">
        <f>AVERAGE(Table71[DSL client Java minimal (duration)]) - J39</f>
      </c>
      <c r="I38" s="2" t="e">
        <f>AVERAGE(Table71[Protobuf.NET (duration)]) - J38</f>
      </c>
      <c r="J38" s="2" t="e">
        <f>AVERAGE(Table72[.NET (instance only)])</f>
      </c>
      <c r="K38" s="2" t="e">
        <f>AVERAGE(Table72[JVM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AVERAGE(Table72[Newtonsoft (duration)]) - J38</f>
      </c>
      <c r="D40" s="2" t="e">
        <f>AVERAGE(Table72[Revenj.NET full (duration)]) - J38</f>
      </c>
      <c r="E40" s="2" t="e">
        <f>AVERAGE(Table72[Revenj.NET minimal (duration)]) - J38</f>
      </c>
      <c r="F40" s="2" t="e">
        <f>AVERAGE(Table72[Jackson (duration)]) - J39</f>
      </c>
      <c r="G40" s="2" t="e">
        <f>AVERAGE(Table72[DSL client Java full (duration)]) - J39</f>
      </c>
      <c r="H40" s="2" t="e">
        <f>AVERAGE(Table72[DSL client Java minimal (duration)]) - J39</f>
      </c>
      <c r="I40" s="2" t="e">
        <f>AVERAGE(Table72[Protobuf.NET (duration)]) - J38</f>
      </c>
      <c r="J40" s="2"/>
      <c r="K40" s="2"/>
    </row>
    <row r="41" spans="2:11" x14ac:dyDescent="0.25">
      <c r="B41" t="s">
        <v>8</v>
      </c>
      <c r="C41" s="3" t="e">
        <f>AVERAGE(Table71[Newtonsoft (size)])</f>
      </c>
      <c r="D41" s="3" t="e">
        <f>AVERAGE(Table71[Revenj.NET full (size)])</f>
      </c>
      <c r="E41" s="3" t="e">
        <f>AVERAGE(Table71[Revenj.NET minimal (size)])</f>
      </c>
      <c r="F41" s="3" t="e">
        <f>AVERAGE(Table71[Jackson (size)])</f>
      </c>
      <c r="G41" s="3" t="e">
        <f>AVERAGE(Table71[DSL client Java full (size)])</f>
      </c>
      <c r="H41" s="3" t="e">
        <f>AVERAGE(Table71[DSL client Java minimal (size)])</f>
      </c>
      <c r="I41" s="3" t="e">
        <f>AVERAGE(Table71[Protobuf.NET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DEVSQ(Table71[Newtonsoft (duration)])</f>
      </c>
      <c r="D46" s="2" t="e">
        <f>DEVSQ(Table71[Revenj.NET full (duration)])</f>
      </c>
      <c r="E46" s="2" t="e">
        <f>DEVSQ(Table71[Revenj.NET minimal (duration)])</f>
      </c>
      <c r="F46" s="2" t="e">
        <f>DEVSQ(Table71[Jackson (duration)])</f>
      </c>
      <c r="G46" s="2" t="e">
        <f>DEVSQ(Table71[DSL client Java full (duration)])</f>
      </c>
      <c r="H46" s="2" t="e">
        <f>DEVSQ(Table71[DSL client Java minimal (duration)])</f>
      </c>
      <c r="I46" s="2" t="e">
        <f>DEVSQ(Table71[Protobuf.NET (duration)])</f>
      </c>
    </row>
    <row r="47" spans="2:11" x14ac:dyDescent="0.25">
      <c r="B47" t="s">
        <v>1</v>
      </c>
      <c r="C47" s="2" t="e">
        <f>DEVSQ(Table72[Newtonsoft (duration)])</f>
      </c>
      <c r="D47" s="2" t="e">
        <f>DEVSQ(Table72[Revenj.NET full (duration)])</f>
      </c>
      <c r="E47" s="2" t="e">
        <f>DEVSQ(Table72[Revenj.NET minimal (duration)])</f>
      </c>
      <c r="F47" s="2" t="e">
        <f>DEVSQ(Table72[Jackson (duration)])</f>
      </c>
      <c r="G47" s="2" t="e">
        <f>DEVSQ(Table72[DSL client Java full (duration)])</f>
      </c>
      <c r="H47" s="2" t="e">
        <f>DEVSQ(Table72[DSL client Java minimal (duration)])</f>
      </c>
      <c r="I47" s="2" t="e">
        <f>DEVSQ(Table72[Protobuf.NET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275721</v>
      </c>
      <c r="C52">
        <v>10513667762</v>
      </c>
      <c r="D52">
        <v>138238</v>
      </c>
      <c r="E52">
        <v>10343557825</v>
      </c>
      <c r="F52">
        <v>137802</v>
      </c>
      <c r="G52">
        <v>9751694422</v>
      </c>
      <c r="H52">
        <v>68125</v>
      </c>
      <c r="I52">
        <v>9506224114</v>
      </c>
      <c r="J52">
        <v>32558</v>
      </c>
      <c r="K52">
        <v>10059666102</v>
      </c>
      <c r="L52">
        <v>32760</v>
      </c>
      <c r="M52">
        <v>8916280699</v>
      </c>
      <c r="N52">
        <v>93387</v>
      </c>
      <c r="O52">
        <v>4841867567</v>
      </c>
    </row>
    <row r="53" spans="2:15" x14ac:dyDescent="0.25">
      <c r="B53">
        <v>275197</v>
      </c>
      <c r="C53">
        <v>10513667762</v>
      </c>
      <c r="D53">
        <v>137675</v>
      </c>
      <c r="E53">
        <v>10343557825</v>
      </c>
      <c r="F53">
        <v>136581</v>
      </c>
      <c r="G53">
        <v>9751694422</v>
      </c>
      <c r="H53">
        <v>69233</v>
      </c>
      <c r="I53">
        <v>9506224114</v>
      </c>
      <c r="J53">
        <v>33072</v>
      </c>
      <c r="K53">
        <v>10059622102</v>
      </c>
      <c r="L53">
        <v>32667</v>
      </c>
      <c r="M53">
        <v>8916456699</v>
      </c>
      <c r="N53">
        <v>93599</v>
      </c>
      <c r="O53">
        <v>4841867567</v>
      </c>
    </row>
    <row r="54" spans="2:15" x14ac:dyDescent="0.25">
      <c r="B54">
        <v>276774</v>
      </c>
      <c r="C54">
        <v>10513667762</v>
      </c>
      <c r="D54">
        <v>138247</v>
      </c>
      <c r="E54">
        <v>10343557825</v>
      </c>
      <c r="F54">
        <v>137587</v>
      </c>
      <c r="G54">
        <v>9751694422</v>
      </c>
      <c r="H54">
        <v>66457</v>
      </c>
      <c r="I54">
        <v>9506224114</v>
      </c>
      <c r="J54">
        <v>33197</v>
      </c>
      <c r="K54">
        <v>10059842102</v>
      </c>
      <c r="L54">
        <v>32822</v>
      </c>
      <c r="M54">
        <v>8916016699</v>
      </c>
      <c r="N54">
        <v>94736</v>
      </c>
      <c r="O54">
        <v>4841867567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727147</v>
      </c>
      <c r="C58">
        <v>227220</v>
      </c>
      <c r="D58">
        <v>222140</v>
      </c>
      <c r="E58">
        <v>258212</v>
      </c>
      <c r="F58">
        <v>57580</v>
      </c>
      <c r="G58">
        <v>54709</v>
      </c>
      <c r="H58">
        <v>186629</v>
      </c>
      <c r="I58">
        <v>62444</v>
      </c>
      <c r="J58">
        <v>12075</v>
      </c>
    </row>
    <row r="59" spans="2:15" x14ac:dyDescent="0.25">
      <c r="B59">
        <v>680688</v>
      </c>
      <c r="C59">
        <v>226790</v>
      </c>
      <c r="D59">
        <v>221610</v>
      </c>
      <c r="E59">
        <v>259210</v>
      </c>
      <c r="F59">
        <v>57268</v>
      </c>
      <c r="G59">
        <v>54865</v>
      </c>
      <c r="H59">
        <v>185981</v>
      </c>
      <c r="I59">
        <v>62486</v>
      </c>
      <c r="J59">
        <v>11434</v>
      </c>
    </row>
    <row r="60" spans="2:15" x14ac:dyDescent="0.25">
      <c r="B60">
        <v>702642</v>
      </c>
      <c r="C60">
        <v>228051</v>
      </c>
      <c r="D60">
        <v>221641</v>
      </c>
      <c r="E60">
        <v>255497</v>
      </c>
      <c r="F60">
        <v>57221</v>
      </c>
      <c r="G60">
        <v>55396</v>
      </c>
      <c r="H60">
        <v>186085</v>
      </c>
      <c r="I60">
        <v>62470</v>
      </c>
      <c r="J60">
        <v>11357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72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AVERAGE(Table75[Newtonsoft (duration)]) - J38</f>
      </c>
      <c r="D38" s="2" t="e">
        <f>AVERAGE(Table75[Revenj.NET full (duration)]) - J38</f>
      </c>
      <c r="E38" s="2" t="e">
        <f>AVERAGE(Table75[Revenj.NET minimal (duration)]) - J38</f>
      </c>
      <c r="F38" s="2" t="e">
        <f>AVERAGE(Table75[Jackson (duration)]) - J39</f>
      </c>
      <c r="G38" s="2" t="e">
        <f>AVERAGE(Table75[DSL client Java full (duration)]) - J39</f>
      </c>
      <c r="H38" s="2" t="e">
        <f>AVERAGE(Table75[DSL client Java minimal (duration)]) - J39</f>
      </c>
      <c r="I38" s="2" t="e">
        <f>AVERAGE(Table75[Protobuf.NET (duration)]) - J38</f>
      </c>
      <c r="J38" s="2" t="e">
        <f>AVERAGE(Table76[.NET (instance only)])</f>
      </c>
      <c r="K38" s="2" t="e">
        <f>AVERAGE(Table76[JVM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AVERAGE(Table76[Newtonsoft (duration)]) - J38</f>
      </c>
      <c r="D40" s="2" t="e">
        <f>AVERAGE(Table76[Revenj.NET full (duration)]) - J38</f>
      </c>
      <c r="E40" s="2" t="e">
        <f>AVERAGE(Table76[Revenj.NET minimal (duration)]) - J38</f>
      </c>
      <c r="F40" s="2" t="e">
        <f>AVERAGE(Table76[Jackson (duration)]) - J39</f>
      </c>
      <c r="G40" s="2" t="e">
        <f>AVERAGE(Table76[DSL client Java full (duration)]) - J39</f>
      </c>
      <c r="H40" s="2" t="e">
        <f>AVERAGE(Table76[DSL client Java minimal (duration)]) - J39</f>
      </c>
      <c r="I40" s="2" t="e">
        <f>AVERAGE(Table76[Protobuf.NET (duration)]) - J38</f>
      </c>
      <c r="J40" s="2"/>
      <c r="K40" s="2"/>
    </row>
    <row r="41" spans="2:11" x14ac:dyDescent="0.25">
      <c r="B41" t="s">
        <v>8</v>
      </c>
      <c r="C41" s="3" t="e">
        <f>AVERAGE(Table75[Newtonsoft (size)])</f>
      </c>
      <c r="D41" s="3" t="e">
        <f>AVERAGE(Table75[Revenj.NET full (size)])</f>
      </c>
      <c r="E41" s="3" t="e">
        <f>AVERAGE(Table75[Revenj.NET minimal (size)])</f>
      </c>
      <c r="F41" s="3" t="e">
        <f>AVERAGE(Table75[Jackson (size)])</f>
      </c>
      <c r="G41" s="3" t="e">
        <f>AVERAGE(Table75[DSL client Java full (size)])</f>
      </c>
      <c r="H41" s="3" t="e">
        <f>AVERAGE(Table75[DSL client Java minimal (size)])</f>
      </c>
      <c r="I41" s="3" t="e">
        <f>AVERAGE(Table75[Protobuf.NET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DEVSQ(Table75[Newtonsoft (duration)])</f>
      </c>
      <c r="D46" s="2" t="e">
        <f>DEVSQ(Table75[Revenj.NET full (duration)])</f>
      </c>
      <c r="E46" s="2" t="e">
        <f>DEVSQ(Table75[Revenj.NET minimal (duration)])</f>
      </c>
      <c r="F46" s="2" t="e">
        <f>DEVSQ(Table75[Jackson (duration)])</f>
      </c>
      <c r="G46" s="2" t="e">
        <f>DEVSQ(Table75[DSL client Java full (duration)])</f>
      </c>
      <c r="H46" s="2" t="e">
        <f>DEVSQ(Table75[DSL client Java minimal (duration)])</f>
      </c>
      <c r="I46" s="2" t="e">
        <f>DEVSQ(Table75[Protobuf.NET (duration)])</f>
      </c>
    </row>
    <row r="47" spans="2:11" x14ac:dyDescent="0.25">
      <c r="B47" t="s">
        <v>1</v>
      </c>
      <c r="C47" s="2" t="e">
        <f>DEVSQ(Table76[Newtonsoft (duration)])</f>
      </c>
      <c r="D47" s="2" t="e">
        <f>DEVSQ(Table76[Revenj.NET full (duration)])</f>
      </c>
      <c r="E47" s="2" t="e">
        <f>DEVSQ(Table76[Revenj.NET minimal (duration)])</f>
      </c>
      <c r="F47" s="2" t="e">
        <f>DEVSQ(Table76[Jackson (duration)])</f>
      </c>
      <c r="G47" s="2" t="e">
        <f>DEVSQ(Table76[DSL client Java full (duration)])</f>
      </c>
      <c r="H47" s="2" t="e">
        <f>DEVSQ(Table76[DSL client Java minimal (duration)])</f>
      </c>
      <c r="I47" s="2" t="e">
        <f>DEVSQ(Table76[Protobuf.NET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1344</v>
      </c>
      <c r="C52">
        <v>53958047</v>
      </c>
      <c r="D52">
        <v>698</v>
      </c>
      <c r="E52">
        <v>53385449</v>
      </c>
      <c r="F52">
        <v>675</v>
      </c>
      <c r="G52">
        <v>49687553</v>
      </c>
      <c r="H52">
        <v>812</v>
      </c>
      <c r="I52">
        <v>48374616</v>
      </c>
      <c r="J52">
        <v>437</v>
      </c>
      <c r="K52">
        <v>52070235</v>
      </c>
      <c r="L52">
        <v>452</v>
      </c>
      <c r="M52">
        <v>48317161</v>
      </c>
      <c r="N52">
        <v>593</v>
      </c>
      <c r="O52">
        <v>23140661</v>
      </c>
    </row>
    <row r="53" spans="2:15" x14ac:dyDescent="0.25">
      <c r="B53">
        <v>1290</v>
      </c>
      <c r="C53">
        <v>53958047</v>
      </c>
      <c r="D53">
        <v>679</v>
      </c>
      <c r="E53">
        <v>53385449</v>
      </c>
      <c r="F53">
        <v>676</v>
      </c>
      <c r="G53">
        <v>49687553</v>
      </c>
      <c r="H53">
        <v>795</v>
      </c>
      <c r="I53">
        <v>48374616</v>
      </c>
      <c r="J53">
        <v>468</v>
      </c>
      <c r="K53">
        <v>52070235</v>
      </c>
      <c r="L53">
        <v>452</v>
      </c>
      <c r="M53">
        <v>48317161</v>
      </c>
      <c r="N53">
        <v>589</v>
      </c>
      <c r="O53">
        <v>23140661</v>
      </c>
    </row>
    <row r="54" spans="2:15" x14ac:dyDescent="0.25">
      <c r="B54">
        <v>1311</v>
      </c>
      <c r="C54">
        <v>53958047</v>
      </c>
      <c r="D54">
        <v>683</v>
      </c>
      <c r="E54">
        <v>53385449</v>
      </c>
      <c r="F54">
        <v>675</v>
      </c>
      <c r="G54">
        <v>49687553</v>
      </c>
      <c r="H54">
        <v>826</v>
      </c>
      <c r="I54">
        <v>48374616</v>
      </c>
      <c r="J54">
        <v>468</v>
      </c>
      <c r="K54">
        <v>52070235</v>
      </c>
      <c r="L54">
        <v>437</v>
      </c>
      <c r="M54">
        <v>48317161</v>
      </c>
      <c r="N54">
        <v>589</v>
      </c>
      <c r="O54">
        <v>23140661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3104</v>
      </c>
      <c r="C58">
        <v>1368</v>
      </c>
      <c r="D58">
        <v>1336</v>
      </c>
      <c r="E58">
        <v>1950</v>
      </c>
      <c r="F58">
        <v>655</v>
      </c>
      <c r="G58">
        <v>593</v>
      </c>
      <c r="H58">
        <v>1156</v>
      </c>
      <c r="I58">
        <v>320</v>
      </c>
      <c r="J58">
        <v>265</v>
      </c>
    </row>
    <row r="59" spans="2:15" x14ac:dyDescent="0.25">
      <c r="B59">
        <v>2934</v>
      </c>
      <c r="C59">
        <v>1370</v>
      </c>
      <c r="D59">
        <v>1336</v>
      </c>
      <c r="E59">
        <v>2012</v>
      </c>
      <c r="F59">
        <v>671</v>
      </c>
      <c r="G59">
        <v>624</v>
      </c>
      <c r="H59">
        <v>1155</v>
      </c>
      <c r="I59">
        <v>321</v>
      </c>
      <c r="J59">
        <v>234</v>
      </c>
    </row>
    <row r="60" spans="2:15" x14ac:dyDescent="0.25">
      <c r="B60">
        <v>3097</v>
      </c>
      <c r="C60">
        <v>1368</v>
      </c>
      <c r="D60">
        <v>1339</v>
      </c>
      <c r="E60">
        <v>1965</v>
      </c>
      <c r="F60">
        <v>624</v>
      </c>
      <c r="G60">
        <v>639</v>
      </c>
      <c r="H60">
        <v>1156</v>
      </c>
      <c r="I60">
        <v>320</v>
      </c>
      <c r="J60">
        <v>250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73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AVERAGE(Table79[Newtonsoft (duration)]) - J38</f>
      </c>
      <c r="D38" s="2" t="e">
        <f>AVERAGE(Table79[Revenj.NET full (duration)]) - J38</f>
      </c>
      <c r="E38" s="2" t="e">
        <f>AVERAGE(Table79[Revenj.NET minimal (duration)]) - J38</f>
      </c>
      <c r="F38" s="2" t="e">
        <f>AVERAGE(Table79[Jackson (duration)]) - J39</f>
      </c>
      <c r="G38" s="2" t="e">
        <f>AVERAGE(Table79[DSL client Java full (duration)]) - J39</f>
      </c>
      <c r="H38" s="2" t="e">
        <f>AVERAGE(Table79[DSL client Java minimal (duration)]) - J39</f>
      </c>
      <c r="I38" s="2" t="e">
        <f>AVERAGE(Table79[Protobuf.NET (duration)]) - J38</f>
      </c>
      <c r="J38" s="2" t="e">
        <f>AVERAGE(Table80[.NET (instance only)])</f>
      </c>
      <c r="K38" s="2" t="e">
        <f>AVERAGE(Table80[JVM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AVERAGE(Table80[Newtonsoft (duration)]) - J38</f>
      </c>
      <c r="D40" s="2" t="e">
        <f>AVERAGE(Table80[Revenj.NET full (duration)]) - J38</f>
      </c>
      <c r="E40" s="2" t="e">
        <f>AVERAGE(Table80[Revenj.NET minimal (duration)]) - J38</f>
      </c>
      <c r="F40" s="2" t="e">
        <f>AVERAGE(Table80[Jackson (duration)]) - J39</f>
      </c>
      <c r="G40" s="2" t="e">
        <f>AVERAGE(Table80[DSL client Java full (duration)]) - J39</f>
      </c>
      <c r="H40" s="2" t="e">
        <f>AVERAGE(Table80[DSL client Java minimal (duration)]) - J39</f>
      </c>
      <c r="I40" s="2" t="e">
        <f>AVERAGE(Table80[Protobuf.NET (duration)]) - J38</f>
      </c>
      <c r="J40" s="2"/>
      <c r="K40" s="2"/>
    </row>
    <row r="41" spans="2:11" x14ac:dyDescent="0.25">
      <c r="B41" t="s">
        <v>8</v>
      </c>
      <c r="C41" s="3" t="e">
        <f>AVERAGE(Table79[Newtonsoft (size)])</f>
      </c>
      <c r="D41" s="3" t="e">
        <f>AVERAGE(Table79[Revenj.NET full (size)])</f>
      </c>
      <c r="E41" s="3" t="e">
        <f>AVERAGE(Table79[Revenj.NET minimal (size)])</f>
      </c>
      <c r="F41" s="3" t="e">
        <f>AVERAGE(Table79[Jackson (size)])</f>
      </c>
      <c r="G41" s="3" t="e">
        <f>AVERAGE(Table79[DSL client Java full (size)])</f>
      </c>
      <c r="H41" s="3" t="e">
        <f>AVERAGE(Table79[DSL client Java minimal (size)])</f>
      </c>
      <c r="I41" s="3" t="e">
        <f>AVERAGE(Table79[Protobuf.NET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DEVSQ(Table79[Newtonsoft (duration)])</f>
      </c>
      <c r="D46" s="2" t="e">
        <f>DEVSQ(Table79[Revenj.NET full (duration)])</f>
      </c>
      <c r="E46" s="2" t="e">
        <f>DEVSQ(Table79[Revenj.NET minimal (duration)])</f>
      </c>
      <c r="F46" s="2" t="e">
        <f>DEVSQ(Table79[Jackson (duration)])</f>
      </c>
      <c r="G46" s="2" t="e">
        <f>DEVSQ(Table79[DSL client Java full (duration)])</f>
      </c>
      <c r="H46" s="2" t="e">
        <f>DEVSQ(Table79[DSL client Java minimal (duration)])</f>
      </c>
      <c r="I46" s="2" t="e">
        <f>DEVSQ(Table79[Protobuf.NET (duration)])</f>
      </c>
    </row>
    <row r="47" spans="2:11" x14ac:dyDescent="0.25">
      <c r="B47" t="s">
        <v>1</v>
      </c>
      <c r="C47" s="2" t="e">
        <f>DEVSQ(Table80[Newtonsoft (duration)])</f>
      </c>
      <c r="D47" s="2" t="e">
        <f>DEVSQ(Table80[Revenj.NET full (duration)])</f>
      </c>
      <c r="E47" s="2" t="e">
        <f>DEVSQ(Table80[Revenj.NET minimal (duration)])</f>
      </c>
      <c r="F47" s="2" t="e">
        <f>DEVSQ(Table80[Jackson (duration)])</f>
      </c>
      <c r="G47" s="2" t="e">
        <f>DEVSQ(Table80[DSL client Java full (duration)])</f>
      </c>
      <c r="H47" s="2" t="e">
        <f>DEVSQ(Table80[DSL client Java minimal (duration)])</f>
      </c>
      <c r="I47" s="2" t="e">
        <f>DEVSQ(Table80[Protobuf.NET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125944</v>
      </c>
      <c r="C52">
        <v>9844168140</v>
      </c>
      <c r="D52">
        <v>95634</v>
      </c>
      <c r="E52">
        <v>9798781115</v>
      </c>
      <c r="F52">
        <v>94818</v>
      </c>
      <c r="G52">
        <v>9511838823</v>
      </c>
      <c r="H52">
        <v>37736</v>
      </c>
      <c r="I52">
        <v>9408942918</v>
      </c>
      <c r="J52">
        <v>34835</v>
      </c>
      <c r="K52">
        <v>9695874191</v>
      </c>
      <c r="L52">
        <v>34492</v>
      </c>
      <c r="M52">
        <v>9403430119</v>
      </c>
      <c r="N52">
        <v>71654</v>
      </c>
      <c r="O52">
        <v>7495178217</v>
      </c>
    </row>
    <row r="53" spans="2:15" x14ac:dyDescent="0.25">
      <c r="B53">
        <v>127451</v>
      </c>
      <c r="C53">
        <v>9844168140</v>
      </c>
      <c r="D53">
        <v>97397</v>
      </c>
      <c r="E53">
        <v>9798781115</v>
      </c>
      <c r="F53">
        <v>95279</v>
      </c>
      <c r="G53">
        <v>9511838823</v>
      </c>
      <c r="H53">
        <v>37518</v>
      </c>
      <c r="I53">
        <v>9408942918</v>
      </c>
      <c r="J53">
        <v>34788</v>
      </c>
      <c r="K53">
        <v>9695874191</v>
      </c>
      <c r="L53">
        <v>34492</v>
      </c>
      <c r="M53">
        <v>9403430119</v>
      </c>
      <c r="N53">
        <v>72187</v>
      </c>
      <c r="O53">
        <v>7495178217</v>
      </c>
    </row>
    <row r="54" spans="2:15" x14ac:dyDescent="0.25">
      <c r="B54">
        <v>126900</v>
      </c>
      <c r="C54">
        <v>9844168140</v>
      </c>
      <c r="D54">
        <v>95181</v>
      </c>
      <c r="E54">
        <v>9798781115</v>
      </c>
      <c r="F54">
        <v>95237</v>
      </c>
      <c r="G54">
        <v>9511838823</v>
      </c>
      <c r="H54">
        <v>39499</v>
      </c>
      <c r="I54">
        <v>9408942918</v>
      </c>
      <c r="J54">
        <v>34679</v>
      </c>
      <c r="K54">
        <v>9695874191</v>
      </c>
      <c r="L54">
        <v>34819</v>
      </c>
      <c r="M54">
        <v>9403430119</v>
      </c>
      <c r="N54">
        <v>71268</v>
      </c>
      <c r="O54">
        <v>7495178217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290894</v>
      </c>
      <c r="C58">
        <v>189798</v>
      </c>
      <c r="D58">
        <v>188173</v>
      </c>
      <c r="E58">
        <v>114145</v>
      </c>
      <c r="F58">
        <v>48033</v>
      </c>
      <c r="G58">
        <v>47845</v>
      </c>
      <c r="H58">
        <v>147758</v>
      </c>
      <c r="I58">
        <v>44923</v>
      </c>
      <c r="J58">
        <v>6006</v>
      </c>
    </row>
    <row r="59" spans="2:15" x14ac:dyDescent="0.25">
      <c r="B59">
        <v>295565</v>
      </c>
      <c r="C59">
        <v>191931</v>
      </c>
      <c r="D59">
        <v>188681</v>
      </c>
      <c r="E59">
        <v>114317</v>
      </c>
      <c r="F59">
        <v>47955</v>
      </c>
      <c r="G59">
        <v>47487</v>
      </c>
      <c r="H59">
        <v>147524</v>
      </c>
      <c r="I59">
        <v>45320</v>
      </c>
      <c r="J59">
        <v>6068</v>
      </c>
    </row>
    <row r="60" spans="2:15" x14ac:dyDescent="0.25">
      <c r="B60">
        <v>290348</v>
      </c>
      <c r="C60">
        <v>190864</v>
      </c>
      <c r="D60">
        <v>187900</v>
      </c>
      <c r="E60">
        <v>115035</v>
      </c>
      <c r="F60">
        <v>47954</v>
      </c>
      <c r="G60">
        <v>47299</v>
      </c>
      <c r="H60">
        <v>148454</v>
      </c>
      <c r="I60">
        <v>45288</v>
      </c>
      <c r="J60">
        <v>6100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56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AVERAGE(Table11[Newtonsoft (duration)]) - J38</f>
      </c>
      <c r="D38" s="2" t="e">
        <f>AVERAGE(Table11[Revenj.NET full (duration)]) - J38</f>
      </c>
      <c r="E38" s="2" t="e">
        <f>AVERAGE(Table11[Revenj.NET minimal (duration)]) - J38</f>
      </c>
      <c r="F38" s="2" t="e">
        <f>AVERAGE(Table11[Jackson (duration)]) - J39</f>
      </c>
      <c r="G38" s="2" t="e">
        <f>AVERAGE(Table11[DSL client Java full (duration)]) - J39</f>
      </c>
      <c r="H38" s="2" t="e">
        <f>AVERAGE(Table11[DSL client Java minimal (duration)]) - J39</f>
      </c>
      <c r="I38" s="2" t="e">
        <f>AVERAGE(Table11[Protobuf.NET (duration)]) - J38</f>
      </c>
      <c r="J38" s="2" t="e">
        <f>AVERAGE(Table12[.NET (instance only)])</f>
      </c>
      <c r="K38" s="2" t="e">
        <f>AVERAGE(Table12[JVM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AVERAGE(Table12[Newtonsoft (duration)]) - J38</f>
      </c>
      <c r="D40" s="2" t="e">
        <f>AVERAGE(Table12[Revenj.NET full (duration)]) - J38</f>
      </c>
      <c r="E40" s="2" t="e">
        <f>AVERAGE(Table12[Revenj.NET minimal (duration)]) - J38</f>
      </c>
      <c r="F40" s="2" t="e">
        <f>AVERAGE(Table12[Jackson (duration)]) - J39</f>
      </c>
      <c r="G40" s="2" t="e">
        <f>AVERAGE(Table12[DSL client Java full (duration)]) - J39</f>
      </c>
      <c r="H40" s="2" t="e">
        <f>AVERAGE(Table12[DSL client Java minimal (duration)]) - J39</f>
      </c>
      <c r="I40" s="2" t="e">
        <f>AVERAGE(Table12[Protobuf.NET (duration)]) - J38</f>
      </c>
      <c r="J40" s="2"/>
      <c r="K40" s="2"/>
    </row>
    <row r="41" spans="2:11" x14ac:dyDescent="0.25">
      <c r="B41" t="s">
        <v>8</v>
      </c>
      <c r="C41" s="3" t="e">
        <f>AVERAGE(Table11[Newtonsoft (size)])</f>
      </c>
      <c r="D41" s="3" t="e">
        <f>AVERAGE(Table11[Revenj.NET full (size)])</f>
      </c>
      <c r="E41" s="3" t="e">
        <f>AVERAGE(Table11[Revenj.NET minimal (size)])</f>
      </c>
      <c r="F41" s="3" t="e">
        <f>AVERAGE(Table11[Jackson (size)])</f>
      </c>
      <c r="G41" s="3" t="e">
        <f>AVERAGE(Table11[DSL client Java full (size)])</f>
      </c>
      <c r="H41" s="3" t="e">
        <f>AVERAGE(Table11[DSL client Java minimal (size)])</f>
      </c>
      <c r="I41" s="3" t="e">
        <f>AVERAGE(Table11[Protobuf.NET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DEVSQ(Table11[Newtonsoft (duration)])</f>
      </c>
      <c r="D46" s="2" t="e">
        <f>DEVSQ(Table11[Revenj.NET full (duration)])</f>
      </c>
      <c r="E46" s="2" t="e">
        <f>DEVSQ(Table11[Revenj.NET minimal (duration)])</f>
      </c>
      <c r="F46" s="2" t="e">
        <f>DEVSQ(Table11[Jackson (duration)])</f>
      </c>
      <c r="G46" s="2" t="e">
        <f>DEVSQ(Table11[DSL client Java full (duration)])</f>
      </c>
      <c r="H46" s="2" t="e">
        <f>DEVSQ(Table11[DSL client Java minimal (duration)])</f>
      </c>
      <c r="I46" s="2" t="e">
        <f>DEVSQ(Table11[Protobuf.NET (duration)])</f>
      </c>
    </row>
    <row r="47" spans="2:11" x14ac:dyDescent="0.25">
      <c r="B47" t="s">
        <v>1</v>
      </c>
      <c r="C47" s="2" t="e">
        <f>DEVSQ(Table12[Newtonsoft (duration)])</f>
      </c>
      <c r="D47" s="2" t="e">
        <f>DEVSQ(Table12[Revenj.NET full (duration)])</f>
      </c>
      <c r="E47" s="2" t="e">
        <f>DEVSQ(Table12[Revenj.NET minimal (duration)])</f>
      </c>
      <c r="F47" s="2" t="e">
        <f>DEVSQ(Table12[Jackson (duration)])</f>
      </c>
      <c r="G47" s="2" t="e">
        <f>DEVSQ(Table12[DSL client Java full (duration)])</f>
      </c>
      <c r="H47" s="2" t="e">
        <f>DEVSQ(Table12[DSL client Java minimal (duration)])</f>
      </c>
      <c r="I47" s="2" t="e">
        <f>DEVSQ(Table12[Protobuf.NET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97</v>
      </c>
      <c r="C52">
        <v>110</v>
      </c>
      <c r="D52">
        <v>9</v>
      </c>
      <c r="E52">
        <v>140</v>
      </c>
      <c r="F52">
        <v>9</v>
      </c>
      <c r="G52">
        <v>74</v>
      </c>
      <c r="H52">
        <v>78</v>
      </c>
      <c r="I52">
        <v>73</v>
      </c>
      <c r="J52">
        <v>16</v>
      </c>
      <c r="K52">
        <v>140</v>
      </c>
      <c r="L52">
        <v>0</v>
      </c>
      <c r="M52">
        <v>53</v>
      </c>
      <c r="N52">
        <v>62</v>
      </c>
      <c r="O52">
        <v>37</v>
      </c>
    </row>
    <row r="53" spans="2:15" x14ac:dyDescent="0.25">
      <c r="B53">
        <v>97</v>
      </c>
      <c r="C53">
        <v>110</v>
      </c>
      <c r="D53">
        <v>9</v>
      </c>
      <c r="E53">
        <v>140</v>
      </c>
      <c r="F53">
        <v>9</v>
      </c>
      <c r="G53">
        <v>74</v>
      </c>
      <c r="H53">
        <v>78</v>
      </c>
      <c r="I53">
        <v>73</v>
      </c>
      <c r="J53">
        <v>0</v>
      </c>
      <c r="K53">
        <v>140</v>
      </c>
      <c r="L53">
        <v>0</v>
      </c>
      <c r="M53">
        <v>53</v>
      </c>
      <c r="N53">
        <v>62</v>
      </c>
      <c r="O53">
        <v>37</v>
      </c>
    </row>
    <row r="54" spans="2:15" x14ac:dyDescent="0.25">
      <c r="B54">
        <v>99</v>
      </c>
      <c r="C54">
        <v>110</v>
      </c>
      <c r="D54">
        <v>9</v>
      </c>
      <c r="E54">
        <v>140</v>
      </c>
      <c r="F54">
        <v>9</v>
      </c>
      <c r="G54">
        <v>74</v>
      </c>
      <c r="H54">
        <v>78</v>
      </c>
      <c r="I54">
        <v>73</v>
      </c>
      <c r="J54">
        <v>16</v>
      </c>
      <c r="K54">
        <v>140</v>
      </c>
      <c r="L54">
        <v>0</v>
      </c>
      <c r="M54">
        <v>53</v>
      </c>
      <c r="N54">
        <v>62</v>
      </c>
      <c r="O54">
        <v>37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142</v>
      </c>
      <c r="C58">
        <v>25</v>
      </c>
      <c r="D58">
        <v>26</v>
      </c>
      <c r="E58">
        <v>140</v>
      </c>
      <c r="F58">
        <v>0</v>
      </c>
      <c r="G58">
        <v>0</v>
      </c>
      <c r="H58">
        <v>69</v>
      </c>
      <c r="I58">
        <v>1</v>
      </c>
      <c r="J58">
        <v>0</v>
      </c>
    </row>
    <row r="59" spans="2:15" x14ac:dyDescent="0.25">
      <c r="B59">
        <v>141</v>
      </c>
      <c r="C59">
        <v>25</v>
      </c>
      <c r="D59">
        <v>25</v>
      </c>
      <c r="E59">
        <v>141</v>
      </c>
      <c r="F59">
        <v>0</v>
      </c>
      <c r="G59">
        <v>0</v>
      </c>
      <c r="H59">
        <v>69</v>
      </c>
      <c r="I59">
        <v>1</v>
      </c>
      <c r="J59">
        <v>0</v>
      </c>
    </row>
    <row r="60" spans="2:15" x14ac:dyDescent="0.25">
      <c r="B60">
        <v>141</v>
      </c>
      <c r="C60">
        <v>25</v>
      </c>
      <c r="D60">
        <v>25</v>
      </c>
      <c r="E60">
        <v>125</v>
      </c>
      <c r="F60">
        <v>0</v>
      </c>
      <c r="G60">
        <v>0</v>
      </c>
      <c r="H60">
        <v>69</v>
      </c>
      <c r="I60">
        <v>1</v>
      </c>
      <c r="J60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57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AVERAGE(Table15[Newtonsoft (duration)]) - J38</f>
      </c>
      <c r="D38" s="2" t="e">
        <f>AVERAGE(Table15[Revenj.NET full (duration)]) - J38</f>
      </c>
      <c r="E38" s="2" t="e">
        <f>AVERAGE(Table15[Revenj.NET minimal (duration)]) - J38</f>
      </c>
      <c r="F38" s="2" t="e">
        <f>AVERAGE(Table15[Jackson (duration)]) - J39</f>
      </c>
      <c r="G38" s="2" t="e">
        <f>AVERAGE(Table15[DSL client Java full (duration)]) - J39</f>
      </c>
      <c r="H38" s="2" t="e">
        <f>AVERAGE(Table15[DSL client Java minimal (duration)]) - J39</f>
      </c>
      <c r="I38" s="2" t="e">
        <f>AVERAGE(Table15[Protobuf.NET (duration)]) - J38</f>
      </c>
      <c r="J38" s="2" t="e">
        <f>AVERAGE(Table16[.NET (instance only)])</f>
      </c>
      <c r="K38" s="2" t="e">
        <f>AVERAGE(Table16[JVM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AVERAGE(Table16[Newtonsoft (duration)]) - J38</f>
      </c>
      <c r="D40" s="2" t="e">
        <f>AVERAGE(Table16[Revenj.NET full (duration)]) - J38</f>
      </c>
      <c r="E40" s="2" t="e">
        <f>AVERAGE(Table16[Revenj.NET minimal (duration)]) - J38</f>
      </c>
      <c r="F40" s="2" t="e">
        <f>AVERAGE(Table16[Jackson (duration)]) - J39</f>
      </c>
      <c r="G40" s="2" t="e">
        <f>AVERAGE(Table16[DSL client Java full (duration)]) - J39</f>
      </c>
      <c r="H40" s="2" t="e">
        <f>AVERAGE(Table16[DSL client Java minimal (duration)]) - J39</f>
      </c>
      <c r="I40" s="2" t="e">
        <f>AVERAGE(Table16[Protobuf.NET (duration)]) - J38</f>
      </c>
      <c r="J40" s="2"/>
      <c r="K40" s="2"/>
    </row>
    <row r="41" spans="2:11" x14ac:dyDescent="0.25">
      <c r="B41" t="s">
        <v>8</v>
      </c>
      <c r="C41" s="3" t="e">
        <f>AVERAGE(Table15[Newtonsoft (size)])</f>
      </c>
      <c r="D41" s="3" t="e">
        <f>AVERAGE(Table15[Revenj.NET full (size)])</f>
      </c>
      <c r="E41" s="3" t="e">
        <f>AVERAGE(Table15[Revenj.NET minimal (size)])</f>
      </c>
      <c r="F41" s="3" t="e">
        <f>AVERAGE(Table15[Jackson (size)])</f>
      </c>
      <c r="G41" s="3" t="e">
        <f>AVERAGE(Table15[DSL client Java full (size)])</f>
      </c>
      <c r="H41" s="3" t="e">
        <f>AVERAGE(Table15[DSL client Java minimal (size)])</f>
      </c>
      <c r="I41" s="3" t="e">
        <f>AVERAGE(Table15[Protobuf.NET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DEVSQ(Table15[Newtonsoft (duration)])</f>
      </c>
      <c r="D46" s="2" t="e">
        <f>DEVSQ(Table15[Revenj.NET full (duration)])</f>
      </c>
      <c r="E46" s="2" t="e">
        <f>DEVSQ(Table15[Revenj.NET minimal (duration)])</f>
      </c>
      <c r="F46" s="2" t="e">
        <f>DEVSQ(Table15[Jackson (duration)])</f>
      </c>
      <c r="G46" s="2" t="e">
        <f>DEVSQ(Table15[DSL client Java full (duration)])</f>
      </c>
      <c r="H46" s="2" t="e">
        <f>DEVSQ(Table15[DSL client Java minimal (duration)])</f>
      </c>
      <c r="I46" s="2" t="e">
        <f>DEVSQ(Table15[Protobuf.NET (duration)])</f>
      </c>
    </row>
    <row r="47" spans="2:11" x14ac:dyDescent="0.25">
      <c r="B47" t="s">
        <v>1</v>
      </c>
      <c r="C47" s="2" t="e">
        <f>DEVSQ(Table16[Newtonsoft (duration)])</f>
      </c>
      <c r="D47" s="2" t="e">
        <f>DEVSQ(Table16[Revenj.NET full (duration)])</f>
      </c>
      <c r="E47" s="2" t="e">
        <f>DEVSQ(Table16[Revenj.NET minimal (duration)])</f>
      </c>
      <c r="F47" s="2" t="e">
        <f>DEVSQ(Table16[Jackson (duration)])</f>
      </c>
      <c r="G47" s="2" t="e">
        <f>DEVSQ(Table16[DSL client Java full (duration)])</f>
      </c>
      <c r="H47" s="2" t="e">
        <f>DEVSQ(Table16[DSL client Java minimal (duration)])</f>
      </c>
      <c r="I47" s="2" t="e">
        <f>DEVSQ(Table16[Protobuf.NET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185</v>
      </c>
      <c r="C52">
        <v>4777768</v>
      </c>
      <c r="D52">
        <v>73</v>
      </c>
      <c r="E52">
        <v>4777780</v>
      </c>
      <c r="F52">
        <v>59</v>
      </c>
      <c r="G52">
        <v>4777768</v>
      </c>
      <c r="H52">
        <v>203</v>
      </c>
      <c r="I52">
        <v>4777780</v>
      </c>
      <c r="J52">
        <v>62</v>
      </c>
      <c r="K52">
        <v>4777780</v>
      </c>
      <c r="L52">
        <v>47</v>
      </c>
      <c r="M52">
        <v>4777768</v>
      </c>
      <c r="N52">
        <v>87</v>
      </c>
      <c r="O52">
        <v>2372376</v>
      </c>
    </row>
    <row r="53" spans="2:15" x14ac:dyDescent="0.25">
      <c r="B53">
        <v>185</v>
      </c>
      <c r="C53">
        <v>4777768</v>
      </c>
      <c r="D53">
        <v>59</v>
      </c>
      <c r="E53">
        <v>4777780</v>
      </c>
      <c r="F53">
        <v>60</v>
      </c>
      <c r="G53">
        <v>4777768</v>
      </c>
      <c r="H53">
        <v>250</v>
      </c>
      <c r="I53">
        <v>4777780</v>
      </c>
      <c r="J53">
        <v>62</v>
      </c>
      <c r="K53">
        <v>4777780</v>
      </c>
      <c r="L53">
        <v>62</v>
      </c>
      <c r="M53">
        <v>4777768</v>
      </c>
      <c r="N53">
        <v>87</v>
      </c>
      <c r="O53">
        <v>2372376</v>
      </c>
    </row>
    <row r="54" spans="2:15" x14ac:dyDescent="0.25">
      <c r="B54">
        <v>188</v>
      </c>
      <c r="C54">
        <v>4777768</v>
      </c>
      <c r="D54">
        <v>58</v>
      </c>
      <c r="E54">
        <v>4777780</v>
      </c>
      <c r="F54">
        <v>58</v>
      </c>
      <c r="G54">
        <v>4777768</v>
      </c>
      <c r="H54">
        <v>218</v>
      </c>
      <c r="I54">
        <v>4777780</v>
      </c>
      <c r="J54">
        <v>62</v>
      </c>
      <c r="K54">
        <v>4777780</v>
      </c>
      <c r="L54">
        <v>47</v>
      </c>
      <c r="M54">
        <v>4777768</v>
      </c>
      <c r="N54">
        <v>86</v>
      </c>
      <c r="O54">
        <v>2372376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548</v>
      </c>
      <c r="C58">
        <v>121</v>
      </c>
      <c r="D58">
        <v>127</v>
      </c>
      <c r="E58">
        <v>437</v>
      </c>
      <c r="F58">
        <v>109</v>
      </c>
      <c r="G58">
        <v>109</v>
      </c>
      <c r="H58">
        <v>151</v>
      </c>
      <c r="I58">
        <v>15</v>
      </c>
      <c r="J58">
        <v>31</v>
      </c>
    </row>
    <row r="59" spans="2:15" x14ac:dyDescent="0.25">
      <c r="B59">
        <v>574</v>
      </c>
      <c r="C59">
        <v>128</v>
      </c>
      <c r="D59">
        <v>128</v>
      </c>
      <c r="E59">
        <v>406</v>
      </c>
      <c r="F59">
        <v>109</v>
      </c>
      <c r="G59">
        <v>109</v>
      </c>
      <c r="H59">
        <v>151</v>
      </c>
      <c r="I59">
        <v>14</v>
      </c>
      <c r="J59">
        <v>31</v>
      </c>
    </row>
    <row r="60" spans="2:15" x14ac:dyDescent="0.25">
      <c r="B60">
        <v>593</v>
      </c>
      <c r="C60">
        <v>123</v>
      </c>
      <c r="D60">
        <v>123</v>
      </c>
      <c r="E60">
        <v>421</v>
      </c>
      <c r="F60">
        <v>110</v>
      </c>
      <c r="G60">
        <v>110</v>
      </c>
      <c r="H60">
        <v>154</v>
      </c>
      <c r="I60">
        <v>14</v>
      </c>
      <c r="J60">
        <v>31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58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AVERAGE(Table19[Newtonsoft (duration)]) - J38</f>
      </c>
      <c r="D38" s="2" t="e">
        <f>AVERAGE(Table19[Revenj.NET full (duration)]) - J38</f>
      </c>
      <c r="E38" s="2" t="e">
        <f>AVERAGE(Table19[Revenj.NET minimal (duration)]) - J38</f>
      </c>
      <c r="F38" s="2" t="e">
        <f>AVERAGE(Table19[Jackson (duration)]) - J39</f>
      </c>
      <c r="G38" s="2" t="e">
        <f>AVERAGE(Table19[DSL client Java full (duration)]) - J39</f>
      </c>
      <c r="H38" s="2" t="e">
        <f>AVERAGE(Table19[DSL client Java minimal (duration)]) - J39</f>
      </c>
      <c r="I38" s="2" t="e">
        <f>AVERAGE(Table19[Protobuf.NET (duration)]) - J38</f>
      </c>
      <c r="J38" s="2" t="e">
        <f>AVERAGE(Table20[.NET (instance only)])</f>
      </c>
      <c r="K38" s="2" t="e">
        <f>AVERAGE(Table20[JVM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AVERAGE(Table20[Newtonsoft (duration)]) - J38</f>
      </c>
      <c r="D40" s="2" t="e">
        <f>AVERAGE(Table20[Revenj.NET full (duration)]) - J38</f>
      </c>
      <c r="E40" s="2" t="e">
        <f>AVERAGE(Table20[Revenj.NET minimal (duration)]) - J38</f>
      </c>
      <c r="F40" s="2" t="e">
        <f>AVERAGE(Table20[Jackson (duration)]) - J39</f>
      </c>
      <c r="G40" s="2" t="e">
        <f>AVERAGE(Table20[DSL client Java full (duration)]) - J39</f>
      </c>
      <c r="H40" s="2" t="e">
        <f>AVERAGE(Table20[DSL client Java minimal (duration)]) - J39</f>
      </c>
      <c r="I40" s="2" t="e">
        <f>AVERAGE(Table20[Protobuf.NET (duration)]) - J38</f>
      </c>
      <c r="J40" s="2"/>
      <c r="K40" s="2"/>
    </row>
    <row r="41" spans="2:11" x14ac:dyDescent="0.25">
      <c r="B41" t="s">
        <v>8</v>
      </c>
      <c r="C41" s="3" t="e">
        <f>AVERAGE(Table19[Newtonsoft (size)])</f>
      </c>
      <c r="D41" s="3" t="e">
        <f>AVERAGE(Table19[Revenj.NET full (size)])</f>
      </c>
      <c r="E41" s="3" t="e">
        <f>AVERAGE(Table19[Revenj.NET minimal (size)])</f>
      </c>
      <c r="F41" s="3" t="e">
        <f>AVERAGE(Table19[Jackson (size)])</f>
      </c>
      <c r="G41" s="3" t="e">
        <f>AVERAGE(Table19[DSL client Java full (size)])</f>
      </c>
      <c r="H41" s="3" t="e">
        <f>AVERAGE(Table19[DSL client Java minimal (size)])</f>
      </c>
      <c r="I41" s="3" t="e">
        <f>AVERAGE(Table19[Protobuf.NET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DEVSQ(Table19[Newtonsoft (duration)])</f>
      </c>
      <c r="D46" s="2" t="e">
        <f>DEVSQ(Table19[Revenj.NET full (duration)])</f>
      </c>
      <c r="E46" s="2" t="e">
        <f>DEVSQ(Table19[Revenj.NET minimal (duration)])</f>
      </c>
      <c r="F46" s="2" t="e">
        <f>DEVSQ(Table19[Jackson (duration)])</f>
      </c>
      <c r="G46" s="2" t="e">
        <f>DEVSQ(Table19[DSL client Java full (duration)])</f>
      </c>
      <c r="H46" s="2" t="e">
        <f>DEVSQ(Table19[DSL client Java minimal (duration)])</f>
      </c>
      <c r="I46" s="2" t="e">
        <f>DEVSQ(Table19[Protobuf.NET (duration)])</f>
      </c>
    </row>
    <row r="47" spans="2:11" x14ac:dyDescent="0.25">
      <c r="B47" t="s">
        <v>1</v>
      </c>
      <c r="C47" s="2" t="e">
        <f>DEVSQ(Table20[Newtonsoft (duration)])</f>
      </c>
      <c r="D47" s="2" t="e">
        <f>DEVSQ(Table20[Revenj.NET full (duration)])</f>
      </c>
      <c r="E47" s="2" t="e">
        <f>DEVSQ(Table20[Revenj.NET minimal (duration)])</f>
      </c>
      <c r="F47" s="2" t="e">
        <f>DEVSQ(Table20[Jackson (duration)])</f>
      </c>
      <c r="G47" s="2" t="e">
        <f>DEVSQ(Table20[DSL client Java full (duration)])</f>
      </c>
      <c r="H47" s="2" t="e">
        <f>DEVSQ(Table20[DSL client Java minimal (duration)])</f>
      </c>
      <c r="I47" s="2" t="e">
        <f>DEVSQ(Table20[Protobuf.NET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1097</v>
      </c>
      <c r="C52">
        <v>49777768</v>
      </c>
      <c r="D52">
        <v>547</v>
      </c>
      <c r="E52">
        <v>49777780</v>
      </c>
      <c r="F52">
        <v>549</v>
      </c>
      <c r="G52">
        <v>49777768</v>
      </c>
      <c r="H52">
        <v>484</v>
      </c>
      <c r="I52">
        <v>49777780</v>
      </c>
      <c r="J52">
        <v>203</v>
      </c>
      <c r="K52">
        <v>49777780</v>
      </c>
      <c r="L52">
        <v>218</v>
      </c>
      <c r="M52">
        <v>49777768</v>
      </c>
      <c r="N52">
        <v>495</v>
      </c>
      <c r="O52">
        <v>24872376</v>
      </c>
    </row>
    <row r="53" spans="2:15" x14ac:dyDescent="0.25">
      <c r="B53">
        <v>1190</v>
      </c>
      <c r="C53">
        <v>49777768</v>
      </c>
      <c r="D53">
        <v>549</v>
      </c>
      <c r="E53">
        <v>49777780</v>
      </c>
      <c r="F53">
        <v>632</v>
      </c>
      <c r="G53">
        <v>49777768</v>
      </c>
      <c r="H53">
        <v>514</v>
      </c>
      <c r="I53">
        <v>49777780</v>
      </c>
      <c r="J53">
        <v>203</v>
      </c>
      <c r="K53">
        <v>49777780</v>
      </c>
      <c r="L53">
        <v>203</v>
      </c>
      <c r="M53">
        <v>49777768</v>
      </c>
      <c r="N53">
        <v>497</v>
      </c>
      <c r="O53">
        <v>24872376</v>
      </c>
    </row>
    <row r="54" spans="2:15" x14ac:dyDescent="0.25">
      <c r="B54">
        <v>1183</v>
      </c>
      <c r="C54">
        <v>49777768</v>
      </c>
      <c r="D54">
        <v>621</v>
      </c>
      <c r="E54">
        <v>49777780</v>
      </c>
      <c r="F54">
        <v>556</v>
      </c>
      <c r="G54">
        <v>49777768</v>
      </c>
      <c r="H54">
        <v>499</v>
      </c>
      <c r="I54">
        <v>49777780</v>
      </c>
      <c r="J54">
        <v>218</v>
      </c>
      <c r="K54">
        <v>49777780</v>
      </c>
      <c r="L54">
        <v>218</v>
      </c>
      <c r="M54">
        <v>49777768</v>
      </c>
      <c r="N54">
        <v>498</v>
      </c>
      <c r="O54">
        <v>24872376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4656</v>
      </c>
      <c r="C58">
        <v>1249</v>
      </c>
      <c r="D58">
        <v>1089</v>
      </c>
      <c r="E58">
        <v>1030</v>
      </c>
      <c r="F58">
        <v>390</v>
      </c>
      <c r="G58">
        <v>390</v>
      </c>
      <c r="H58">
        <v>1097</v>
      </c>
      <c r="I58">
        <v>130</v>
      </c>
      <c r="J58">
        <v>78</v>
      </c>
    </row>
    <row r="59" spans="2:15" x14ac:dyDescent="0.25">
      <c r="B59">
        <v>4394</v>
      </c>
      <c r="C59">
        <v>1126</v>
      </c>
      <c r="D59">
        <v>1087</v>
      </c>
      <c r="E59">
        <v>1092</v>
      </c>
      <c r="F59">
        <v>374</v>
      </c>
      <c r="G59">
        <v>374</v>
      </c>
      <c r="H59">
        <v>1139</v>
      </c>
      <c r="I59">
        <v>132</v>
      </c>
      <c r="J59">
        <v>63</v>
      </c>
    </row>
    <row r="60" spans="2:15" x14ac:dyDescent="0.25">
      <c r="B60">
        <v>4372</v>
      </c>
      <c r="C60">
        <v>1091</v>
      </c>
      <c r="D60">
        <v>1115</v>
      </c>
      <c r="E60">
        <v>998</v>
      </c>
      <c r="F60">
        <v>375</v>
      </c>
      <c r="G60">
        <v>390</v>
      </c>
      <c r="H60">
        <v>1105</v>
      </c>
      <c r="I60">
        <v>131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59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AVERAGE(Table23[Newtonsoft (duration)]) - J38</f>
      </c>
      <c r="D38" s="2" t="e">
        <f>AVERAGE(Table23[Revenj.NET full (duration)]) - J38</f>
      </c>
      <c r="E38" s="2" t="e">
        <f>AVERAGE(Table23[Revenj.NET minimal (duration)]) - J38</f>
      </c>
      <c r="F38" s="2" t="e">
        <f>AVERAGE(Table23[Jackson (duration)]) - J39</f>
      </c>
      <c r="G38" s="2" t="e">
        <f>AVERAGE(Table23[DSL client Java full (duration)]) - J39</f>
      </c>
      <c r="H38" s="2" t="e">
        <f>AVERAGE(Table23[DSL client Java minimal (duration)]) - J39</f>
      </c>
      <c r="I38" s="2" t="e">
        <f>AVERAGE(Table23[Protobuf.NET (duration)]) - J38</f>
      </c>
      <c r="J38" s="2" t="e">
        <f>AVERAGE(Table24[.NET (instance only)])</f>
      </c>
      <c r="K38" s="2" t="e">
        <f>AVERAGE(Table24[JVM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AVERAGE(Table24[Newtonsoft (duration)]) - J38</f>
      </c>
      <c r="D40" s="2" t="e">
        <f>AVERAGE(Table24[Revenj.NET full (duration)]) - J38</f>
      </c>
      <c r="E40" s="2" t="e">
        <f>AVERAGE(Table24[Revenj.NET minimal (duration)]) - J38</f>
      </c>
      <c r="F40" s="2" t="e">
        <f>AVERAGE(Table24[Jackson (duration)]) - J39</f>
      </c>
      <c r="G40" s="2" t="e">
        <f>AVERAGE(Table24[DSL client Java full (duration)]) - J39</f>
      </c>
      <c r="H40" s="2" t="e">
        <f>AVERAGE(Table24[DSL client Java minimal (duration)]) - J39</f>
      </c>
      <c r="I40" s="2" t="e">
        <f>AVERAGE(Table24[Protobuf.NET (duration)]) - J38</f>
      </c>
      <c r="J40" s="2"/>
      <c r="K40" s="2"/>
    </row>
    <row r="41" spans="2:11" x14ac:dyDescent="0.25">
      <c r="B41" t="s">
        <v>8</v>
      </c>
      <c r="C41" s="3" t="e">
        <f>AVERAGE(Table23[Newtonsoft (size)])</f>
      </c>
      <c r="D41" s="3" t="e">
        <f>AVERAGE(Table23[Revenj.NET full (size)])</f>
      </c>
      <c r="E41" s="3" t="e">
        <f>AVERAGE(Table23[Revenj.NET minimal (size)])</f>
      </c>
      <c r="F41" s="3" t="e">
        <f>AVERAGE(Table23[Jackson (size)])</f>
      </c>
      <c r="G41" s="3" t="e">
        <f>AVERAGE(Table23[DSL client Java full (size)])</f>
      </c>
      <c r="H41" s="3" t="e">
        <f>AVERAGE(Table23[DSL client Java minimal (size)])</f>
      </c>
      <c r="I41" s="3" t="e">
        <f>AVERAGE(Table23[Protobuf.NET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DEVSQ(Table23[Newtonsoft (duration)])</f>
      </c>
      <c r="D46" s="2" t="e">
        <f>DEVSQ(Table23[Revenj.NET full (duration)])</f>
      </c>
      <c r="E46" s="2" t="e">
        <f>DEVSQ(Table23[Revenj.NET minimal (duration)])</f>
      </c>
      <c r="F46" s="2" t="e">
        <f>DEVSQ(Table23[Jackson (duration)])</f>
      </c>
      <c r="G46" s="2" t="e">
        <f>DEVSQ(Table23[DSL client Java full (duration)])</f>
      </c>
      <c r="H46" s="2" t="e">
        <f>DEVSQ(Table23[DSL client Java minimal (duration)])</f>
      </c>
      <c r="I46" s="2" t="e">
        <f>DEVSQ(Table23[Protobuf.NET (duration)])</f>
      </c>
    </row>
    <row r="47" spans="2:11" x14ac:dyDescent="0.25">
      <c r="B47" t="s">
        <v>1</v>
      </c>
      <c r="C47" s="2" t="e">
        <f>DEVSQ(Table24[Newtonsoft (duration)])</f>
      </c>
      <c r="D47" s="2" t="e">
        <f>DEVSQ(Table24[Revenj.NET full (duration)])</f>
      </c>
      <c r="E47" s="2" t="e">
        <f>DEVSQ(Table24[Revenj.NET minimal (duration)])</f>
      </c>
      <c r="F47" s="2" t="e">
        <f>DEVSQ(Table24[Jackson (duration)])</f>
      </c>
      <c r="G47" s="2" t="e">
        <f>DEVSQ(Table24[DSL client Java full (duration)])</f>
      </c>
      <c r="H47" s="2" t="e">
        <f>DEVSQ(Table24[DSL client Java minimal (duration)])</f>
      </c>
      <c r="I47" s="2" t="e">
        <f>DEVSQ(Table24[Protobuf.NET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12045</v>
      </c>
      <c r="C52">
        <v>517777768</v>
      </c>
      <c r="D52">
        <v>5572</v>
      </c>
      <c r="E52">
        <v>517777780</v>
      </c>
      <c r="F52">
        <v>5989</v>
      </c>
      <c r="G52">
        <v>517777768</v>
      </c>
      <c r="H52">
        <v>3183</v>
      </c>
      <c r="I52">
        <v>517777780</v>
      </c>
      <c r="J52">
        <v>1607</v>
      </c>
      <c r="K52">
        <v>517777780</v>
      </c>
      <c r="L52">
        <v>1622</v>
      </c>
      <c r="M52">
        <v>517777768</v>
      </c>
      <c r="N52">
        <v>4658</v>
      </c>
      <c r="O52">
        <v>266775224</v>
      </c>
    </row>
    <row r="53" spans="2:15" x14ac:dyDescent="0.25">
      <c r="B53">
        <v>10415</v>
      </c>
      <c r="C53">
        <v>517777768</v>
      </c>
      <c r="D53">
        <v>5592</v>
      </c>
      <c r="E53">
        <v>517777780</v>
      </c>
      <c r="F53">
        <v>5544</v>
      </c>
      <c r="G53">
        <v>517777768</v>
      </c>
      <c r="H53">
        <v>3198</v>
      </c>
      <c r="I53">
        <v>517777780</v>
      </c>
      <c r="J53">
        <v>1638</v>
      </c>
      <c r="K53">
        <v>517777780</v>
      </c>
      <c r="L53">
        <v>1623</v>
      </c>
      <c r="M53">
        <v>517777768</v>
      </c>
      <c r="N53">
        <v>4665</v>
      </c>
      <c r="O53">
        <v>266775224</v>
      </c>
    </row>
    <row r="54" spans="2:15" x14ac:dyDescent="0.25">
      <c r="B54">
        <v>10397</v>
      </c>
      <c r="C54">
        <v>517777768</v>
      </c>
      <c r="D54">
        <v>5581</v>
      </c>
      <c r="E54">
        <v>517777780</v>
      </c>
      <c r="F54">
        <v>6582</v>
      </c>
      <c r="G54">
        <v>517777768</v>
      </c>
      <c r="H54">
        <v>3463</v>
      </c>
      <c r="I54">
        <v>517777780</v>
      </c>
      <c r="J54">
        <v>1638</v>
      </c>
      <c r="K54">
        <v>517777780</v>
      </c>
      <c r="L54">
        <v>1591</v>
      </c>
      <c r="M54">
        <v>517777768</v>
      </c>
      <c r="N54">
        <v>4659</v>
      </c>
      <c r="O54">
        <v>266775224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42906</v>
      </c>
      <c r="C58">
        <v>11752</v>
      </c>
      <c r="D58">
        <v>11172</v>
      </c>
      <c r="E58">
        <v>6755</v>
      </c>
      <c r="F58">
        <v>3026</v>
      </c>
      <c r="G58">
        <v>3057</v>
      </c>
      <c r="H58">
        <v>10744</v>
      </c>
      <c r="I58">
        <v>1370</v>
      </c>
      <c r="J58">
        <v>421</v>
      </c>
    </row>
    <row r="59" spans="2:15" x14ac:dyDescent="0.25">
      <c r="B59">
        <v>43499</v>
      </c>
      <c r="C59">
        <v>12983</v>
      </c>
      <c r="D59">
        <v>10838</v>
      </c>
      <c r="E59">
        <v>6568</v>
      </c>
      <c r="F59">
        <v>3058</v>
      </c>
      <c r="G59">
        <v>3089</v>
      </c>
      <c r="H59">
        <v>10673</v>
      </c>
      <c r="I59">
        <v>1358</v>
      </c>
      <c r="J59">
        <v>422</v>
      </c>
    </row>
    <row r="60" spans="2:15" x14ac:dyDescent="0.25">
      <c r="B60">
        <v>42490</v>
      </c>
      <c r="C60">
        <v>11555</v>
      </c>
      <c r="D60">
        <v>11267</v>
      </c>
      <c r="E60">
        <v>6786</v>
      </c>
      <c r="F60">
        <v>3058</v>
      </c>
      <c r="G60">
        <v>3089</v>
      </c>
      <c r="H60">
        <v>10680</v>
      </c>
      <c r="I60">
        <v>1493</v>
      </c>
      <c r="J60">
        <v>437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60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AVERAGE(Table27[Newtonsoft (duration)]) - J38</f>
      </c>
      <c r="D38" s="2" t="e">
        <f>AVERAGE(Table27[Revenj.NET full (duration)]) - J38</f>
      </c>
      <c r="E38" s="2" t="e">
        <f>AVERAGE(Table27[Revenj.NET minimal (duration)]) - J38</f>
      </c>
      <c r="F38" s="2" t="e">
        <f>AVERAGE(Table27[Jackson (duration)]) - J39</f>
      </c>
      <c r="G38" s="2" t="e">
        <f>AVERAGE(Table27[DSL client Java full (duration)]) - J39</f>
      </c>
      <c r="H38" s="2" t="e">
        <f>AVERAGE(Table27[DSL client Java minimal (duration)]) - J39</f>
      </c>
      <c r="I38" s="2" t="e">
        <f>AVERAGE(Table27[Protobuf.NET (duration)]) - J38</f>
      </c>
      <c r="J38" s="2" t="e">
        <f>AVERAGE(Table28[.NET (instance only)])</f>
      </c>
      <c r="K38" s="2" t="e">
        <f>AVERAGE(Table28[JVM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AVERAGE(Table28[Newtonsoft (duration)]) - J38</f>
      </c>
      <c r="D40" s="2" t="e">
        <f>AVERAGE(Table28[Revenj.NET full (duration)]) - J38</f>
      </c>
      <c r="E40" s="2" t="e">
        <f>AVERAGE(Table28[Revenj.NET minimal (duration)]) - J38</f>
      </c>
      <c r="F40" s="2" t="e">
        <f>AVERAGE(Table28[Jackson (duration)]) - J39</f>
      </c>
      <c r="G40" s="2" t="e">
        <f>AVERAGE(Table28[DSL client Java full (duration)]) - J39</f>
      </c>
      <c r="H40" s="2" t="e">
        <f>AVERAGE(Table28[DSL client Java minimal (duration)]) - J39</f>
      </c>
      <c r="I40" s="2" t="e">
        <f>AVERAGE(Table28[Protobuf.NET (duration)]) - J38</f>
      </c>
      <c r="J40" s="2"/>
      <c r="K40" s="2"/>
    </row>
    <row r="41" spans="2:11" x14ac:dyDescent="0.25">
      <c r="B41" t="s">
        <v>8</v>
      </c>
      <c r="C41" s="3" t="e">
        <f>AVERAGE(Table27[Newtonsoft (size)])</f>
      </c>
      <c r="D41" s="3" t="e">
        <f>AVERAGE(Table27[Revenj.NET full (size)])</f>
      </c>
      <c r="E41" s="3" t="e">
        <f>AVERAGE(Table27[Revenj.NET minimal (size)])</f>
      </c>
      <c r="F41" s="3" t="e">
        <f>AVERAGE(Table27[Jackson (size)])</f>
      </c>
      <c r="G41" s="3" t="e">
        <f>AVERAGE(Table27[DSL client Java full (size)])</f>
      </c>
      <c r="H41" s="3" t="e">
        <f>AVERAGE(Table27[DSL client Java minimal (size)])</f>
      </c>
      <c r="I41" s="3" t="e">
        <f>AVERAGE(Table27[Protobuf.NET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DEVSQ(Table27[Newtonsoft (duration)])</f>
      </c>
      <c r="D46" s="2" t="e">
        <f>DEVSQ(Table27[Revenj.NET full (duration)])</f>
      </c>
      <c r="E46" s="2" t="e">
        <f>DEVSQ(Table27[Revenj.NET minimal (duration)])</f>
      </c>
      <c r="F46" s="2" t="e">
        <f>DEVSQ(Table27[Jackson (duration)])</f>
      </c>
      <c r="G46" s="2" t="e">
        <f>DEVSQ(Table27[DSL client Java full (duration)])</f>
      </c>
      <c r="H46" s="2" t="e">
        <f>DEVSQ(Table27[DSL client Java minimal (duration)])</f>
      </c>
      <c r="I46" s="2" t="e">
        <f>DEVSQ(Table27[Protobuf.NET (duration)])</f>
      </c>
    </row>
    <row r="47" spans="2:11" x14ac:dyDescent="0.25">
      <c r="B47" t="s">
        <v>1</v>
      </c>
      <c r="C47" s="2" t="e">
        <f>DEVSQ(Table28[Newtonsoft (duration)])</f>
      </c>
      <c r="D47" s="2" t="e">
        <f>DEVSQ(Table28[Revenj.NET full (duration)])</f>
      </c>
      <c r="E47" s="2" t="e">
        <f>DEVSQ(Table28[Revenj.NET minimal (duration)])</f>
      </c>
      <c r="F47" s="2" t="e">
        <f>DEVSQ(Table28[Jackson (duration)])</f>
      </c>
      <c r="G47" s="2" t="e">
        <f>DEVSQ(Table28[DSL client Java full (duration)])</f>
      </c>
      <c r="H47" s="2" t="e">
        <f>DEVSQ(Table28[DSL client Java minimal (duration)])</f>
      </c>
      <c r="I47" s="2" t="e">
        <f>DEVSQ(Table28[Protobuf.NET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162</v>
      </c>
      <c r="C52">
        <v>3346868</v>
      </c>
      <c r="D52">
        <v>71</v>
      </c>
      <c r="E52">
        <v>3346489</v>
      </c>
      <c r="F52">
        <v>73</v>
      </c>
      <c r="G52">
        <v>3346472</v>
      </c>
      <c r="H52">
        <v>234</v>
      </c>
      <c r="I52">
        <v>4477194</v>
      </c>
      <c r="J52">
        <v>156</v>
      </c>
      <c r="K52">
        <v>4477190</v>
      </c>
      <c r="L52">
        <v>171</v>
      </c>
      <c r="M52">
        <v>4477173</v>
      </c>
      <c r="N52">
        <v>55</v>
      </c>
      <c r="O52">
        <v>1658087</v>
      </c>
    </row>
    <row r="53" spans="2:15" x14ac:dyDescent="0.25">
      <c r="B53">
        <v>160</v>
      </c>
      <c r="C53">
        <v>3346868</v>
      </c>
      <c r="D53">
        <v>73</v>
      </c>
      <c r="E53">
        <v>3346489</v>
      </c>
      <c r="F53">
        <v>73</v>
      </c>
      <c r="G53">
        <v>3346472</v>
      </c>
      <c r="H53">
        <v>218</v>
      </c>
      <c r="I53">
        <v>4477194</v>
      </c>
      <c r="J53">
        <v>156</v>
      </c>
      <c r="K53">
        <v>4477190</v>
      </c>
      <c r="L53">
        <v>156</v>
      </c>
      <c r="M53">
        <v>4477173</v>
      </c>
      <c r="N53">
        <v>57</v>
      </c>
      <c r="O53">
        <v>1658087</v>
      </c>
    </row>
    <row r="54" spans="2:15" x14ac:dyDescent="0.25">
      <c r="B54">
        <v>162</v>
      </c>
      <c r="C54">
        <v>3346868</v>
      </c>
      <c r="D54">
        <v>72</v>
      </c>
      <c r="E54">
        <v>3346489</v>
      </c>
      <c r="F54">
        <v>86</v>
      </c>
      <c r="G54">
        <v>3346472</v>
      </c>
      <c r="H54">
        <v>265</v>
      </c>
      <c r="I54">
        <v>4477194</v>
      </c>
      <c r="J54">
        <v>172</v>
      </c>
      <c r="K54">
        <v>4477190</v>
      </c>
      <c r="L54">
        <v>156</v>
      </c>
      <c r="M54">
        <v>4477173</v>
      </c>
      <c r="N54">
        <v>55</v>
      </c>
      <c r="O54">
        <v>1658087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706</v>
      </c>
      <c r="C58">
        <v>184</v>
      </c>
      <c r="D58">
        <v>197</v>
      </c>
      <c r="E58">
        <v>406</v>
      </c>
      <c r="F58">
        <v>234</v>
      </c>
      <c r="G58">
        <v>234</v>
      </c>
      <c r="H58">
        <v>114</v>
      </c>
      <c r="I58">
        <v>11</v>
      </c>
      <c r="J58">
        <v>78</v>
      </c>
    </row>
    <row r="59" spans="2:15" x14ac:dyDescent="0.25">
      <c r="B59">
        <v>698</v>
      </c>
      <c r="C59">
        <v>237</v>
      </c>
      <c r="D59">
        <v>193</v>
      </c>
      <c r="E59">
        <v>374</v>
      </c>
      <c r="F59">
        <v>250</v>
      </c>
      <c r="G59">
        <v>234</v>
      </c>
      <c r="H59">
        <v>113</v>
      </c>
      <c r="I59">
        <v>11</v>
      </c>
      <c r="J59">
        <v>78</v>
      </c>
    </row>
    <row r="60" spans="2:15" x14ac:dyDescent="0.25">
      <c r="B60">
        <v>725</v>
      </c>
      <c r="C60">
        <v>192</v>
      </c>
      <c r="D60">
        <v>192</v>
      </c>
      <c r="E60">
        <v>359</v>
      </c>
      <c r="F60">
        <v>249</v>
      </c>
      <c r="G60">
        <v>249</v>
      </c>
      <c r="H60">
        <v>120</v>
      </c>
      <c r="I60">
        <v>11</v>
      </c>
      <c r="J60">
        <v>78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61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AVERAGE(Table31[Newtonsoft (duration)]) - J38</f>
      </c>
      <c r="D38" s="2" t="e">
        <f>AVERAGE(Table31[Revenj.NET full (duration)]) - J38</f>
      </c>
      <c r="E38" s="2" t="e">
        <f>AVERAGE(Table31[Revenj.NET minimal (duration)]) - J38</f>
      </c>
      <c r="F38" s="2" t="e">
        <f>AVERAGE(Table31[Jackson (duration)]) - J39</f>
      </c>
      <c r="G38" s="2" t="e">
        <f>AVERAGE(Table31[DSL client Java full (duration)]) - J39</f>
      </c>
      <c r="H38" s="2" t="e">
        <f>AVERAGE(Table31[DSL client Java minimal (duration)]) - J39</f>
      </c>
      <c r="I38" s="2" t="e">
        <f>AVERAGE(Table31[Protobuf.NET (duration)]) - J38</f>
      </c>
      <c r="J38" s="2" t="e">
        <f>AVERAGE(Table32[.NET (instance only)])</f>
      </c>
      <c r="K38" s="2" t="e">
        <f>AVERAGE(Table32[JVM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AVERAGE(Table32[Newtonsoft (duration)]) - J38</f>
      </c>
      <c r="D40" s="2" t="e">
        <f>AVERAGE(Table32[Revenj.NET full (duration)]) - J38</f>
      </c>
      <c r="E40" s="2" t="e">
        <f>AVERAGE(Table32[Revenj.NET minimal (duration)]) - J38</f>
      </c>
      <c r="F40" s="2" t="e">
        <f>AVERAGE(Table32[Jackson (duration)]) - J39</f>
      </c>
      <c r="G40" s="2" t="e">
        <f>AVERAGE(Table32[DSL client Java full (duration)]) - J39</f>
      </c>
      <c r="H40" s="2" t="e">
        <f>AVERAGE(Table32[DSL client Java minimal (duration)]) - J39</f>
      </c>
      <c r="I40" s="2" t="e">
        <f>AVERAGE(Table32[Protobuf.NET (duration)]) - J38</f>
      </c>
      <c r="J40" s="2"/>
      <c r="K40" s="2"/>
    </row>
    <row r="41" spans="2:11" x14ac:dyDescent="0.25">
      <c r="B41" t="s">
        <v>8</v>
      </c>
      <c r="C41" s="3" t="e">
        <f>AVERAGE(Table31[Newtonsoft (size)])</f>
      </c>
      <c r="D41" s="3" t="e">
        <f>AVERAGE(Table31[Revenj.NET full (size)])</f>
      </c>
      <c r="E41" s="3" t="e">
        <f>AVERAGE(Table31[Revenj.NET minimal (size)])</f>
      </c>
      <c r="F41" s="3" t="e">
        <f>AVERAGE(Table31[Jackson (size)])</f>
      </c>
      <c r="G41" s="3" t="e">
        <f>AVERAGE(Table31[DSL client Java full (size)])</f>
      </c>
      <c r="H41" s="3" t="e">
        <f>AVERAGE(Table31[DSL client Java minimal (size)])</f>
      </c>
      <c r="I41" s="3" t="e">
        <f>AVERAGE(Table31[Protobuf.NET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DEVSQ(Table31[Newtonsoft (duration)])</f>
      </c>
      <c r="D46" s="2" t="e">
        <f>DEVSQ(Table31[Revenj.NET full (duration)])</f>
      </c>
      <c r="E46" s="2" t="e">
        <f>DEVSQ(Table31[Revenj.NET minimal (duration)])</f>
      </c>
      <c r="F46" s="2" t="e">
        <f>DEVSQ(Table31[Jackson (duration)])</f>
      </c>
      <c r="G46" s="2" t="e">
        <f>DEVSQ(Table31[DSL client Java full (duration)])</f>
      </c>
      <c r="H46" s="2" t="e">
        <f>DEVSQ(Table31[DSL client Java minimal (duration)])</f>
      </c>
      <c r="I46" s="2" t="e">
        <f>DEVSQ(Table31[Protobuf.NET (duration)])</f>
      </c>
    </row>
    <row r="47" spans="2:11" x14ac:dyDescent="0.25">
      <c r="B47" t="s">
        <v>1</v>
      </c>
      <c r="C47" s="2" t="e">
        <f>DEVSQ(Table32[Newtonsoft (duration)])</f>
      </c>
      <c r="D47" s="2" t="e">
        <f>DEVSQ(Table32[Revenj.NET full (duration)])</f>
      </c>
      <c r="E47" s="2" t="e">
        <f>DEVSQ(Table32[Revenj.NET minimal (duration)])</f>
      </c>
      <c r="F47" s="2" t="e">
        <f>DEVSQ(Table32[Jackson (duration)])</f>
      </c>
      <c r="G47" s="2" t="e">
        <f>DEVSQ(Table32[DSL client Java full (duration)])</f>
      </c>
      <c r="H47" s="2" t="e">
        <f>DEVSQ(Table32[DSL client Java minimal (duration)])</f>
      </c>
      <c r="I47" s="2" t="e">
        <f>DEVSQ(Table32[Protobuf.NET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1614</v>
      </c>
      <c r="C52">
        <v>36448868</v>
      </c>
      <c r="D52">
        <v>738</v>
      </c>
      <c r="E52">
        <v>36444889</v>
      </c>
      <c r="F52">
        <v>735</v>
      </c>
      <c r="G52">
        <v>36444872</v>
      </c>
      <c r="H52">
        <v>1076</v>
      </c>
      <c r="I52">
        <v>46514394</v>
      </c>
      <c r="J52">
        <v>702</v>
      </c>
      <c r="K52">
        <v>46514390</v>
      </c>
      <c r="L52">
        <v>702</v>
      </c>
      <c r="M52">
        <v>46514373</v>
      </c>
      <c r="N52">
        <v>500</v>
      </c>
      <c r="O52">
        <v>16941514</v>
      </c>
    </row>
    <row r="53" spans="2:15" x14ac:dyDescent="0.25">
      <c r="B53">
        <v>1727</v>
      </c>
      <c r="C53">
        <v>36448868</v>
      </c>
      <c r="D53">
        <v>734</v>
      </c>
      <c r="E53">
        <v>36444889</v>
      </c>
      <c r="F53">
        <v>740</v>
      </c>
      <c r="G53">
        <v>36444872</v>
      </c>
      <c r="H53">
        <v>1061</v>
      </c>
      <c r="I53">
        <v>46514394</v>
      </c>
      <c r="J53">
        <v>686</v>
      </c>
      <c r="K53">
        <v>46514390</v>
      </c>
      <c r="L53">
        <v>686</v>
      </c>
      <c r="M53">
        <v>46514373</v>
      </c>
      <c r="N53">
        <v>504</v>
      </c>
      <c r="O53">
        <v>16941514</v>
      </c>
    </row>
    <row r="54" spans="2:15" x14ac:dyDescent="0.25">
      <c r="B54">
        <v>1725</v>
      </c>
      <c r="C54">
        <v>36448868</v>
      </c>
      <c r="D54">
        <v>733</v>
      </c>
      <c r="E54">
        <v>36444889</v>
      </c>
      <c r="F54">
        <v>740</v>
      </c>
      <c r="G54">
        <v>36444872</v>
      </c>
      <c r="H54">
        <v>1092</v>
      </c>
      <c r="I54">
        <v>46514394</v>
      </c>
      <c r="J54">
        <v>671</v>
      </c>
      <c r="K54">
        <v>46514390</v>
      </c>
      <c r="L54">
        <v>687</v>
      </c>
      <c r="M54">
        <v>46514373</v>
      </c>
      <c r="N54">
        <v>501</v>
      </c>
      <c r="O54">
        <v>16941514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7080</v>
      </c>
      <c r="C58">
        <v>1968</v>
      </c>
      <c r="D58">
        <v>1874</v>
      </c>
      <c r="E58">
        <v>2090</v>
      </c>
      <c r="F58">
        <v>1045</v>
      </c>
      <c r="G58">
        <v>1029</v>
      </c>
      <c r="H58">
        <v>1060</v>
      </c>
      <c r="I58">
        <v>112</v>
      </c>
      <c r="J58">
        <v>390</v>
      </c>
    </row>
    <row r="59" spans="2:15" x14ac:dyDescent="0.25">
      <c r="B59">
        <v>6836</v>
      </c>
      <c r="C59">
        <v>1980</v>
      </c>
      <c r="D59">
        <v>1877</v>
      </c>
      <c r="E59">
        <v>2060</v>
      </c>
      <c r="F59">
        <v>1045</v>
      </c>
      <c r="G59">
        <v>1045</v>
      </c>
      <c r="H59">
        <v>1075</v>
      </c>
      <c r="I59">
        <v>114</v>
      </c>
      <c r="J59">
        <v>406</v>
      </c>
    </row>
    <row r="60" spans="2:15" x14ac:dyDescent="0.25">
      <c r="B60">
        <v>6892</v>
      </c>
      <c r="C60">
        <v>1879</v>
      </c>
      <c r="D60">
        <v>1972</v>
      </c>
      <c r="E60">
        <v>2247</v>
      </c>
      <c r="F60">
        <v>1045</v>
      </c>
      <c r="G60">
        <v>1030</v>
      </c>
      <c r="H60">
        <v>1064</v>
      </c>
      <c r="I60">
        <v>114</v>
      </c>
      <c r="J60">
        <v>406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62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AVERAGE(Table35[Newtonsoft (duration)]) - J38</f>
      </c>
      <c r="D38" s="2" t="e">
        <f>AVERAGE(Table35[Revenj.NET full (duration)]) - J38</f>
      </c>
      <c r="E38" s="2" t="e">
        <f>AVERAGE(Table35[Revenj.NET minimal (duration)]) - J38</f>
      </c>
      <c r="F38" s="2" t="e">
        <f>AVERAGE(Table35[Jackson (duration)]) - J39</f>
      </c>
      <c r="G38" s="2" t="e">
        <f>AVERAGE(Table35[DSL client Java full (duration)]) - J39</f>
      </c>
      <c r="H38" s="2" t="e">
        <f>AVERAGE(Table35[DSL client Java minimal (duration)]) - J39</f>
      </c>
      <c r="I38" s="2" t="e">
        <f>AVERAGE(Table35[Protobuf.NET (duration)]) - J38</f>
      </c>
      <c r="J38" s="2" t="e">
        <f>AVERAGE(Table36[.NET (instance only)])</f>
      </c>
      <c r="K38" s="2" t="e">
        <f>AVERAGE(Table36[JVM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AVERAGE(Table36[Newtonsoft (duration)]) - J38</f>
      </c>
      <c r="D40" s="2" t="e">
        <f>AVERAGE(Table36[Revenj.NET full (duration)]) - J38</f>
      </c>
      <c r="E40" s="2" t="e">
        <f>AVERAGE(Table36[Revenj.NET minimal (duration)]) - J38</f>
      </c>
      <c r="F40" s="2" t="e">
        <f>AVERAGE(Table36[Jackson (duration)]) - J39</f>
      </c>
      <c r="G40" s="2" t="e">
        <f>AVERAGE(Table36[DSL client Java full (duration)]) - J39</f>
      </c>
      <c r="H40" s="2" t="e">
        <f>AVERAGE(Table36[DSL client Java minimal (duration)]) - J39</f>
      </c>
      <c r="I40" s="2" t="e">
        <f>AVERAGE(Table36[Protobuf.NET (duration)]) - J38</f>
      </c>
      <c r="J40" s="2"/>
      <c r="K40" s="2"/>
    </row>
    <row r="41" spans="2:11" x14ac:dyDescent="0.25">
      <c r="B41" t="s">
        <v>8</v>
      </c>
      <c r="C41" s="3" t="e">
        <f>AVERAGE(Table35[Newtonsoft (size)])</f>
      </c>
      <c r="D41" s="3" t="e">
        <f>AVERAGE(Table35[Revenj.NET full (size)])</f>
      </c>
      <c r="E41" s="3" t="e">
        <f>AVERAGE(Table35[Revenj.NET minimal (size)])</f>
      </c>
      <c r="F41" s="3" t="e">
        <f>AVERAGE(Table35[Jackson (size)])</f>
      </c>
      <c r="G41" s="3" t="e">
        <f>AVERAGE(Table35[DSL client Java full (size)])</f>
      </c>
      <c r="H41" s="3" t="e">
        <f>AVERAGE(Table35[DSL client Java minimal (size)])</f>
      </c>
      <c r="I41" s="3" t="e">
        <f>AVERAGE(Table35[Protobuf.NET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DEVSQ(Table35[Newtonsoft (duration)])</f>
      </c>
      <c r="D46" s="2" t="e">
        <f>DEVSQ(Table35[Revenj.NET full (duration)])</f>
      </c>
      <c r="E46" s="2" t="e">
        <f>DEVSQ(Table35[Revenj.NET minimal (duration)])</f>
      </c>
      <c r="F46" s="2" t="e">
        <f>DEVSQ(Table35[Jackson (duration)])</f>
      </c>
      <c r="G46" s="2" t="e">
        <f>DEVSQ(Table35[DSL client Java full (duration)])</f>
      </c>
      <c r="H46" s="2" t="e">
        <f>DEVSQ(Table35[DSL client Java minimal (duration)])</f>
      </c>
      <c r="I46" s="2" t="e">
        <f>DEVSQ(Table35[Protobuf.NET (duration)])</f>
      </c>
    </row>
    <row r="47" spans="2:11" x14ac:dyDescent="0.25">
      <c r="B47" t="s">
        <v>1</v>
      </c>
      <c r="C47" s="2" t="e">
        <f>DEVSQ(Table36[Newtonsoft (duration)])</f>
      </c>
      <c r="D47" s="2" t="e">
        <f>DEVSQ(Table36[Revenj.NET full (duration)])</f>
      </c>
      <c r="E47" s="2" t="e">
        <f>DEVSQ(Table36[Revenj.NET minimal (duration)])</f>
      </c>
      <c r="F47" s="2" t="e">
        <f>DEVSQ(Table36[Jackson (duration)])</f>
      </c>
      <c r="G47" s="2" t="e">
        <f>DEVSQ(Table36[DSL client Java full (duration)])</f>
      </c>
      <c r="H47" s="2" t="e">
        <f>DEVSQ(Table36[DSL client Java minimal (duration)])</f>
      </c>
      <c r="I47" s="2" t="e">
        <f>DEVSQ(Table36[Protobuf.NET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18011</v>
      </c>
      <c r="C52">
        <v>394468868</v>
      </c>
      <c r="D52">
        <v>7483</v>
      </c>
      <c r="E52">
        <v>394428889</v>
      </c>
      <c r="F52">
        <v>7464</v>
      </c>
      <c r="G52">
        <v>394428872</v>
      </c>
      <c r="H52">
        <v>9282</v>
      </c>
      <c r="I52">
        <v>471015610</v>
      </c>
      <c r="J52">
        <v>5928</v>
      </c>
      <c r="K52">
        <v>471015606</v>
      </c>
      <c r="L52">
        <v>5881</v>
      </c>
      <c r="M52">
        <v>471015589</v>
      </c>
      <c r="N52">
        <v>5021</v>
      </c>
      <c r="O52">
        <v>184924181</v>
      </c>
    </row>
    <row r="53" spans="2:15" x14ac:dyDescent="0.25">
      <c r="B53">
        <v>16680</v>
      </c>
      <c r="C53">
        <v>394468868</v>
      </c>
      <c r="D53">
        <v>7473</v>
      </c>
      <c r="E53">
        <v>394428889</v>
      </c>
      <c r="F53">
        <v>7439</v>
      </c>
      <c r="G53">
        <v>394428872</v>
      </c>
      <c r="H53">
        <v>9173</v>
      </c>
      <c r="I53">
        <v>471015610</v>
      </c>
      <c r="J53">
        <v>5913</v>
      </c>
      <c r="K53">
        <v>471015606</v>
      </c>
      <c r="L53">
        <v>5881</v>
      </c>
      <c r="M53">
        <v>471015589</v>
      </c>
      <c r="N53">
        <v>5001</v>
      </c>
      <c r="O53">
        <v>184924181</v>
      </c>
    </row>
    <row r="54" spans="2:15" x14ac:dyDescent="0.25">
      <c r="B54">
        <v>16611</v>
      </c>
      <c r="C54">
        <v>394468868</v>
      </c>
      <c r="D54">
        <v>7459</v>
      </c>
      <c r="E54">
        <v>394428889</v>
      </c>
      <c r="F54">
        <v>7529</v>
      </c>
      <c r="G54">
        <v>394428872</v>
      </c>
      <c r="H54">
        <v>9236</v>
      </c>
      <c r="I54">
        <v>471015610</v>
      </c>
      <c r="J54">
        <v>5959</v>
      </c>
      <c r="K54">
        <v>471015606</v>
      </c>
      <c r="L54">
        <v>5975</v>
      </c>
      <c r="M54">
        <v>471015589</v>
      </c>
      <c r="N54">
        <v>4990</v>
      </c>
      <c r="O54">
        <v>184924181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69458</v>
      </c>
      <c r="C58">
        <v>19827</v>
      </c>
      <c r="D58">
        <v>20665</v>
      </c>
      <c r="E58">
        <v>18954</v>
      </c>
      <c r="F58">
        <v>9048</v>
      </c>
      <c r="G58">
        <v>9080</v>
      </c>
      <c r="H58">
        <v>10513</v>
      </c>
      <c r="I58">
        <v>1127</v>
      </c>
      <c r="J58">
        <v>3198</v>
      </c>
    </row>
    <row r="59" spans="2:15" x14ac:dyDescent="0.25">
      <c r="B59">
        <v>69807</v>
      </c>
      <c r="C59">
        <v>20742</v>
      </c>
      <c r="D59">
        <v>19384</v>
      </c>
      <c r="E59">
        <v>19468</v>
      </c>
      <c r="F59">
        <v>9157</v>
      </c>
      <c r="G59">
        <v>9313</v>
      </c>
      <c r="H59">
        <v>10526</v>
      </c>
      <c r="I59">
        <v>1127</v>
      </c>
      <c r="J59">
        <v>3338</v>
      </c>
    </row>
    <row r="60" spans="2:15" x14ac:dyDescent="0.25">
      <c r="B60">
        <v>68585</v>
      </c>
      <c r="C60">
        <v>20657</v>
      </c>
      <c r="D60">
        <v>20710</v>
      </c>
      <c r="E60">
        <v>19126</v>
      </c>
      <c r="F60">
        <v>9391</v>
      </c>
      <c r="G60">
        <v>9235</v>
      </c>
      <c r="H60">
        <v>10539</v>
      </c>
      <c r="I60">
        <v>1148</v>
      </c>
      <c r="J60">
        <v>3276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63</v>
      </c>
    </row>
    <row r="37" spans="2:11" x14ac:dyDescent="0.25">
      <c r="B37" t="s">
        <v>5</v>
      </c>
      <c r="C37" t="s">
        <v>2</v>
      </c>
      <c r="D37" t="s">
        <v>43</v>
      </c>
      <c r="E37" t="s">
        <v>44</v>
      </c>
      <c r="F37" t="s">
        <v>12</v>
      </c>
      <c r="G37" t="s">
        <v>45</v>
      </c>
      <c r="H37" t="s">
        <v>46</v>
      </c>
      <c r="I37" t="s">
        <v>11</v>
      </c>
      <c r="J37" t="s">
        <v>39</v>
      </c>
      <c r="K37" t="s">
        <v>40</v>
      </c>
    </row>
    <row r="38" spans="2:11" x14ac:dyDescent="0.25">
      <c r="B38" t="s">
        <v>0</v>
      </c>
      <c r="C38" s="2" t="e">
        <f>AVERAGE(Table39[Newtonsoft (duration)]) - J38</f>
      </c>
      <c r="D38" s="2" t="e">
        <f>AVERAGE(Table39[Revenj.NET full (duration)]) - J38</f>
      </c>
      <c r="E38" s="2" t="e">
        <f>AVERAGE(Table39[Revenj.NET minimal (duration)]) - J38</f>
      </c>
      <c r="F38" s="2" t="e">
        <f>AVERAGE(Table39[Jackson (duration)]) - J39</f>
      </c>
      <c r="G38" s="2" t="e">
        <f>AVERAGE(Table39[DSL client Java full (duration)]) - J39</f>
      </c>
      <c r="H38" s="2" t="e">
        <f>AVERAGE(Table39[DSL client Java minimal (duration)]) - J39</f>
      </c>
      <c r="I38" s="2" t="e">
        <f>AVERAGE(Table39[Protobuf.NET (duration)]) - J38</f>
      </c>
      <c r="J38" s="2" t="e">
        <f>AVERAGE(Table40[.NET (instance only)])</f>
      </c>
      <c r="K38" s="2" t="e">
        <f>AVERAGE(Table40[JVM (instance only)])</f>
      </c>
    </row>
    <row r="39" spans="2:11" x14ac:dyDescent="0.25">
      <c r="B39" t="s">
        <v>3</v>
      </c>
      <c r="C39" s="2" t="e">
        <f>C40-C38</f>
      </c>
      <c r="D39" s="2" t="e">
        <f t="shared" ref="D39:I39" si="0">D40-D38</f>
      </c>
      <c r="E39" s="2" t="e">
        <f t="shared" si="0"/>
      </c>
      <c r="F39" s="2" t="e">
        <f t="shared" ref="F39:H39" si="1">F40-F38</f>
      </c>
      <c r="G39" s="2" t="e">
        <f t="shared" si="1"/>
      </c>
      <c r="H39" s="2" t="e">
        <f t="shared" si="1"/>
      </c>
      <c r="I39" s="2" t="e">
        <f t="shared" si="0"/>
      </c>
      <c r="J39" s="2"/>
      <c r="K39" s="2"/>
    </row>
    <row r="40" spans="2:11" x14ac:dyDescent="0.25">
      <c r="B40" t="s">
        <v>1</v>
      </c>
      <c r="C40" s="2" t="e">
        <f>AVERAGE(Table40[Newtonsoft (duration)]) - J38</f>
      </c>
      <c r="D40" s="2" t="e">
        <f>AVERAGE(Table40[Revenj.NET full (duration)]) - J38</f>
      </c>
      <c r="E40" s="2" t="e">
        <f>AVERAGE(Table40[Revenj.NET minimal (duration)]) - J38</f>
      </c>
      <c r="F40" s="2" t="e">
        <f>AVERAGE(Table40[Jackson (duration)]) - J39</f>
      </c>
      <c r="G40" s="2" t="e">
        <f>AVERAGE(Table40[DSL client Java full (duration)]) - J39</f>
      </c>
      <c r="H40" s="2" t="e">
        <f>AVERAGE(Table40[DSL client Java minimal (duration)]) - J39</f>
      </c>
      <c r="I40" s="2" t="e">
        <f>AVERAGE(Table40[Protobuf.NET (duration)]) - J38</f>
      </c>
      <c r="J40" s="2"/>
      <c r="K40" s="2"/>
    </row>
    <row r="41" spans="2:11" x14ac:dyDescent="0.25">
      <c r="B41" t="s">
        <v>8</v>
      </c>
      <c r="C41" s="3" t="e">
        <f>AVERAGE(Table39[Newtonsoft (size)])</f>
      </c>
      <c r="D41" s="3" t="e">
        <f>AVERAGE(Table39[Revenj.NET full (size)])</f>
      </c>
      <c r="E41" s="3" t="e">
        <f>AVERAGE(Table39[Revenj.NET minimal (size)])</f>
      </c>
      <c r="F41" s="3" t="e">
        <f>AVERAGE(Table39[Jackson (size)])</f>
      </c>
      <c r="G41" s="3" t="e">
        <f>AVERAGE(Table39[DSL client Java full (size)])</f>
      </c>
      <c r="H41" s="3" t="e">
        <f>AVERAGE(Table39[DSL client Java minimal (size)])</f>
      </c>
      <c r="I41" s="3" t="e">
        <f>AVERAGE(Table39[Protobuf.NET (size)])</f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43</v>
      </c>
      <c r="E45" t="s">
        <v>44</v>
      </c>
      <c r="F45" t="s">
        <v>12</v>
      </c>
      <c r="G45" t="s">
        <v>45</v>
      </c>
      <c r="H45" t="s">
        <v>46</v>
      </c>
      <c r="I45" t="s">
        <v>11</v>
      </c>
    </row>
    <row r="46" spans="2:11" x14ac:dyDescent="0.25">
      <c r="B46" t="s">
        <v>0</v>
      </c>
      <c r="C46" s="2" t="e">
        <f>DEVSQ(Table39[Newtonsoft (duration)])</f>
      </c>
      <c r="D46" s="2" t="e">
        <f>DEVSQ(Table39[Revenj.NET full (duration)])</f>
      </c>
      <c r="E46" s="2" t="e">
        <f>DEVSQ(Table39[Revenj.NET minimal (duration)])</f>
      </c>
      <c r="F46" s="2" t="e">
        <f>DEVSQ(Table39[Jackson (duration)])</f>
      </c>
      <c r="G46" s="2" t="e">
        <f>DEVSQ(Table39[DSL client Java full (duration)])</f>
      </c>
      <c r="H46" s="2" t="e">
        <f>DEVSQ(Table39[DSL client Java minimal (duration)])</f>
      </c>
      <c r="I46" s="2" t="e">
        <f>DEVSQ(Table39[Protobuf.NET (duration)])</f>
      </c>
    </row>
    <row r="47" spans="2:11" x14ac:dyDescent="0.25">
      <c r="B47" t="s">
        <v>1</v>
      </c>
      <c r="C47" s="2" t="e">
        <f>DEVSQ(Table40[Newtonsoft (duration)])</f>
      </c>
      <c r="D47" s="2" t="e">
        <f>DEVSQ(Table40[Revenj.NET full (duration)])</f>
      </c>
      <c r="E47" s="2" t="e">
        <f>DEVSQ(Table40[Revenj.NET minimal (duration)])</f>
      </c>
      <c r="F47" s="2" t="e">
        <f>DEVSQ(Table40[Jackson (duration)])</f>
      </c>
      <c r="G47" s="2" t="e">
        <f>DEVSQ(Table40[DSL client Java full (duration)])</f>
      </c>
      <c r="H47" s="2" t="e">
        <f>DEVSQ(Table40[DSL client Java minimal (duration)])</f>
      </c>
      <c r="I47" s="2" t="e">
        <f>DEVSQ(Table40[Protobuf.NET (duration)])</f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47</v>
      </c>
      <c r="E51" t="s">
        <v>48</v>
      </c>
      <c r="F51" t="s">
        <v>49</v>
      </c>
      <c r="G51" t="s">
        <v>50</v>
      </c>
      <c r="H51" t="s">
        <v>13</v>
      </c>
      <c r="I51" t="s">
        <v>14</v>
      </c>
      <c r="J51" t="s">
        <v>51</v>
      </c>
      <c r="K51" t="s">
        <v>52</v>
      </c>
      <c r="L51" t="s">
        <v>53</v>
      </c>
      <c r="M51" t="s">
        <v>54</v>
      </c>
      <c r="N51" t="s">
        <v>16</v>
      </c>
      <c r="O51" t="s">
        <v>15</v>
      </c>
    </row>
    <row r="52" spans="2:15" x14ac:dyDescent="0.25">
      <c r="B52">
        <v>374</v>
      </c>
      <c r="C52">
        <v>12872468</v>
      </c>
      <c r="D52">
        <v>218</v>
      </c>
      <c r="E52">
        <v>12622475</v>
      </c>
      <c r="F52">
        <v>217</v>
      </c>
      <c r="G52">
        <v>11872475</v>
      </c>
      <c r="H52">
        <v>374</v>
      </c>
      <c r="I52">
        <v>12787102</v>
      </c>
      <c r="J52">
        <v>234</v>
      </c>
      <c r="K52">
        <v>12787087</v>
      </c>
      <c r="L52">
        <v>265</v>
      </c>
      <c r="M52">
        <v>12037087</v>
      </c>
      <c r="N52">
        <v>201</v>
      </c>
      <c r="O52">
        <v>5472477</v>
      </c>
    </row>
    <row r="53" spans="2:15" x14ac:dyDescent="0.25">
      <c r="B53">
        <v>378</v>
      </c>
      <c r="C53">
        <v>12872468</v>
      </c>
      <c r="D53">
        <v>226</v>
      </c>
      <c r="E53">
        <v>12622475</v>
      </c>
      <c r="F53">
        <v>216</v>
      </c>
      <c r="G53">
        <v>11872475</v>
      </c>
      <c r="H53">
        <v>359</v>
      </c>
      <c r="I53">
        <v>12787102</v>
      </c>
      <c r="J53">
        <v>250</v>
      </c>
      <c r="K53">
        <v>12787087</v>
      </c>
      <c r="L53">
        <v>250</v>
      </c>
      <c r="M53">
        <v>12037087</v>
      </c>
      <c r="N53">
        <v>201</v>
      </c>
      <c r="O53">
        <v>5472477</v>
      </c>
    </row>
    <row r="54" spans="2:15" x14ac:dyDescent="0.25">
      <c r="B54">
        <v>374</v>
      </c>
      <c r="C54">
        <v>12872468</v>
      </c>
      <c r="D54">
        <v>216</v>
      </c>
      <c r="E54">
        <v>12622475</v>
      </c>
      <c r="F54">
        <v>215</v>
      </c>
      <c r="G54">
        <v>11872475</v>
      </c>
      <c r="H54">
        <v>375</v>
      </c>
      <c r="I54">
        <v>12787102</v>
      </c>
      <c r="J54">
        <v>203</v>
      </c>
      <c r="K54">
        <v>12787087</v>
      </c>
      <c r="L54">
        <v>266</v>
      </c>
      <c r="M54">
        <v>12037087</v>
      </c>
      <c r="N54">
        <v>197</v>
      </c>
      <c r="O54">
        <v>5472477</v>
      </c>
    </row>
    <row r="55" spans="2:15" x14ac:dyDescent="0.25"/>
    <row r="56" spans="2:15" x14ac:dyDescent="0.25">
      <c r="B56" s="1" t="s">
        <v>7</v>
      </c>
    </row>
    <row r="57" spans="2:15" x14ac:dyDescent="0.25">
      <c r="B57" t="s">
        <v>9</v>
      </c>
      <c r="C57" t="s">
        <v>47</v>
      </c>
      <c r="D57" t="s">
        <v>49</v>
      </c>
      <c r="E57" t="s">
        <v>13</v>
      </c>
      <c r="F57" t="s">
        <v>51</v>
      </c>
      <c r="G57" t="s">
        <v>53</v>
      </c>
      <c r="H57" t="s">
        <v>16</v>
      </c>
      <c r="I57" t="s">
        <v>39</v>
      </c>
      <c r="J57" t="s">
        <v>40</v>
      </c>
    </row>
    <row r="58" spans="2:15" x14ac:dyDescent="0.25">
      <c r="B58">
        <v>1193</v>
      </c>
      <c r="C58">
        <v>343</v>
      </c>
      <c r="D58">
        <v>346</v>
      </c>
      <c r="E58">
        <v>842</v>
      </c>
      <c r="F58">
        <v>312</v>
      </c>
      <c r="G58">
        <v>281</v>
      </c>
      <c r="H58">
        <v>444</v>
      </c>
      <c r="I58">
        <v>115</v>
      </c>
      <c r="J58">
        <v>156</v>
      </c>
    </row>
    <row r="59" spans="2:15" x14ac:dyDescent="0.25">
      <c r="B59">
        <v>1225</v>
      </c>
      <c r="C59">
        <v>354</v>
      </c>
      <c r="D59">
        <v>340</v>
      </c>
      <c r="E59">
        <v>952</v>
      </c>
      <c r="F59">
        <v>297</v>
      </c>
      <c r="G59">
        <v>296</v>
      </c>
      <c r="H59">
        <v>488</v>
      </c>
      <c r="I59">
        <v>116</v>
      </c>
      <c r="J59">
        <v>156</v>
      </c>
    </row>
    <row r="60" spans="2:15" x14ac:dyDescent="0.25">
      <c r="B60">
        <v>1261</v>
      </c>
      <c r="C60">
        <v>350</v>
      </c>
      <c r="D60">
        <v>339</v>
      </c>
      <c r="E60">
        <v>904</v>
      </c>
      <c r="F60">
        <v>296</v>
      </c>
      <c r="G60">
        <v>281</v>
      </c>
      <c r="H60">
        <v>464</v>
      </c>
      <c r="I60">
        <v>116</v>
      </c>
      <c r="J60">
        <v>172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2015-01-20T14:27:01Z</dcterms:modified>
</cp:coreProperties>
</file>