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filterPrivacy="1" codeName="ThisWorkbook" defaultThemeVersion="124226"/>
  <bookViews>
    <workbookView xWindow="240" yWindow="110" windowWidth="4190" windowHeight="2380" tabRatio="607" activeTab="3"/>
  </bookViews>
  <sheets>
    <sheet name="Readme" sheetId="42" r:id="rId1"/>
    <sheet name="Configuration Input" sheetId="53" r:id="rId2"/>
    <sheet name="Performance Summary" sheetId="55" r:id="rId3"/>
    <sheet name="AlexNet" sheetId="40" r:id="rId4"/>
    <sheet name="GoogLeNet" sheetId="41" r:id="rId5"/>
    <sheet name="ResNet50" sheetId="50" r:id="rId6"/>
    <sheet name="DataSheet" sheetId="54" state="hidden" r:id="rId7"/>
  </sheets>
  <calcPr calcId="171027" calcMode="manual"/>
  <fileRecoveryPr autoRecover="0"/>
</workbook>
</file>

<file path=xl/calcChain.xml><?xml version="1.0" encoding="utf-8"?>
<calcChain xmlns="http://schemas.openxmlformats.org/spreadsheetml/2006/main">
  <c r="C5" i="50" l="1"/>
  <c r="C5" i="41"/>
  <c r="C5" i="40"/>
  <c r="C9" i="41"/>
  <c r="C8" i="41"/>
  <c r="C7" i="41"/>
  <c r="C6" i="41"/>
  <c r="C4" i="41"/>
  <c r="C3" i="41"/>
  <c r="C2" i="41"/>
  <c r="C1" i="41"/>
  <c r="C9" i="50"/>
  <c r="C8" i="50"/>
  <c r="C7" i="50"/>
  <c r="C6" i="50"/>
  <c r="C4" i="50"/>
  <c r="C3" i="50"/>
  <c r="C2" i="50"/>
  <c r="C1" i="50"/>
  <c r="C9" i="40"/>
  <c r="C8" i="40"/>
  <c r="C7" i="40"/>
  <c r="C6" i="40"/>
  <c r="C4" i="40"/>
  <c r="C3" i="40"/>
  <c r="AB17" i="40" s="1"/>
  <c r="C2" i="40"/>
  <c r="AB15" i="40" s="1"/>
  <c r="C1" i="40"/>
  <c r="Y21" i="40" s="1"/>
  <c r="AB13" i="40" l="1"/>
  <c r="AB20" i="40"/>
  <c r="AB14" i="40"/>
  <c r="AB21" i="40"/>
  <c r="AB16" i="40"/>
  <c r="Y14" i="40"/>
  <c r="AB18" i="40"/>
  <c r="AB11" i="40"/>
  <c r="AB19" i="40"/>
  <c r="AB12" i="40"/>
  <c r="Y15" i="40"/>
  <c r="Y16" i="40"/>
  <c r="Y17" i="40"/>
  <c r="Y18" i="40"/>
  <c r="Y11" i="40"/>
  <c r="Y19" i="40"/>
  <c r="Y12" i="40"/>
  <c r="Y20" i="40"/>
  <c r="Y13" i="40"/>
  <c r="AO68" i="41"/>
  <c r="AO60" i="41"/>
  <c r="AO52" i="41"/>
  <c r="AO44" i="41"/>
  <c r="AO36" i="41"/>
  <c r="AO28" i="41"/>
  <c r="AO20" i="41"/>
  <c r="AB84" i="41"/>
  <c r="AB83" i="41"/>
  <c r="AB82" i="41"/>
  <c r="AB81" i="41"/>
  <c r="AB79" i="41"/>
  <c r="AB78" i="41"/>
  <c r="AB77" i="41"/>
  <c r="AB75" i="41"/>
  <c r="AB74" i="41"/>
  <c r="AB73" i="41"/>
  <c r="AB71" i="41"/>
  <c r="AB70" i="41"/>
  <c r="AB69" i="41"/>
  <c r="AB67" i="41"/>
  <c r="AB66" i="41"/>
  <c r="AB65" i="41"/>
  <c r="AB63" i="41"/>
  <c r="AB62" i="41"/>
  <c r="AB61" i="41"/>
  <c r="AB59" i="41"/>
  <c r="AB58" i="41"/>
  <c r="AB57" i="41"/>
  <c r="AB55" i="41"/>
  <c r="AB54" i="41"/>
  <c r="AB53" i="41"/>
  <c r="AB51" i="41"/>
  <c r="AB50" i="41"/>
  <c r="AB49" i="41"/>
  <c r="AB47" i="41"/>
  <c r="AB46" i="41"/>
  <c r="AB45" i="41"/>
  <c r="AB43" i="41"/>
  <c r="AB42" i="41"/>
  <c r="AB41" i="41"/>
  <c r="AB39" i="41"/>
  <c r="AB38" i="41"/>
  <c r="AB37" i="41"/>
  <c r="AB35" i="41"/>
  <c r="AB34" i="41"/>
  <c r="AB33" i="41"/>
  <c r="AB31" i="41"/>
  <c r="AB30" i="41"/>
  <c r="AB29" i="41"/>
  <c r="AB27" i="41"/>
  <c r="AB26" i="41"/>
  <c r="AB25" i="41"/>
  <c r="AB23" i="41"/>
  <c r="AB22" i="41"/>
  <c r="AB21" i="41"/>
  <c r="AB19" i="41"/>
  <c r="AB18" i="41"/>
  <c r="AB17" i="41"/>
  <c r="AB15" i="41"/>
  <c r="AB14" i="41"/>
  <c r="AB13" i="41"/>
  <c r="AB12" i="41"/>
  <c r="AB11" i="41"/>
  <c r="Y84" i="41"/>
  <c r="Y83" i="41"/>
  <c r="Y82" i="41"/>
  <c r="Y81" i="41"/>
  <c r="Y79" i="41"/>
  <c r="Y78" i="41"/>
  <c r="Y77" i="41"/>
  <c r="Y75" i="41"/>
  <c r="Y74" i="41"/>
  <c r="Y73" i="41"/>
  <c r="Y71" i="41"/>
  <c r="Y70" i="41"/>
  <c r="Y69" i="41"/>
  <c r="Y67" i="41"/>
  <c r="Y66" i="41"/>
  <c r="Y65" i="41"/>
  <c r="Y63" i="41"/>
  <c r="Y62" i="41"/>
  <c r="Y61" i="41"/>
  <c r="Y59" i="41"/>
  <c r="Y58" i="41"/>
  <c r="Y57" i="41"/>
  <c r="Y55" i="41"/>
  <c r="Y54" i="41"/>
  <c r="Y53" i="41"/>
  <c r="Y51" i="41"/>
  <c r="Y50" i="41"/>
  <c r="Y49" i="41"/>
  <c r="Y47" i="41"/>
  <c r="Y46" i="41"/>
  <c r="Y45" i="41"/>
  <c r="Y43" i="41"/>
  <c r="Y42" i="41"/>
  <c r="Y41" i="41"/>
  <c r="Y39" i="41"/>
  <c r="Y38" i="41"/>
  <c r="Y37" i="41"/>
  <c r="Y35" i="41"/>
  <c r="Y34" i="41"/>
  <c r="Y33" i="41"/>
  <c r="Y31" i="41"/>
  <c r="Y30" i="41"/>
  <c r="Y29" i="41"/>
  <c r="Y27" i="41"/>
  <c r="Y26" i="41"/>
  <c r="Y25" i="41"/>
  <c r="Y23" i="41"/>
  <c r="Y22" i="41"/>
  <c r="Y21" i="41"/>
  <c r="Y19" i="41"/>
  <c r="Y18" i="41"/>
  <c r="Y17" i="41"/>
  <c r="Y15" i="41"/>
  <c r="Y14" i="41"/>
  <c r="Y13" i="41"/>
  <c r="Y12" i="41"/>
  <c r="Y11" i="41"/>
  <c r="AA64" i="50" l="1"/>
  <c r="AA63" i="50"/>
  <c r="AA62" i="50"/>
  <c r="AA61" i="50"/>
  <c r="AA60" i="50"/>
  <c r="AA59" i="50"/>
  <c r="AA58" i="50"/>
  <c r="AA57" i="50"/>
  <c r="AA56" i="50"/>
  <c r="AA55" i="50"/>
  <c r="AA54" i="50"/>
  <c r="AA53" i="50"/>
  <c r="AA52" i="50"/>
  <c r="AA51" i="50"/>
  <c r="AA50" i="50"/>
  <c r="AA49" i="50"/>
  <c r="AA48" i="50"/>
  <c r="AA47" i="50"/>
  <c r="AA46" i="50"/>
  <c r="AA45" i="50"/>
  <c r="AA44" i="50"/>
  <c r="AA43" i="50"/>
  <c r="AA42" i="50"/>
  <c r="AA41" i="50"/>
  <c r="AA40" i="50"/>
  <c r="AA39" i="50"/>
  <c r="AA38" i="50"/>
  <c r="AA37" i="50"/>
  <c r="AA36" i="50"/>
  <c r="AA35" i="50"/>
  <c r="AA34" i="50"/>
  <c r="AA33" i="50"/>
  <c r="AA32" i="50"/>
  <c r="AA31" i="50"/>
  <c r="AA30" i="50"/>
  <c r="AA29" i="50"/>
  <c r="AA28" i="50"/>
  <c r="AA27" i="50"/>
  <c r="AA26" i="50"/>
  <c r="AA25" i="50"/>
  <c r="AA24" i="50"/>
  <c r="AA23" i="50"/>
  <c r="AA22" i="50"/>
  <c r="AA21" i="50"/>
  <c r="AA20" i="50"/>
  <c r="AA19" i="50"/>
  <c r="AA18" i="50"/>
  <c r="AA17" i="50"/>
  <c r="AA16" i="50"/>
  <c r="AA15" i="50"/>
  <c r="AA14" i="50"/>
  <c r="AA13" i="50"/>
  <c r="AA12" i="50"/>
  <c r="AA11" i="50"/>
  <c r="Y11" i="50"/>
  <c r="Y64" i="50"/>
  <c r="Y63" i="50"/>
  <c r="Y62" i="50"/>
  <c r="Y61" i="50"/>
  <c r="Y60" i="50"/>
  <c r="Y59" i="50"/>
  <c r="Y58" i="50"/>
  <c r="Y57" i="50"/>
  <c r="Y56" i="50"/>
  <c r="Y55" i="50"/>
  <c r="Y54" i="50"/>
  <c r="Y53" i="50"/>
  <c r="Y52" i="50"/>
  <c r="Y51" i="50"/>
  <c r="Y50" i="50"/>
  <c r="Y49" i="50"/>
  <c r="Y48" i="50"/>
  <c r="Y47" i="50"/>
  <c r="Y46" i="50"/>
  <c r="Y45" i="50"/>
  <c r="Y44" i="50"/>
  <c r="Y43" i="50"/>
  <c r="Y42" i="50"/>
  <c r="Y41" i="50"/>
  <c r="Y40" i="50"/>
  <c r="Y39" i="50"/>
  <c r="Y38" i="50"/>
  <c r="Y37" i="50"/>
  <c r="Y36" i="50"/>
  <c r="Y35" i="50"/>
  <c r="Y34" i="50"/>
  <c r="Y33" i="50"/>
  <c r="Y32" i="50"/>
  <c r="Y31" i="50"/>
  <c r="Y30" i="50"/>
  <c r="Y29" i="50"/>
  <c r="Y28" i="50"/>
  <c r="Y27" i="50"/>
  <c r="Y26" i="50"/>
  <c r="Y25" i="50"/>
  <c r="Y24" i="50"/>
  <c r="Y23" i="50"/>
  <c r="Y22" i="50"/>
  <c r="Y21" i="50"/>
  <c r="Y20" i="50"/>
  <c r="Y19" i="50"/>
  <c r="Y18" i="50"/>
  <c r="Y17" i="50"/>
  <c r="Y16" i="50"/>
  <c r="Y15" i="50"/>
  <c r="Y14" i="50"/>
  <c r="Y13" i="50"/>
  <c r="Y12" i="50"/>
  <c r="AN11" i="50" l="1"/>
  <c r="X64" i="50"/>
  <c r="AM64" i="50"/>
  <c r="AB64" i="50" s="1"/>
  <c r="O64" i="50"/>
  <c r="V64" i="50" s="1"/>
  <c r="N64" i="50"/>
  <c r="X63" i="50"/>
  <c r="AM63" i="50"/>
  <c r="AB63" i="50" s="1"/>
  <c r="O63" i="50"/>
  <c r="V63" i="50" s="1"/>
  <c r="N63" i="50"/>
  <c r="U63" i="50" s="1"/>
  <c r="X62" i="50"/>
  <c r="AM62" i="50"/>
  <c r="AB62" i="50" s="1"/>
  <c r="O62" i="50"/>
  <c r="V62" i="50" s="1"/>
  <c r="N62" i="50"/>
  <c r="U62" i="50" s="1"/>
  <c r="X61" i="50"/>
  <c r="AM61" i="50"/>
  <c r="AB61" i="50" s="1"/>
  <c r="O61" i="50"/>
  <c r="V61" i="50" s="1"/>
  <c r="N61" i="50"/>
  <c r="X60" i="50"/>
  <c r="AM60" i="50"/>
  <c r="AB60" i="50" s="1"/>
  <c r="O60" i="50"/>
  <c r="V60" i="50" s="1"/>
  <c r="N60" i="50"/>
  <c r="X59" i="50"/>
  <c r="AM59" i="50"/>
  <c r="AB59" i="50" s="1"/>
  <c r="O59" i="50"/>
  <c r="V59" i="50" s="1"/>
  <c r="N59" i="50"/>
  <c r="X58" i="50"/>
  <c r="AM58" i="50"/>
  <c r="AB58" i="50" s="1"/>
  <c r="O58" i="50"/>
  <c r="V58" i="50" s="1"/>
  <c r="N58" i="50"/>
  <c r="U58" i="50" s="1"/>
  <c r="X57" i="50"/>
  <c r="AM57" i="50"/>
  <c r="AB57" i="50" s="1"/>
  <c r="O57" i="50"/>
  <c r="V57" i="50" s="1"/>
  <c r="N57" i="50"/>
  <c r="X56" i="50"/>
  <c r="AM56" i="50"/>
  <c r="AB56" i="50" s="1"/>
  <c r="O56" i="50"/>
  <c r="V56" i="50" s="1"/>
  <c r="N56" i="50"/>
  <c r="X55" i="50"/>
  <c r="AM55" i="50"/>
  <c r="AB55" i="50" s="1"/>
  <c r="O55" i="50"/>
  <c r="V55" i="50" s="1"/>
  <c r="N55" i="50"/>
  <c r="X54" i="50"/>
  <c r="AM54" i="50"/>
  <c r="AB54" i="50" s="1"/>
  <c r="O54" i="50"/>
  <c r="V54" i="50" s="1"/>
  <c r="N54" i="50"/>
  <c r="X53" i="50"/>
  <c r="AM53" i="50"/>
  <c r="AB53" i="50" s="1"/>
  <c r="O53" i="50"/>
  <c r="N53" i="50"/>
  <c r="U53" i="50" s="1"/>
  <c r="X52" i="50"/>
  <c r="AM52" i="50"/>
  <c r="AB52" i="50" s="1"/>
  <c r="O52" i="50"/>
  <c r="V52" i="50" s="1"/>
  <c r="N52" i="50"/>
  <c r="X51" i="50"/>
  <c r="AM51" i="50"/>
  <c r="AB51" i="50" s="1"/>
  <c r="O51" i="50"/>
  <c r="V51" i="50" s="1"/>
  <c r="N51" i="50"/>
  <c r="X50" i="50"/>
  <c r="AM50" i="50"/>
  <c r="AB50" i="50" s="1"/>
  <c r="O50" i="50"/>
  <c r="V50" i="50" s="1"/>
  <c r="N50" i="50"/>
  <c r="X49" i="50"/>
  <c r="AM49" i="50"/>
  <c r="AB49" i="50" s="1"/>
  <c r="O49" i="50"/>
  <c r="V49" i="50" s="1"/>
  <c r="N49" i="50"/>
  <c r="X48" i="50"/>
  <c r="AM48" i="50"/>
  <c r="AB48" i="50" s="1"/>
  <c r="O48" i="50"/>
  <c r="V48" i="50" s="1"/>
  <c r="N48" i="50"/>
  <c r="U48" i="50" s="1"/>
  <c r="X47" i="50"/>
  <c r="AM47" i="50"/>
  <c r="AB47" i="50" s="1"/>
  <c r="O47" i="50"/>
  <c r="V47" i="50" s="1"/>
  <c r="N47" i="50"/>
  <c r="X46" i="50"/>
  <c r="AM46" i="50"/>
  <c r="AB46" i="50" s="1"/>
  <c r="O46" i="50"/>
  <c r="V46" i="50" s="1"/>
  <c r="N46" i="50"/>
  <c r="U46" i="50" s="1"/>
  <c r="X45" i="50"/>
  <c r="AM45" i="50"/>
  <c r="AB45" i="50" s="1"/>
  <c r="O45" i="50"/>
  <c r="V45" i="50" s="1"/>
  <c r="N45" i="50"/>
  <c r="U45" i="50" s="1"/>
  <c r="X44" i="50"/>
  <c r="AM44" i="50"/>
  <c r="AB44" i="50" s="1"/>
  <c r="O44" i="50"/>
  <c r="V44" i="50" s="1"/>
  <c r="N44" i="50"/>
  <c r="U44" i="50" s="1"/>
  <c r="X43" i="50"/>
  <c r="AM43" i="50"/>
  <c r="AB43" i="50" s="1"/>
  <c r="O43" i="50"/>
  <c r="V43" i="50" s="1"/>
  <c r="N43" i="50"/>
  <c r="X42" i="50"/>
  <c r="AM42" i="50"/>
  <c r="AB42" i="50" s="1"/>
  <c r="O42" i="50"/>
  <c r="V42" i="50" s="1"/>
  <c r="N42" i="50"/>
  <c r="X41" i="50"/>
  <c r="AM41" i="50"/>
  <c r="AB41" i="50" s="1"/>
  <c r="O41" i="50"/>
  <c r="N41" i="50"/>
  <c r="U41" i="50" s="1"/>
  <c r="X40" i="50"/>
  <c r="AM40" i="50"/>
  <c r="AB40" i="50" s="1"/>
  <c r="O40" i="50"/>
  <c r="V40" i="50" s="1"/>
  <c r="N40" i="50"/>
  <c r="U40" i="50" s="1"/>
  <c r="X39" i="50"/>
  <c r="AM39" i="50"/>
  <c r="AB39" i="50" s="1"/>
  <c r="O39" i="50"/>
  <c r="V39" i="50" s="1"/>
  <c r="N39" i="50"/>
  <c r="X38" i="50"/>
  <c r="AM38" i="50"/>
  <c r="AB38" i="50" s="1"/>
  <c r="O38" i="50"/>
  <c r="V38" i="50" s="1"/>
  <c r="N38" i="50"/>
  <c r="X37" i="50"/>
  <c r="AM37" i="50"/>
  <c r="AB37" i="50" s="1"/>
  <c r="O37" i="50"/>
  <c r="V37" i="50" s="1"/>
  <c r="N37" i="50"/>
  <c r="U37" i="50" s="1"/>
  <c r="X36" i="50"/>
  <c r="AM36" i="50"/>
  <c r="AB36" i="50" s="1"/>
  <c r="O36" i="50"/>
  <c r="N36" i="50"/>
  <c r="U36" i="50" s="1"/>
  <c r="X35" i="50"/>
  <c r="AM35" i="50"/>
  <c r="AB35" i="50" s="1"/>
  <c r="O35" i="50"/>
  <c r="V35" i="50" s="1"/>
  <c r="N35" i="50"/>
  <c r="U35" i="50" s="1"/>
  <c r="X34" i="50"/>
  <c r="AM34" i="50"/>
  <c r="AB34" i="50" s="1"/>
  <c r="O34" i="50"/>
  <c r="V34" i="50" s="1"/>
  <c r="N34" i="50"/>
  <c r="X33" i="50"/>
  <c r="AM33" i="50"/>
  <c r="AB33" i="50" s="1"/>
  <c r="O33" i="50"/>
  <c r="V33" i="50" s="1"/>
  <c r="N33" i="50"/>
  <c r="U33" i="50" s="1"/>
  <c r="X32" i="50"/>
  <c r="AM32" i="50"/>
  <c r="AB32" i="50" s="1"/>
  <c r="O32" i="50"/>
  <c r="V32" i="50" s="1"/>
  <c r="N32" i="50"/>
  <c r="U32" i="50" s="1"/>
  <c r="X31" i="50"/>
  <c r="AM31" i="50"/>
  <c r="AB31" i="50" s="1"/>
  <c r="O31" i="50"/>
  <c r="V31" i="50" s="1"/>
  <c r="N31" i="50"/>
  <c r="U31" i="50" s="1"/>
  <c r="X30" i="50"/>
  <c r="AM30" i="50"/>
  <c r="AB30" i="50" s="1"/>
  <c r="O30" i="50"/>
  <c r="V30" i="50" s="1"/>
  <c r="N30" i="50"/>
  <c r="X29" i="50"/>
  <c r="AM29" i="50"/>
  <c r="AB29" i="50" s="1"/>
  <c r="O29" i="50"/>
  <c r="N29" i="50"/>
  <c r="U29" i="50" s="1"/>
  <c r="X28" i="50"/>
  <c r="AM28" i="50"/>
  <c r="AB28" i="50" s="1"/>
  <c r="O28" i="50"/>
  <c r="V28" i="50" s="1"/>
  <c r="N28" i="50"/>
  <c r="U28" i="50" s="1"/>
  <c r="X27" i="50"/>
  <c r="AM27" i="50"/>
  <c r="AB27" i="50" s="1"/>
  <c r="O27" i="50"/>
  <c r="V27" i="50" s="1"/>
  <c r="N27" i="50"/>
  <c r="U27" i="50" s="1"/>
  <c r="X26" i="50"/>
  <c r="AM26" i="50"/>
  <c r="AB26" i="50" s="1"/>
  <c r="O26" i="50"/>
  <c r="V26" i="50" s="1"/>
  <c r="N26" i="50"/>
  <c r="X25" i="50"/>
  <c r="AM25" i="50"/>
  <c r="AB25" i="50" s="1"/>
  <c r="O25" i="50"/>
  <c r="V25" i="50" s="1"/>
  <c r="N25" i="50"/>
  <c r="U25" i="50" s="1"/>
  <c r="X24" i="50"/>
  <c r="AM24" i="50"/>
  <c r="AB24" i="50" s="1"/>
  <c r="O24" i="50"/>
  <c r="V24" i="50" s="1"/>
  <c r="N24" i="50"/>
  <c r="U24" i="50" s="1"/>
  <c r="X23" i="50"/>
  <c r="AM23" i="50"/>
  <c r="AB23" i="50" s="1"/>
  <c r="O23" i="50"/>
  <c r="V23" i="50" s="1"/>
  <c r="N23" i="50"/>
  <c r="U23" i="50" s="1"/>
  <c r="X22" i="50"/>
  <c r="AM22" i="50"/>
  <c r="AB22" i="50" s="1"/>
  <c r="O22" i="50"/>
  <c r="V22" i="50" s="1"/>
  <c r="N22" i="50"/>
  <c r="U22" i="50" s="1"/>
  <c r="X21" i="50"/>
  <c r="AM21" i="50"/>
  <c r="AB21" i="50" s="1"/>
  <c r="O21" i="50"/>
  <c r="V21" i="50" s="1"/>
  <c r="N21" i="50"/>
  <c r="U21" i="50" s="1"/>
  <c r="X20" i="50"/>
  <c r="AM20" i="50"/>
  <c r="AB20" i="50" s="1"/>
  <c r="O20" i="50"/>
  <c r="V20" i="50" s="1"/>
  <c r="N20" i="50"/>
  <c r="X19" i="50"/>
  <c r="AM19" i="50"/>
  <c r="AB19" i="50" s="1"/>
  <c r="O19" i="50"/>
  <c r="V19" i="50" s="1"/>
  <c r="N19" i="50"/>
  <c r="X18" i="50"/>
  <c r="AM18" i="50"/>
  <c r="AB18" i="50" s="1"/>
  <c r="O18" i="50"/>
  <c r="V18" i="50" s="1"/>
  <c r="N18" i="50"/>
  <c r="U18" i="50" s="1"/>
  <c r="X17" i="50"/>
  <c r="AM17" i="50"/>
  <c r="AB17" i="50" s="1"/>
  <c r="O17" i="50"/>
  <c r="V17" i="50" s="1"/>
  <c r="N17" i="50"/>
  <c r="X16" i="50"/>
  <c r="AM16" i="50"/>
  <c r="AB16" i="50" s="1"/>
  <c r="O16" i="50"/>
  <c r="N16" i="50"/>
  <c r="U16" i="50" s="1"/>
  <c r="X15" i="50"/>
  <c r="AM15" i="50"/>
  <c r="AB15" i="50" s="1"/>
  <c r="O15" i="50"/>
  <c r="V15" i="50" s="1"/>
  <c r="N15" i="50"/>
  <c r="U15" i="50" s="1"/>
  <c r="X14" i="50"/>
  <c r="AM14" i="50"/>
  <c r="AB14" i="50" s="1"/>
  <c r="O14" i="50"/>
  <c r="V14" i="50" s="1"/>
  <c r="N14" i="50"/>
  <c r="X13" i="50"/>
  <c r="AM13" i="50"/>
  <c r="AB13" i="50" s="1"/>
  <c r="O13" i="50"/>
  <c r="V13" i="50" s="1"/>
  <c r="N13" i="50"/>
  <c r="U13" i="50" s="1"/>
  <c r="X12" i="50"/>
  <c r="AM12" i="50"/>
  <c r="AB12" i="50" s="1"/>
  <c r="O12" i="50"/>
  <c r="V12" i="50" s="1"/>
  <c r="N12" i="50"/>
  <c r="U12" i="50" s="1"/>
  <c r="AG11" i="50"/>
  <c r="AB11" i="50"/>
  <c r="X11" i="50"/>
  <c r="AM11" i="50"/>
  <c r="O11" i="50"/>
  <c r="V11" i="50" s="1"/>
  <c r="N11" i="50"/>
  <c r="AN24" i="50" l="1"/>
  <c r="AN64" i="50"/>
  <c r="AN16" i="50"/>
  <c r="AN56" i="50"/>
  <c r="AN20" i="50"/>
  <c r="AN36" i="50"/>
  <c r="AN40" i="50"/>
  <c r="AN52" i="50"/>
  <c r="AN60" i="50"/>
  <c r="AN12" i="50"/>
  <c r="AN28" i="50"/>
  <c r="AN32" i="50"/>
  <c r="AN44" i="50"/>
  <c r="AN48" i="50"/>
  <c r="AN15" i="50"/>
  <c r="AN19" i="50"/>
  <c r="AN23" i="50"/>
  <c r="AN27" i="50"/>
  <c r="AN31" i="50"/>
  <c r="AN35" i="50"/>
  <c r="AN39" i="50"/>
  <c r="AN43" i="50"/>
  <c r="AN47" i="50"/>
  <c r="AN51" i="50"/>
  <c r="AN55" i="50"/>
  <c r="AN59" i="50"/>
  <c r="AN63" i="50"/>
  <c r="AN14" i="50"/>
  <c r="AN18" i="50"/>
  <c r="AN22" i="50"/>
  <c r="AN26" i="50"/>
  <c r="AN30" i="50"/>
  <c r="AN34" i="50"/>
  <c r="AN38" i="50"/>
  <c r="AN42" i="50"/>
  <c r="AN46" i="50"/>
  <c r="AN50" i="50"/>
  <c r="AN54" i="50"/>
  <c r="AN58" i="50"/>
  <c r="AN62" i="50"/>
  <c r="AN13" i="50"/>
  <c r="AN17" i="50"/>
  <c r="AN21" i="50"/>
  <c r="AN25" i="50"/>
  <c r="AN29" i="50"/>
  <c r="AN33" i="50"/>
  <c r="AN37" i="50"/>
  <c r="AN41" i="50"/>
  <c r="AN45" i="50"/>
  <c r="AN49" i="50"/>
  <c r="AN53" i="50"/>
  <c r="AN57" i="50"/>
  <c r="AN61" i="50"/>
  <c r="AF34" i="50"/>
  <c r="AG34" i="50" s="1"/>
  <c r="AF19" i="50"/>
  <c r="AG19" i="50" s="1"/>
  <c r="AF57" i="50"/>
  <c r="AG57" i="50" s="1"/>
  <c r="AF60" i="50"/>
  <c r="AG60" i="50" s="1"/>
  <c r="AF35" i="50"/>
  <c r="AG35" i="50" s="1"/>
  <c r="AF40" i="50"/>
  <c r="AG40" i="50" s="1"/>
  <c r="AF64" i="50"/>
  <c r="AG64" i="50" s="1"/>
  <c r="AF23" i="50"/>
  <c r="AG23" i="50" s="1"/>
  <c r="AF31" i="50"/>
  <c r="AG31" i="50" s="1"/>
  <c r="AF38" i="50"/>
  <c r="AG38" i="50" s="1"/>
  <c r="AF62" i="50"/>
  <c r="AG62" i="50" s="1"/>
  <c r="AF27" i="50"/>
  <c r="AG27" i="50" s="1"/>
  <c r="AF21" i="50"/>
  <c r="AG21" i="50" s="1"/>
  <c r="AF45" i="50"/>
  <c r="AG45" i="50" s="1"/>
  <c r="Z12" i="50"/>
  <c r="Z13" i="50"/>
  <c r="W59" i="50"/>
  <c r="U59" i="50"/>
  <c r="Z59" i="50" s="1"/>
  <c r="W54" i="50"/>
  <c r="W12" i="50"/>
  <c r="AF61" i="50"/>
  <c r="AG61" i="50" s="1"/>
  <c r="W13" i="50"/>
  <c r="AF16" i="50"/>
  <c r="AG16" i="50" s="1"/>
  <c r="W18" i="50"/>
  <c r="Z46" i="50"/>
  <c r="AH46" i="50" s="1"/>
  <c r="AI46" i="50" s="1"/>
  <c r="AF13" i="50"/>
  <c r="AG13" i="50" s="1"/>
  <c r="W43" i="50"/>
  <c r="W60" i="50"/>
  <c r="W62" i="50"/>
  <c r="AF51" i="50"/>
  <c r="AG51" i="50" s="1"/>
  <c r="W50" i="50"/>
  <c r="U50" i="50"/>
  <c r="Z50" i="50" s="1"/>
  <c r="Z45" i="50"/>
  <c r="W42" i="50"/>
  <c r="W41" i="50"/>
  <c r="U43" i="50"/>
  <c r="Z43" i="50" s="1"/>
  <c r="Z44" i="50"/>
  <c r="AF39" i="50"/>
  <c r="AG39" i="50" s="1"/>
  <c r="W38" i="50"/>
  <c r="AF44" i="50"/>
  <c r="AG44" i="50" s="1"/>
  <c r="AF47" i="50"/>
  <c r="AG47" i="50" s="1"/>
  <c r="W37" i="50"/>
  <c r="Z18" i="50"/>
  <c r="Z37" i="50"/>
  <c r="W16" i="50"/>
  <c r="W35" i="50"/>
  <c r="W40" i="50"/>
  <c r="U42" i="50"/>
  <c r="Z42" i="50" s="1"/>
  <c r="AF43" i="50"/>
  <c r="AG43" i="50" s="1"/>
  <c r="AF48" i="50"/>
  <c r="AG48" i="50" s="1"/>
  <c r="U60" i="50"/>
  <c r="Z60" i="50" s="1"/>
  <c r="W64" i="50"/>
  <c r="W15" i="50"/>
  <c r="V16" i="50"/>
  <c r="Z16" i="50" s="1"/>
  <c r="W36" i="50"/>
  <c r="AF52" i="50"/>
  <c r="AG52" i="50" s="1"/>
  <c r="U54" i="50"/>
  <c r="Z54" i="50" s="1"/>
  <c r="W55" i="50"/>
  <c r="Z15" i="50"/>
  <c r="Z40" i="50"/>
  <c r="W24" i="50"/>
  <c r="Z35" i="50"/>
  <c r="W49" i="50"/>
  <c r="Z33" i="50"/>
  <c r="W33" i="50"/>
  <c r="AF30" i="50"/>
  <c r="AG30" i="50" s="1"/>
  <c r="Z28" i="50"/>
  <c r="AO28" i="50" s="1"/>
  <c r="AF28" i="50"/>
  <c r="AG28" i="50" s="1"/>
  <c r="Z27" i="50"/>
  <c r="AO27" i="50" s="1"/>
  <c r="W26" i="50"/>
  <c r="U26" i="50"/>
  <c r="Z26" i="50" s="1"/>
  <c r="AF26" i="50"/>
  <c r="AG26" i="50" s="1"/>
  <c r="W25" i="50"/>
  <c r="Z24" i="50"/>
  <c r="Z22" i="50"/>
  <c r="AF22" i="50"/>
  <c r="AG22" i="50" s="1"/>
  <c r="Z21" i="50"/>
  <c r="W21" i="50"/>
  <c r="W19" i="50"/>
  <c r="W20" i="50"/>
  <c r="U20" i="50"/>
  <c r="Z20" i="50" s="1"/>
  <c r="AF20" i="50"/>
  <c r="AG20" i="50" s="1"/>
  <c r="U19" i="50"/>
  <c r="Z19" i="50" s="1"/>
  <c r="W17" i="50"/>
  <c r="U17" i="50"/>
  <c r="Z17" i="50" s="1"/>
  <c r="AO17" i="50" s="1"/>
  <c r="W11" i="50"/>
  <c r="U11" i="50"/>
  <c r="Z11" i="50" s="1"/>
  <c r="W14" i="50"/>
  <c r="AF15" i="50"/>
  <c r="AG15" i="50" s="1"/>
  <c r="Z23" i="50"/>
  <c r="Z25" i="50"/>
  <c r="W29" i="50"/>
  <c r="V29" i="50"/>
  <c r="Z29" i="50" s="1"/>
  <c r="U51" i="50"/>
  <c r="Z51" i="50" s="1"/>
  <c r="W51" i="50"/>
  <c r="W32" i="50"/>
  <c r="AF24" i="50"/>
  <c r="AG24" i="50" s="1"/>
  <c r="AF25" i="50"/>
  <c r="AG25" i="50" s="1"/>
  <c r="W31" i="50"/>
  <c r="U14" i="50"/>
  <c r="Z14" i="50" s="1"/>
  <c r="W23" i="50"/>
  <c r="AF14" i="50"/>
  <c r="AG14" i="50" s="1"/>
  <c r="AF17" i="50"/>
  <c r="AG17" i="50" s="1"/>
  <c r="AF29" i="50"/>
  <c r="AG29" i="50" s="1"/>
  <c r="AF32" i="50"/>
  <c r="AG32" i="50" s="1"/>
  <c r="AF12" i="50"/>
  <c r="AG12" i="50" s="1"/>
  <c r="AF33" i="50"/>
  <c r="AG33" i="50" s="1"/>
  <c r="W53" i="50"/>
  <c r="V53" i="50"/>
  <c r="Z53" i="50" s="1"/>
  <c r="AF18" i="50"/>
  <c r="AG18" i="50" s="1"/>
  <c r="W22" i="50"/>
  <c r="Z31" i="50"/>
  <c r="U34" i="50"/>
  <c r="Z34" i="50" s="1"/>
  <c r="W34" i="50"/>
  <c r="W27" i="50"/>
  <c r="W30" i="50"/>
  <c r="U30" i="50"/>
  <c r="Z30" i="50" s="1"/>
  <c r="Z32" i="50"/>
  <c r="AF42" i="50"/>
  <c r="AG42" i="50" s="1"/>
  <c r="W28" i="50"/>
  <c r="V36" i="50"/>
  <c r="Z36" i="50" s="1"/>
  <c r="V41" i="50"/>
  <c r="Z41" i="50" s="1"/>
  <c r="W44" i="50"/>
  <c r="W47" i="50"/>
  <c r="U47" i="50"/>
  <c r="Z47" i="50" s="1"/>
  <c r="U49" i="50"/>
  <c r="Z49" i="50" s="1"/>
  <c r="W52" i="50"/>
  <c r="AF36" i="50"/>
  <c r="AG36" i="50" s="1"/>
  <c r="W39" i="50"/>
  <c r="U39" i="50"/>
  <c r="Z39" i="50" s="1"/>
  <c r="W45" i="50"/>
  <c r="W48" i="50"/>
  <c r="AF53" i="50"/>
  <c r="AG53" i="50" s="1"/>
  <c r="AF41" i="50"/>
  <c r="AG41" i="50" s="1"/>
  <c r="AF46" i="50"/>
  <c r="AG46" i="50" s="1"/>
  <c r="AF49" i="50"/>
  <c r="AG49" i="50" s="1"/>
  <c r="AF37" i="50"/>
  <c r="AG37" i="50" s="1"/>
  <c r="AF50" i="50"/>
  <c r="AG50" i="50" s="1"/>
  <c r="U38" i="50"/>
  <c r="Z38" i="50" s="1"/>
  <c r="AO38" i="50" s="1"/>
  <c r="W46" i="50"/>
  <c r="Z48" i="50"/>
  <c r="U52" i="50"/>
  <c r="Z52" i="50" s="1"/>
  <c r="AF55" i="50"/>
  <c r="AG55" i="50" s="1"/>
  <c r="W58" i="50"/>
  <c r="Z62" i="50"/>
  <c r="AD64" i="50"/>
  <c r="AF54" i="50"/>
  <c r="AG54" i="50" s="1"/>
  <c r="W63" i="50"/>
  <c r="W56" i="50"/>
  <c r="U56" i="50"/>
  <c r="Z56" i="50" s="1"/>
  <c r="AF59" i="50"/>
  <c r="AG59" i="50" s="1"/>
  <c r="Z63" i="50"/>
  <c r="U55" i="50"/>
  <c r="Z55" i="50" s="1"/>
  <c r="W57" i="50"/>
  <c r="U57" i="50"/>
  <c r="Z57" i="50" s="1"/>
  <c r="Z58" i="50"/>
  <c r="AF63" i="50"/>
  <c r="AG63" i="50" s="1"/>
  <c r="AF56" i="50"/>
  <c r="AG56" i="50" s="1"/>
  <c r="W61" i="50"/>
  <c r="U61" i="50"/>
  <c r="Z61" i="50" s="1"/>
  <c r="AF58" i="50"/>
  <c r="AG58" i="50" s="1"/>
  <c r="U64" i="50"/>
  <c r="Z64" i="50" s="1"/>
  <c r="AO18" i="50" l="1"/>
  <c r="AO51" i="50"/>
  <c r="AO24" i="50"/>
  <c r="AO19" i="50"/>
  <c r="AO34" i="50"/>
  <c r="AO45" i="50"/>
  <c r="AO23" i="50"/>
  <c r="AO21" i="50"/>
  <c r="AO47" i="50"/>
  <c r="AO37" i="50"/>
  <c r="AO26" i="50"/>
  <c r="AO44" i="50"/>
  <c r="AO20" i="50"/>
  <c r="AO35" i="50"/>
  <c r="AO40" i="50"/>
  <c r="AO48" i="50"/>
  <c r="AO43" i="50"/>
  <c r="AO22" i="50"/>
  <c r="AP63" i="50"/>
  <c r="AO63" i="50"/>
  <c r="AO60" i="50"/>
  <c r="AP54" i="50"/>
  <c r="AO54" i="50"/>
  <c r="AO62" i="50"/>
  <c r="AP36" i="50"/>
  <c r="AO36" i="50"/>
  <c r="AO33" i="50"/>
  <c r="AP49" i="50"/>
  <c r="AO49" i="50"/>
  <c r="AO42" i="50"/>
  <c r="AO41" i="50"/>
  <c r="AP31" i="50"/>
  <c r="AO31" i="50"/>
  <c r="AP14" i="50"/>
  <c r="AO14" i="50"/>
  <c r="AP16" i="50"/>
  <c r="AO16" i="50"/>
  <c r="AO46" i="50"/>
  <c r="AP59" i="50"/>
  <c r="AO59" i="50"/>
  <c r="AO25" i="50"/>
  <c r="AP64" i="50"/>
  <c r="AO64" i="50"/>
  <c r="AO50" i="50"/>
  <c r="AO56" i="50"/>
  <c r="AP58" i="50"/>
  <c r="AO58" i="50"/>
  <c r="AO61" i="50"/>
  <c r="AP57" i="50"/>
  <c r="AO57" i="50"/>
  <c r="AP11" i="50"/>
  <c r="AO11" i="50"/>
  <c r="AP52" i="50"/>
  <c r="AO52" i="50"/>
  <c r="AP32" i="50"/>
  <c r="AO32" i="50"/>
  <c r="AP29" i="50"/>
  <c r="AO29" i="50"/>
  <c r="AP13" i="50"/>
  <c r="AO13" i="50"/>
  <c r="AP55" i="50"/>
  <c r="AO55" i="50"/>
  <c r="AP39" i="50"/>
  <c r="AO39" i="50"/>
  <c r="AP30" i="50"/>
  <c r="AO30" i="50"/>
  <c r="AP53" i="50"/>
  <c r="AO53" i="50"/>
  <c r="AO15" i="50"/>
  <c r="AP12" i="50"/>
  <c r="AO12" i="50"/>
  <c r="AH13" i="50"/>
  <c r="AI13" i="50" s="1"/>
  <c r="AH12" i="50"/>
  <c r="AI12" i="50" s="1"/>
  <c r="AP62" i="50"/>
  <c r="AP28" i="50"/>
  <c r="AH42" i="50"/>
  <c r="AI42" i="50" s="1"/>
  <c r="AP42" i="50"/>
  <c r="AP23" i="50"/>
  <c r="AH40" i="50"/>
  <c r="AI40" i="50" s="1"/>
  <c r="AP40" i="50"/>
  <c r="AH45" i="50"/>
  <c r="AI45" i="50" s="1"/>
  <c r="AP45" i="50"/>
  <c r="AP46" i="50"/>
  <c r="AP47" i="50"/>
  <c r="AP24" i="50"/>
  <c r="AP17" i="50"/>
  <c r="AH15" i="50"/>
  <c r="AI15" i="50" s="1"/>
  <c r="AP15" i="50"/>
  <c r="AH50" i="50"/>
  <c r="AI50" i="50" s="1"/>
  <c r="AP50" i="50"/>
  <c r="AP26" i="50"/>
  <c r="AP51" i="50"/>
  <c r="AH21" i="50"/>
  <c r="AI21" i="50" s="1"/>
  <c r="AP21" i="50"/>
  <c r="AP37" i="50"/>
  <c r="AP19" i="50"/>
  <c r="AP44" i="50"/>
  <c r="AH22" i="50"/>
  <c r="AI22" i="50" s="1"/>
  <c r="AP22" i="50"/>
  <c r="AP27" i="50"/>
  <c r="AP43" i="50"/>
  <c r="AP60" i="50"/>
  <c r="AP56" i="50"/>
  <c r="AP34" i="50"/>
  <c r="AP48" i="50"/>
  <c r="AP38" i="50"/>
  <c r="AP41" i="50"/>
  <c r="AH33" i="50"/>
  <c r="AI33" i="50" s="1"/>
  <c r="AP33" i="50"/>
  <c r="AP18" i="50"/>
  <c r="AP25" i="50"/>
  <c r="AP20" i="50"/>
  <c r="AH35" i="50"/>
  <c r="AI35" i="50" s="1"/>
  <c r="AP35" i="50"/>
  <c r="AP61" i="50"/>
  <c r="AH60" i="50"/>
  <c r="AI60" i="50" s="1"/>
  <c r="AH44" i="50"/>
  <c r="AI44" i="50" s="1"/>
  <c r="AH24" i="50"/>
  <c r="AI24" i="50" s="1"/>
  <c r="AH43" i="50"/>
  <c r="AI43" i="50" s="1"/>
  <c r="AH37" i="50"/>
  <c r="AI37" i="50" s="1"/>
  <c r="AH27" i="50"/>
  <c r="AI27" i="50" s="1"/>
  <c r="AH18" i="50"/>
  <c r="AI18" i="50" s="1"/>
  <c r="AH59" i="50"/>
  <c r="AI59" i="50" s="1"/>
  <c r="AH28" i="50"/>
  <c r="AI28" i="50" s="1"/>
  <c r="AH26" i="50"/>
  <c r="AI26" i="50" s="1"/>
  <c r="AH20" i="50"/>
  <c r="AI20" i="50" s="1"/>
  <c r="AH19" i="50"/>
  <c r="AI19" i="50" s="1"/>
  <c r="AH36" i="50"/>
  <c r="AI36" i="50" s="1"/>
  <c r="AH53" i="50"/>
  <c r="AI53" i="50" s="1"/>
  <c r="AH31" i="50"/>
  <c r="AI31" i="50" s="1"/>
  <c r="AH29" i="50"/>
  <c r="AI29" i="50" s="1"/>
  <c r="AH30" i="50"/>
  <c r="AI30" i="50" s="1"/>
  <c r="AH51" i="50"/>
  <c r="AI51" i="50" s="1"/>
  <c r="AH48" i="50"/>
  <c r="AI48" i="50" s="1"/>
  <c r="AH54" i="50"/>
  <c r="AI54" i="50" s="1"/>
  <c r="AH63" i="50"/>
  <c r="AI63" i="50" s="1"/>
  <c r="AH56" i="50"/>
  <c r="AI56" i="50" s="1"/>
  <c r="AH32" i="50"/>
  <c r="AI32" i="50" s="1"/>
  <c r="AH58" i="50"/>
  <c r="AI58" i="50" s="1"/>
  <c r="AH49" i="50"/>
  <c r="AI49" i="50" s="1"/>
  <c r="AH23" i="50"/>
  <c r="AI23" i="50" s="1"/>
  <c r="AH17" i="50"/>
  <c r="AI17" i="50" s="1"/>
  <c r="AH61" i="50"/>
  <c r="AI61" i="50" s="1"/>
  <c r="AH57" i="50"/>
  <c r="AI57" i="50" s="1"/>
  <c r="AH47" i="50"/>
  <c r="AI47" i="50" s="1"/>
  <c r="AH41" i="50"/>
  <c r="AI41" i="50" s="1"/>
  <c r="AH25" i="50"/>
  <c r="AI25" i="50" s="1"/>
  <c r="AH39" i="50"/>
  <c r="AI39" i="50" s="1"/>
  <c r="AH14" i="50"/>
  <c r="AI14" i="50" s="1"/>
  <c r="AD13" i="50"/>
  <c r="AH52" i="50"/>
  <c r="AI52" i="50" s="1"/>
  <c r="AH38" i="50"/>
  <c r="AI38" i="50" s="1"/>
  <c r="AD12" i="50"/>
  <c r="AH16" i="50"/>
  <c r="AI16" i="50" s="1"/>
  <c r="AH64" i="50"/>
  <c r="AI64" i="50" s="1"/>
  <c r="AH55" i="50"/>
  <c r="AI55" i="50" s="1"/>
  <c r="AH62" i="50"/>
  <c r="AI62" i="50" s="1"/>
  <c r="AH34" i="50"/>
  <c r="AI34" i="50" s="1"/>
  <c r="AH11" i="50"/>
  <c r="AI11" i="50" s="1"/>
  <c r="AD50" i="50" l="1"/>
  <c r="AD24" i="50"/>
  <c r="AD40" i="50"/>
  <c r="AD55" i="50"/>
  <c r="AD43" i="50"/>
  <c r="AD28" i="50"/>
  <c r="AD17" i="50"/>
  <c r="AD52" i="50"/>
  <c r="AD31" i="50"/>
  <c r="AD48" i="50"/>
  <c r="AD46" i="50"/>
  <c r="AD26" i="50"/>
  <c r="AD14" i="50"/>
  <c r="AD32" i="50"/>
  <c r="AD53" i="50"/>
  <c r="AD15" i="50"/>
  <c r="AD19" i="50"/>
  <c r="AD60" i="50"/>
  <c r="AD51" i="50"/>
  <c r="AD22" i="50"/>
  <c r="AD49" i="50"/>
  <c r="AD39" i="50"/>
  <c r="AD16" i="50"/>
  <c r="AD20" i="50"/>
  <c r="AD62" i="50"/>
  <c r="AD35" i="50"/>
  <c r="AD38" i="50"/>
  <c r="AD45" i="50"/>
  <c r="AD25" i="50"/>
  <c r="AD37" i="50"/>
  <c r="AD34" i="50"/>
  <c r="AD30" i="50"/>
  <c r="AD63" i="50"/>
  <c r="AD11" i="50"/>
  <c r="AD36" i="50"/>
  <c r="AD21" i="50"/>
  <c r="AD29" i="50"/>
  <c r="AD18" i="50"/>
  <c r="AD44" i="50"/>
  <c r="AD56" i="50"/>
  <c r="AD54" i="50"/>
  <c r="AD61" i="50"/>
  <c r="AD57" i="50"/>
  <c r="AD33" i="50"/>
  <c r="AD41" i="50"/>
  <c r="AD47" i="50"/>
  <c r="AD59" i="50"/>
  <c r="AD23" i="50"/>
  <c r="AD42" i="50"/>
  <c r="AD27" i="50"/>
  <c r="AD58" i="50"/>
  <c r="AA21" i="41" l="1"/>
  <c r="AA22" i="41"/>
  <c r="AA23" i="41"/>
  <c r="AA25" i="41"/>
  <c r="AA26" i="41"/>
  <c r="AA27" i="41"/>
  <c r="AA29" i="41"/>
  <c r="AA30" i="41"/>
  <c r="AA31" i="41"/>
  <c r="AA33" i="41"/>
  <c r="AA34" i="41"/>
  <c r="AA35" i="41"/>
  <c r="AA37" i="41"/>
  <c r="AA38" i="41"/>
  <c r="AA39" i="41"/>
  <c r="AA41" i="41"/>
  <c r="AA42" i="41"/>
  <c r="AA43" i="41"/>
  <c r="AA45" i="41"/>
  <c r="AA46" i="41"/>
  <c r="AA47" i="41"/>
  <c r="AA49" i="41"/>
  <c r="AA50" i="41"/>
  <c r="AA51" i="41"/>
  <c r="AA53" i="41"/>
  <c r="AA54" i="41"/>
  <c r="AA55" i="41"/>
  <c r="AA57" i="41"/>
  <c r="AA58" i="41"/>
  <c r="AA59" i="41"/>
  <c r="AA61" i="41"/>
  <c r="AA62" i="41"/>
  <c r="AA63" i="41"/>
  <c r="AA65" i="41"/>
  <c r="AA66" i="41"/>
  <c r="AA67" i="41"/>
  <c r="AA69" i="41"/>
  <c r="AA70" i="41"/>
  <c r="AA71" i="41"/>
  <c r="AA73" i="41"/>
  <c r="AA74" i="41"/>
  <c r="AA75" i="41"/>
  <c r="AA77" i="41"/>
  <c r="AA78" i="41"/>
  <c r="AA79" i="41"/>
  <c r="AA81" i="41"/>
  <c r="AA82" i="41"/>
  <c r="AA83" i="41"/>
  <c r="AA84" i="41"/>
  <c r="AC84" i="41"/>
  <c r="AC83" i="41"/>
  <c r="AC82" i="41"/>
  <c r="AC81" i="41"/>
  <c r="AC79" i="41"/>
  <c r="AC78" i="41"/>
  <c r="AC77" i="41"/>
  <c r="AC75" i="41"/>
  <c r="AC74" i="41"/>
  <c r="AC73" i="41"/>
  <c r="AC71" i="41"/>
  <c r="AC70" i="41"/>
  <c r="AC69" i="41"/>
  <c r="AC67" i="41"/>
  <c r="AC66" i="41"/>
  <c r="AC65" i="41"/>
  <c r="AC63" i="41"/>
  <c r="AC62" i="41"/>
  <c r="AC61" i="41"/>
  <c r="AC59" i="41"/>
  <c r="AC58" i="41"/>
  <c r="AC57" i="41"/>
  <c r="AC55" i="41"/>
  <c r="AC54" i="41"/>
  <c r="AC53" i="41"/>
  <c r="AC51" i="41"/>
  <c r="AC50" i="41"/>
  <c r="AC49" i="41"/>
  <c r="AC47" i="41"/>
  <c r="AC46" i="41"/>
  <c r="AC45" i="41"/>
  <c r="AC43" i="41"/>
  <c r="AC42" i="41"/>
  <c r="AC41" i="41"/>
  <c r="AC39" i="41"/>
  <c r="AC38" i="41"/>
  <c r="AC37" i="41"/>
  <c r="AC35" i="41"/>
  <c r="AC34" i="41"/>
  <c r="AC33" i="41"/>
  <c r="AC31" i="41"/>
  <c r="AC30" i="41"/>
  <c r="AC29" i="41"/>
  <c r="AC27" i="41"/>
  <c r="AC26" i="41"/>
  <c r="AC25" i="41"/>
  <c r="AC23" i="41"/>
  <c r="AC22" i="41"/>
  <c r="AC21" i="41"/>
  <c r="AC19" i="41"/>
  <c r="AA19" i="41" s="1"/>
  <c r="AC18" i="41"/>
  <c r="AA18" i="41" s="1"/>
  <c r="AC17" i="41"/>
  <c r="AA17" i="41" s="1"/>
  <c r="AC15" i="41"/>
  <c r="AA15" i="41" s="1"/>
  <c r="AC14" i="41"/>
  <c r="AA14" i="41" s="1"/>
  <c r="AC13" i="41"/>
  <c r="AA13" i="41" s="1"/>
  <c r="AC11" i="41"/>
  <c r="AA11" i="41" s="1"/>
  <c r="AC12" i="41"/>
  <c r="AA12" i="41" s="1"/>
  <c r="AK34" i="41" l="1"/>
  <c r="AC21" i="40" l="1"/>
  <c r="AA21" i="40" s="1"/>
  <c r="AC20" i="40"/>
  <c r="AA20" i="40" s="1"/>
  <c r="AC19" i="40"/>
  <c r="AA19" i="40" s="1"/>
  <c r="AC18" i="40"/>
  <c r="AA18" i="40" s="1"/>
  <c r="AC17" i="40"/>
  <c r="AA17" i="40" s="1"/>
  <c r="AC16" i="40"/>
  <c r="AA16" i="40" s="1"/>
  <c r="AC15" i="40"/>
  <c r="AA15" i="40" s="1"/>
  <c r="AC14" i="40"/>
  <c r="AA14" i="40" s="1"/>
  <c r="AC13" i="40"/>
  <c r="AA13" i="40" s="1"/>
  <c r="AC12" i="40"/>
  <c r="AA12" i="40" s="1"/>
  <c r="AC11" i="40"/>
  <c r="P80" i="41" l="1"/>
  <c r="M80" i="41"/>
  <c r="L80" i="41"/>
  <c r="K80" i="41"/>
  <c r="J80" i="41"/>
  <c r="I80" i="41"/>
  <c r="AC80" i="41" s="1"/>
  <c r="H80" i="41"/>
  <c r="G80" i="41"/>
  <c r="F80" i="41"/>
  <c r="E80" i="41"/>
  <c r="P72" i="41"/>
  <c r="M72" i="41"/>
  <c r="L72" i="41"/>
  <c r="K72" i="41"/>
  <c r="J72" i="41"/>
  <c r="I72" i="41"/>
  <c r="AC72" i="41" s="1"/>
  <c r="H72" i="41"/>
  <c r="G72" i="41"/>
  <c r="F72" i="41"/>
  <c r="E72" i="41"/>
  <c r="AJ73" i="41"/>
  <c r="AK73" i="41"/>
  <c r="AR73" i="41"/>
  <c r="AJ74" i="41"/>
  <c r="AK74" i="41"/>
  <c r="AR74" i="41"/>
  <c r="AJ75" i="41"/>
  <c r="AK75" i="41"/>
  <c r="AR75" i="41"/>
  <c r="AR67" i="41"/>
  <c r="AK67" i="41"/>
  <c r="AR66" i="41"/>
  <c r="AK66" i="41"/>
  <c r="AR65" i="41"/>
  <c r="AK65" i="41"/>
  <c r="AR59" i="41"/>
  <c r="AK59" i="41"/>
  <c r="AR58" i="41"/>
  <c r="AK58" i="41"/>
  <c r="AR57" i="41"/>
  <c r="AK57" i="41"/>
  <c r="AR51" i="41"/>
  <c r="AK51" i="41"/>
  <c r="AR50" i="41"/>
  <c r="AK50" i="41"/>
  <c r="AR49" i="41"/>
  <c r="AK49" i="41"/>
  <c r="AR43" i="41"/>
  <c r="AK43" i="41"/>
  <c r="AR42" i="41"/>
  <c r="AK42" i="41"/>
  <c r="AR41" i="41"/>
  <c r="AK41" i="41"/>
  <c r="AR35" i="41"/>
  <c r="AK35" i="41"/>
  <c r="AR34" i="41"/>
  <c r="AR33" i="41"/>
  <c r="AK33" i="41"/>
  <c r="AR27" i="41"/>
  <c r="AK27" i="41"/>
  <c r="AR26" i="41"/>
  <c r="AK26" i="41"/>
  <c r="AR25" i="41"/>
  <c r="AK25" i="41"/>
  <c r="P64" i="41"/>
  <c r="M64" i="41"/>
  <c r="L64" i="41"/>
  <c r="K64" i="41"/>
  <c r="J64" i="41"/>
  <c r="I64" i="41"/>
  <c r="AC64" i="41" s="1"/>
  <c r="H64" i="41"/>
  <c r="G64" i="41"/>
  <c r="F64" i="41"/>
  <c r="E64" i="41"/>
  <c r="P56" i="41"/>
  <c r="M56" i="41"/>
  <c r="L56" i="41"/>
  <c r="K56" i="41"/>
  <c r="J56" i="41"/>
  <c r="I56" i="41"/>
  <c r="AC56" i="41" s="1"/>
  <c r="H56" i="41"/>
  <c r="G56" i="41"/>
  <c r="F56" i="41"/>
  <c r="E56" i="41"/>
  <c r="P48" i="41"/>
  <c r="M48" i="41"/>
  <c r="L48" i="41"/>
  <c r="K48" i="41"/>
  <c r="J48" i="41"/>
  <c r="I48" i="41"/>
  <c r="AC48" i="41" s="1"/>
  <c r="H48" i="41"/>
  <c r="G48" i="41"/>
  <c r="F48" i="41"/>
  <c r="E48" i="41"/>
  <c r="P40" i="41"/>
  <c r="M40" i="41"/>
  <c r="L40" i="41"/>
  <c r="K40" i="41"/>
  <c r="J40" i="41"/>
  <c r="I40" i="41"/>
  <c r="AC40" i="41" s="1"/>
  <c r="H40" i="41"/>
  <c r="G40" i="41"/>
  <c r="F40" i="41"/>
  <c r="E40" i="41"/>
  <c r="P32" i="41"/>
  <c r="M32" i="41"/>
  <c r="L32" i="41"/>
  <c r="K32" i="41"/>
  <c r="J32" i="41"/>
  <c r="I32" i="41"/>
  <c r="AC32" i="41" s="1"/>
  <c r="H32" i="41"/>
  <c r="G32" i="41"/>
  <c r="F32" i="41"/>
  <c r="E32" i="41"/>
  <c r="P24" i="41"/>
  <c r="M24" i="41"/>
  <c r="L24" i="41"/>
  <c r="K24" i="41"/>
  <c r="J24" i="41"/>
  <c r="I24" i="41"/>
  <c r="AC24" i="41" s="1"/>
  <c r="H24" i="41"/>
  <c r="G24" i="41"/>
  <c r="F24" i="41"/>
  <c r="E24" i="41"/>
  <c r="P16" i="41"/>
  <c r="M16" i="41"/>
  <c r="L16" i="41"/>
  <c r="K16" i="41"/>
  <c r="J16" i="41"/>
  <c r="I16" i="41"/>
  <c r="AC16" i="41" s="1"/>
  <c r="G16" i="41"/>
  <c r="F16" i="41"/>
  <c r="E16" i="41"/>
  <c r="H16" i="41"/>
  <c r="AJ84" i="41"/>
  <c r="AJ83" i="41"/>
  <c r="AJ82" i="41"/>
  <c r="AJ81" i="41"/>
  <c r="AH84" i="41"/>
  <c r="AH11" i="40"/>
  <c r="AB80" i="41" l="1"/>
  <c r="Y80" i="41"/>
  <c r="Y40" i="41"/>
  <c r="AB40" i="41"/>
  <c r="Y32" i="41"/>
  <c r="AB32" i="41"/>
  <c r="AB16" i="41"/>
  <c r="Y16" i="41"/>
  <c r="AB48" i="41"/>
  <c r="Y48" i="41"/>
  <c r="AB64" i="41"/>
  <c r="Y64" i="41"/>
  <c r="AB24" i="41"/>
  <c r="Y24" i="41"/>
  <c r="Y56" i="41"/>
  <c r="AB56" i="41"/>
  <c r="AB72" i="41"/>
  <c r="Y72" i="41"/>
  <c r="N16" i="41"/>
  <c r="O16" i="41"/>
  <c r="V16" i="41" s="1"/>
  <c r="AA40" i="41"/>
  <c r="N24" i="41"/>
  <c r="O24" i="41"/>
  <c r="V24" i="41" s="1"/>
  <c r="AA16" i="41"/>
  <c r="AA72" i="41"/>
  <c r="AA24" i="41"/>
  <c r="AG24" i="41" s="1"/>
  <c r="AA56" i="41"/>
  <c r="AA80" i="41"/>
  <c r="AA32" i="41"/>
  <c r="AA64" i="41"/>
  <c r="AA48" i="41"/>
  <c r="X80" i="41"/>
  <c r="AR24" i="41"/>
  <c r="AK48" i="41"/>
  <c r="AR64" i="41"/>
  <c r="AR72" i="41"/>
  <c r="AK24" i="41"/>
  <c r="AR56" i="41"/>
  <c r="AR32" i="41"/>
  <c r="AR40" i="41"/>
  <c r="AR48" i="41"/>
  <c r="AK80" i="41"/>
  <c r="AR80" i="41"/>
  <c r="X72" i="41"/>
  <c r="AK72" i="41"/>
  <c r="AK40" i="41"/>
  <c r="AK56" i="41"/>
  <c r="X64" i="41"/>
  <c r="AK32" i="41"/>
  <c r="AK64" i="41"/>
  <c r="X56" i="41"/>
  <c r="X48" i="41"/>
  <c r="X40" i="41"/>
  <c r="X32" i="41"/>
  <c r="AR16" i="41"/>
  <c r="X24" i="41"/>
  <c r="AN24" i="41" s="1"/>
  <c r="X16" i="41"/>
  <c r="AK16" i="41"/>
  <c r="U24" i="41" l="1"/>
  <c r="U16" i="41"/>
  <c r="AO24" i="41"/>
  <c r="AG16" i="41"/>
  <c r="AH16" i="41" s="1"/>
  <c r="AN16" i="41"/>
  <c r="AG48" i="41"/>
  <c r="AH48" i="41" s="1"/>
  <c r="AN48" i="41"/>
  <c r="AG72" i="41"/>
  <c r="AH72" i="41" s="1"/>
  <c r="AN72" i="41"/>
  <c r="AG80" i="41"/>
  <c r="AH80" i="41" s="1"/>
  <c r="AN80" i="41"/>
  <c r="AG56" i="41"/>
  <c r="AH56" i="41" s="1"/>
  <c r="AN56" i="41"/>
  <c r="AG64" i="41"/>
  <c r="AH64" i="41" s="1"/>
  <c r="AN64" i="41"/>
  <c r="AG32" i="41"/>
  <c r="AH32" i="41" s="1"/>
  <c r="AN32" i="41"/>
  <c r="AG40" i="41"/>
  <c r="AH40" i="41" s="1"/>
  <c r="AN40" i="41"/>
  <c r="AH24" i="41"/>
  <c r="AE24" i="41"/>
  <c r="AE72" i="41"/>
  <c r="AE80" i="41"/>
  <c r="AF80" i="41" s="1"/>
  <c r="AO72" i="41" l="1"/>
  <c r="AO64" i="41"/>
  <c r="AO48" i="41"/>
  <c r="AO32" i="41"/>
  <c r="AO56" i="41"/>
  <c r="AO16" i="41"/>
  <c r="AO40" i="41"/>
  <c r="AO80" i="41"/>
  <c r="AK81" i="41" l="1"/>
  <c r="AK82" i="41"/>
  <c r="AK83" i="41"/>
  <c r="AA11" i="40" l="1"/>
  <c r="AR84" i="41" l="1"/>
  <c r="AK84" i="41"/>
  <c r="X84" i="41"/>
  <c r="X83" i="41"/>
  <c r="AN83" i="41" s="1"/>
  <c r="X82" i="41"/>
  <c r="AN82" i="41" s="1"/>
  <c r="X79" i="41"/>
  <c r="AN79" i="41" s="1"/>
  <c r="X81" i="41"/>
  <c r="AN81" i="41" s="1"/>
  <c r="X78" i="41"/>
  <c r="AN78" i="41" s="1"/>
  <c r="X77" i="41"/>
  <c r="AN77" i="41" s="1"/>
  <c r="X75" i="41"/>
  <c r="AN75" i="41" s="1"/>
  <c r="X74" i="41"/>
  <c r="AN74" i="41" s="1"/>
  <c r="X71" i="41"/>
  <c r="AN71" i="41" s="1"/>
  <c r="X73" i="41"/>
  <c r="AN73" i="41" s="1"/>
  <c r="X70" i="41"/>
  <c r="AN70" i="41" s="1"/>
  <c r="X69" i="41"/>
  <c r="AN69" i="41" s="1"/>
  <c r="X67" i="41"/>
  <c r="X66" i="41"/>
  <c r="X63" i="41"/>
  <c r="X65" i="41"/>
  <c r="X62" i="41"/>
  <c r="X61" i="41"/>
  <c r="AN61" i="41" s="1"/>
  <c r="X59" i="41"/>
  <c r="X58" i="41"/>
  <c r="X55" i="41"/>
  <c r="X57" i="41"/>
  <c r="X54" i="41"/>
  <c r="X53" i="41"/>
  <c r="AN53" i="41" s="1"/>
  <c r="X51" i="41"/>
  <c r="X50" i="41"/>
  <c r="X47" i="41"/>
  <c r="X49" i="41"/>
  <c r="X46" i="41"/>
  <c r="X45" i="41"/>
  <c r="AN45" i="41" s="1"/>
  <c r="X43" i="41"/>
  <c r="X42" i="41"/>
  <c r="X39" i="41"/>
  <c r="X41" i="41"/>
  <c r="X38" i="41"/>
  <c r="X37" i="41"/>
  <c r="AN37" i="41" s="1"/>
  <c r="X35" i="41"/>
  <c r="X34" i="41"/>
  <c r="X31" i="41"/>
  <c r="X33" i="41"/>
  <c r="X30" i="41"/>
  <c r="X29" i="41"/>
  <c r="AN29" i="41" s="1"/>
  <c r="X27" i="41"/>
  <c r="AN27" i="41" s="1"/>
  <c r="X26" i="41"/>
  <c r="AN26" i="41" s="1"/>
  <c r="X23" i="41"/>
  <c r="X25" i="41"/>
  <c r="AN25" i="41" s="1"/>
  <c r="X22" i="41"/>
  <c r="X21" i="41"/>
  <c r="AN21" i="41" s="1"/>
  <c r="X19" i="41"/>
  <c r="X18" i="41"/>
  <c r="X15" i="41"/>
  <c r="X17" i="41"/>
  <c r="X14" i="41"/>
  <c r="X13" i="41"/>
  <c r="AN13" i="41" s="1"/>
  <c r="X12" i="41"/>
  <c r="AN12" i="41" s="1"/>
  <c r="AR83" i="41"/>
  <c r="AR82" i="41"/>
  <c r="AR81" i="41"/>
  <c r="AR19" i="41"/>
  <c r="AR18" i="41"/>
  <c r="AR17" i="41"/>
  <c r="AR12" i="41"/>
  <c r="AR11" i="41"/>
  <c r="AK19" i="41"/>
  <c r="AK18" i="41"/>
  <c r="AK17" i="41"/>
  <c r="AK12" i="41"/>
  <c r="AK11" i="41"/>
  <c r="AG41" i="41" l="1"/>
  <c r="AH41" i="41" s="1"/>
  <c r="AN41" i="41"/>
  <c r="AO21" i="41"/>
  <c r="AG65" i="41"/>
  <c r="AH65" i="41" s="1"/>
  <c r="AN65" i="41"/>
  <c r="AO12" i="41"/>
  <c r="AG22" i="41"/>
  <c r="AH22" i="41" s="1"/>
  <c r="AN22" i="41"/>
  <c r="AG31" i="41"/>
  <c r="AH31" i="41" s="1"/>
  <c r="AN31" i="41"/>
  <c r="AG43" i="41"/>
  <c r="AH43" i="41" s="1"/>
  <c r="AN43" i="41"/>
  <c r="AG54" i="41"/>
  <c r="AH54" i="41" s="1"/>
  <c r="AN54" i="41"/>
  <c r="AG63" i="41"/>
  <c r="AH63" i="41" s="1"/>
  <c r="AN63" i="41"/>
  <c r="AO75" i="41"/>
  <c r="AO29" i="41"/>
  <c r="AO73" i="41"/>
  <c r="AG33" i="41"/>
  <c r="AH33" i="41" s="1"/>
  <c r="AN33" i="41"/>
  <c r="AD84" i="41"/>
  <c r="AE84" i="41" s="1"/>
  <c r="AF84" i="41" s="1"/>
  <c r="AL84" i="41" s="1"/>
  <c r="AM84" i="41" s="1"/>
  <c r="AN84" i="41"/>
  <c r="AO13" i="41"/>
  <c r="AO25" i="41"/>
  <c r="AG34" i="41"/>
  <c r="AH34" i="41" s="1"/>
  <c r="AN34" i="41"/>
  <c r="AO45" i="41"/>
  <c r="AG57" i="41"/>
  <c r="AH57" i="41" s="1"/>
  <c r="AN57" i="41"/>
  <c r="AG66" i="41"/>
  <c r="AH66" i="41" s="1"/>
  <c r="AN66" i="41"/>
  <c r="AO77" i="41"/>
  <c r="AO74" i="41"/>
  <c r="AG14" i="41"/>
  <c r="AH14" i="41" s="1"/>
  <c r="AN14" i="41"/>
  <c r="AG23" i="41"/>
  <c r="AH23" i="41" s="1"/>
  <c r="AN23" i="41"/>
  <c r="AG35" i="41"/>
  <c r="AH35" i="41" s="1"/>
  <c r="AN35" i="41"/>
  <c r="AG46" i="41"/>
  <c r="AH46" i="41" s="1"/>
  <c r="AN46" i="41"/>
  <c r="AG55" i="41"/>
  <c r="AH55" i="41" s="1"/>
  <c r="AN55" i="41"/>
  <c r="AG67" i="41"/>
  <c r="AH67" i="41" s="1"/>
  <c r="AN67" i="41"/>
  <c r="AO78" i="41"/>
  <c r="AG18" i="41"/>
  <c r="AH18" i="41" s="1"/>
  <c r="AN18" i="41"/>
  <c r="AO61" i="41"/>
  <c r="AO53" i="41"/>
  <c r="AG17" i="41"/>
  <c r="AH17" i="41" s="1"/>
  <c r="AN17" i="41"/>
  <c r="AO26" i="41"/>
  <c r="AO37" i="41"/>
  <c r="AG49" i="41"/>
  <c r="AH49" i="41" s="1"/>
  <c r="AN49" i="41"/>
  <c r="AG58" i="41"/>
  <c r="AH58" i="41" s="1"/>
  <c r="AN58" i="41"/>
  <c r="AO69" i="41"/>
  <c r="AO81" i="41"/>
  <c r="AG42" i="41"/>
  <c r="AH42" i="41" s="1"/>
  <c r="AN42" i="41"/>
  <c r="AG15" i="41"/>
  <c r="AH15" i="41" s="1"/>
  <c r="AN15" i="41"/>
  <c r="AO27" i="41"/>
  <c r="AG38" i="41"/>
  <c r="AH38" i="41" s="1"/>
  <c r="AN38" i="41"/>
  <c r="AG47" i="41"/>
  <c r="AH47" i="41" s="1"/>
  <c r="AN47" i="41"/>
  <c r="AG59" i="41"/>
  <c r="AH59" i="41" s="1"/>
  <c r="AN59" i="41"/>
  <c r="AO70" i="41"/>
  <c r="AO79" i="41"/>
  <c r="AG50" i="41"/>
  <c r="AH50" i="41" s="1"/>
  <c r="AN50" i="41"/>
  <c r="AO82" i="41"/>
  <c r="AG19" i="41"/>
  <c r="AH19" i="41" s="1"/>
  <c r="AN19" i="41"/>
  <c r="AG30" i="41"/>
  <c r="AH30" i="41" s="1"/>
  <c r="AN30" i="41"/>
  <c r="AG39" i="41"/>
  <c r="AH39" i="41" s="1"/>
  <c r="AN39" i="41"/>
  <c r="AG51" i="41"/>
  <c r="AH51" i="41" s="1"/>
  <c r="AN51" i="41"/>
  <c r="AG62" i="41"/>
  <c r="AH62" i="41" s="1"/>
  <c r="AN62" i="41"/>
  <c r="AO71" i="41"/>
  <c r="AO83" i="41"/>
  <c r="AD72" i="41"/>
  <c r="AG26" i="41"/>
  <c r="AH26" i="41" s="1"/>
  <c r="AG27" i="41"/>
  <c r="AH27" i="41" s="1"/>
  <c r="AG25" i="41"/>
  <c r="AH25" i="41" s="1"/>
  <c r="AD80" i="41"/>
  <c r="AG37" i="41"/>
  <c r="AH37" i="41" s="1"/>
  <c r="AG29" i="41"/>
  <c r="AH29" i="41" s="1"/>
  <c r="AG61" i="41"/>
  <c r="AH61" i="41" s="1"/>
  <c r="AG21" i="41"/>
  <c r="AH21" i="41" s="1"/>
  <c r="AG53" i="41"/>
  <c r="AH53" i="41" s="1"/>
  <c r="AG45" i="41"/>
  <c r="AH45" i="41" s="1"/>
  <c r="AD64" i="41"/>
  <c r="AD56" i="41"/>
  <c r="AD48" i="41"/>
  <c r="AD40" i="41"/>
  <c r="AD32" i="41"/>
  <c r="AD26" i="41"/>
  <c r="AD23" i="41"/>
  <c r="AD27" i="41"/>
  <c r="AD21" i="41"/>
  <c r="AD22" i="41"/>
  <c r="AD25" i="41"/>
  <c r="AD24" i="41"/>
  <c r="AG13" i="41"/>
  <c r="AH13" i="41" s="1"/>
  <c r="AD16" i="41"/>
  <c r="AD38" i="41"/>
  <c r="AD42" i="41"/>
  <c r="AD39" i="41"/>
  <c r="AD43" i="41"/>
  <c r="AD37" i="41"/>
  <c r="AD41" i="41"/>
  <c r="AD69" i="41"/>
  <c r="AD73" i="41"/>
  <c r="AG73" i="41" s="1"/>
  <c r="AD71" i="41"/>
  <c r="AG71" i="41" s="1"/>
  <c r="AH71" i="41" s="1"/>
  <c r="AD70" i="41"/>
  <c r="AG70" i="41" s="1"/>
  <c r="AH70" i="41" s="1"/>
  <c r="AD74" i="41"/>
  <c r="AG74" i="41" s="1"/>
  <c r="AH74" i="41" s="1"/>
  <c r="AD75" i="41"/>
  <c r="AG75" i="41" s="1"/>
  <c r="AH75" i="41" s="1"/>
  <c r="AD17" i="41"/>
  <c r="AD14" i="41"/>
  <c r="AD19" i="41"/>
  <c r="AD13" i="41"/>
  <c r="AD15" i="41"/>
  <c r="AD18" i="41"/>
  <c r="AD46" i="41"/>
  <c r="AD49" i="41"/>
  <c r="AD50" i="41"/>
  <c r="AD47" i="41"/>
  <c r="AD51" i="41"/>
  <c r="AD45" i="41"/>
  <c r="AD67" i="41"/>
  <c r="AD66" i="41"/>
  <c r="AD65" i="41"/>
  <c r="AD63" i="41"/>
  <c r="AD62" i="41"/>
  <c r="AD61" i="41"/>
  <c r="AD78" i="41"/>
  <c r="AG78" i="41" s="1"/>
  <c r="AH78" i="41" s="1"/>
  <c r="AD81" i="41"/>
  <c r="AG81" i="41" s="1"/>
  <c r="AH81" i="41" s="1"/>
  <c r="AD83" i="41"/>
  <c r="AG83" i="41" s="1"/>
  <c r="AH83" i="41" s="1"/>
  <c r="AD82" i="41"/>
  <c r="AG82" i="41" s="1"/>
  <c r="AH82" i="41" s="1"/>
  <c r="AD79" i="41"/>
  <c r="AG79" i="41" s="1"/>
  <c r="AH79" i="41" s="1"/>
  <c r="AD77" i="41"/>
  <c r="AG77" i="41" s="1"/>
  <c r="AH77" i="41" s="1"/>
  <c r="AD30" i="41"/>
  <c r="AD33" i="41"/>
  <c r="AD34" i="41"/>
  <c r="AD35" i="41"/>
  <c r="AD31" i="41"/>
  <c r="AD29" i="41"/>
  <c r="AD55" i="41"/>
  <c r="AD59" i="41"/>
  <c r="AD53" i="41"/>
  <c r="AD54" i="41"/>
  <c r="AD58" i="41"/>
  <c r="AD57" i="41"/>
  <c r="AH73" i="41" l="1"/>
  <c r="AO39" i="41"/>
  <c r="AO50" i="41"/>
  <c r="AO47" i="41"/>
  <c r="AO42" i="41"/>
  <c r="AO49" i="41"/>
  <c r="AO67" i="41"/>
  <c r="AO23" i="41"/>
  <c r="AO66" i="41"/>
  <c r="AO54" i="41"/>
  <c r="AO30" i="41"/>
  <c r="AO38" i="41"/>
  <c r="AO55" i="41"/>
  <c r="AO14" i="41"/>
  <c r="AO57" i="41"/>
  <c r="AO43" i="41"/>
  <c r="AO65" i="41"/>
  <c r="AO62" i="41"/>
  <c r="AO19" i="41"/>
  <c r="AO18" i="41"/>
  <c r="AO46" i="41"/>
  <c r="AO84" i="41"/>
  <c r="AO31" i="41"/>
  <c r="AO51" i="41"/>
  <c r="AO59" i="41"/>
  <c r="AO15" i="41"/>
  <c r="AO58" i="41"/>
  <c r="AO17" i="41"/>
  <c r="AO35" i="41"/>
  <c r="AO34" i="41"/>
  <c r="AO33" i="41"/>
  <c r="AO63" i="41"/>
  <c r="AO22" i="41"/>
  <c r="AO41" i="41"/>
  <c r="AG69" i="41"/>
  <c r="AH69" i="41" s="1"/>
  <c r="AF72" i="41"/>
  <c r="AE77" i="41"/>
  <c r="AF77" i="41" s="1"/>
  <c r="AE64" i="41"/>
  <c r="AF64" i="41" s="1"/>
  <c r="AE48" i="41"/>
  <c r="AF48" i="41" s="1"/>
  <c r="AE32" i="41"/>
  <c r="AF32" i="41" s="1"/>
  <c r="AE16" i="41"/>
  <c r="AF16" i="41" s="1"/>
  <c r="AE40" i="41"/>
  <c r="AF40" i="41" s="1"/>
  <c r="AE56" i="41"/>
  <c r="AF56" i="41" s="1"/>
  <c r="AF24" i="41"/>
  <c r="AE13" i="41"/>
  <c r="AE57" i="41"/>
  <c r="AF57" i="41" s="1"/>
  <c r="AE23" i="41"/>
  <c r="AF23" i="41" s="1"/>
  <c r="AE67" i="41"/>
  <c r="AF67" i="41" s="1"/>
  <c r="AE69" i="41"/>
  <c r="AF69" i="41" s="1"/>
  <c r="AE47" i="41"/>
  <c r="AF47" i="41" s="1"/>
  <c r="AE33" i="41"/>
  <c r="AF33" i="41" s="1"/>
  <c r="AE54" i="41"/>
  <c r="AF54" i="41" s="1"/>
  <c r="AE15" i="41"/>
  <c r="AE63" i="41"/>
  <c r="AF63" i="41" s="1"/>
  <c r="AE59" i="41"/>
  <c r="AF59" i="41" s="1"/>
  <c r="AE41" i="41"/>
  <c r="AF41" i="41" s="1"/>
  <c r="AE37" i="41"/>
  <c r="AF37" i="41" s="1"/>
  <c r="AE17" i="41"/>
  <c r="AE66" i="41"/>
  <c r="AF66" i="41" s="1"/>
  <c r="AE42" i="41"/>
  <c r="AF42" i="41" s="1"/>
  <c r="AE31" i="41"/>
  <c r="AF31" i="41" s="1"/>
  <c r="AE35" i="41"/>
  <c r="AF35" i="41" s="1"/>
  <c r="AE78" i="41"/>
  <c r="AF78" i="41" s="1"/>
  <c r="AE70" i="41"/>
  <c r="AF70" i="41" s="1"/>
  <c r="AE50" i="41"/>
  <c r="AF50" i="41" s="1"/>
  <c r="AE53" i="41"/>
  <c r="AF53" i="41" s="1"/>
  <c r="AE30" i="41"/>
  <c r="AF30" i="41" s="1"/>
  <c r="AE22" i="41"/>
  <c r="AF22" i="41" s="1"/>
  <c r="AE34" i="41"/>
  <c r="AF34" i="41" s="1"/>
  <c r="AE46" i="41"/>
  <c r="AF46" i="41" s="1"/>
  <c r="AE49" i="41"/>
  <c r="AF49" i="41" s="1"/>
  <c r="AE61" i="41"/>
  <c r="AF61" i="41" s="1"/>
  <c r="AE51" i="41"/>
  <c r="AF51" i="41" s="1"/>
  <c r="AE45" i="41"/>
  <c r="AF45" i="41" s="1"/>
  <c r="AE39" i="41"/>
  <c r="AF39" i="41" s="1"/>
  <c r="AE55" i="41"/>
  <c r="AF55" i="41" s="1"/>
  <c r="AE58" i="41"/>
  <c r="AF58" i="41" s="1"/>
  <c r="AE38" i="41"/>
  <c r="AF38" i="41" s="1"/>
  <c r="AE29" i="41"/>
  <c r="AF29" i="41" s="1"/>
  <c r="AE71" i="41"/>
  <c r="AF71" i="41" s="1"/>
  <c r="AE65" i="41"/>
  <c r="AF65" i="41" s="1"/>
  <c r="AE43" i="41"/>
  <c r="AF43" i="41" s="1"/>
  <c r="AE14" i="41"/>
  <c r="AE21" i="41"/>
  <c r="AF21" i="41" s="1"/>
  <c r="AE62" i="41"/>
  <c r="AF62" i="41" s="1"/>
  <c r="AE79" i="41"/>
  <c r="AF79" i="41" s="1"/>
  <c r="N11" i="41" l="1"/>
  <c r="O11" i="41"/>
  <c r="N12" i="41"/>
  <c r="O12" i="41"/>
  <c r="N13" i="41"/>
  <c r="O13" i="41"/>
  <c r="V13" i="41" s="1"/>
  <c r="N14" i="41"/>
  <c r="O14" i="41"/>
  <c r="V14" i="41" s="1"/>
  <c r="N17" i="41"/>
  <c r="O17" i="41"/>
  <c r="V17" i="41" s="1"/>
  <c r="N15" i="41"/>
  <c r="W15" i="41" s="1"/>
  <c r="O15" i="41"/>
  <c r="N18" i="41"/>
  <c r="O18" i="41"/>
  <c r="V18" i="41" s="1"/>
  <c r="N19" i="41"/>
  <c r="O19" i="41"/>
  <c r="V19" i="41" s="1"/>
  <c r="N21" i="41"/>
  <c r="O21" i="41"/>
  <c r="V21" i="41" s="1"/>
  <c r="N22" i="41"/>
  <c r="O22" i="41"/>
  <c r="V22" i="41" s="1"/>
  <c r="N25" i="41"/>
  <c r="O25" i="41"/>
  <c r="V25" i="41" s="1"/>
  <c r="N23" i="41"/>
  <c r="O23" i="41"/>
  <c r="N26" i="41"/>
  <c r="O26" i="41"/>
  <c r="V26" i="41" s="1"/>
  <c r="N27" i="41"/>
  <c r="O27" i="41"/>
  <c r="V27" i="41" s="1"/>
  <c r="N29" i="41"/>
  <c r="O29" i="41"/>
  <c r="V29" i="41" s="1"/>
  <c r="N30" i="41"/>
  <c r="O30" i="41"/>
  <c r="V30" i="41" s="1"/>
  <c r="N33" i="41"/>
  <c r="O33" i="41"/>
  <c r="V33" i="41" s="1"/>
  <c r="N31" i="41"/>
  <c r="O31" i="41"/>
  <c r="N34" i="41"/>
  <c r="O34" i="41"/>
  <c r="V34" i="41" s="1"/>
  <c r="N35" i="41"/>
  <c r="O35" i="41"/>
  <c r="V35" i="41" s="1"/>
  <c r="N37" i="41"/>
  <c r="O37" i="41"/>
  <c r="V37" i="41" s="1"/>
  <c r="N38" i="41"/>
  <c r="O38" i="41"/>
  <c r="V38" i="41" s="1"/>
  <c r="N41" i="41"/>
  <c r="O41" i="41"/>
  <c r="V41" i="41" s="1"/>
  <c r="N39" i="41"/>
  <c r="O39" i="41"/>
  <c r="N42" i="41"/>
  <c r="O42" i="41"/>
  <c r="V42" i="41" s="1"/>
  <c r="N43" i="41"/>
  <c r="O43" i="41"/>
  <c r="V43" i="41" s="1"/>
  <c r="N45" i="41"/>
  <c r="O45" i="41"/>
  <c r="V45" i="41" s="1"/>
  <c r="N46" i="41"/>
  <c r="O46" i="41"/>
  <c r="V46" i="41" s="1"/>
  <c r="N49" i="41"/>
  <c r="O49" i="41"/>
  <c r="V49" i="41" s="1"/>
  <c r="N47" i="41"/>
  <c r="O47" i="41"/>
  <c r="N50" i="41"/>
  <c r="O50" i="41"/>
  <c r="V50" i="41" s="1"/>
  <c r="N51" i="41"/>
  <c r="O51" i="41"/>
  <c r="V51" i="41" s="1"/>
  <c r="N53" i="41"/>
  <c r="O53" i="41"/>
  <c r="V53" i="41" s="1"/>
  <c r="N54" i="41"/>
  <c r="O54" i="41"/>
  <c r="V54" i="41" s="1"/>
  <c r="N57" i="41"/>
  <c r="O57" i="41"/>
  <c r="V57" i="41" s="1"/>
  <c r="N55" i="41"/>
  <c r="O55" i="41"/>
  <c r="N58" i="41"/>
  <c r="O58" i="41"/>
  <c r="V58" i="41" s="1"/>
  <c r="N59" i="41"/>
  <c r="O59" i="41"/>
  <c r="V59" i="41" s="1"/>
  <c r="N61" i="41"/>
  <c r="O61" i="41"/>
  <c r="V61" i="41" s="1"/>
  <c r="N62" i="41"/>
  <c r="O62" i="41"/>
  <c r="V62" i="41" s="1"/>
  <c r="N65" i="41"/>
  <c r="O65" i="41"/>
  <c r="V65" i="41" s="1"/>
  <c r="N63" i="41"/>
  <c r="O63" i="41"/>
  <c r="N66" i="41"/>
  <c r="O66" i="41"/>
  <c r="V66" i="41" s="1"/>
  <c r="N67" i="41"/>
  <c r="O67" i="41"/>
  <c r="V67" i="41" s="1"/>
  <c r="N69" i="41"/>
  <c r="O69" i="41"/>
  <c r="V69" i="41" s="1"/>
  <c r="N70" i="41"/>
  <c r="O70" i="41"/>
  <c r="V70" i="41" s="1"/>
  <c r="N73" i="41"/>
  <c r="O73" i="41"/>
  <c r="V73" i="41" s="1"/>
  <c r="N71" i="41"/>
  <c r="O71" i="41"/>
  <c r="N74" i="41"/>
  <c r="O74" i="41"/>
  <c r="V74" i="41" s="1"/>
  <c r="N75" i="41"/>
  <c r="O75" i="41"/>
  <c r="V75" i="41" s="1"/>
  <c r="N77" i="41"/>
  <c r="O77" i="41"/>
  <c r="V77" i="41" s="1"/>
  <c r="N78" i="41"/>
  <c r="O78" i="41"/>
  <c r="V78" i="41" s="1"/>
  <c r="N81" i="41"/>
  <c r="O81" i="41"/>
  <c r="V81" i="41" s="1"/>
  <c r="N79" i="41"/>
  <c r="O79" i="41"/>
  <c r="N82" i="41"/>
  <c r="O82" i="41"/>
  <c r="V82" i="41" s="1"/>
  <c r="N83" i="41"/>
  <c r="O83" i="41"/>
  <c r="V83" i="41" s="1"/>
  <c r="N84" i="41"/>
  <c r="O84" i="41"/>
  <c r="V84" i="41" s="1"/>
  <c r="X11" i="41"/>
  <c r="W71" i="41" l="1"/>
  <c r="W55" i="41"/>
  <c r="W39" i="41"/>
  <c r="W23" i="41"/>
  <c r="W47" i="41"/>
  <c r="W27" i="41"/>
  <c r="W12" i="41"/>
  <c r="W31" i="41"/>
  <c r="W79" i="41"/>
  <c r="W63" i="41"/>
  <c r="W84" i="41"/>
  <c r="W81" i="41"/>
  <c r="W74" i="41"/>
  <c r="W65" i="41"/>
  <c r="W58" i="41"/>
  <c r="W49" i="41"/>
  <c r="W42" i="41"/>
  <c r="W33" i="41"/>
  <c r="W26" i="41"/>
  <c r="W17" i="41"/>
  <c r="W11" i="41"/>
  <c r="W83" i="41"/>
  <c r="U78" i="41"/>
  <c r="W78" i="41"/>
  <c r="W67" i="41"/>
  <c r="U62" i="41"/>
  <c r="W62" i="41"/>
  <c r="W51" i="41"/>
  <c r="U46" i="41"/>
  <c r="Z46" i="41" s="1"/>
  <c r="AP46" i="41" s="1"/>
  <c r="W46" i="41"/>
  <c r="W35" i="41"/>
  <c r="U30" i="41"/>
  <c r="Z30" i="41" s="1"/>
  <c r="AP30" i="41" s="1"/>
  <c r="W30" i="41"/>
  <c r="W19" i="41"/>
  <c r="U14" i="41"/>
  <c r="W14" i="41"/>
  <c r="W73" i="41"/>
  <c r="W66" i="41"/>
  <c r="U61" i="41"/>
  <c r="W61" i="41"/>
  <c r="W57" i="41"/>
  <c r="W50" i="41"/>
  <c r="U45" i="41"/>
  <c r="W45" i="41"/>
  <c r="W41" i="41"/>
  <c r="W34" i="41"/>
  <c r="U29" i="41"/>
  <c r="W29" i="41"/>
  <c r="W25" i="41"/>
  <c r="W18" i="41"/>
  <c r="U13" i="41"/>
  <c r="W13" i="41"/>
  <c r="U77" i="41"/>
  <c r="Z77" i="41" s="1"/>
  <c r="AP77" i="41" s="1"/>
  <c r="W77" i="41"/>
  <c r="W82" i="41"/>
  <c r="W75" i="41"/>
  <c r="U70" i="41"/>
  <c r="W70" i="41"/>
  <c r="W59" i="41"/>
  <c r="U54" i="41"/>
  <c r="W54" i="41"/>
  <c r="W43" i="41"/>
  <c r="U38" i="41"/>
  <c r="W38" i="41"/>
  <c r="U22" i="41"/>
  <c r="W22" i="41"/>
  <c r="U69" i="41"/>
  <c r="W69" i="41"/>
  <c r="U53" i="41"/>
  <c r="Z53" i="41" s="1"/>
  <c r="AP53" i="41" s="1"/>
  <c r="W53" i="41"/>
  <c r="U37" i="41"/>
  <c r="W37" i="41"/>
  <c r="U21" i="41"/>
  <c r="W21" i="41"/>
  <c r="U83" i="41"/>
  <c r="Z83" i="41" s="1"/>
  <c r="U67" i="41"/>
  <c r="U51" i="41"/>
  <c r="Z51" i="41" s="1"/>
  <c r="AP51" i="41" s="1"/>
  <c r="U35" i="41"/>
  <c r="Z35" i="41" s="1"/>
  <c r="AP35" i="41" s="1"/>
  <c r="U19" i="41"/>
  <c r="Z19" i="41" s="1"/>
  <c r="AP19" i="41" s="1"/>
  <c r="U82" i="41"/>
  <c r="U73" i="41"/>
  <c r="U66" i="41"/>
  <c r="Z66" i="41" s="1"/>
  <c r="AP66" i="41" s="1"/>
  <c r="U57" i="41"/>
  <c r="Z57" i="41" s="1"/>
  <c r="AP57" i="41" s="1"/>
  <c r="U50" i="41"/>
  <c r="U41" i="41"/>
  <c r="Z41" i="41" s="1"/>
  <c r="AP41" i="41" s="1"/>
  <c r="U34" i="41"/>
  <c r="Z34" i="41" s="1"/>
  <c r="AP34" i="41" s="1"/>
  <c r="U25" i="41"/>
  <c r="U18" i="41"/>
  <c r="Z18" i="41" s="1"/>
  <c r="AP18" i="41" s="1"/>
  <c r="U75" i="41"/>
  <c r="U59" i="41"/>
  <c r="Z59" i="41" s="1"/>
  <c r="AP59" i="41" s="1"/>
  <c r="U43" i="41"/>
  <c r="U27" i="41"/>
  <c r="U84" i="41"/>
  <c r="Z84" i="41" s="1"/>
  <c r="U81" i="41"/>
  <c r="Z81" i="41" s="1"/>
  <c r="U74" i="41"/>
  <c r="U65" i="41"/>
  <c r="Z65" i="41" s="1"/>
  <c r="AP65" i="41" s="1"/>
  <c r="U58" i="41"/>
  <c r="Z58" i="41" s="1"/>
  <c r="AP58" i="41" s="1"/>
  <c r="U49" i="41"/>
  <c r="Z49" i="41" s="1"/>
  <c r="AP49" i="41" s="1"/>
  <c r="U42" i="41"/>
  <c r="U33" i="41"/>
  <c r="U26" i="41"/>
  <c r="Z26" i="41" s="1"/>
  <c r="U17" i="41"/>
  <c r="Z17" i="41" s="1"/>
  <c r="AN11" i="41"/>
  <c r="V71" i="41"/>
  <c r="O72" i="41"/>
  <c r="V72" i="41" s="1"/>
  <c r="U71" i="41"/>
  <c r="N72" i="41"/>
  <c r="V79" i="41"/>
  <c r="O80" i="41"/>
  <c r="V80" i="41" s="1"/>
  <c r="U79" i="41"/>
  <c r="N80" i="41"/>
  <c r="V63" i="41"/>
  <c r="O64" i="41"/>
  <c r="V64" i="41" s="1"/>
  <c r="U63" i="41"/>
  <c r="N64" i="41"/>
  <c r="U55" i="41"/>
  <c r="N56" i="41"/>
  <c r="V55" i="41"/>
  <c r="O56" i="41"/>
  <c r="V56" i="41" s="1"/>
  <c r="V47" i="41"/>
  <c r="O48" i="41"/>
  <c r="V48" i="41" s="1"/>
  <c r="U47" i="41"/>
  <c r="N48" i="41"/>
  <c r="U39" i="41"/>
  <c r="N40" i="41"/>
  <c r="V39" i="41"/>
  <c r="O40" i="41"/>
  <c r="V40" i="41" s="1"/>
  <c r="V31" i="41"/>
  <c r="O32" i="41"/>
  <c r="V32" i="41" s="1"/>
  <c r="U31" i="41"/>
  <c r="N32" i="41"/>
  <c r="V15" i="41"/>
  <c r="U15" i="41"/>
  <c r="U23" i="41"/>
  <c r="V23" i="41"/>
  <c r="U12" i="41"/>
  <c r="Z74" i="41"/>
  <c r="AP74" i="41" s="1"/>
  <c r="Z69" i="41"/>
  <c r="AP69" i="41" s="1"/>
  <c r="Z42" i="41"/>
  <c r="AP42" i="41" s="1"/>
  <c r="Z37" i="41"/>
  <c r="AP37" i="41" s="1"/>
  <c r="Z33" i="41"/>
  <c r="AP33" i="41" s="1"/>
  <c r="Z21" i="41"/>
  <c r="AP21" i="41" s="1"/>
  <c r="Z13" i="41"/>
  <c r="Z78" i="41"/>
  <c r="AP78" i="41" s="1"/>
  <c r="Z67" i="41"/>
  <c r="AP67" i="41" s="1"/>
  <c r="Z62" i="41"/>
  <c r="AP62" i="41" s="1"/>
  <c r="Z14" i="41"/>
  <c r="Z70" i="41"/>
  <c r="AP70" i="41" s="1"/>
  <c r="Z38" i="41"/>
  <c r="AP38" i="41" s="1"/>
  <c r="Z27" i="41"/>
  <c r="Z82" i="41"/>
  <c r="AP82" i="41" s="1"/>
  <c r="Z22" i="41"/>
  <c r="AP22" i="41" s="1"/>
  <c r="Z75" i="41"/>
  <c r="AP75" i="41" s="1"/>
  <c r="Z25" i="41"/>
  <c r="Z45" i="41"/>
  <c r="AP45" i="41" s="1"/>
  <c r="V12" i="41"/>
  <c r="Z43" i="41"/>
  <c r="AP43" i="41" s="1"/>
  <c r="Z29" i="41"/>
  <c r="AP29" i="41" s="1"/>
  <c r="Z50" i="41"/>
  <c r="AP50" i="41" s="1"/>
  <c r="Z73" i="41"/>
  <c r="AP73" i="41" s="1"/>
  <c r="Z54" i="41"/>
  <c r="AP54" i="41" s="1"/>
  <c r="Z61" i="41"/>
  <c r="AP61" i="41" s="1"/>
  <c r="U11" i="41"/>
  <c r="V11" i="41"/>
  <c r="AQ21" i="40"/>
  <c r="AQ20" i="40"/>
  <c r="AQ19" i="40"/>
  <c r="AQ18" i="40"/>
  <c r="AQ17" i="40"/>
  <c r="AQ16" i="40"/>
  <c r="AQ15" i="40"/>
  <c r="AQ14" i="40"/>
  <c r="AQ13" i="40"/>
  <c r="AQ12" i="40"/>
  <c r="AQ11" i="40"/>
  <c r="AK21" i="40"/>
  <c r="AK20" i="40"/>
  <c r="AK18" i="40"/>
  <c r="AK17" i="40"/>
  <c r="AK16" i="40"/>
  <c r="AK15" i="40"/>
  <c r="AK14" i="40"/>
  <c r="AK13" i="40"/>
  <c r="AK12" i="40"/>
  <c r="AK11" i="40"/>
  <c r="AK19" i="40"/>
  <c r="U32" i="41" l="1"/>
  <c r="U64" i="41"/>
  <c r="U80" i="41"/>
  <c r="Z80" i="41" s="1"/>
  <c r="AP80" i="41" s="1"/>
  <c r="U48" i="41"/>
  <c r="Z48" i="41" s="1"/>
  <c r="AP48" i="41" s="1"/>
  <c r="U40" i="41"/>
  <c r="Z40" i="41" s="1"/>
  <c r="AP40" i="41" s="1"/>
  <c r="U56" i="41"/>
  <c r="U72" i="41"/>
  <c r="AE26" i="41"/>
  <c r="AF26" i="41" s="1"/>
  <c r="AP26" i="41"/>
  <c r="AP81" i="41"/>
  <c r="AQ81" i="41" s="1"/>
  <c r="AS81" i="41" s="1"/>
  <c r="AT81" i="41" s="1"/>
  <c r="AE25" i="41"/>
  <c r="AF25" i="41" s="1"/>
  <c r="AP25" i="41"/>
  <c r="AP14" i="41"/>
  <c r="AQ14" i="41" s="1"/>
  <c r="AP84" i="41"/>
  <c r="AQ84" i="41" s="1"/>
  <c r="AS84" i="41" s="1"/>
  <c r="AT84" i="41" s="1"/>
  <c r="AP83" i="41"/>
  <c r="AQ83" i="41" s="1"/>
  <c r="AS83" i="41" s="1"/>
  <c r="AT83" i="41" s="1"/>
  <c r="AP13" i="41"/>
  <c r="AQ13" i="41" s="1"/>
  <c r="AI17" i="41"/>
  <c r="AJ17" i="41" s="1"/>
  <c r="AP17" i="41"/>
  <c r="AQ17" i="41" s="1"/>
  <c r="AS17" i="41" s="1"/>
  <c r="AT17" i="41" s="1"/>
  <c r="AO11" i="41"/>
  <c r="AE27" i="41"/>
  <c r="AF27" i="41" s="1"/>
  <c r="AP27" i="41"/>
  <c r="AQ27" i="41" s="1"/>
  <c r="AS27" i="41" s="1"/>
  <c r="AT27" i="41" s="1"/>
  <c r="Z71" i="41"/>
  <c r="Z64" i="41"/>
  <c r="AP64" i="41" s="1"/>
  <c r="Z72" i="41"/>
  <c r="AP72" i="41" s="1"/>
  <c r="AE36" i="41"/>
  <c r="AF36" i="41" s="1"/>
  <c r="AE68" i="41"/>
  <c r="AF68" i="41" s="1"/>
  <c r="AI18" i="41"/>
  <c r="AJ18" i="41" s="1"/>
  <c r="AE18" i="41"/>
  <c r="AE60" i="41"/>
  <c r="AF60" i="41" s="1"/>
  <c r="AE28" i="41"/>
  <c r="AF28" i="41" s="1"/>
  <c r="AE44" i="41"/>
  <c r="AF44" i="41" s="1"/>
  <c r="AI19" i="41"/>
  <c r="AJ19" i="41" s="1"/>
  <c r="AE19" i="41"/>
  <c r="AE20" i="41"/>
  <c r="AF20" i="41" s="1"/>
  <c r="AE52" i="41"/>
  <c r="AF52" i="41" s="1"/>
  <c r="Z79" i="41"/>
  <c r="AI70" i="41"/>
  <c r="AJ70" i="41" s="1"/>
  <c r="AQ70" i="41"/>
  <c r="AQ75" i="41"/>
  <c r="AS75" i="41" s="1"/>
  <c r="AT75" i="41" s="1"/>
  <c r="AE75" i="41"/>
  <c r="AF75" i="41" s="1"/>
  <c r="AL75" i="41" s="1"/>
  <c r="AM75" i="41" s="1"/>
  <c r="AI37" i="41"/>
  <c r="AJ37" i="41" s="1"/>
  <c r="AQ37" i="41"/>
  <c r="AI67" i="41"/>
  <c r="AJ67" i="41" s="1"/>
  <c r="AL67" i="41" s="1"/>
  <c r="AM67" i="41" s="1"/>
  <c r="AQ67" i="41"/>
  <c r="AS67" i="41" s="1"/>
  <c r="AT67" i="41" s="1"/>
  <c r="AI34" i="41"/>
  <c r="AJ34" i="41" s="1"/>
  <c r="AL34" i="41" s="1"/>
  <c r="AM34" i="41" s="1"/>
  <c r="AQ34" i="41"/>
  <c r="AS34" i="41" s="1"/>
  <c r="AT34" i="41" s="1"/>
  <c r="AI30" i="41"/>
  <c r="AJ30" i="41" s="1"/>
  <c r="AQ30" i="41"/>
  <c r="AI49" i="41"/>
  <c r="AJ49" i="41" s="1"/>
  <c r="AL49" i="41" s="1"/>
  <c r="AM49" i="41" s="1"/>
  <c r="AQ49" i="41"/>
  <c r="AS49" i="41" s="1"/>
  <c r="AT49" i="41" s="1"/>
  <c r="AJ25" i="41"/>
  <c r="AL25" i="41" s="1"/>
  <c r="AM25" i="41" s="1"/>
  <c r="AQ25" i="41"/>
  <c r="AS25" i="41" s="1"/>
  <c r="AT25" i="41" s="1"/>
  <c r="AI41" i="41"/>
  <c r="AJ41" i="41" s="1"/>
  <c r="AL41" i="41" s="1"/>
  <c r="AM41" i="41" s="1"/>
  <c r="AQ41" i="41"/>
  <c r="AS41" i="41" s="1"/>
  <c r="AT41" i="41" s="1"/>
  <c r="AI57" i="41"/>
  <c r="AJ57" i="41" s="1"/>
  <c r="AL57" i="41" s="1"/>
  <c r="AM57" i="41" s="1"/>
  <c r="AQ57" i="41"/>
  <c r="AS57" i="41" s="1"/>
  <c r="AT57" i="41" s="1"/>
  <c r="AI78" i="41"/>
  <c r="AJ78" i="41" s="1"/>
  <c r="AQ78" i="41"/>
  <c r="AI42" i="41"/>
  <c r="AJ42" i="41" s="1"/>
  <c r="AL42" i="41" s="1"/>
  <c r="AM42" i="41" s="1"/>
  <c r="AQ42" i="41"/>
  <c r="AS42" i="41" s="1"/>
  <c r="AT42" i="41" s="1"/>
  <c r="AI54" i="41"/>
  <c r="AJ54" i="41" s="1"/>
  <c r="AQ54" i="41"/>
  <c r="Z63" i="41"/>
  <c r="AP63" i="41" s="1"/>
  <c r="AI27" i="41"/>
  <c r="AJ27" i="41" s="1"/>
  <c r="AL27" i="41" s="1"/>
  <c r="AM27" i="41" s="1"/>
  <c r="AI35" i="41"/>
  <c r="AJ35" i="41" s="1"/>
  <c r="AL35" i="41" s="1"/>
  <c r="AM35" i="41" s="1"/>
  <c r="AQ35" i="41"/>
  <c r="AS35" i="41" s="1"/>
  <c r="AT35" i="41" s="1"/>
  <c r="AI53" i="41"/>
  <c r="AJ53" i="41" s="1"/>
  <c r="AQ53" i="41"/>
  <c r="AI33" i="41"/>
  <c r="AJ33" i="41" s="1"/>
  <c r="AL33" i="41" s="1"/>
  <c r="AM33" i="41" s="1"/>
  <c r="AQ33" i="41"/>
  <c r="AS33" i="41" s="1"/>
  <c r="AT33" i="41" s="1"/>
  <c r="AI77" i="41"/>
  <c r="AJ77" i="41" s="1"/>
  <c r="AQ77" i="41"/>
  <c r="AI22" i="41"/>
  <c r="AJ22" i="41" s="1"/>
  <c r="AQ22" i="41"/>
  <c r="AQ73" i="41"/>
  <c r="AS73" i="41" s="1"/>
  <c r="AT73" i="41" s="1"/>
  <c r="AE73" i="41"/>
  <c r="AF73" i="41" s="1"/>
  <c r="AL73" i="41" s="1"/>
  <c r="AM73" i="41" s="1"/>
  <c r="AI38" i="41"/>
  <c r="AJ38" i="41" s="1"/>
  <c r="AQ38" i="41"/>
  <c r="AI46" i="41"/>
  <c r="AJ46" i="41" s="1"/>
  <c r="AQ46" i="41"/>
  <c r="AI58" i="41"/>
  <c r="AJ58" i="41" s="1"/>
  <c r="AL58" i="41" s="1"/>
  <c r="AM58" i="41" s="1"/>
  <c r="AQ58" i="41"/>
  <c r="AS58" i="41" s="1"/>
  <c r="AT58" i="41" s="1"/>
  <c r="AI50" i="41"/>
  <c r="AJ50" i="41" s="1"/>
  <c r="AL50" i="41" s="1"/>
  <c r="AM50" i="41" s="1"/>
  <c r="AQ50" i="41"/>
  <c r="AS50" i="41" s="1"/>
  <c r="AT50" i="41" s="1"/>
  <c r="AI66" i="41"/>
  <c r="AJ66" i="41" s="1"/>
  <c r="AL66" i="41" s="1"/>
  <c r="AM66" i="41" s="1"/>
  <c r="AQ66" i="41"/>
  <c r="AS66" i="41" s="1"/>
  <c r="AT66" i="41" s="1"/>
  <c r="AI59" i="41"/>
  <c r="AJ59" i="41" s="1"/>
  <c r="AL59" i="41" s="1"/>
  <c r="AM59" i="41" s="1"/>
  <c r="AQ59" i="41"/>
  <c r="AS59" i="41" s="1"/>
  <c r="AT59" i="41" s="1"/>
  <c r="AI51" i="41"/>
  <c r="AJ51" i="41" s="1"/>
  <c r="AL51" i="41" s="1"/>
  <c r="AM51" i="41" s="1"/>
  <c r="AQ51" i="41"/>
  <c r="AS51" i="41" s="1"/>
  <c r="AT51" i="41" s="1"/>
  <c r="AI21" i="41"/>
  <c r="AJ21" i="41" s="1"/>
  <c r="AQ21" i="41"/>
  <c r="AI65" i="41"/>
  <c r="AJ65" i="41" s="1"/>
  <c r="AL65" i="41" s="1"/>
  <c r="AM65" i="41" s="1"/>
  <c r="AQ65" i="41"/>
  <c r="AS65" i="41" s="1"/>
  <c r="AT65" i="41" s="1"/>
  <c r="AI43" i="41"/>
  <c r="AJ43" i="41" s="1"/>
  <c r="AL43" i="41" s="1"/>
  <c r="AM43" i="41" s="1"/>
  <c r="AQ43" i="41"/>
  <c r="AS43" i="41" s="1"/>
  <c r="AT43" i="41" s="1"/>
  <c r="AQ74" i="41"/>
  <c r="AS74" i="41" s="1"/>
  <c r="AT74" i="41" s="1"/>
  <c r="AE74" i="41"/>
  <c r="AF74" i="41" s="1"/>
  <c r="AL74" i="41" s="1"/>
  <c r="AM74" i="41" s="1"/>
  <c r="AI61" i="41"/>
  <c r="AJ61" i="41" s="1"/>
  <c r="AQ61" i="41"/>
  <c r="AI29" i="41"/>
  <c r="AJ29" i="41" s="1"/>
  <c r="AQ29" i="41"/>
  <c r="AI45" i="41"/>
  <c r="AJ45" i="41" s="1"/>
  <c r="AQ45" i="41"/>
  <c r="AI62" i="41"/>
  <c r="AJ62" i="41" s="1"/>
  <c r="AQ62" i="41"/>
  <c r="AJ26" i="41"/>
  <c r="AQ26" i="41"/>
  <c r="AS26" i="41" s="1"/>
  <c r="AT26" i="41" s="1"/>
  <c r="AI69" i="41"/>
  <c r="AJ69" i="41" s="1"/>
  <c r="AQ69" i="41"/>
  <c r="Z56" i="41"/>
  <c r="AP56" i="41" s="1"/>
  <c r="Z55" i="41"/>
  <c r="AP55" i="41" s="1"/>
  <c r="Z24" i="41"/>
  <c r="AP24" i="41" s="1"/>
  <c r="Z32" i="41"/>
  <c r="AP32" i="41" s="1"/>
  <c r="Z47" i="41"/>
  <c r="AP47" i="41" s="1"/>
  <c r="AE81" i="41"/>
  <c r="AF81" i="41" s="1"/>
  <c r="AL81" i="41" s="1"/>
  <c r="AM81" i="41" s="1"/>
  <c r="Z39" i="41"/>
  <c r="AP39" i="41" s="1"/>
  <c r="AE83" i="41"/>
  <c r="AF83" i="41" s="1"/>
  <c r="AL83" i="41" s="1"/>
  <c r="AM83" i="41" s="1"/>
  <c r="Z12" i="41"/>
  <c r="Z31" i="41"/>
  <c r="AP31" i="41" s="1"/>
  <c r="Z15" i="41"/>
  <c r="Z23" i="41"/>
  <c r="AP23" i="41" s="1"/>
  <c r="Z16" i="41"/>
  <c r="AP16" i="41" s="1"/>
  <c r="AQ19" i="41"/>
  <c r="AS19" i="41" s="1"/>
  <c r="AT19" i="41" s="1"/>
  <c r="Z11" i="41"/>
  <c r="AD12" i="41" s="1"/>
  <c r="AQ18" i="41"/>
  <c r="AS18" i="41" s="1"/>
  <c r="AT18" i="41" s="1"/>
  <c r="AQ82" i="41"/>
  <c r="AS82" i="41" s="1"/>
  <c r="AT82" i="41" s="1"/>
  <c r="AE82" i="41"/>
  <c r="AF82" i="41" s="1"/>
  <c r="AL82" i="41" s="1"/>
  <c r="AM82" i="41" s="1"/>
  <c r="AL26" i="41" l="1"/>
  <c r="AM26" i="41" s="1"/>
  <c r="AP15" i="41"/>
  <c r="AQ15" i="41" s="1"/>
  <c r="AI79" i="41"/>
  <c r="AJ79" i="41" s="1"/>
  <c r="AP79" i="41"/>
  <c r="AP12" i="41"/>
  <c r="AQ12" i="41" s="1"/>
  <c r="AS12" i="41" s="1"/>
  <c r="AT12" i="41" s="1"/>
  <c r="AP71" i="41"/>
  <c r="AQ71" i="41" s="1"/>
  <c r="AP11" i="41"/>
  <c r="AQ11" i="41" s="1"/>
  <c r="AS11" i="41" s="1"/>
  <c r="AI72" i="41"/>
  <c r="AJ72" i="41" s="1"/>
  <c r="AL72" i="41" s="1"/>
  <c r="AM72" i="41" s="1"/>
  <c r="AQ64" i="41"/>
  <c r="AS64" i="41" s="1"/>
  <c r="AT64" i="41" s="1"/>
  <c r="AI64" i="41"/>
  <c r="AJ64" i="41" s="1"/>
  <c r="AL64" i="41" s="1"/>
  <c r="AM64" i="41" s="1"/>
  <c r="AI71" i="41"/>
  <c r="AJ71" i="41" s="1"/>
  <c r="AQ72" i="41"/>
  <c r="AS72" i="41" s="1"/>
  <c r="AT72" i="41" s="1"/>
  <c r="AQ79" i="41"/>
  <c r="AI80" i="41"/>
  <c r="AJ80" i="41" s="1"/>
  <c r="AL80" i="41" s="1"/>
  <c r="AM80" i="41" s="1"/>
  <c r="AQ80" i="41"/>
  <c r="AS80" i="41" s="1"/>
  <c r="AT80" i="41" s="1"/>
  <c r="AI40" i="41"/>
  <c r="AJ40" i="41" s="1"/>
  <c r="AL40" i="41" s="1"/>
  <c r="AM40" i="41" s="1"/>
  <c r="AQ40" i="41"/>
  <c r="AS40" i="41" s="1"/>
  <c r="AT40" i="41" s="1"/>
  <c r="AI56" i="41"/>
  <c r="AJ56" i="41" s="1"/>
  <c r="AL56" i="41" s="1"/>
  <c r="AM56" i="41" s="1"/>
  <c r="AQ56" i="41"/>
  <c r="AS56" i="41" s="1"/>
  <c r="AI32" i="41"/>
  <c r="AJ32" i="41" s="1"/>
  <c r="AL32" i="41" s="1"/>
  <c r="AM32" i="41" s="1"/>
  <c r="AQ32" i="41"/>
  <c r="AS32" i="41" s="1"/>
  <c r="AT32" i="41" s="1"/>
  <c r="AI39" i="41"/>
  <c r="AJ39" i="41" s="1"/>
  <c r="AQ39" i="41"/>
  <c r="AI31" i="41"/>
  <c r="AJ31" i="41" s="1"/>
  <c r="AQ31" i="41"/>
  <c r="AI63" i="41"/>
  <c r="AJ63" i="41" s="1"/>
  <c r="AQ63" i="41"/>
  <c r="AI48" i="41"/>
  <c r="AJ48" i="41" s="1"/>
  <c r="AL48" i="41" s="1"/>
  <c r="AM48" i="41" s="1"/>
  <c r="AQ48" i="41"/>
  <c r="AS48" i="41" s="1"/>
  <c r="AT48" i="41" s="1"/>
  <c r="AI23" i="41"/>
  <c r="AJ23" i="41" s="1"/>
  <c r="AQ23" i="41"/>
  <c r="AI47" i="41"/>
  <c r="AJ47" i="41" s="1"/>
  <c r="AQ47" i="41"/>
  <c r="AI24" i="41"/>
  <c r="AJ24" i="41" s="1"/>
  <c r="AL24" i="41" s="1"/>
  <c r="AM24" i="41" s="1"/>
  <c r="AQ24" i="41"/>
  <c r="AS24" i="41" s="1"/>
  <c r="AT24" i="41" s="1"/>
  <c r="AI55" i="41"/>
  <c r="AJ55" i="41" s="1"/>
  <c r="AQ55" i="41"/>
  <c r="AI16" i="41"/>
  <c r="AJ16" i="41" s="1"/>
  <c r="AL16" i="41" s="1"/>
  <c r="AM16" i="41" s="1"/>
  <c r="AQ16" i="41"/>
  <c r="AS16" i="41" s="1"/>
  <c r="AT16" i="41" s="1"/>
  <c r="AI11" i="41"/>
  <c r="AJ11" i="41" s="1"/>
  <c r="AD11" i="41"/>
  <c r="AE12" i="41" s="1"/>
  <c r="AG12" i="41"/>
  <c r="AH12" i="41" s="1"/>
  <c r="AT11" i="41" l="1"/>
  <c r="AT88" i="41"/>
  <c r="E7" i="55" s="1"/>
  <c r="AT56" i="41"/>
  <c r="AL68" i="41"/>
  <c r="AM68" i="41" s="1"/>
  <c r="AL44" i="41"/>
  <c r="AM44" i="41" s="1"/>
  <c r="AL60" i="41"/>
  <c r="AM60" i="41" s="1"/>
  <c r="AL36" i="41"/>
  <c r="AM36" i="41" s="1"/>
  <c r="AL52" i="41"/>
  <c r="AM52" i="41" s="1"/>
  <c r="AL28" i="41"/>
  <c r="AM28" i="41" s="1"/>
  <c r="AG11" i="41"/>
  <c r="AH11" i="41" s="1"/>
  <c r="AE11" i="41"/>
  <c r="AS85" i="41"/>
  <c r="AS86" i="41" l="1"/>
  <c r="C7" i="55" s="1"/>
  <c r="AT89" i="41"/>
  <c r="F7" i="55" s="1"/>
  <c r="AS87" i="41"/>
  <c r="D7" i="55" s="1"/>
  <c r="AI15" i="41"/>
  <c r="AJ15" i="41" s="1"/>
  <c r="AI14" i="41"/>
  <c r="AJ14" i="41" s="1"/>
  <c r="AF14" i="41"/>
  <c r="AF12" i="41"/>
  <c r="AF17" i="41" l="1"/>
  <c r="AI13" i="41"/>
  <c r="AJ13" i="41" s="1"/>
  <c r="AF13" i="41"/>
  <c r="X21" i="40"/>
  <c r="X20" i="40"/>
  <c r="X19" i="40"/>
  <c r="X18" i="40"/>
  <c r="X17" i="40"/>
  <c r="X16" i="40"/>
  <c r="X15" i="40"/>
  <c r="X14" i="40"/>
  <c r="X13" i="40"/>
  <c r="X12" i="40"/>
  <c r="X11" i="40"/>
  <c r="O21" i="40"/>
  <c r="V21" i="40" s="1"/>
  <c r="N21" i="40"/>
  <c r="O20" i="40"/>
  <c r="V20" i="40" s="1"/>
  <c r="N20" i="40"/>
  <c r="O19" i="40"/>
  <c r="V19" i="40" s="1"/>
  <c r="N19" i="40"/>
  <c r="O18" i="40"/>
  <c r="V18" i="40" s="1"/>
  <c r="N18" i="40"/>
  <c r="O17" i="40"/>
  <c r="V17" i="40" s="1"/>
  <c r="N17" i="40"/>
  <c r="O16" i="40"/>
  <c r="V16" i="40" s="1"/>
  <c r="N16" i="40"/>
  <c r="O15" i="40"/>
  <c r="V15" i="40" s="1"/>
  <c r="N15" i="40"/>
  <c r="O14" i="40"/>
  <c r="V14" i="40" s="1"/>
  <c r="N14" i="40"/>
  <c r="O13" i="40"/>
  <c r="V13" i="40" s="1"/>
  <c r="N13" i="40"/>
  <c r="O12" i="40"/>
  <c r="V12" i="40" s="1"/>
  <c r="N12" i="40"/>
  <c r="O11" i="40"/>
  <c r="V11" i="40" s="1"/>
  <c r="N11" i="40"/>
  <c r="AN14" i="40" l="1"/>
  <c r="AN15" i="40"/>
  <c r="AN16" i="40"/>
  <c r="U11" i="40"/>
  <c r="Z11" i="40" s="1"/>
  <c r="W11" i="40"/>
  <c r="U15" i="40"/>
  <c r="Z15" i="40" s="1"/>
  <c r="W15" i="40"/>
  <c r="U19" i="40"/>
  <c r="Z19" i="40" s="1"/>
  <c r="W19" i="40"/>
  <c r="U12" i="40"/>
  <c r="Z12" i="40" s="1"/>
  <c r="W12" i="40"/>
  <c r="U16" i="40"/>
  <c r="Z16" i="40" s="1"/>
  <c r="W16" i="40"/>
  <c r="U20" i="40"/>
  <c r="Z20" i="40" s="1"/>
  <c r="W20" i="40"/>
  <c r="U13" i="40"/>
  <c r="Z13" i="40" s="1"/>
  <c r="W13" i="40"/>
  <c r="U17" i="40"/>
  <c r="Z17" i="40" s="1"/>
  <c r="W17" i="40"/>
  <c r="U21" i="40"/>
  <c r="Z21" i="40" s="1"/>
  <c r="W21" i="40"/>
  <c r="U14" i="40"/>
  <c r="Z14" i="40" s="1"/>
  <c r="AO14" i="40" s="1"/>
  <c r="AP14" i="40" s="1"/>
  <c r="AR14" i="40" s="1"/>
  <c r="AS14" i="40" s="1"/>
  <c r="W14" i="40"/>
  <c r="U18" i="40"/>
  <c r="Z18" i="40" s="1"/>
  <c r="W18" i="40"/>
  <c r="AN19" i="40"/>
  <c r="AE19" i="40"/>
  <c r="AF19" i="40" s="1"/>
  <c r="AN20" i="40"/>
  <c r="AE20" i="40"/>
  <c r="AF20" i="40" s="1"/>
  <c r="AN21" i="40"/>
  <c r="AE21" i="40"/>
  <c r="AF21" i="40" s="1"/>
  <c r="AL17" i="41"/>
  <c r="AF19" i="41"/>
  <c r="AL19" i="41" s="1"/>
  <c r="AM19" i="41" s="1"/>
  <c r="AF18" i="41"/>
  <c r="AL18" i="41" s="1"/>
  <c r="AF15" i="41"/>
  <c r="AG15" i="40"/>
  <c r="AH15" i="40" s="1"/>
  <c r="AG16" i="40"/>
  <c r="AH16" i="40" s="1"/>
  <c r="AG12" i="40"/>
  <c r="AG20" i="40"/>
  <c r="AH20" i="40" s="1"/>
  <c r="AG17" i="40"/>
  <c r="AH17" i="40" s="1"/>
  <c r="AG19" i="40"/>
  <c r="AH19" i="40" s="1"/>
  <c r="AG13" i="40"/>
  <c r="AH13" i="40" s="1"/>
  <c r="AG21" i="40"/>
  <c r="AH21" i="40" s="1"/>
  <c r="AG18" i="40"/>
  <c r="AH18" i="40" s="1"/>
  <c r="AG14" i="40"/>
  <c r="AH14" i="40" s="1"/>
  <c r="AI12" i="41"/>
  <c r="AJ12" i="41" s="1"/>
  <c r="AH12" i="40" l="1"/>
  <c r="AI20" i="40"/>
  <c r="AJ20" i="40" s="1"/>
  <c r="AI19" i="40"/>
  <c r="AJ19" i="40" s="1"/>
  <c r="AL19" i="40" s="1"/>
  <c r="AI18" i="40"/>
  <c r="AJ18" i="40" s="1"/>
  <c r="AI17" i="40"/>
  <c r="AJ17" i="40" s="1"/>
  <c r="AI12" i="40"/>
  <c r="AJ12" i="40" s="1"/>
  <c r="AI21" i="40"/>
  <c r="AJ21" i="40" s="1"/>
  <c r="AL21" i="40" s="1"/>
  <c r="AM21" i="40" s="1"/>
  <c r="AO13" i="40"/>
  <c r="AP13" i="40" s="1"/>
  <c r="AR13" i="40" s="1"/>
  <c r="AS13" i="40" s="1"/>
  <c r="AI14" i="40"/>
  <c r="AJ14" i="40" s="1"/>
  <c r="AI15" i="40"/>
  <c r="AJ15" i="40" s="1"/>
  <c r="AI11" i="40"/>
  <c r="AJ11" i="40" s="1"/>
  <c r="AI16" i="40"/>
  <c r="AJ16" i="40" s="1"/>
  <c r="AD14" i="40"/>
  <c r="AD11" i="40"/>
  <c r="AD17" i="40"/>
  <c r="AO21" i="40"/>
  <c r="AP21" i="40" s="1"/>
  <c r="AR21" i="40" s="1"/>
  <c r="AS21" i="40" s="1"/>
  <c r="AI13" i="40"/>
  <c r="AJ13" i="40" s="1"/>
  <c r="AD13" i="40"/>
  <c r="AM18" i="41"/>
  <c r="AL20" i="41"/>
  <c r="AM20" i="41" s="1"/>
  <c r="AM17" i="41"/>
  <c r="AL12" i="41"/>
  <c r="AM12" i="41" s="1"/>
  <c r="AF11" i="41"/>
  <c r="AL11" i="41" s="1"/>
  <c r="AD12" i="40"/>
  <c r="AD18" i="40"/>
  <c r="AD15" i="40"/>
  <c r="AO19" i="40"/>
  <c r="AP19" i="40" s="1"/>
  <c r="AR19" i="40" s="1"/>
  <c r="AD16" i="40"/>
  <c r="AO16" i="40"/>
  <c r="AP16" i="40" s="1"/>
  <c r="AR16" i="40" s="1"/>
  <c r="AS16" i="40" s="1"/>
  <c r="AO17" i="40"/>
  <c r="AL20" i="40"/>
  <c r="AM20" i="40" s="1"/>
  <c r="AO20" i="40"/>
  <c r="AO18" i="40"/>
  <c r="AO12" i="40"/>
  <c r="AO11" i="40"/>
  <c r="AO15" i="40"/>
  <c r="AE12" i="40" l="1"/>
  <c r="AS19" i="40"/>
  <c r="AE15" i="40"/>
  <c r="AF15" i="40" s="1"/>
  <c r="AL15" i="40" s="1"/>
  <c r="AM15" i="40" s="1"/>
  <c r="AE16" i="40"/>
  <c r="AF16" i="40" s="1"/>
  <c r="AL16" i="40" s="1"/>
  <c r="AM16" i="40" s="1"/>
  <c r="AE18" i="40"/>
  <c r="AF18" i="40" s="1"/>
  <c r="AL18" i="40" s="1"/>
  <c r="AM18" i="40" s="1"/>
  <c r="AE14" i="40"/>
  <c r="AF14" i="40" s="1"/>
  <c r="AL14" i="40" s="1"/>
  <c r="AM14" i="40" s="1"/>
  <c r="AE13" i="40"/>
  <c r="AF13" i="40" s="1"/>
  <c r="AL13" i="40" s="1"/>
  <c r="AM13" i="40" s="1"/>
  <c r="AE17" i="40"/>
  <c r="AF17" i="40" s="1"/>
  <c r="AL17" i="40" s="1"/>
  <c r="AM17" i="40" s="1"/>
  <c r="AE11" i="40"/>
  <c r="AF11" i="40" s="1"/>
  <c r="AL11" i="40" s="1"/>
  <c r="AM11" i="41"/>
  <c r="AL85" i="41"/>
  <c r="AL86" i="41" s="1"/>
  <c r="AL87" i="41" s="1"/>
  <c r="AP15" i="40"/>
  <c r="AR15" i="40" s="1"/>
  <c r="AS15" i="40" s="1"/>
  <c r="AP11" i="40"/>
  <c r="AR11" i="40" s="1"/>
  <c r="AP12" i="40"/>
  <c r="AR12" i="40" s="1"/>
  <c r="AS12" i="40" s="1"/>
  <c r="AP18" i="40"/>
  <c r="AR18" i="40" s="1"/>
  <c r="AS18" i="40" s="1"/>
  <c r="AP20" i="40"/>
  <c r="AR20" i="40" s="1"/>
  <c r="AS20" i="40" s="1"/>
  <c r="AP17" i="40"/>
  <c r="AR17" i="40" s="1"/>
  <c r="AS17" i="40" s="1"/>
  <c r="AM19" i="40"/>
  <c r="AF12" i="40" l="1"/>
  <c r="AL12" i="40" s="1"/>
  <c r="AR25" i="40"/>
  <c r="E6" i="55" s="1"/>
  <c r="AM11" i="40"/>
  <c r="AS11" i="40"/>
  <c r="AR22" i="40"/>
  <c r="AR26" i="40" s="1"/>
  <c r="F6" i="55" s="1"/>
  <c r="AM12" i="40" l="1"/>
  <c r="AL25" i="40"/>
  <c r="E5" i="55" s="1"/>
  <c r="AL22" i="40"/>
  <c r="AL26" i="40" s="1"/>
  <c r="F5" i="55" s="1"/>
  <c r="AR23" i="40"/>
  <c r="C6" i="55" s="1"/>
  <c r="AL23" i="40" l="1"/>
  <c r="C5" i="55" s="1"/>
  <c r="AR24" i="40"/>
  <c r="D6" i="55" s="1"/>
  <c r="AL24" i="40" l="1"/>
  <c r="D5" i="55" s="1"/>
  <c r="AR16" i="50"/>
  <c r="AJ52" i="50" l="1"/>
  <c r="AJ62" i="50"/>
  <c r="AJ38" i="50"/>
  <c r="AJ42" i="50"/>
  <c r="AJ21" i="50"/>
  <c r="AR49" i="50"/>
  <c r="AJ36" i="50"/>
  <c r="AJ28" i="50"/>
  <c r="AJ64" i="50"/>
  <c r="AJ49" i="50"/>
  <c r="AJ19" i="50"/>
  <c r="AJ45" i="50"/>
  <c r="AR60" i="50"/>
  <c r="AJ17" i="50"/>
  <c r="AJ60" i="50"/>
  <c r="AJ23" i="50"/>
  <c r="AR63" i="50"/>
  <c r="AJ35" i="50"/>
  <c r="AJ54" i="50"/>
  <c r="AJ11" i="50"/>
  <c r="AR40" i="50"/>
  <c r="AR22" i="50"/>
  <c r="AJ18" i="50"/>
  <c r="AR11" i="50"/>
  <c r="AJ15" i="50"/>
  <c r="AR50" i="50"/>
  <c r="AJ31" i="50"/>
  <c r="AJ46" i="50"/>
  <c r="AJ34" i="50"/>
  <c r="AJ61" i="50"/>
  <c r="AJ55" i="50"/>
  <c r="AR62" i="50"/>
  <c r="AJ44" i="50"/>
  <c r="AR35" i="50"/>
  <c r="AR32" i="50"/>
  <c r="AR27" i="50"/>
  <c r="AR64" i="50"/>
  <c r="AJ13" i="50"/>
  <c r="AR23" i="50"/>
  <c r="AJ53" i="50"/>
  <c r="AR46" i="50"/>
  <c r="AR56" i="50"/>
  <c r="AJ26" i="50"/>
  <c r="AJ57" i="50"/>
  <c r="AR36" i="50"/>
  <c r="AR54" i="50"/>
  <c r="AR19" i="50"/>
  <c r="AR14" i="50"/>
  <c r="AR24" i="50"/>
  <c r="AR52" i="50"/>
  <c r="AR20" i="50"/>
  <c r="AR17" i="50"/>
  <c r="AJ48" i="50"/>
  <c r="AJ41" i="50"/>
  <c r="AR53" i="50"/>
  <c r="AR26" i="50"/>
  <c r="AJ25" i="50"/>
  <c r="AR59" i="50"/>
  <c r="AJ37" i="50"/>
  <c r="AR51" i="50"/>
  <c r="AR38" i="50"/>
  <c r="AJ59" i="50"/>
  <c r="AR21" i="50"/>
  <c r="AR42" i="50"/>
  <c r="AJ16" i="50"/>
  <c r="AR18" i="50"/>
  <c r="AJ29" i="50"/>
  <c r="AJ12" i="50"/>
  <c r="AJ50" i="50"/>
  <c r="AR61" i="50"/>
  <c r="AR44" i="50"/>
  <c r="AR29" i="50"/>
  <c r="AR13" i="50"/>
  <c r="AJ47" i="50"/>
  <c r="AJ30" i="50"/>
  <c r="AR55" i="50"/>
  <c r="AR15" i="50"/>
  <c r="AR30" i="50"/>
  <c r="AR43" i="50"/>
  <c r="AJ63" i="50"/>
  <c r="AR39" i="50"/>
  <c r="AR12" i="50"/>
  <c r="AR45" i="50"/>
  <c r="AJ56" i="50"/>
  <c r="AR57" i="50"/>
  <c r="AJ20" i="50"/>
  <c r="AR41" i="50"/>
  <c r="AR48" i="50"/>
  <c r="AJ39" i="50"/>
  <c r="AJ43" i="50"/>
  <c r="AR25" i="50"/>
  <c r="AR31" i="50"/>
  <c r="AR37" i="50"/>
  <c r="AJ22" i="50"/>
  <c r="AJ14" i="50"/>
  <c r="AR33" i="50"/>
  <c r="AJ40" i="50"/>
  <c r="AJ27" i="50"/>
  <c r="AJ32" i="50"/>
  <c r="AR34" i="50"/>
  <c r="AJ58" i="50"/>
  <c r="AJ51" i="50"/>
  <c r="AR47" i="50"/>
  <c r="AR28" i="50"/>
  <c r="AJ33" i="50"/>
  <c r="AJ24" i="50"/>
  <c r="AR58" i="50"/>
  <c r="AQ27" i="50" l="1"/>
  <c r="AE20" i="50" l="1"/>
  <c r="AK20" i="50" s="1"/>
  <c r="AL20" i="50" s="1"/>
  <c r="AE12" i="50"/>
  <c r="AK12" i="50" s="1"/>
  <c r="AL12" i="50" s="1"/>
  <c r="AE11" i="50"/>
  <c r="AK11" i="50" s="1"/>
  <c r="AL11" i="50" s="1"/>
  <c r="AQ52" i="50"/>
  <c r="AS52" i="50" s="1"/>
  <c r="AT52" i="50" s="1"/>
  <c r="AS27" i="50"/>
  <c r="AT27" i="50" s="1"/>
  <c r="AE43" i="50"/>
  <c r="AK43" i="50" s="1"/>
  <c r="AL43" i="50" s="1"/>
  <c r="AE58" i="50"/>
  <c r="AK58" i="50" s="1"/>
  <c r="AL58" i="50" s="1"/>
  <c r="AQ11" i="50"/>
  <c r="AQ26" i="50"/>
  <c r="AE15" i="50"/>
  <c r="AK15" i="50" s="1"/>
  <c r="AL15" i="50" s="1"/>
  <c r="AE53" i="50"/>
  <c r="AK53" i="50" s="1"/>
  <c r="AL53" i="50" s="1"/>
  <c r="AQ36" i="50"/>
  <c r="AQ44" i="50"/>
  <c r="AE23" i="50"/>
  <c r="AK23" i="50" s="1"/>
  <c r="AL23" i="50" s="1"/>
  <c r="AQ15" i="50"/>
  <c r="AQ35" i="50"/>
  <c r="AE37" i="50"/>
  <c r="AK37" i="50" s="1"/>
  <c r="AL37" i="50" s="1"/>
  <c r="AE35" i="50"/>
  <c r="AK35" i="50" s="1"/>
  <c r="AL35" i="50" s="1"/>
  <c r="AQ49" i="50"/>
  <c r="AQ24" i="50"/>
  <c r="AE39" i="50"/>
  <c r="AK39" i="50" s="1"/>
  <c r="AL39" i="50" s="1"/>
  <c r="AQ42" i="50"/>
  <c r="AE44" i="50"/>
  <c r="AK44" i="50" s="1"/>
  <c r="AL44" i="50" s="1"/>
  <c r="AE52" i="50"/>
  <c r="AK52" i="50" s="1"/>
  <c r="AL52" i="50" s="1"/>
  <c r="AE28" i="50"/>
  <c r="AK28" i="50" s="1"/>
  <c r="AL28" i="50" s="1"/>
  <c r="AQ60" i="50"/>
  <c r="AE31" i="50"/>
  <c r="AK31" i="50" s="1"/>
  <c r="AL31" i="50" s="1"/>
  <c r="AE55" i="50"/>
  <c r="AK55" i="50" s="1"/>
  <c r="AL55" i="50" s="1"/>
  <c r="AE27" i="50"/>
  <c r="AK27" i="50" s="1"/>
  <c r="AL27" i="50" s="1"/>
  <c r="AQ12" i="50"/>
  <c r="AE24" i="50"/>
  <c r="AK24" i="50" s="1"/>
  <c r="AL24" i="50" s="1"/>
  <c r="AQ48" i="50"/>
  <c r="AE26" i="50"/>
  <c r="AK26" i="50" s="1"/>
  <c r="AL26" i="50" s="1"/>
  <c r="AQ25" i="50"/>
  <c r="AE34" i="50"/>
  <c r="AK34" i="50" s="1"/>
  <c r="AL34" i="50" s="1"/>
  <c r="AE13" i="50"/>
  <c r="AK13" i="50" s="1"/>
  <c r="AL13" i="50" s="1"/>
  <c r="AQ17" i="50"/>
  <c r="AQ56" i="50"/>
  <c r="AQ14" i="50"/>
  <c r="AE49" i="50"/>
  <c r="AK49" i="50" s="1"/>
  <c r="AL49" i="50" s="1"/>
  <c r="AE18" i="50"/>
  <c r="AK18" i="50" s="1"/>
  <c r="AL18" i="50" s="1"/>
  <c r="AQ50" i="50"/>
  <c r="AE22" i="50"/>
  <c r="AK22" i="50" s="1"/>
  <c r="AL22" i="50" s="1"/>
  <c r="AE14" i="50"/>
  <c r="AK14" i="50" s="1"/>
  <c r="AL14" i="50" s="1"/>
  <c r="AE51" i="50"/>
  <c r="AK51" i="50" s="1"/>
  <c r="AL51" i="50" s="1"/>
  <c r="AE48" i="50"/>
  <c r="AK48" i="50" s="1"/>
  <c r="AL48" i="50" s="1"/>
  <c r="AE47" i="50"/>
  <c r="AK47" i="50" s="1"/>
  <c r="AL47" i="50" s="1"/>
  <c r="AQ30" i="50"/>
  <c r="AQ43" i="50"/>
  <c r="AE46" i="50"/>
  <c r="AK46" i="50" s="1"/>
  <c r="AL46" i="50" s="1"/>
  <c r="AQ28" i="50"/>
  <c r="AQ57" i="50"/>
  <c r="AE54" i="50"/>
  <c r="AK54" i="50" s="1"/>
  <c r="AL54" i="50" s="1"/>
  <c r="AQ34" i="50"/>
  <c r="AQ58" i="50"/>
  <c r="AQ51" i="50"/>
  <c r="AE33" i="50"/>
  <c r="AK33" i="50" s="1"/>
  <c r="AL33" i="50" s="1"/>
  <c r="AQ39" i="50"/>
  <c r="AQ21" i="50"/>
  <c r="AE25" i="50"/>
  <c r="AK25" i="50" s="1"/>
  <c r="AL25" i="50" s="1"/>
  <c r="AE50" i="50"/>
  <c r="AK50" i="50" s="1"/>
  <c r="AL50" i="50" s="1"/>
  <c r="AQ23" i="50"/>
  <c r="AQ29" i="50"/>
  <c r="AQ13" i="50"/>
  <c r="AQ22" i="50"/>
  <c r="AE40" i="50"/>
  <c r="AK40" i="50" s="1"/>
  <c r="AL40" i="50" s="1"/>
  <c r="AQ16" i="50"/>
  <c r="AE63" i="50"/>
  <c r="AK63" i="50" s="1"/>
  <c r="AL63" i="50" s="1"/>
  <c r="AE38" i="50"/>
  <c r="AK38" i="50" s="1"/>
  <c r="AL38" i="50" s="1"/>
  <c r="AQ61" i="50"/>
  <c r="AQ40" i="50"/>
  <c r="AQ32" i="50"/>
  <c r="AE17" i="50"/>
  <c r="AK17" i="50" s="1"/>
  <c r="AL17" i="50" s="1"/>
  <c r="AQ33" i="50"/>
  <c r="AE60" i="50"/>
  <c r="AK60" i="50" s="1"/>
  <c r="AL60" i="50" s="1"/>
  <c r="AE59" i="50"/>
  <c r="AK59" i="50" s="1"/>
  <c r="AL59" i="50" s="1"/>
  <c r="AQ18" i="50"/>
  <c r="AQ47" i="50"/>
  <c r="AE30" i="50"/>
  <c r="AK30" i="50" s="1"/>
  <c r="AL30" i="50" s="1"/>
  <c r="AE64" i="50"/>
  <c r="AK64" i="50" s="1"/>
  <c r="AL64" i="50" s="1"/>
  <c r="AE32" i="50"/>
  <c r="AK32" i="50" s="1"/>
  <c r="AL32" i="50" s="1"/>
  <c r="AE45" i="50"/>
  <c r="AK45" i="50" s="1"/>
  <c r="AL45" i="50" s="1"/>
  <c r="AQ54" i="50"/>
  <c r="AQ46" i="50"/>
  <c r="AQ63" i="50"/>
  <c r="AQ19" i="50"/>
  <c r="AE57" i="50"/>
  <c r="AK57" i="50" s="1"/>
  <c r="AL57" i="50" s="1"/>
  <c r="AE56" i="50"/>
  <c r="AK56" i="50" s="1"/>
  <c r="AL56" i="50" s="1"/>
  <c r="AQ31" i="50"/>
  <c r="AQ53" i="50"/>
  <c r="AQ45" i="50"/>
  <c r="AE29" i="50"/>
  <c r="AK29" i="50" s="1"/>
  <c r="AL29" i="50" s="1"/>
  <c r="AE21" i="50"/>
  <c r="AK21" i="50" s="1"/>
  <c r="AL21" i="50" s="1"/>
  <c r="AE36" i="50"/>
  <c r="AK36" i="50" s="1"/>
  <c r="AL36" i="50" s="1"/>
  <c r="AE41" i="50"/>
  <c r="AK41" i="50" s="1"/>
  <c r="AL41" i="50" s="1"/>
  <c r="AE61" i="50"/>
  <c r="AK61" i="50" s="1"/>
  <c r="AL61" i="50" s="1"/>
  <c r="AQ55" i="50"/>
  <c r="AQ62" i="50"/>
  <c r="AQ41" i="50"/>
  <c r="AQ64" i="50"/>
  <c r="AE16" i="50"/>
  <c r="AK16" i="50" s="1"/>
  <c r="AL16" i="50" s="1"/>
  <c r="AQ59" i="50"/>
  <c r="AQ37" i="50"/>
  <c r="AE19" i="50"/>
  <c r="AK19" i="50" s="1"/>
  <c r="AL19" i="50" s="1"/>
  <c r="AQ20" i="50"/>
  <c r="AE62" i="50"/>
  <c r="AK62" i="50" s="1"/>
  <c r="AL62" i="50" s="1"/>
  <c r="AE42" i="50"/>
  <c r="AK42" i="50" s="1"/>
  <c r="AL42" i="50" s="1"/>
  <c r="AQ38" i="50"/>
  <c r="AS29" i="50" l="1"/>
  <c r="AT29" i="50" s="1"/>
  <c r="AS28" i="50"/>
  <c r="AT28" i="50" s="1"/>
  <c r="AS25" i="50"/>
  <c r="AT25" i="50" s="1"/>
  <c r="AS15" i="50"/>
  <c r="AT15" i="50" s="1"/>
  <c r="AS23" i="50"/>
  <c r="AT23" i="50" s="1"/>
  <c r="AS51" i="50"/>
  <c r="AT51" i="50" s="1"/>
  <c r="AS19" i="50"/>
  <c r="AT19" i="50" s="1"/>
  <c r="AS33" i="50"/>
  <c r="AT33" i="50" s="1"/>
  <c r="AS16" i="50"/>
  <c r="AT16" i="50" s="1"/>
  <c r="AS58" i="50"/>
  <c r="AT58" i="50" s="1"/>
  <c r="AS17" i="50"/>
  <c r="AT17" i="50" s="1"/>
  <c r="AS24" i="50"/>
  <c r="AT24" i="50" s="1"/>
  <c r="AS55" i="50"/>
  <c r="AT55" i="50" s="1"/>
  <c r="AS34" i="50"/>
  <c r="AT34" i="50" s="1"/>
  <c r="AS43" i="50"/>
  <c r="AT43" i="50" s="1"/>
  <c r="AS14" i="50"/>
  <c r="AT14" i="50" s="1"/>
  <c r="AS48" i="50"/>
  <c r="AT48" i="50" s="1"/>
  <c r="AS60" i="50"/>
  <c r="AT60" i="50" s="1"/>
  <c r="AS44" i="50"/>
  <c r="AT44" i="50" s="1"/>
  <c r="AS26" i="50"/>
  <c r="AT26" i="50" s="1"/>
  <c r="AS63" i="50"/>
  <c r="AT63" i="50" s="1"/>
  <c r="AS47" i="50"/>
  <c r="AT47" i="50" s="1"/>
  <c r="AS32" i="50"/>
  <c r="AT32" i="50" s="1"/>
  <c r="AS30" i="50"/>
  <c r="AT30" i="50" s="1"/>
  <c r="AS49" i="50"/>
  <c r="AT49" i="50" s="1"/>
  <c r="AS36" i="50"/>
  <c r="AT36" i="50" s="1"/>
  <c r="AS11" i="50"/>
  <c r="AK68" i="50"/>
  <c r="AS59" i="50"/>
  <c r="AT59" i="50" s="1"/>
  <c r="AS53" i="50"/>
  <c r="AT53" i="50" s="1"/>
  <c r="AS20" i="50"/>
  <c r="AT20" i="50" s="1"/>
  <c r="AS46" i="50"/>
  <c r="AT46" i="50" s="1"/>
  <c r="AS22" i="50"/>
  <c r="AT22" i="50" s="1"/>
  <c r="AS21" i="50"/>
  <c r="AT21" i="50" s="1"/>
  <c r="AS56" i="50"/>
  <c r="AT56" i="50" s="1"/>
  <c r="AK65" i="50"/>
  <c r="AS64" i="50"/>
  <c r="AT64" i="50" s="1"/>
  <c r="AS37" i="50"/>
  <c r="AT37" i="50" s="1"/>
  <c r="AS41" i="50"/>
  <c r="AT41" i="50" s="1"/>
  <c r="AS54" i="50"/>
  <c r="AT54" i="50" s="1"/>
  <c r="AS18" i="50"/>
  <c r="AT18" i="50" s="1"/>
  <c r="AS40" i="50"/>
  <c r="AT40" i="50" s="1"/>
  <c r="AS39" i="50"/>
  <c r="AT39" i="50" s="1"/>
  <c r="AS50" i="50"/>
  <c r="AT50" i="50" s="1"/>
  <c r="AS12" i="50"/>
  <c r="AT12" i="50" s="1"/>
  <c r="AS31" i="50"/>
  <c r="AT31" i="50" s="1"/>
  <c r="AS38" i="50"/>
  <c r="AT38" i="50" s="1"/>
  <c r="AS62" i="50"/>
  <c r="AT62" i="50" s="1"/>
  <c r="AS45" i="50"/>
  <c r="AT45" i="50" s="1"/>
  <c r="AS61" i="50"/>
  <c r="AT61" i="50" s="1"/>
  <c r="AS13" i="50"/>
  <c r="AT13" i="50" s="1"/>
  <c r="AS57" i="50"/>
  <c r="AT57" i="50" s="1"/>
  <c r="AS42" i="50"/>
  <c r="AT42" i="50" s="1"/>
  <c r="AS35" i="50"/>
  <c r="AT35" i="50" s="1"/>
  <c r="AK66" i="50" l="1"/>
  <c r="AK67" i="50" s="1"/>
  <c r="AK69" i="50"/>
  <c r="AT11" i="50"/>
  <c r="AS68" i="50"/>
  <c r="E8" i="55" s="1"/>
  <c r="AS65" i="50"/>
  <c r="AS66" i="50" l="1"/>
  <c r="C8" i="55" s="1"/>
  <c r="AS69" i="50"/>
  <c r="F8" i="55" s="1"/>
  <c r="AS67" i="50" l="1"/>
  <c r="D8" i="55" s="1"/>
</calcChain>
</file>

<file path=xl/comments1.xml><?xml version="1.0" encoding="utf-8"?>
<comments xmlns="http://schemas.openxmlformats.org/spreadsheetml/2006/main">
  <authors>
    <author>Author</author>
  </authors>
  <commentList>
    <comment ref="B3" authorId="0" shapeId="0">
      <text>
        <r>
          <rPr>
            <b/>
            <sz val="9"/>
            <color indexed="81"/>
            <rFont val="Tahoma"/>
            <family val="2"/>
          </rPr>
          <t>This Row Data are changeable.</t>
        </r>
      </text>
    </comment>
  </commentList>
</comments>
</file>

<file path=xl/comments2.xml><?xml version="1.0" encoding="utf-8"?>
<comments xmlns="http://schemas.openxmlformats.org/spreadsheetml/2006/main">
  <authors>
    <author>Author</author>
  </authors>
  <commentList>
    <comment ref="AK25" authorId="0" shapeId="0">
      <text>
        <r>
          <rPr>
            <b/>
            <sz val="9"/>
            <color indexed="81"/>
            <rFont val="Tahoma"/>
            <family val="2"/>
          </rPr>
          <t>Zacky:</t>
        </r>
        <r>
          <rPr>
            <sz val="9"/>
            <color indexed="81"/>
            <rFont val="Tahoma"/>
            <family val="2"/>
          </rPr>
          <t xml:space="preserve">
Means the % of MAC busy cycles, no matter it's full-filled or not.</t>
        </r>
      </text>
    </comment>
    <comment ref="AK26" authorId="0" shapeId="0">
      <text>
        <r>
          <rPr>
            <b/>
            <sz val="9"/>
            <color indexed="81"/>
            <rFont val="Tahoma"/>
            <family val="2"/>
          </rPr>
          <t>Zacky:</t>
        </r>
        <r>
          <rPr>
            <sz val="9"/>
            <color indexed="81"/>
            <rFont val="Tahoma"/>
            <family val="2"/>
          </rPr>
          <t xml:space="preserve">
Theary Network MAC number over time.</t>
        </r>
      </text>
    </comment>
  </commentList>
</comments>
</file>

<file path=xl/comments3.xml><?xml version="1.0" encoding="utf-8"?>
<comments xmlns="http://schemas.openxmlformats.org/spreadsheetml/2006/main">
  <authors>
    <author>Author</author>
  </authors>
  <commentList>
    <comment ref="AS88" authorId="0" shapeId="0">
      <text>
        <r>
          <rPr>
            <b/>
            <sz val="9"/>
            <color indexed="81"/>
            <rFont val="Tahoma"/>
            <family val="2"/>
          </rPr>
          <t>Zacky:</t>
        </r>
        <r>
          <rPr>
            <sz val="9"/>
            <color indexed="81"/>
            <rFont val="Tahoma"/>
            <family val="2"/>
          </rPr>
          <t xml:space="preserve">
Means the % of MAC busy cycles, no matter it's full-filled or not.</t>
        </r>
      </text>
    </comment>
    <comment ref="AS89" authorId="0" shapeId="0">
      <text>
        <r>
          <rPr>
            <b/>
            <sz val="9"/>
            <color indexed="81"/>
            <rFont val="Tahoma"/>
            <family val="2"/>
          </rPr>
          <t>Zacky:</t>
        </r>
        <r>
          <rPr>
            <sz val="9"/>
            <color indexed="81"/>
            <rFont val="Tahoma"/>
            <family val="2"/>
          </rPr>
          <t xml:space="preserve">
Theary Network MAC number over time.</t>
        </r>
      </text>
    </comment>
  </commentList>
</comments>
</file>

<file path=xl/comments4.xml><?xml version="1.0" encoding="utf-8"?>
<comments xmlns="http://schemas.openxmlformats.org/spreadsheetml/2006/main">
  <authors>
    <author>Author</author>
  </authors>
  <commentList>
    <comment ref="AJ68" authorId="0" shapeId="0">
      <text>
        <r>
          <rPr>
            <b/>
            <sz val="9"/>
            <color indexed="81"/>
            <rFont val="Tahoma"/>
            <family val="2"/>
          </rPr>
          <t>Zacky:</t>
        </r>
        <r>
          <rPr>
            <sz val="9"/>
            <color indexed="81"/>
            <rFont val="Tahoma"/>
            <family val="2"/>
          </rPr>
          <t xml:space="preserve">
Means the % of MAC busy cycles, no matter it's full-filled or not.</t>
        </r>
      </text>
    </comment>
    <comment ref="AJ69" authorId="0" shapeId="0">
      <text>
        <r>
          <rPr>
            <b/>
            <sz val="9"/>
            <color indexed="81"/>
            <rFont val="Tahoma"/>
            <family val="2"/>
          </rPr>
          <t>Zacky:</t>
        </r>
        <r>
          <rPr>
            <sz val="9"/>
            <color indexed="81"/>
            <rFont val="Tahoma"/>
            <family val="2"/>
          </rPr>
          <t xml:space="preserve">
Theary Network MAC number over time.</t>
        </r>
      </text>
    </comment>
  </commentList>
</comments>
</file>

<file path=xl/sharedStrings.xml><?xml version="1.0" encoding="utf-8"?>
<sst xmlns="http://schemas.openxmlformats.org/spreadsheetml/2006/main" count="733" uniqueCount="260">
  <si>
    <t>Input Data type (Byte)</t>
  </si>
  <si>
    <t>Weight Data Type (Byte)</t>
  </si>
  <si>
    <t>Number of Multiplier(16bit)</t>
  </si>
  <si>
    <t>Frequency</t>
  </si>
  <si>
    <t>Net</t>
  </si>
  <si>
    <t>Layer</t>
  </si>
  <si>
    <t>#input feature maps
C</t>
  </si>
  <si>
    <t>Input
Height
H</t>
  </si>
  <si>
    <t>Input
Width
W</t>
  </si>
  <si>
    <t>#output feature maps
K</t>
  </si>
  <si>
    <t>Filter
Height
R</t>
  </si>
  <si>
    <t>Filter
Width
S</t>
  </si>
  <si>
    <t>Zero Padding
Z</t>
  </si>
  <si>
    <t>Horizontal
Conv
 Stride
V</t>
  </si>
  <si>
    <t>Height
after
Conv
P</t>
  </si>
  <si>
    <t>Width
after
Conv
Q</t>
  </si>
  <si>
    <t>Pooling
after
Conv</t>
  </si>
  <si>
    <t>Pooling Height
D</t>
  </si>
  <si>
    <t>Pooling
Width
E</t>
  </si>
  <si>
    <t>Vertical
pooling
 stride
F</t>
  </si>
  <si>
    <t>Horizontal
pooling
stride
G</t>
  </si>
  <si>
    <t>Height
after
Pooling
A</t>
  </si>
  <si>
    <t>Height
after
Pooling
B</t>
  </si>
  <si>
    <t>Input data size</t>
  </si>
  <si>
    <t>Weight data size</t>
  </si>
  <si>
    <t>fc1</t>
  </si>
  <si>
    <t>fc2</t>
  </si>
  <si>
    <t>fc3</t>
  </si>
  <si>
    <t>total</t>
  </si>
  <si>
    <t>GoogLeNet</t>
  </si>
  <si>
    <t>conv1</t>
  </si>
  <si>
    <t>conv2</t>
  </si>
  <si>
    <t>inception 3a 1x1</t>
  </si>
  <si>
    <t>inception 3a 3x3 red</t>
  </si>
  <si>
    <t>inception 3a 3x3</t>
  </si>
  <si>
    <t>inception 3a 5x5 red</t>
  </si>
  <si>
    <t>inception 3a 5x5</t>
  </si>
  <si>
    <t>inception 3a pool proj</t>
  </si>
  <si>
    <t>inception 3b 1x1</t>
  </si>
  <si>
    <t>inception 3b 3x3 red</t>
  </si>
  <si>
    <t>inception 3b 3x3</t>
  </si>
  <si>
    <t>inception 3b 5x5 red</t>
  </si>
  <si>
    <t>inception 3b 5x5</t>
  </si>
  <si>
    <t>inception 3b pool proj</t>
  </si>
  <si>
    <t>inception 4a 1x1</t>
  </si>
  <si>
    <t>inception 4a 3x3 red</t>
  </si>
  <si>
    <t>inception 4a 3x3</t>
  </si>
  <si>
    <t>inception 4a 5x5 red</t>
  </si>
  <si>
    <t>inception 4a 5x5</t>
  </si>
  <si>
    <t>inception 4a pool proj</t>
  </si>
  <si>
    <t>inception 4b 1x1</t>
  </si>
  <si>
    <t>inception 4b 3x3 red</t>
  </si>
  <si>
    <t>inception 4b 3x3</t>
  </si>
  <si>
    <t>inception 4b 5x5 red</t>
  </si>
  <si>
    <t>inception 4b 5x5</t>
  </si>
  <si>
    <t>inception 4b pool proj</t>
  </si>
  <si>
    <t>inception 4c 1x1</t>
  </si>
  <si>
    <t>inception 4c 3x3 red</t>
  </si>
  <si>
    <t>inception 4c 3x3</t>
  </si>
  <si>
    <t>inception 4c 5x5 red</t>
  </si>
  <si>
    <t>inception 4c 5x5</t>
  </si>
  <si>
    <t>inception 4c pool proj</t>
  </si>
  <si>
    <t>inception 4d 1x1</t>
  </si>
  <si>
    <t>inception 4d 3x3 red</t>
  </si>
  <si>
    <t>inception 4d 3x3</t>
  </si>
  <si>
    <t>inception 4d 5x5 red</t>
  </si>
  <si>
    <t>inception 4d 5x5</t>
  </si>
  <si>
    <t>inception 4d pool proj</t>
  </si>
  <si>
    <t>inception 4e 1x1</t>
  </si>
  <si>
    <t>inception 4e 3x3 red</t>
  </si>
  <si>
    <t>inception 4e 3x3</t>
  </si>
  <si>
    <t>inception 4e 5x5 red</t>
  </si>
  <si>
    <t>inception 4e 5x5</t>
  </si>
  <si>
    <t>inception 4e pool proj</t>
  </si>
  <si>
    <t>inception 5a 1x1</t>
  </si>
  <si>
    <t>inception 5a 3x3 red</t>
  </si>
  <si>
    <t>inception 5a 3x3</t>
  </si>
  <si>
    <t>inception 5a 5x5 red</t>
  </si>
  <si>
    <t>inception 5a 5x5</t>
  </si>
  <si>
    <t>inception 5a pool proj</t>
  </si>
  <si>
    <t>inception 5b 1x1</t>
  </si>
  <si>
    <t>inception 5b 3x3 red</t>
  </si>
  <si>
    <t>inception 5b 3x3</t>
  </si>
  <si>
    <t>inception 5b 5x5 red</t>
  </si>
  <si>
    <t>inception 5b 5x5</t>
  </si>
  <si>
    <t>inception 5b pool proj</t>
  </si>
  <si>
    <t>fc</t>
  </si>
  <si>
    <t>Alexnet in Caffe</t>
  </si>
  <si>
    <t>Vertical 
Conv Srtide
H</t>
  </si>
  <si>
    <t>FPS</t>
  </si>
  <si>
    <t>AlexNet</t>
  </si>
  <si>
    <t>Calculation</t>
  </si>
  <si>
    <t>Long Pole</t>
  </si>
  <si>
    <t>ms</t>
  </si>
  <si>
    <t>Output data size</t>
  </si>
  <si>
    <t>MAC cycles</t>
  </si>
  <si>
    <t>MAX Cycles</t>
  </si>
  <si>
    <t>Network</t>
  </si>
  <si>
    <t>CVSRAM Read Traffic</t>
  </si>
  <si>
    <t>DRAM Traffic</t>
  </si>
  <si>
    <t>DRAM Cycles</t>
  </si>
  <si>
    <t>CVSRAM Read Cycles</t>
  </si>
  <si>
    <t>CVSRAM Write Traffic</t>
  </si>
  <si>
    <t>CVSRAM Write Cycles</t>
  </si>
  <si>
    <t>DRAM BW Limitation</t>
  </si>
  <si>
    <t>CVSRAM=4M</t>
  </si>
  <si>
    <t>MAC Cycles</t>
  </si>
  <si>
    <t>MAX Cycle</t>
  </si>
  <si>
    <t>Layer attribute</t>
  </si>
  <si>
    <t>conv</t>
  </si>
  <si>
    <t>FC batch size</t>
  </si>
  <si>
    <t>Purpose of the spreadsheet</t>
  </si>
  <si>
    <t>GoogleNet</t>
  </si>
  <si>
    <t>Convolution input buffer (KB)</t>
  </si>
  <si>
    <t>CVSRAM read BW limitation</t>
  </si>
  <si>
    <t>CVSRAM write BW Limitation</t>
  </si>
  <si>
    <t>CVSRAM Batching size</t>
  </si>
  <si>
    <t>cycle</t>
  </si>
  <si>
    <t>Compression rate</t>
  </si>
  <si>
    <t>Compression Rate</t>
  </si>
  <si>
    <t>Cycles</t>
  </si>
  <si>
    <t>Inception 3a 1x1 (combined)</t>
  </si>
  <si>
    <t>Inception 3b 1x1 (combined)</t>
  </si>
  <si>
    <t>Inception 4a 1x1 (combined)</t>
  </si>
  <si>
    <t>Inception 4b 1x1 (combined)</t>
  </si>
  <si>
    <t>Inception 4c 1x1 (combined)</t>
  </si>
  <si>
    <t>Inception 4e 1x1 (combined)</t>
  </si>
  <si>
    <t>inception 3a DRAM</t>
  </si>
  <si>
    <t>inception 3b DRAM</t>
  </si>
  <si>
    <t>Conv Batch</t>
  </si>
  <si>
    <t>Total Time</t>
  </si>
  <si>
    <t>Total Cycle</t>
  </si>
  <si>
    <t>HW MAC Effi</t>
  </si>
  <si>
    <t>Network MAC Effi</t>
  </si>
  <si>
    <t>Winograd</t>
  </si>
  <si>
    <t>Winograd?</t>
  </si>
  <si>
    <t>Inception 5a 1x1 (combined)</t>
  </si>
  <si>
    <t>Inception 5b 1x1 (combined)</t>
  </si>
  <si>
    <t>Inception 4d 1x1 (combined)</t>
  </si>
  <si>
    <t>Conv1 + bn + scale + Relu + Pooling</t>
  </si>
  <si>
    <t>Res2a_branch1 + bn + scale</t>
  </si>
  <si>
    <t>Res2a_branch2a + bn + scale + relu</t>
  </si>
  <si>
    <t>Res2a_branch2b + bn + scale + relu</t>
  </si>
  <si>
    <t>Res2a_branch2c + bn + scale + Elwise + relu</t>
  </si>
  <si>
    <t>Res2b_branch2a + bn + scale + relu</t>
  </si>
  <si>
    <t>Res2b_branch2b + bn + scale + relu</t>
  </si>
  <si>
    <t>Res2b_branch2c + bn + scale + Elwise + relu</t>
  </si>
  <si>
    <t>Res2c_branch2a + bn + scale + relu</t>
  </si>
  <si>
    <t>Res2c_branch2b + bn + scale + relu</t>
  </si>
  <si>
    <t>Res2c_branch2c + bn + scale + Elwise + relu</t>
  </si>
  <si>
    <t>Res3a_branch1 + bn + scale</t>
  </si>
  <si>
    <t>Res3a_branch2c + bn + scale + Elwise + relu</t>
  </si>
  <si>
    <t>Res3a_branch2a + bn + scale + relu</t>
  </si>
  <si>
    <t>Res3a_branch2b + bn + scale + relu</t>
  </si>
  <si>
    <t>Res4a_branch2a + bn + scale + relu</t>
  </si>
  <si>
    <t>Res4a_branch2c + bn + scale + Elwise + relu</t>
  </si>
  <si>
    <t>Res4a_branch1 + bn + scale</t>
  </si>
  <si>
    <t>Res4a_branch2b + bn + scale + relu</t>
  </si>
  <si>
    <t>Res5a_branch1 + bn + scale</t>
  </si>
  <si>
    <t>Res5a_branch2a + bn + scale + relu</t>
  </si>
  <si>
    <t>Res5a_branch2b + bn + scale + relu</t>
  </si>
  <si>
    <t>Res5a_branch2c + bn + scale + Elwise + relu</t>
  </si>
  <si>
    <t>Res5b_branch2a + bn + scale + relu</t>
  </si>
  <si>
    <t>Res5b_branch2b + bn + scale + relu</t>
  </si>
  <si>
    <t>Res5b_branch2c + bn + scale + Elwise + relu</t>
  </si>
  <si>
    <t>Res5c_branch2a + bn + scale + relu</t>
  </si>
  <si>
    <t>Res5c_branch2b + bn + scale + relu</t>
  </si>
  <si>
    <t>fc1000</t>
  </si>
  <si>
    <t>V</t>
  </si>
  <si>
    <t>v</t>
  </si>
  <si>
    <t>ResNet50</t>
  </si>
  <si>
    <t>conv + elwise</t>
  </si>
  <si>
    <t>Res3c_branch2a + bn + scale + relu</t>
  </si>
  <si>
    <t>Res3c_branch2b + bn + scle + relu</t>
  </si>
  <si>
    <t>Res3c_branch2c + bn + scale + Elwise + relu</t>
  </si>
  <si>
    <t>Res3b_branch2c + bn + scale + Elwise + relu</t>
  </si>
  <si>
    <t>Res3b_branch2b + bn + scale + relu</t>
  </si>
  <si>
    <t>Res3b_branch2a + bn + scale + relu</t>
  </si>
  <si>
    <t>Res3d_branch2a + bn + scale + relu</t>
  </si>
  <si>
    <t>Res3d_branch2b + bn + scale + relu</t>
  </si>
  <si>
    <t>Res3d_branch2c + bn + scale + Elwise + relu</t>
  </si>
  <si>
    <t>Res4b_branch2a + bn + scale + relu</t>
  </si>
  <si>
    <t>Res4b_branch2b + bn + scale + relu</t>
  </si>
  <si>
    <t>Res4b_branch2c + bn + scale + Elwise + relu</t>
  </si>
  <si>
    <t>Res4c_branch2a + bn + scale + relu</t>
  </si>
  <si>
    <t>Res4c_branch2b + bn + scale + relu</t>
  </si>
  <si>
    <t>Res4c_branch2c + bn + scale + Elwise + relu</t>
  </si>
  <si>
    <t>Res4d_branch2a + bn + scale + relu</t>
  </si>
  <si>
    <t>Res4d_branch2b + bn + scale + relu</t>
  </si>
  <si>
    <t>Res4d_branch2c + bn + scale + Elwise + relu</t>
  </si>
  <si>
    <t>Res4e_branch2a + bn + scale + relu</t>
  </si>
  <si>
    <t>Res4e_branch2b + bn + scale + relu</t>
  </si>
  <si>
    <t>Res4e_branch2c + bn + scale + Elwise + relu</t>
  </si>
  <si>
    <t>Res4f_branch2a + bn + scale + relu</t>
  </si>
  <si>
    <t>Res4f_branch2b + bn + scale + relu</t>
  </si>
  <si>
    <t>Res4f_branch2c + bn + scale + Elwise + relu</t>
  </si>
  <si>
    <t>Res5c_branch2c + bn + scale + Elwise + relu</t>
  </si>
  <si>
    <t>Smaller sized</t>
  </si>
  <si>
    <t>Min input data size</t>
  </si>
  <si>
    <t>Min weight data size</t>
  </si>
  <si>
    <t>Min input data</t>
  </si>
  <si>
    <t>min weight data</t>
  </si>
  <si>
    <t>Smaller size</t>
  </si>
  <si>
    <t>Factor</t>
  </si>
  <si>
    <t>Feature Data Size (Byte)</t>
  </si>
  <si>
    <t>Weight Data Size (Byte)</t>
  </si>
  <si>
    <t>Convolutional Buffer Size (KB)</t>
  </si>
  <si>
    <t>Clock Frequency</t>
  </si>
  <si>
    <t>MAC Number</t>
  </si>
  <si>
    <t>Clock Frequency (MHz)</t>
  </si>
  <si>
    <t>Primary DBB BW Limitation (GB/s)</t>
  </si>
  <si>
    <t>Fully-Connected Layer Batch Size</t>
  </si>
  <si>
    <t>Perf Results</t>
  </si>
  <si>
    <t>HW MAC Utilization</t>
  </si>
  <si>
    <t>Network MAC Utilization</t>
  </si>
  <si>
    <t>AlexNet (with 4M on-chip SRAM through 2nd MEM I.F.)</t>
  </si>
  <si>
    <t>Configuration Inputs</t>
  </si>
  <si>
    <t>How to use the sheet</t>
  </si>
  <si>
    <t>Average Run Time for 1 Frame</t>
  </si>
  <si>
    <t>Available Value</t>
  </si>
  <si>
    <t>1 Byte, 2 Byte</t>
  </si>
  <si>
    <t>32KB, 64KB, 128KB, 256KB, 512KB</t>
  </si>
  <si>
    <t>32, 64, 128, 256, 512, 1024, 2048</t>
  </si>
  <si>
    <t>Clock Frequence of NVDLA Core Logic</t>
  </si>
  <si>
    <t>Average run time for one frame</t>
  </si>
  <si>
    <t>Supported Networks:</t>
  </si>
  <si>
    <t>1~16</t>
  </si>
  <si>
    <t>Description</t>
  </si>
  <si>
    <t>Hardware MAC Utilization, equation as MAC_BUSY_CYCLE/TOTAL_CYCLE</t>
  </si>
  <si>
    <t>Assumption/Limitation:</t>
  </si>
  <si>
    <t>This spreadsheet should be used to determine the performance of the NVDLA Open Source Hardware</t>
  </si>
  <si>
    <t>The "Configuration Input" sheet exposes the hardware parameters for the configuration of interest.  Fill in your configuration settings and view the resulting performance in the "Performance Sumary" sheet.  This sheet supports several very common CNN Networks. Additional sheets can be added in a similar fashon to estimate performance on other convolutional networks.</t>
  </si>
  <si>
    <t>Hardware Configuration Parameters</t>
  </si>
  <si>
    <t>Calculated Performance Metrics</t>
  </si>
  <si>
    <t>This spreadsheet calculates optimal performance, not including software overhead and mode switch time</t>
  </si>
  <si>
    <t>In this spreadsheet we assume most of the Pooling/Scaling/Element-wise-op can be fused together with convolutional layers, so those layers doesn't show up in the performance calculations.  This fusing results from multiple hardware units in NVDLA running in parallel.</t>
  </si>
  <si>
    <t>We assume the primary memory interface will be connected to DRAM, and Second Memory Interface connected to on-chip SRAM.  So the Primary Memory Bandwidth is combined for both read and write, while we have separated read and write bandwidth limitations for the second memory interface</t>
  </si>
  <si>
    <t>There are two different MAC utilization measurements:  HW MAC Utilization reflects the percentage of MAC cells busy on average; and Network MAC Utilization reflects the overall functional utilization comparing to non-optimized function.  As NVDLA implements optimization features like Winograd, the network MAC Utilization is expected to be better than HW MAC Utilization.</t>
  </si>
  <si>
    <t>For AlexNet we also create a performance result in case that NVDLA has a second memory interface instanced, the performance is getting improved significantly</t>
  </si>
  <si>
    <t>Input feature data type</t>
  </si>
  <si>
    <t>Weight data type</t>
  </si>
  <si>
    <t>Size of the shared convolutional buffer, which is used for both feature data and weight data</t>
  </si>
  <si>
    <t>Memory read bandwidth of secondary memory interface</t>
  </si>
  <si>
    <t>Memory write bandwidth of the secondary memory interface</t>
  </si>
  <si>
    <t>Primary Memory Interface BW Limitation (GB/s)</t>
  </si>
  <si>
    <t>Memory read + write bandwidth on primary memory interface.</t>
  </si>
  <si>
    <t>Batch size -- only for fully-connected layers</t>
  </si>
  <si>
    <t>Average run time for a single frame.  For a batch of frames, it reflect the time of BATCH_RUNTIME/BATCH_NUM</t>
  </si>
  <si>
    <t>Frames Per Second</t>
  </si>
  <si>
    <t>Network MAC Utilization, equation as NETWORK_MAC_NUMBER/MAC_NUMBER/TOTAL_CYCLE.  This metrics accounts for winograd improvement over basic convolution.</t>
  </si>
  <si>
    <t>Secondary Mem Interface Read BW Limitation (GB/s)</t>
  </si>
  <si>
    <t>Secondary Mem Interface Write BW Limitation (GB/s)</t>
  </si>
  <si>
    <t>Number of MAC resources.  Note that the MAC type should match the feature/weight data type</t>
  </si>
  <si>
    <t>SRAM=4M</t>
  </si>
  <si>
    <t>SRAM=0M</t>
  </si>
  <si>
    <t>SRAM Batching size</t>
  </si>
  <si>
    <t>SRAM Read Traffic</t>
  </si>
  <si>
    <t>SRAM Read Cycles</t>
  </si>
  <si>
    <t>CRAM Write Traffic</t>
  </si>
  <si>
    <t>SRAM Write Cycles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</si>
</sst>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General&quot;MHz&quot;"/>
    <numFmt numFmtId="165" formatCode="General&quot;GBps&quot;"/>
    <numFmt numFmtId="166" formatCode="General&quot;KB&quot;"/>
    <numFmt numFmtId="167" formatCode="0.00&quot;ms&quot;"/>
    <numFmt numFmtId="168" formatCode="General&quot;GB/s&quot;"/>
  </numFmts>
  <fonts count="8" x14ac:knownFonts="1">
    <font>
      <sz val="11"/>
      <color theme="1"/>
      <name val="Calibri"/>
      <family val="2"/>
      <scheme val="minor"/>
    </font>
    <font>
      <b/>
      <sz val="11"/>
      <color theme="3"/>
      <name val="Calibri"/>
      <family val="2"/>
      <scheme val="minor"/>
    </font>
    <font>
      <b/>
      <sz val="9"/>
      <color indexed="81"/>
      <name val="Tahoma"/>
      <family val="2"/>
    </font>
    <font>
      <sz val="9"/>
      <color indexed="81"/>
      <name val="Tahoma"/>
      <family val="2"/>
    </font>
    <font>
      <b/>
      <sz val="11"/>
      <color theme="0"/>
      <name val="Calibri"/>
      <family val="2"/>
      <scheme val="minor"/>
    </font>
    <font>
      <b/>
      <sz val="11"/>
      <color theme="1"/>
      <name val="Calibri"/>
      <family val="2"/>
      <scheme val="minor"/>
    </font>
    <font>
      <sz val="11"/>
      <color rgb="FFFF0000"/>
      <name val="Calibri"/>
      <family val="2"/>
      <scheme val="minor"/>
    </font>
    <font>
      <sz val="18"/>
      <color theme="3"/>
      <name val="Cambria"/>
      <family val="2"/>
      <scheme val="major"/>
    </font>
  </fonts>
  <fills count="13">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theme="6" tint="-0.499984740745262"/>
        <bgColor indexed="64"/>
      </patternFill>
    </fill>
    <fill>
      <patternFill patternType="solid">
        <fgColor rgb="FF7030A0"/>
        <bgColor indexed="64"/>
      </patternFill>
    </fill>
  </fills>
  <borders count="16">
    <border>
      <left/>
      <right/>
      <top/>
      <bottom/>
      <diagonal/>
    </border>
    <border>
      <left/>
      <right/>
      <top/>
      <bottom style="medium">
        <color theme="4" tint="0.39997558519241921"/>
      </bottom>
      <diagonal/>
    </border>
    <border>
      <left/>
      <right/>
      <top/>
      <bottom style="medium">
        <color indexed="64"/>
      </bottom>
      <diagonal/>
    </border>
    <border>
      <left/>
      <right/>
      <top/>
      <bottom style="thin">
        <color indexed="64"/>
      </bottom>
      <diagonal/>
    </border>
    <border>
      <left/>
      <right/>
      <top style="thin">
        <color indexed="64"/>
      </top>
      <bottom/>
      <diagonal/>
    </border>
    <border>
      <left/>
      <right/>
      <top style="thick">
        <color auto="1"/>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style="medium">
        <color indexed="64"/>
      </bottom>
      <diagonal/>
    </border>
    <border>
      <left/>
      <right style="thin">
        <color indexed="64"/>
      </right>
      <top/>
      <bottom style="medium">
        <color indexed="64"/>
      </bottom>
      <diagonal/>
    </border>
  </borders>
  <cellStyleXfs count="3">
    <xf numFmtId="0" fontId="0" fillId="0" borderId="0"/>
    <xf numFmtId="0" fontId="1" fillId="0" borderId="1" applyNumberFormat="0" applyFill="0" applyAlignment="0" applyProtection="0"/>
    <xf numFmtId="0" fontId="7" fillId="0" borderId="0" applyNumberFormat="0" applyFill="0" applyBorder="0" applyAlignment="0" applyProtection="0"/>
  </cellStyleXfs>
  <cellXfs count="144">
    <xf numFmtId="0" fontId="0" fillId="0" borderId="0" xfId="0"/>
    <xf numFmtId="164" fontId="0" fillId="0" borderId="0" xfId="0" applyNumberFormat="1"/>
    <xf numFmtId="165" fontId="0" fillId="0" borderId="0" xfId="0" applyNumberFormat="1"/>
    <xf numFmtId="0" fontId="0" fillId="0" borderId="2" xfId="0" applyBorder="1"/>
    <xf numFmtId="0" fontId="1" fillId="0" borderId="2" xfId="1" applyBorder="1" applyAlignment="1">
      <alignment horizontal="center" vertical="center" wrapText="1"/>
    </xf>
    <xf numFmtId="0" fontId="1" fillId="0" borderId="2" xfId="1" applyFill="1" applyBorder="1" applyAlignment="1">
      <alignment horizontal="center" vertical="center" wrapText="1"/>
    </xf>
    <xf numFmtId="0" fontId="0" fillId="2" borderId="0" xfId="0" applyFill="1"/>
    <xf numFmtId="0" fontId="0" fillId="0" borderId="0" xfId="0" applyFill="1" applyBorder="1"/>
    <xf numFmtId="0" fontId="0" fillId="2" borderId="0" xfId="0" applyFill="1" applyBorder="1" applyAlignment="1">
      <alignment horizontal="center"/>
    </xf>
    <xf numFmtId="0" fontId="0" fillId="2" borderId="0" xfId="0" applyFont="1" applyFill="1" applyBorder="1"/>
    <xf numFmtId="166" fontId="0" fillId="2" borderId="0" xfId="0" applyNumberFormat="1" applyFill="1" applyBorder="1"/>
    <xf numFmtId="0" fontId="0" fillId="0" borderId="3" xfId="0" applyFill="1" applyBorder="1"/>
    <xf numFmtId="0" fontId="0" fillId="2" borderId="3" xfId="0" applyFill="1" applyBorder="1" applyAlignment="1">
      <alignment horizontal="center"/>
    </xf>
    <xf numFmtId="0" fontId="0" fillId="2" borderId="3" xfId="0" applyFill="1" applyBorder="1"/>
    <xf numFmtId="0" fontId="0" fillId="2" borderId="3" xfId="0" applyFont="1" applyFill="1" applyBorder="1"/>
    <xf numFmtId="166" fontId="0" fillId="2" borderId="3" xfId="0" applyNumberFormat="1" applyFill="1" applyBorder="1"/>
    <xf numFmtId="0" fontId="0" fillId="0" borderId="0" xfId="0" applyFill="1"/>
    <xf numFmtId="0" fontId="0" fillId="3" borderId="0" xfId="0" applyFont="1" applyFill="1" applyBorder="1" applyAlignment="1">
      <alignment horizontal="center"/>
    </xf>
    <xf numFmtId="0" fontId="0" fillId="3" borderId="0" xfId="0" applyFont="1" applyFill="1" applyBorder="1"/>
    <xf numFmtId="166" fontId="0" fillId="3" borderId="0" xfId="0" applyNumberFormat="1" applyFont="1" applyFill="1" applyBorder="1"/>
    <xf numFmtId="0" fontId="0" fillId="3" borderId="0" xfId="0" applyFill="1"/>
    <xf numFmtId="166" fontId="0" fillId="3" borderId="0" xfId="0" applyNumberFormat="1" applyFill="1"/>
    <xf numFmtId="0" fontId="0" fillId="3" borderId="3" xfId="0" applyFont="1" applyFill="1" applyBorder="1" applyAlignment="1">
      <alignment horizontal="center"/>
    </xf>
    <xf numFmtId="0" fontId="0" fillId="3" borderId="3" xfId="0" applyFont="1" applyFill="1" applyBorder="1"/>
    <xf numFmtId="166" fontId="0" fillId="3" borderId="3" xfId="0" applyNumberFormat="1" applyFont="1" applyFill="1" applyBorder="1"/>
    <xf numFmtId="0" fontId="0" fillId="3" borderId="3" xfId="0" applyFill="1" applyBorder="1"/>
    <xf numFmtId="166" fontId="0" fillId="3" borderId="3" xfId="0" applyNumberFormat="1" applyFill="1" applyBorder="1"/>
    <xf numFmtId="0" fontId="0" fillId="4" borderId="0" xfId="0" applyFont="1" applyFill="1" applyBorder="1" applyAlignment="1">
      <alignment horizontal="center"/>
    </xf>
    <xf numFmtId="0" fontId="0" fillId="4" borderId="0" xfId="0" applyFont="1" applyFill="1" applyBorder="1"/>
    <xf numFmtId="0" fontId="0" fillId="4" borderId="0" xfId="0" applyFill="1"/>
    <xf numFmtId="0" fontId="0" fillId="4" borderId="0" xfId="0" applyFill="1" applyBorder="1"/>
    <xf numFmtId="0" fontId="0" fillId="3" borderId="0" xfId="0" applyFill="1" applyBorder="1"/>
    <xf numFmtId="0" fontId="0" fillId="2" borderId="0" xfId="0" applyFill="1" applyBorder="1" applyAlignment="1">
      <alignment horizontal="left"/>
    </xf>
    <xf numFmtId="0" fontId="0" fillId="3" borderId="6" xfId="0" applyFill="1" applyBorder="1" applyAlignment="1">
      <alignment horizontal="center"/>
    </xf>
    <xf numFmtId="0" fontId="0" fillId="3" borderId="6" xfId="0" applyFill="1" applyBorder="1"/>
    <xf numFmtId="0" fontId="0" fillId="3" borderId="6" xfId="0" applyFont="1" applyFill="1" applyBorder="1"/>
    <xf numFmtId="166" fontId="0" fillId="3" borderId="6" xfId="0" applyNumberFormat="1" applyFill="1" applyBorder="1"/>
    <xf numFmtId="0" fontId="0" fillId="2" borderId="5" xfId="0" applyFill="1" applyBorder="1"/>
    <xf numFmtId="0" fontId="0" fillId="2" borderId="5" xfId="0" applyFill="1" applyBorder="1" applyAlignment="1">
      <alignment horizontal="center"/>
    </xf>
    <xf numFmtId="0" fontId="0" fillId="2" borderId="5" xfId="0" applyFont="1" applyFill="1" applyBorder="1"/>
    <xf numFmtId="0" fontId="0" fillId="0" borderId="0" xfId="0" applyAlignment="1">
      <alignment wrapText="1"/>
    </xf>
    <xf numFmtId="0" fontId="0" fillId="0" borderId="0" xfId="0" applyBorder="1"/>
    <xf numFmtId="0" fontId="5" fillId="0" borderId="0" xfId="0" applyFont="1"/>
    <xf numFmtId="10" fontId="0" fillId="0" borderId="0" xfId="0" applyNumberFormat="1"/>
    <xf numFmtId="166" fontId="0" fillId="3" borderId="0" xfId="0" applyNumberFormat="1" applyFill="1" applyBorder="1"/>
    <xf numFmtId="0" fontId="0" fillId="2" borderId="3" xfId="0" applyFont="1" applyFill="1" applyBorder="1" applyAlignment="1">
      <alignment horizontal="center"/>
    </xf>
    <xf numFmtId="0" fontId="6" fillId="0" borderId="0" xfId="0" applyFont="1"/>
    <xf numFmtId="0" fontId="0" fillId="0" borderId="9" xfId="0" applyBorder="1"/>
    <xf numFmtId="0" fontId="0" fillId="0" borderId="10" xfId="0" applyBorder="1"/>
    <xf numFmtId="0" fontId="0" fillId="2" borderId="0" xfId="0" applyFill="1" applyBorder="1"/>
    <xf numFmtId="0" fontId="0" fillId="7" borderId="7" xfId="0" applyFill="1" applyBorder="1"/>
    <xf numFmtId="0" fontId="0" fillId="5" borderId="7" xfId="0" applyFill="1" applyBorder="1"/>
    <xf numFmtId="0" fontId="0" fillId="8" borderId="7" xfId="0" applyFill="1" applyBorder="1"/>
    <xf numFmtId="0" fontId="0" fillId="0" borderId="0" xfId="0" applyBorder="1" applyAlignment="1">
      <alignment horizontal="center" vertical="center" wrapText="1"/>
    </xf>
    <xf numFmtId="0" fontId="0" fillId="0" borderId="0" xfId="0" applyFont="1" applyFill="1" applyBorder="1"/>
    <xf numFmtId="166" fontId="0" fillId="6" borderId="0" xfId="0" applyNumberFormat="1" applyFill="1" applyBorder="1"/>
    <xf numFmtId="0" fontId="0" fillId="6" borderId="0" xfId="0" applyFill="1" applyBorder="1"/>
    <xf numFmtId="0" fontId="0" fillId="6" borderId="0" xfId="0" applyFill="1"/>
    <xf numFmtId="0" fontId="0" fillId="0" borderId="0"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wrapText="1"/>
    </xf>
    <xf numFmtId="166" fontId="0" fillId="6" borderId="3" xfId="0" applyNumberFormat="1" applyFill="1" applyBorder="1"/>
    <xf numFmtId="0" fontId="0" fillId="6" borderId="3" xfId="0" applyFill="1" applyBorder="1"/>
    <xf numFmtId="0" fontId="0" fillId="0" borderId="2" xfId="0" applyFill="1" applyBorder="1"/>
    <xf numFmtId="0" fontId="0" fillId="4" borderId="2" xfId="0" applyFont="1" applyFill="1" applyBorder="1" applyAlignment="1">
      <alignment horizontal="center"/>
    </xf>
    <xf numFmtId="0" fontId="0" fillId="4" borderId="2" xfId="0" applyFont="1" applyFill="1" applyBorder="1"/>
    <xf numFmtId="0" fontId="0" fillId="4" borderId="2" xfId="0" applyFill="1" applyBorder="1"/>
    <xf numFmtId="0" fontId="0" fillId="3" borderId="10" xfId="0" applyFill="1" applyBorder="1"/>
    <xf numFmtId="0" fontId="0" fillId="3" borderId="12" xfId="0" applyFill="1" applyBorder="1"/>
    <xf numFmtId="0" fontId="0" fillId="4" borderId="10" xfId="0" applyFill="1" applyBorder="1"/>
    <xf numFmtId="0" fontId="0" fillId="4" borderId="14" xfId="0" applyFill="1" applyBorder="1"/>
    <xf numFmtId="0" fontId="0" fillId="0" borderId="0" xfId="0" applyFill="1" applyBorder="1" applyAlignment="1">
      <alignment horizontal="center" vertical="center" wrapText="1"/>
    </xf>
    <xf numFmtId="0" fontId="0" fillId="0" borderId="0" xfId="0" applyFont="1" applyFill="1" applyBorder="1" applyAlignment="1">
      <alignment horizontal="center"/>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1" fillId="0" borderId="5" xfId="1" applyBorder="1" applyAlignment="1">
      <alignment horizontal="center" vertical="center" wrapText="1"/>
    </xf>
    <xf numFmtId="0" fontId="0" fillId="0" borderId="0" xfId="0" applyAlignment="1">
      <alignment horizontal="center" vertical="center"/>
    </xf>
    <xf numFmtId="0" fontId="0" fillId="0" borderId="6" xfId="0" applyBorder="1" applyAlignment="1">
      <alignment horizontal="center" vertical="center" wrapText="1"/>
    </xf>
    <xf numFmtId="166" fontId="0" fillId="2" borderId="6" xfId="0" applyNumberFormat="1" applyFill="1" applyBorder="1"/>
    <xf numFmtId="0" fontId="0" fillId="6" borderId="6" xfId="0" applyFill="1" applyBorder="1"/>
    <xf numFmtId="166" fontId="0" fillId="6" borderId="6" xfId="0" applyNumberFormat="1" applyFill="1" applyBorder="1"/>
    <xf numFmtId="0" fontId="0" fillId="2" borderId="3" xfId="0" applyFill="1" applyBorder="1" applyAlignment="1">
      <alignment horizontal="left"/>
    </xf>
    <xf numFmtId="0" fontId="0" fillId="0" borderId="3" xfId="0" applyBorder="1"/>
    <xf numFmtId="0" fontId="0" fillId="0" borderId="6" xfId="0" applyBorder="1"/>
    <xf numFmtId="0" fontId="0" fillId="4" borderId="4" xfId="0" applyFill="1" applyBorder="1"/>
    <xf numFmtId="164" fontId="0" fillId="4" borderId="0" xfId="0" applyNumberFormat="1" applyFill="1" applyBorder="1"/>
    <xf numFmtId="0" fontId="0" fillId="0" borderId="2" xfId="0" applyBorder="1" applyAlignment="1">
      <alignment horizontal="center" vertical="center" wrapText="1"/>
    </xf>
    <xf numFmtId="10" fontId="0" fillId="0" borderId="0" xfId="0" applyNumberFormat="1" applyBorder="1"/>
    <xf numFmtId="0" fontId="0" fillId="0" borderId="10" xfId="0" applyBorder="1" applyAlignment="1">
      <alignment horizontal="center" vertical="center"/>
    </xf>
    <xf numFmtId="0" fontId="0" fillId="0" borderId="0" xfId="0" applyBorder="1" applyAlignment="1">
      <alignment horizontal="center" vertical="center"/>
    </xf>
    <xf numFmtId="0" fontId="1" fillId="0" borderId="14" xfId="1" applyBorder="1" applyAlignment="1">
      <alignment horizontal="center" vertical="center" wrapText="1"/>
    </xf>
    <xf numFmtId="0" fontId="0" fillId="4" borderId="10" xfId="0" applyFont="1" applyFill="1" applyBorder="1"/>
    <xf numFmtId="0" fontId="0" fillId="4" borderId="14" xfId="0" applyFont="1" applyFill="1" applyBorder="1"/>
    <xf numFmtId="0" fontId="0" fillId="0" borderId="10" xfId="0" applyFont="1" applyFill="1" applyBorder="1"/>
    <xf numFmtId="0" fontId="0" fillId="0" borderId="9" xfId="0" applyBorder="1" applyAlignment="1">
      <alignment horizontal="center" vertical="center"/>
    </xf>
    <xf numFmtId="0" fontId="1" fillId="0" borderId="15" xfId="1" applyBorder="1" applyAlignment="1">
      <alignment horizontal="center" vertical="center" wrapText="1"/>
    </xf>
    <xf numFmtId="0" fontId="0" fillId="3" borderId="9" xfId="0" applyFill="1" applyBorder="1"/>
    <xf numFmtId="0" fontId="0" fillId="3" borderId="11" xfId="0" applyFill="1" applyBorder="1"/>
    <xf numFmtId="0" fontId="0" fillId="4" borderId="9" xfId="0" applyFill="1" applyBorder="1"/>
    <xf numFmtId="0" fontId="0" fillId="4" borderId="15" xfId="0" applyFill="1" applyBorder="1"/>
    <xf numFmtId="0" fontId="0" fillId="0" borderId="9" xfId="0" applyFill="1" applyBorder="1"/>
    <xf numFmtId="0" fontId="1" fillId="0" borderId="14" xfId="1" applyFill="1" applyBorder="1" applyAlignment="1">
      <alignment horizontal="center" vertical="center" wrapText="1"/>
    </xf>
    <xf numFmtId="0" fontId="0" fillId="4" borderId="13" xfId="0" applyFill="1" applyBorder="1"/>
    <xf numFmtId="0" fontId="0" fillId="6" borderId="10" xfId="0" applyFill="1" applyBorder="1"/>
    <xf numFmtId="0" fontId="0" fillId="6" borderId="12" xfId="0" applyFill="1" applyBorder="1"/>
    <xf numFmtId="0" fontId="0" fillId="0" borderId="0" xfId="0"/>
    <xf numFmtId="0" fontId="0" fillId="0" borderId="0" xfId="0" applyBorder="1" applyAlignment="1">
      <alignment horizontal="center" vertical="center" wrapText="1"/>
    </xf>
    <xf numFmtId="0" fontId="0" fillId="0" borderId="0" xfId="0"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7" fontId="0" fillId="0" borderId="0" xfId="0" applyNumberForma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0" fontId="0" fillId="2" borderId="6" xfId="0" applyFill="1" applyBorder="1" applyAlignment="1">
      <alignment horizontal="left"/>
    </xf>
    <xf numFmtId="0" fontId="0" fillId="2" borderId="6" xfId="0" applyFill="1" applyBorder="1"/>
    <xf numFmtId="0" fontId="0" fillId="2" borderId="6" xfId="0" applyFont="1" applyFill="1" applyBorder="1"/>
    <xf numFmtId="164" fontId="0" fillId="8" borderId="7" xfId="0" applyNumberFormat="1" applyFill="1" applyBorder="1"/>
    <xf numFmtId="0" fontId="5" fillId="2" borderId="7" xfId="0" applyFont="1" applyFill="1" applyBorder="1" applyAlignment="1">
      <alignment horizontal="center" vertical="center" wrapText="1"/>
    </xf>
    <xf numFmtId="168" fontId="0" fillId="8" borderId="7" xfId="0" applyNumberFormat="1" applyFill="1" applyBorder="1"/>
    <xf numFmtId="0" fontId="5" fillId="9" borderId="7" xfId="0" applyFont="1" applyFill="1" applyBorder="1" applyAlignment="1">
      <alignment horizontal="center" vertical="center" wrapText="1"/>
    </xf>
    <xf numFmtId="0" fontId="0" fillId="7" borderId="7" xfId="0" applyFill="1" applyBorder="1" applyAlignment="1">
      <alignment wrapText="1"/>
    </xf>
    <xf numFmtId="0" fontId="0" fillId="0" borderId="0" xfId="0" applyFill="1" applyBorder="1" applyAlignment="1">
      <alignment wrapText="1"/>
    </xf>
    <xf numFmtId="0" fontId="5" fillId="0" borderId="0" xfId="0" applyFont="1" applyFill="1" applyBorder="1" applyAlignment="1">
      <alignment vertical="center"/>
    </xf>
    <xf numFmtId="0" fontId="0" fillId="3" borderId="7" xfId="0" applyFill="1" applyBorder="1" applyAlignment="1">
      <alignment wrapText="1"/>
    </xf>
    <xf numFmtId="0" fontId="4" fillId="11" borderId="7" xfId="0" applyFont="1" applyFill="1" applyBorder="1"/>
    <xf numFmtId="0" fontId="4" fillId="11" borderId="7" xfId="0" applyFont="1" applyFill="1" applyBorder="1" applyAlignment="1">
      <alignment wrapText="1"/>
    </xf>
    <xf numFmtId="0" fontId="4" fillId="11" borderId="0" xfId="0" applyFont="1" applyFill="1"/>
    <xf numFmtId="0" fontId="4" fillId="12" borderId="7" xfId="0" applyFont="1" applyFill="1" applyBorder="1"/>
    <xf numFmtId="0" fontId="4" fillId="10" borderId="8" xfId="0" applyFont="1" applyFill="1" applyBorder="1" applyAlignment="1">
      <alignment vertical="center"/>
    </xf>
    <xf numFmtId="0" fontId="5" fillId="8" borderId="7" xfId="0" applyFont="1" applyFill="1" applyBorder="1"/>
    <xf numFmtId="0" fontId="0" fillId="8" borderId="7" xfId="0" applyFill="1" applyBorder="1" applyAlignment="1">
      <alignment wrapText="1"/>
    </xf>
    <xf numFmtId="0" fontId="5" fillId="8" borderId="7" xfId="0" applyFont="1" applyFill="1" applyBorder="1" applyAlignment="1">
      <alignment vertical="center"/>
    </xf>
    <xf numFmtId="166" fontId="0" fillId="2" borderId="9" xfId="0" applyNumberFormat="1" applyFill="1" applyBorder="1"/>
    <xf numFmtId="0" fontId="0" fillId="0" borderId="0" xfId="0"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cellXfs>
  <cellStyles count="3">
    <cellStyle name="Heading 3" xfId="1" builtinId="18"/>
    <cellStyle name="Normal" xfId="0" builtinId="0"/>
    <cellStyle name="Title 2" xfId="2"/>
  </cellStyles>
  <dxfs count="7">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67" formatCode="0.00&quot;ms&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8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B4:F8" totalsRowShown="0" headerRowDxfId="6" dataDxfId="5">
  <autoFilter ref="B4:F8"/>
  <tableColumns count="5">
    <tableColumn id="1" name="Network" dataDxfId="4"/>
    <tableColumn id="2" name="Average Run Time for 1 Frame" dataDxfId="3"/>
    <tableColumn id="3" name="FPS" dataDxfId="2"/>
    <tableColumn id="4" name="HW MAC Utilization" dataDxfId="1"/>
    <tableColumn id="5" name="Network MAC Utilization" dataDxfId="0"/>
  </tableColumns>
  <tableStyleInfo name="TableStyleMedium1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C34"/>
  <sheetViews>
    <sheetView topLeftCell="A13" workbookViewId="0">
      <selection activeCell="B15" sqref="B15"/>
    </sheetView>
  </sheetViews>
  <sheetFormatPr defaultRowHeight="14.5" x14ac:dyDescent="0.35"/>
  <cols>
    <col min="1" max="1" width="40.90625" bestFit="1" customWidth="1"/>
    <col min="2" max="2" width="106" style="40" customWidth="1"/>
    <col min="3" max="3" width="35" customWidth="1"/>
  </cols>
  <sheetData>
    <row r="2" spans="1:2" x14ac:dyDescent="0.35">
      <c r="A2" s="136" t="s">
        <v>111</v>
      </c>
      <c r="B2" s="137" t="s">
        <v>230</v>
      </c>
    </row>
    <row r="3" spans="1:2" s="106" customFormat="1" ht="58" x14ac:dyDescent="0.35">
      <c r="A3" s="138" t="s">
        <v>217</v>
      </c>
      <c r="B3" s="137" t="s">
        <v>231</v>
      </c>
    </row>
    <row r="4" spans="1:2" s="106" customFormat="1" x14ac:dyDescent="0.35">
      <c r="A4" s="129"/>
      <c r="B4" s="128"/>
    </row>
    <row r="5" spans="1:2" s="106" customFormat="1" x14ac:dyDescent="0.35">
      <c r="A5" s="129"/>
      <c r="B5" s="128"/>
    </row>
    <row r="6" spans="1:2" x14ac:dyDescent="0.35">
      <c r="A6" s="135" t="s">
        <v>229</v>
      </c>
    </row>
    <row r="7" spans="1:2" s="106" customFormat="1" x14ac:dyDescent="0.35">
      <c r="A7" s="130">
        <v>1</v>
      </c>
      <c r="B7" s="130" t="s">
        <v>234</v>
      </c>
    </row>
    <row r="8" spans="1:2" s="106" customFormat="1" ht="43.5" x14ac:dyDescent="0.35">
      <c r="A8" s="130">
        <v>2</v>
      </c>
      <c r="B8" s="130" t="s">
        <v>235</v>
      </c>
    </row>
    <row r="9" spans="1:2" s="106" customFormat="1" ht="43.5" x14ac:dyDescent="0.35">
      <c r="A9" s="130">
        <v>3</v>
      </c>
      <c r="B9" s="130" t="s">
        <v>236</v>
      </c>
    </row>
    <row r="10" spans="1:2" s="106" customFormat="1" ht="58" x14ac:dyDescent="0.35">
      <c r="A10" s="130">
        <v>4</v>
      </c>
      <c r="B10" s="130" t="s">
        <v>237</v>
      </c>
    </row>
    <row r="11" spans="1:2" s="106" customFormat="1" ht="29" x14ac:dyDescent="0.35">
      <c r="A11" s="130">
        <v>5</v>
      </c>
      <c r="B11" s="130" t="s">
        <v>238</v>
      </c>
    </row>
    <row r="12" spans="1:2" s="106" customFormat="1" x14ac:dyDescent="0.35">
      <c r="B12" s="128"/>
    </row>
    <row r="13" spans="1:2" x14ac:dyDescent="0.35">
      <c r="A13" s="134" t="s">
        <v>225</v>
      </c>
    </row>
    <row r="14" spans="1:2" x14ac:dyDescent="0.35">
      <c r="A14" s="51" t="s">
        <v>90</v>
      </c>
    </row>
    <row r="15" spans="1:2" x14ac:dyDescent="0.35">
      <c r="A15" s="51" t="s">
        <v>112</v>
      </c>
    </row>
    <row r="16" spans="1:2" x14ac:dyDescent="0.35">
      <c r="A16" s="51" t="s">
        <v>170</v>
      </c>
    </row>
    <row r="18" spans="1:3" s="106" customFormat="1" x14ac:dyDescent="0.35">
      <c r="B18" s="40"/>
    </row>
    <row r="19" spans="1:3" x14ac:dyDescent="0.35">
      <c r="A19" s="131" t="s">
        <v>232</v>
      </c>
      <c r="B19" s="132" t="s">
        <v>227</v>
      </c>
      <c r="C19" s="133" t="s">
        <v>219</v>
      </c>
    </row>
    <row r="20" spans="1:3" x14ac:dyDescent="0.35">
      <c r="A20" s="50" t="s">
        <v>0</v>
      </c>
      <c r="B20" s="127" t="s">
        <v>239</v>
      </c>
      <c r="C20" s="127" t="s">
        <v>220</v>
      </c>
    </row>
    <row r="21" spans="1:3" x14ac:dyDescent="0.35">
      <c r="A21" s="50" t="s">
        <v>1</v>
      </c>
      <c r="B21" s="127" t="s">
        <v>240</v>
      </c>
      <c r="C21" s="127" t="s">
        <v>220</v>
      </c>
    </row>
    <row r="22" spans="1:3" x14ac:dyDescent="0.35">
      <c r="A22" s="50" t="s">
        <v>113</v>
      </c>
      <c r="B22" s="127" t="s">
        <v>241</v>
      </c>
      <c r="C22" s="127" t="s">
        <v>221</v>
      </c>
    </row>
    <row r="23" spans="1:3" x14ac:dyDescent="0.35">
      <c r="A23" s="50" t="s">
        <v>208</v>
      </c>
      <c r="B23" s="127" t="s">
        <v>252</v>
      </c>
      <c r="C23" s="127" t="s">
        <v>222</v>
      </c>
    </row>
    <row r="24" spans="1:3" x14ac:dyDescent="0.35">
      <c r="A24" s="50" t="s">
        <v>207</v>
      </c>
      <c r="B24" s="127" t="s">
        <v>223</v>
      </c>
      <c r="C24" s="127"/>
    </row>
    <row r="25" spans="1:3" x14ac:dyDescent="0.35">
      <c r="A25" s="50" t="s">
        <v>250</v>
      </c>
      <c r="B25" s="127" t="s">
        <v>242</v>
      </c>
      <c r="C25" s="127"/>
    </row>
    <row r="26" spans="1:3" x14ac:dyDescent="0.35">
      <c r="A26" s="50" t="s">
        <v>251</v>
      </c>
      <c r="B26" s="127" t="s">
        <v>243</v>
      </c>
      <c r="C26" s="127"/>
    </row>
    <row r="27" spans="1:3" x14ac:dyDescent="0.35">
      <c r="A27" s="50" t="s">
        <v>244</v>
      </c>
      <c r="B27" s="127" t="s">
        <v>245</v>
      </c>
      <c r="C27" s="127"/>
    </row>
    <row r="28" spans="1:3" x14ac:dyDescent="0.35">
      <c r="A28" s="50" t="s">
        <v>110</v>
      </c>
      <c r="B28" s="127" t="s">
        <v>246</v>
      </c>
      <c r="C28" s="127" t="s">
        <v>226</v>
      </c>
    </row>
    <row r="30" spans="1:3" x14ac:dyDescent="0.35">
      <c r="A30" s="131" t="s">
        <v>233</v>
      </c>
      <c r="B30" s="132" t="s">
        <v>227</v>
      </c>
    </row>
    <row r="31" spans="1:3" x14ac:dyDescent="0.35">
      <c r="A31" s="50" t="s">
        <v>224</v>
      </c>
      <c r="B31" s="127" t="s">
        <v>247</v>
      </c>
    </row>
    <row r="32" spans="1:3" x14ac:dyDescent="0.35">
      <c r="A32" s="50" t="s">
        <v>89</v>
      </c>
      <c r="B32" s="127" t="s">
        <v>248</v>
      </c>
    </row>
    <row r="33" spans="1:2" x14ac:dyDescent="0.35">
      <c r="A33" s="50" t="s">
        <v>213</v>
      </c>
      <c r="B33" s="127" t="s">
        <v>228</v>
      </c>
    </row>
    <row r="34" spans="1:2" ht="29" x14ac:dyDescent="0.35">
      <c r="A34" s="50" t="s">
        <v>214</v>
      </c>
      <c r="B34" s="127" t="s">
        <v>249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topLeftCell="B1" workbookViewId="0">
      <selection activeCell="H9" sqref="H9"/>
    </sheetView>
  </sheetViews>
  <sheetFormatPr defaultRowHeight="14.5" x14ac:dyDescent="0.35"/>
  <cols>
    <col min="1" max="1" width="22.1796875" style="106" customWidth="1"/>
    <col min="2" max="2" width="27.36328125" bestFit="1" customWidth="1"/>
    <col min="3" max="3" width="17.36328125" customWidth="1"/>
    <col min="4" max="4" width="20.26953125" customWidth="1"/>
    <col min="5" max="5" width="18.6328125" customWidth="1"/>
    <col min="6" max="6" width="22.81640625" customWidth="1"/>
    <col min="7" max="7" width="24.453125" customWidth="1"/>
    <col min="8" max="8" width="22.81640625" customWidth="1"/>
    <col min="9" max="9" width="23.08984375" customWidth="1"/>
    <col min="10" max="10" width="18.36328125" customWidth="1"/>
  </cols>
  <sheetData>
    <row r="1" spans="1:10" x14ac:dyDescent="0.35">
      <c r="B1" s="42" t="s">
        <v>216</v>
      </c>
    </row>
    <row r="2" spans="1:10" s="116" customFormat="1" ht="43.5" x14ac:dyDescent="0.35">
      <c r="B2" s="126" t="s">
        <v>204</v>
      </c>
      <c r="C2" s="126" t="s">
        <v>205</v>
      </c>
      <c r="D2" s="126" t="s">
        <v>206</v>
      </c>
      <c r="E2" s="126" t="s">
        <v>208</v>
      </c>
      <c r="F2" s="126" t="s">
        <v>209</v>
      </c>
      <c r="G2" s="126" t="s">
        <v>250</v>
      </c>
      <c r="H2" s="126" t="s">
        <v>251</v>
      </c>
      <c r="I2" s="126" t="s">
        <v>210</v>
      </c>
      <c r="J2" s="126" t="s">
        <v>211</v>
      </c>
    </row>
    <row r="3" spans="1:10" x14ac:dyDescent="0.35">
      <c r="A3" s="46"/>
      <c r="B3" s="52">
        <v>1</v>
      </c>
      <c r="C3" s="52">
        <v>1</v>
      </c>
      <c r="D3" s="52">
        <v>512</v>
      </c>
      <c r="E3" s="52">
        <v>2048</v>
      </c>
      <c r="F3" s="123">
        <v>1000</v>
      </c>
      <c r="G3" s="125">
        <v>25</v>
      </c>
      <c r="H3" s="125">
        <v>25</v>
      </c>
      <c r="I3" s="125">
        <v>10</v>
      </c>
      <c r="J3" s="52">
        <v>16</v>
      </c>
    </row>
    <row r="7" spans="1:10" s="116" customFormat="1" x14ac:dyDescent="0.35"/>
    <row r="8" spans="1:10" s="115" customFormat="1" x14ac:dyDescent="0.35"/>
    <row r="9" spans="1:10" s="115" customFormat="1" x14ac:dyDescent="0.35">
      <c r="I9" s="119"/>
      <c r="J9" s="119"/>
    </row>
    <row r="10" spans="1:10" s="115" customFormat="1" x14ac:dyDescent="0.35"/>
    <row r="11" spans="1:10" s="115" customFormat="1" x14ac:dyDescent="0.35"/>
    <row r="12" spans="1:10" s="115" customFormat="1" x14ac:dyDescent="0.35"/>
    <row r="13" spans="1:10" s="115" customFormat="1" x14ac:dyDescent="0.35"/>
    <row r="14" spans="1:10" s="115" customFormat="1" x14ac:dyDescent="0.35"/>
    <row r="15" spans="1:10" s="115" customFormat="1" x14ac:dyDescent="0.35"/>
    <row r="16" spans="1:10" s="115" customFormat="1" x14ac:dyDescent="0.35"/>
  </sheetData>
  <dataValidations count="2">
    <dataValidation type="whole" allowBlank="1" showInputMessage="1" showErrorMessage="1" sqref="F3 G3 I3">
      <formula1>0</formula1>
      <formula2>1000000000</formula2>
    </dataValidation>
    <dataValidation type="whole" allowBlank="1" showInputMessage="1" showErrorMessage="1" sqref="H3">
      <formula1>0</formula1>
      <formula2>100000000000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DataSheet!$A$2:$A$3</xm:f>
          </x14:formula1>
          <xm:sqref>B3</xm:sqref>
        </x14:dataValidation>
        <x14:dataValidation type="list" allowBlank="1" showInputMessage="1" showErrorMessage="1">
          <x14:formula1>
            <xm:f>DataSheet!$B$2:$B$3</xm:f>
          </x14:formula1>
          <xm:sqref>C3</xm:sqref>
        </x14:dataValidation>
        <x14:dataValidation type="list" allowBlank="1" showInputMessage="1" showErrorMessage="1">
          <x14:formula1>
            <xm:f>DataSheet!$C$2:$C$6</xm:f>
          </x14:formula1>
          <xm:sqref>D3</xm:sqref>
        </x14:dataValidation>
        <x14:dataValidation type="list" allowBlank="1" showInputMessage="1" showErrorMessage="1">
          <x14:formula1>
            <xm:f>DataSheet!$D$2:$D$8</xm:f>
          </x14:formula1>
          <xm:sqref>E3</xm:sqref>
        </x14:dataValidation>
        <x14:dataValidation type="list" allowBlank="1" showInputMessage="1" showErrorMessage="1">
          <x14:formula1>
            <xm:f>DataSheet!$E$2:$E$17</xm:f>
          </x14:formula1>
          <xm:sqref>J3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
  <sheetViews>
    <sheetView workbookViewId="0">
      <selection activeCell="C12" sqref="C12"/>
    </sheetView>
  </sheetViews>
  <sheetFormatPr defaultRowHeight="14.5" x14ac:dyDescent="0.35"/>
  <cols>
    <col min="2" max="2" width="26.36328125" customWidth="1"/>
    <col min="3" max="3" width="16.54296875" customWidth="1"/>
    <col min="4" max="6" width="14.453125" customWidth="1"/>
  </cols>
  <sheetData>
    <row r="3" spans="2:6" x14ac:dyDescent="0.35">
      <c r="B3" s="42" t="s">
        <v>212</v>
      </c>
    </row>
    <row r="4" spans="2:6" ht="29" x14ac:dyDescent="0.35">
      <c r="B4" s="116" t="s">
        <v>97</v>
      </c>
      <c r="C4" s="116" t="s">
        <v>218</v>
      </c>
      <c r="D4" s="116" t="s">
        <v>89</v>
      </c>
      <c r="E4" s="116" t="s">
        <v>213</v>
      </c>
      <c r="F4" s="116" t="s">
        <v>214</v>
      </c>
    </row>
    <row r="5" spans="2:6" ht="29" x14ac:dyDescent="0.35">
      <c r="B5" s="116" t="s">
        <v>215</v>
      </c>
      <c r="C5" s="117">
        <f>AlexNet!AL23</f>
        <v>0.5914755625</v>
      </c>
      <c r="D5" s="118">
        <f>AlexNet!AL24</f>
        <v>1690.6869250409648</v>
      </c>
      <c r="E5" s="119">
        <f>AlexNet!AL25</f>
        <v>0.44059227299014575</v>
      </c>
      <c r="F5" s="119">
        <f>AlexNet!AL26</f>
        <v>0.59802008409265428</v>
      </c>
    </row>
    <row r="6" spans="2:6" x14ac:dyDescent="0.35">
      <c r="B6" s="115" t="s">
        <v>90</v>
      </c>
      <c r="C6" s="117">
        <f>AlexNet!AR23</f>
        <v>0.89544356250000001</v>
      </c>
      <c r="D6" s="118">
        <f>AlexNet!AR24</f>
        <v>1116.7649664129447</v>
      </c>
      <c r="E6" s="119">
        <f>AlexNet!AR25</f>
        <v>0.29102846166254059</v>
      </c>
      <c r="F6" s="119">
        <f>AlexNet!AR26</f>
        <v>0.39501569997048253</v>
      </c>
    </row>
    <row r="7" spans="2:6" x14ac:dyDescent="0.35">
      <c r="B7" s="115" t="s">
        <v>29</v>
      </c>
      <c r="C7" s="117">
        <f>GoogLeNet!AS86</f>
        <v>1.2220709999999999</v>
      </c>
      <c r="D7" s="118">
        <f>GoogLeNet!AS87</f>
        <v>818.28306211341248</v>
      </c>
      <c r="E7" s="119">
        <f>GoogLeNet!AT88</f>
        <v>0.43188079906977583</v>
      </c>
      <c r="F7" s="119">
        <f>GoogLeNet!AT89</f>
        <v>0.62722787792198653</v>
      </c>
    </row>
    <row r="8" spans="2:6" x14ac:dyDescent="0.35">
      <c r="B8" s="115" t="s">
        <v>170</v>
      </c>
      <c r="C8" s="117">
        <f>ResNet50!AS66</f>
        <v>7.1136910000000002</v>
      </c>
      <c r="D8" s="118">
        <f>ResNet50!AS67</f>
        <v>140.57400019202407</v>
      </c>
      <c r="E8" s="119">
        <f>ResNet50!AS68</f>
        <v>0.23158160791634047</v>
      </c>
      <c r="F8" s="119">
        <f>ResNet50!AS69</f>
        <v>0.26745496817334347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AS26"/>
  <sheetViews>
    <sheetView tabSelected="1" topLeftCell="L1" zoomScale="70" zoomScaleNormal="70" workbookViewId="0">
      <selection activeCell="AA14" sqref="AA14"/>
    </sheetView>
  </sheetViews>
  <sheetFormatPr defaultColWidth="8.81640625" defaultRowHeight="14.5" x14ac:dyDescent="0.35"/>
  <cols>
    <col min="1" max="1" width="10" customWidth="1"/>
    <col min="2" max="2" width="30.54296875" customWidth="1"/>
    <col min="3" max="3" width="24" customWidth="1"/>
    <col min="4" max="4" width="10.6328125" customWidth="1"/>
    <col min="5" max="5" width="16.36328125" customWidth="1"/>
    <col min="6" max="6" width="7.08984375" customWidth="1"/>
    <col min="7" max="7" width="6.81640625" customWidth="1"/>
    <col min="8" max="8" width="8" customWidth="1"/>
    <col min="9" max="10" width="7" bestFit="1" customWidth="1"/>
    <col min="11" max="11" width="8.1796875" customWidth="1"/>
    <col min="12" max="12" width="7.6328125" customWidth="1"/>
    <col min="13" max="13" width="10.1796875" customWidth="1"/>
    <col min="14" max="14" width="6.81640625" customWidth="1"/>
    <col min="15" max="15" width="6.54296875" customWidth="1"/>
    <col min="16" max="16" width="7.6328125" customWidth="1"/>
    <col min="17" max="23" width="8.81640625" customWidth="1"/>
    <col min="24" max="24" width="10.36328125" customWidth="1"/>
    <col min="25" max="25" width="10.36328125" style="106" customWidth="1"/>
    <col min="26" max="27" width="10.36328125" customWidth="1"/>
    <col min="28" max="28" width="10.36328125" style="106" customWidth="1"/>
    <col min="29" max="29" width="10.36328125" customWidth="1"/>
    <col min="30" max="30" width="10.81640625" style="48" customWidth="1"/>
    <col min="31" max="39" width="10.81640625" customWidth="1"/>
    <col min="40" max="40" width="10.81640625" style="48" customWidth="1"/>
    <col min="41" max="44" width="10.81640625" style="41" customWidth="1"/>
    <col min="45" max="45" width="10.81640625" style="47" customWidth="1"/>
  </cols>
  <sheetData>
    <row r="1" spans="1:45" x14ac:dyDescent="0.35">
      <c r="B1" t="s">
        <v>0</v>
      </c>
      <c r="C1">
        <f>'Configuration Input'!B3</f>
        <v>1</v>
      </c>
      <c r="I1" s="43"/>
      <c r="J1" s="43"/>
    </row>
    <row r="2" spans="1:45" x14ac:dyDescent="0.35">
      <c r="B2" t="s">
        <v>1</v>
      </c>
      <c r="C2">
        <f>'Configuration Input'!C3</f>
        <v>1</v>
      </c>
      <c r="E2" t="s">
        <v>118</v>
      </c>
      <c r="F2" s="43">
        <v>0</v>
      </c>
      <c r="G2" s="43"/>
      <c r="I2" s="43"/>
      <c r="J2" s="43"/>
    </row>
    <row r="3" spans="1:45" x14ac:dyDescent="0.35">
      <c r="B3" t="s">
        <v>113</v>
      </c>
      <c r="C3">
        <f>'Configuration Input'!D3</f>
        <v>512</v>
      </c>
      <c r="G3" s="43"/>
      <c r="I3" s="43"/>
      <c r="J3" s="43"/>
    </row>
    <row r="4" spans="1:45" x14ac:dyDescent="0.35">
      <c r="B4" t="s">
        <v>2</v>
      </c>
      <c r="C4">
        <f>'Configuration Input'!E3</f>
        <v>2048</v>
      </c>
      <c r="I4" s="43"/>
      <c r="J4" s="43"/>
    </row>
    <row r="5" spans="1:45" x14ac:dyDescent="0.35">
      <c r="B5" t="s">
        <v>3</v>
      </c>
      <c r="C5" s="1">
        <f>'Configuration Input'!F3</f>
        <v>1000</v>
      </c>
      <c r="D5" s="1"/>
    </row>
    <row r="6" spans="1:45" x14ac:dyDescent="0.35">
      <c r="B6" t="s">
        <v>114</v>
      </c>
      <c r="C6" s="2">
        <f>'Configuration Input'!G3</f>
        <v>25</v>
      </c>
      <c r="D6" s="2"/>
    </row>
    <row r="7" spans="1:45" x14ac:dyDescent="0.35">
      <c r="B7" t="s">
        <v>115</v>
      </c>
      <c r="C7" s="2">
        <f>'Configuration Input'!H3</f>
        <v>25</v>
      </c>
      <c r="D7" s="2"/>
    </row>
    <row r="8" spans="1:45" x14ac:dyDescent="0.35">
      <c r="B8" t="s">
        <v>104</v>
      </c>
      <c r="C8" s="2">
        <f>'Configuration Input'!I3</f>
        <v>10</v>
      </c>
      <c r="D8" s="2"/>
      <c r="AE8" s="140" t="s">
        <v>253</v>
      </c>
      <c r="AF8" s="140"/>
      <c r="AG8" s="140"/>
      <c r="AH8" s="140"/>
      <c r="AI8" s="140"/>
      <c r="AJ8" s="140"/>
      <c r="AK8" s="140"/>
      <c r="AL8" s="140"/>
      <c r="AM8" s="140"/>
      <c r="AN8" s="141" t="s">
        <v>254</v>
      </c>
      <c r="AO8" s="142"/>
      <c r="AP8" s="142"/>
      <c r="AQ8" s="142"/>
      <c r="AR8" s="142"/>
      <c r="AS8" s="143"/>
    </row>
    <row r="9" spans="1:45" x14ac:dyDescent="0.35">
      <c r="B9" t="s">
        <v>110</v>
      </c>
      <c r="C9">
        <f>'Configuration Input'!J3</f>
        <v>16</v>
      </c>
      <c r="AD9" s="89"/>
      <c r="AE9" s="59"/>
      <c r="AF9" s="59"/>
      <c r="AG9" s="59"/>
      <c r="AH9" s="59"/>
      <c r="AI9" s="59">
        <v>4096</v>
      </c>
      <c r="AJ9" s="59"/>
      <c r="AK9" s="59"/>
      <c r="AL9" s="59"/>
      <c r="AM9" s="59"/>
      <c r="AN9" s="89"/>
      <c r="AO9" s="90"/>
      <c r="AP9" s="90"/>
      <c r="AQ9" s="90"/>
      <c r="AR9" s="90"/>
      <c r="AS9" s="95"/>
    </row>
    <row r="10" spans="1:45" s="3" customFormat="1" ht="73" thickBot="1" x14ac:dyDescent="0.4">
      <c r="B10" s="4" t="s">
        <v>4</v>
      </c>
      <c r="C10" s="4" t="s">
        <v>5</v>
      </c>
      <c r="D10" s="4" t="s">
        <v>108</v>
      </c>
      <c r="E10" s="4" t="s">
        <v>6</v>
      </c>
      <c r="F10" s="4" t="s">
        <v>7</v>
      </c>
      <c r="G10" s="4" t="s">
        <v>8</v>
      </c>
      <c r="H10" s="4" t="s">
        <v>9</v>
      </c>
      <c r="I10" s="4" t="s">
        <v>10</v>
      </c>
      <c r="J10" s="4" t="s">
        <v>11</v>
      </c>
      <c r="K10" s="4" t="s">
        <v>12</v>
      </c>
      <c r="L10" s="4" t="s">
        <v>88</v>
      </c>
      <c r="M10" s="4" t="s">
        <v>13</v>
      </c>
      <c r="N10" s="4" t="s">
        <v>14</v>
      </c>
      <c r="O10" s="4" t="s">
        <v>15</v>
      </c>
      <c r="P10" s="4" t="s">
        <v>16</v>
      </c>
      <c r="Q10" s="4" t="s">
        <v>17</v>
      </c>
      <c r="R10" s="4" t="s">
        <v>18</v>
      </c>
      <c r="S10" s="4" t="s">
        <v>19</v>
      </c>
      <c r="T10" s="4" t="s">
        <v>20</v>
      </c>
      <c r="U10" s="4" t="s">
        <v>21</v>
      </c>
      <c r="V10" s="4" t="s">
        <v>22</v>
      </c>
      <c r="W10" s="4" t="s">
        <v>91</v>
      </c>
      <c r="X10" s="4" t="s">
        <v>23</v>
      </c>
      <c r="Y10" s="4" t="s">
        <v>198</v>
      </c>
      <c r="Z10" s="4" t="s">
        <v>94</v>
      </c>
      <c r="AA10" s="4" t="s">
        <v>24</v>
      </c>
      <c r="AB10" s="4" t="s">
        <v>199</v>
      </c>
      <c r="AC10" s="4" t="s">
        <v>134</v>
      </c>
      <c r="AD10" s="91" t="s">
        <v>255</v>
      </c>
      <c r="AE10" s="4" t="s">
        <v>99</v>
      </c>
      <c r="AF10" s="4" t="s">
        <v>100</v>
      </c>
      <c r="AG10" s="4" t="s">
        <v>256</v>
      </c>
      <c r="AH10" s="4" t="s">
        <v>257</v>
      </c>
      <c r="AI10" s="4" t="s">
        <v>258</v>
      </c>
      <c r="AJ10" s="4" t="s">
        <v>259</v>
      </c>
      <c r="AK10" s="5" t="s">
        <v>95</v>
      </c>
      <c r="AL10" s="5" t="s">
        <v>96</v>
      </c>
      <c r="AM10" s="5" t="s">
        <v>92</v>
      </c>
      <c r="AN10" s="102" t="s">
        <v>129</v>
      </c>
      <c r="AO10" s="5" t="s">
        <v>99</v>
      </c>
      <c r="AP10" s="5" t="s">
        <v>100</v>
      </c>
      <c r="AQ10" s="4" t="s">
        <v>106</v>
      </c>
      <c r="AR10" s="4" t="s">
        <v>107</v>
      </c>
      <c r="AS10" s="96" t="s">
        <v>92</v>
      </c>
    </row>
    <row r="11" spans="1:45" s="49" customFormat="1" x14ac:dyDescent="0.35">
      <c r="A11" s="7"/>
      <c r="B11" s="58" t="s">
        <v>87</v>
      </c>
      <c r="C11" s="8">
        <v>1</v>
      </c>
      <c r="D11" s="8" t="s">
        <v>109</v>
      </c>
      <c r="E11" s="9">
        <v>3</v>
      </c>
      <c r="F11" s="9">
        <v>224</v>
      </c>
      <c r="G11" s="9">
        <v>224</v>
      </c>
      <c r="H11" s="9">
        <v>96</v>
      </c>
      <c r="I11" s="9">
        <v>11</v>
      </c>
      <c r="J11" s="9">
        <v>11</v>
      </c>
      <c r="K11" s="49" t="b">
        <v>0</v>
      </c>
      <c r="L11" s="49">
        <v>4</v>
      </c>
      <c r="M11" s="49">
        <v>4</v>
      </c>
      <c r="N11" s="49">
        <f>IF(K11=TRUE,CEILING(F11/L11,1),CEILING((F11-I11)/L11,1)+1)</f>
        <v>55</v>
      </c>
      <c r="O11" s="9">
        <f>IF(K11=TRUE,CEILING(G11/M11,1),CEILING((G11-J11)/M11,1)+1)</f>
        <v>55</v>
      </c>
      <c r="P11" s="49" t="b">
        <v>1</v>
      </c>
      <c r="Q11" s="49">
        <v>3</v>
      </c>
      <c r="R11" s="49">
        <v>3</v>
      </c>
      <c r="S11" s="49">
        <v>2</v>
      </c>
      <c r="T11" s="49">
        <v>2</v>
      </c>
      <c r="U11" s="49">
        <f t="shared" ref="U11:V21" si="0">IF($P11,CEILING((N11-Q11)/S11,1)+1,N11)</f>
        <v>27</v>
      </c>
      <c r="V11" s="49">
        <f t="shared" si="0"/>
        <v>27</v>
      </c>
      <c r="W11" s="49">
        <f>E11*N11*O11*H11*I11*J11</f>
        <v>105415200</v>
      </c>
      <c r="X11" s="10">
        <f t="shared" ref="X11:X21" si="1">CEILING(E11*L11*M11, 16)*CEILING(F11/L11, 1)*CEILING(G11/M11,1)*$C$1/1024</f>
        <v>147</v>
      </c>
      <c r="Y11" s="10">
        <f>CEILING(E11*L11*M11, 16)*MIN(I11+1, CEILING(F11/L11, 1))*CEILING(G11/M11,1)*$C$1/1024</f>
        <v>31.5</v>
      </c>
      <c r="Z11" s="10">
        <f t="shared" ref="Z11:Z21" si="2">U11*V11*CEILING(H11, 16)*$C$1/1024</f>
        <v>68.34375</v>
      </c>
      <c r="AA11" s="10">
        <f>CEILING(E11*L11*M11,16)*CEILING(I11/L11,1)*CEILING(J11/M11,1)*H11*$C$2*(1-$F$2)/1024</f>
        <v>40.5</v>
      </c>
      <c r="AB11" s="10">
        <f>IF((CEILING(E11*L11*M11,16)*CEILING(I11/L11,1)*CEILING(J11/M11,1)*32*$C$2*(1-$F$2)/1024)&gt;=$C$3, $C$3/2, CEILING(E11*L11*M11,16)*CEILING(I11/L11,1)*CEILING(J11/M11,1)*32*$C$2*(1-$F$2)/1024)</f>
        <v>13.5</v>
      </c>
      <c r="AC11" s="10" t="b">
        <f t="shared" ref="AC11:AC21" si="3">IF(I11=3, IF(J11=3, TRUE, FALSE), FALSE)</f>
        <v>0</v>
      </c>
      <c r="AD11" s="104">
        <f t="shared" ref="AD11:AD18" si="4">FLOOR(($AI$9-AA11)/(X11+Z11), 1)</f>
        <v>18</v>
      </c>
      <c r="AE11" s="55">
        <f>X11+AA11/IF(D11="fc",$C$9,MIN($AD$11:$AD$18))</f>
        <v>149.25</v>
      </c>
      <c r="AF11" s="56">
        <f t="shared" ref="AF11:AF17" si="5">CEILING(AE11/$C$8*$C$5, 1)</f>
        <v>14925</v>
      </c>
      <c r="AG11" s="55">
        <v>0</v>
      </c>
      <c r="AH11" s="56">
        <f>CEILING(AG11/$C$6*$C$5, 1)</f>
        <v>0</v>
      </c>
      <c r="AI11" s="55">
        <f t="shared" ref="AI11:AI21" si="6">Z11</f>
        <v>68.34375</v>
      </c>
      <c r="AJ11" s="56">
        <f>CEILING(AI11/$C$7*$C$5, 1)</f>
        <v>2734</v>
      </c>
      <c r="AK11" s="57">
        <f t="shared" ref="AK11:AK21" si="7">CEILING(E11*L11*M11, 16)*CEILING(IF(K11, F11, F11-I11+1)/L11, 1)*CEILING(IF(K11, G11, G11-J11+1)/M11,1)*CEILING(H11*IF(D11="fc", $C$9, 1), 16)*I11*J11/L11/M11/$C$4/IF(I11=3, IF(J11=3, 2.25, 1), 1)/IF(D11="fc", $C$9, 1)</f>
        <v>49617.5625</v>
      </c>
      <c r="AL11" s="57">
        <f t="shared" ref="AL11:AL21" si="8">MAX(AF11, AH11,AJ11,AK11)</f>
        <v>49617.5625</v>
      </c>
      <c r="AM11" s="57" t="str">
        <f t="shared" ref="AM11:AM21" si="9">IF(AL11=AK11,"MAC",IF(AL11=AJ11,"CVSRAM-W",IF(AL11=AF11,"DRAM","CVSRAM-R")))</f>
        <v>MAC</v>
      </c>
      <c r="AN11" s="68">
        <v>1</v>
      </c>
      <c r="AO11" s="44">
        <f t="shared" ref="AO11:AO21" si="10">AA11/IF(D11="fc", $C$9, 1)+Z11+X11</f>
        <v>255.84375</v>
      </c>
      <c r="AP11" s="31">
        <f>CEILING(AO11/$C$8*$C$5, 1)</f>
        <v>25585</v>
      </c>
      <c r="AQ11" s="31">
        <f t="shared" ref="AQ11:AQ21" si="11">CEILING(E11*L11*M11, 16)*CEILING(IF(K11, F11, F11-I11+1)/L11, 1)*CEILING(IF(K11, G11, G11-J11+1)/M11,1)*CEILING(H11*IF(D11="fc", $C$9, 1), 16)*I11*J11/L11/M11/$C$4/IF(I11=3, IF(J11=3, 2.25, 1), 1)/IF(D11="fc", $C$9, 1)</f>
        <v>49617.5625</v>
      </c>
      <c r="AR11" s="31">
        <f t="shared" ref="AR11:AR21" si="12">MAX(AP11:AQ11)</f>
        <v>49617.5625</v>
      </c>
      <c r="AS11" s="97" t="str">
        <f t="shared" ref="AS11:AS21" si="13">IF(AR11=AQ11, "MAC", "DRAM")</f>
        <v>MAC</v>
      </c>
    </row>
    <row r="12" spans="1:45" s="49" customFormat="1" x14ac:dyDescent="0.35">
      <c r="A12" s="7"/>
      <c r="B12" s="53" t="s">
        <v>87</v>
      </c>
      <c r="C12" s="8">
        <v>2</v>
      </c>
      <c r="D12" s="8" t="s">
        <v>109</v>
      </c>
      <c r="E12" s="9">
        <v>48</v>
      </c>
      <c r="F12" s="9">
        <v>27</v>
      </c>
      <c r="G12" s="9">
        <v>27</v>
      </c>
      <c r="H12" s="9">
        <v>128</v>
      </c>
      <c r="I12" s="9">
        <v>5</v>
      </c>
      <c r="J12" s="9">
        <v>5</v>
      </c>
      <c r="K12" s="49" t="b">
        <v>1</v>
      </c>
      <c r="L12" s="49">
        <v>1</v>
      </c>
      <c r="M12" s="49">
        <v>1</v>
      </c>
      <c r="N12" s="49">
        <f t="shared" ref="N12:N21" si="14">IF(K12=TRUE,CEILING(F12/L12,1),CEILING((F12-I12)/L12,1)+1)</f>
        <v>27</v>
      </c>
      <c r="O12" s="9">
        <f t="shared" ref="O12:O21" si="15">IF(K12=TRUE,CEILING(G12/M12,1),CEILING((G12-J12)/M12,1)+1)</f>
        <v>27</v>
      </c>
      <c r="P12" s="49" t="b">
        <v>1</v>
      </c>
      <c r="Q12" s="49">
        <v>3</v>
      </c>
      <c r="R12" s="49">
        <v>3</v>
      </c>
      <c r="S12" s="49">
        <v>2</v>
      </c>
      <c r="T12" s="49">
        <v>2</v>
      </c>
      <c r="U12" s="49">
        <f t="shared" si="0"/>
        <v>13</v>
      </c>
      <c r="V12" s="49">
        <f t="shared" si="0"/>
        <v>13</v>
      </c>
      <c r="W12" s="49">
        <f t="shared" ref="W12:W21" si="16">E12*N12*O12*H12*I12*J12</f>
        <v>111974400</v>
      </c>
      <c r="X12" s="10">
        <f t="shared" si="1"/>
        <v>34.171875</v>
      </c>
      <c r="Y12" s="10">
        <f t="shared" ref="Y12:Y21" si="17">CEILING(E12*L12*M12, 16)*MIN(I12+1, CEILING(F12/L12, 1))*CEILING(G12/M12,1)*$C$1/1024</f>
        <v>7.59375</v>
      </c>
      <c r="Z12" s="10">
        <f t="shared" si="2"/>
        <v>21.125</v>
      </c>
      <c r="AA12" s="10">
        <f t="shared" ref="AA12:AA21" si="18">CEILING(E12*L12*M12,16)*CEILING(I12/L12,1)*CEILING(J12/M12,1)*H12*$C$2*(1-$F$2)/1024*IF(AC12, 16/9, 1)</f>
        <v>150</v>
      </c>
      <c r="AB12" s="10">
        <f t="shared" ref="AB12:AB21" si="19">IF((CEILING(E12*L12*M12,16)*CEILING(I12/L12,1)*CEILING(J12/M12,1)*32*$C$2*(1-$F$2)/1024)&gt;=$C$3, $C$3/2, CEILING(E12*L12*M12,16)*CEILING(I12/L12,1)*CEILING(J12/M12,1)*32*$C$2*(1-$F$2)/1024)</f>
        <v>37.5</v>
      </c>
      <c r="AC12" s="10" t="b">
        <f t="shared" si="3"/>
        <v>0</v>
      </c>
      <c r="AD12" s="104">
        <f t="shared" si="4"/>
        <v>71</v>
      </c>
      <c r="AE12" s="55">
        <f>AA12/IF(D12="fc",$C$9,MIN($AD$11:$AD$18, $C$9))</f>
        <v>9.375</v>
      </c>
      <c r="AF12" s="56">
        <f>CEILING(AE12/$C$8*$C$5, 1)</f>
        <v>938</v>
      </c>
      <c r="AG12" s="55">
        <f t="shared" ref="AG12:AG21" si="20">X12</f>
        <v>34.171875</v>
      </c>
      <c r="AH12" s="56">
        <f t="shared" ref="AH12:AH21" si="21">CEILING(AG12/$C$6*$C$5, 1)</f>
        <v>1367</v>
      </c>
      <c r="AI12" s="55">
        <f t="shared" si="6"/>
        <v>21.125</v>
      </c>
      <c r="AJ12" s="56">
        <f t="shared" ref="AJ12:AJ21" si="22">CEILING(AI12/$C$7*$C$5, 1)</f>
        <v>845</v>
      </c>
      <c r="AK12" s="57">
        <f t="shared" si="7"/>
        <v>54675</v>
      </c>
      <c r="AL12" s="57">
        <f t="shared" si="8"/>
        <v>54675</v>
      </c>
      <c r="AM12" s="57" t="str">
        <f t="shared" si="9"/>
        <v>MAC</v>
      </c>
      <c r="AN12" s="68">
        <v>1</v>
      </c>
      <c r="AO12" s="44">
        <f t="shared" si="10"/>
        <v>205.296875</v>
      </c>
      <c r="AP12" s="31">
        <f t="shared" ref="AP12:AP21" si="23">CEILING(AO12/$C$8*$C$5, 1)</f>
        <v>20530</v>
      </c>
      <c r="AQ12" s="31">
        <f t="shared" si="11"/>
        <v>54675</v>
      </c>
      <c r="AR12" s="31">
        <f t="shared" si="12"/>
        <v>54675</v>
      </c>
      <c r="AS12" s="97" t="str">
        <f t="shared" si="13"/>
        <v>MAC</v>
      </c>
    </row>
    <row r="13" spans="1:45" s="49" customFormat="1" x14ac:dyDescent="0.35">
      <c r="A13" s="7"/>
      <c r="B13" s="53" t="s">
        <v>87</v>
      </c>
      <c r="C13" s="8">
        <v>2</v>
      </c>
      <c r="D13" s="8" t="s">
        <v>109</v>
      </c>
      <c r="E13" s="9">
        <v>48</v>
      </c>
      <c r="F13" s="9">
        <v>27</v>
      </c>
      <c r="G13" s="9">
        <v>27</v>
      </c>
      <c r="H13" s="9">
        <v>128</v>
      </c>
      <c r="I13" s="9">
        <v>5</v>
      </c>
      <c r="J13" s="9">
        <v>5</v>
      </c>
      <c r="K13" s="49" t="b">
        <v>1</v>
      </c>
      <c r="L13" s="49">
        <v>1</v>
      </c>
      <c r="M13" s="49">
        <v>1</v>
      </c>
      <c r="N13" s="49">
        <f t="shared" si="14"/>
        <v>27</v>
      </c>
      <c r="O13" s="9">
        <f t="shared" si="15"/>
        <v>27</v>
      </c>
      <c r="P13" s="49" t="b">
        <v>1</v>
      </c>
      <c r="Q13" s="49">
        <v>3</v>
      </c>
      <c r="R13" s="49">
        <v>3</v>
      </c>
      <c r="S13" s="49">
        <v>2</v>
      </c>
      <c r="T13" s="49">
        <v>2</v>
      </c>
      <c r="U13" s="49">
        <f t="shared" si="0"/>
        <v>13</v>
      </c>
      <c r="V13" s="49">
        <f t="shared" si="0"/>
        <v>13</v>
      </c>
      <c r="W13" s="49">
        <f t="shared" si="16"/>
        <v>111974400</v>
      </c>
      <c r="X13" s="10">
        <f t="shared" si="1"/>
        <v>34.171875</v>
      </c>
      <c r="Y13" s="10">
        <f t="shared" si="17"/>
        <v>7.59375</v>
      </c>
      <c r="Z13" s="10">
        <f t="shared" si="2"/>
        <v>21.125</v>
      </c>
      <c r="AA13" s="10">
        <f t="shared" si="18"/>
        <v>150</v>
      </c>
      <c r="AB13" s="10">
        <f t="shared" si="19"/>
        <v>37.5</v>
      </c>
      <c r="AC13" s="10" t="b">
        <f t="shared" si="3"/>
        <v>0</v>
      </c>
      <c r="AD13" s="104">
        <f t="shared" si="4"/>
        <v>71</v>
      </c>
      <c r="AE13" s="55">
        <f>AA13/IF(D13="fc",$C$9,MIN($AD$11:$AD$18))</f>
        <v>8.3333333333333339</v>
      </c>
      <c r="AF13" s="56">
        <f t="shared" si="5"/>
        <v>834</v>
      </c>
      <c r="AG13" s="55">
        <f t="shared" si="20"/>
        <v>34.171875</v>
      </c>
      <c r="AH13" s="56">
        <f t="shared" si="21"/>
        <v>1367</v>
      </c>
      <c r="AI13" s="55">
        <f t="shared" si="6"/>
        <v>21.125</v>
      </c>
      <c r="AJ13" s="56">
        <f t="shared" si="22"/>
        <v>845</v>
      </c>
      <c r="AK13" s="57">
        <f t="shared" si="7"/>
        <v>54675</v>
      </c>
      <c r="AL13" s="57">
        <f t="shared" si="8"/>
        <v>54675</v>
      </c>
      <c r="AM13" s="57" t="str">
        <f t="shared" si="9"/>
        <v>MAC</v>
      </c>
      <c r="AN13" s="68">
        <v>1</v>
      </c>
      <c r="AO13" s="44">
        <f t="shared" si="10"/>
        <v>205.296875</v>
      </c>
      <c r="AP13" s="31">
        <f t="shared" si="23"/>
        <v>20530</v>
      </c>
      <c r="AQ13" s="31">
        <f t="shared" si="11"/>
        <v>54675</v>
      </c>
      <c r="AR13" s="31">
        <f t="shared" si="12"/>
        <v>54675</v>
      </c>
      <c r="AS13" s="97" t="str">
        <f t="shared" si="13"/>
        <v>MAC</v>
      </c>
    </row>
    <row r="14" spans="1:45" s="49" customFormat="1" x14ac:dyDescent="0.35">
      <c r="A14" s="7"/>
      <c r="B14" s="53" t="s">
        <v>87</v>
      </c>
      <c r="C14" s="8">
        <v>3</v>
      </c>
      <c r="D14" s="8" t="s">
        <v>109</v>
      </c>
      <c r="E14" s="9">
        <v>256</v>
      </c>
      <c r="F14" s="9">
        <v>13</v>
      </c>
      <c r="G14" s="9">
        <v>13</v>
      </c>
      <c r="H14" s="9">
        <v>384</v>
      </c>
      <c r="I14" s="9">
        <v>3</v>
      </c>
      <c r="J14" s="9">
        <v>3</v>
      </c>
      <c r="K14" s="49" t="b">
        <v>1</v>
      </c>
      <c r="L14" s="49">
        <v>1</v>
      </c>
      <c r="M14" s="49">
        <v>1</v>
      </c>
      <c r="N14" s="49">
        <f t="shared" si="14"/>
        <v>13</v>
      </c>
      <c r="O14" s="9">
        <f t="shared" si="15"/>
        <v>13</v>
      </c>
      <c r="P14" s="49" t="b">
        <v>0</v>
      </c>
      <c r="U14" s="49">
        <f t="shared" si="0"/>
        <v>13</v>
      </c>
      <c r="V14" s="49">
        <f t="shared" si="0"/>
        <v>13</v>
      </c>
      <c r="W14" s="49">
        <f t="shared" si="16"/>
        <v>149520384</v>
      </c>
      <c r="X14" s="10">
        <f t="shared" si="1"/>
        <v>42.25</v>
      </c>
      <c r="Y14" s="10">
        <f t="shared" si="17"/>
        <v>13</v>
      </c>
      <c r="Z14" s="10">
        <f t="shared" si="2"/>
        <v>63.375</v>
      </c>
      <c r="AA14" s="10">
        <f t="shared" si="18"/>
        <v>1536</v>
      </c>
      <c r="AB14" s="10">
        <f t="shared" si="19"/>
        <v>72</v>
      </c>
      <c r="AC14" s="10" t="b">
        <f t="shared" si="3"/>
        <v>1</v>
      </c>
      <c r="AD14" s="104">
        <f t="shared" si="4"/>
        <v>24</v>
      </c>
      <c r="AE14" s="55">
        <f>AA14/IF(D14="fc",$C$9,MIN($AD$11:$AD$18))</f>
        <v>85.333333333333329</v>
      </c>
      <c r="AF14" s="56">
        <f t="shared" si="5"/>
        <v>8534</v>
      </c>
      <c r="AG14" s="55">
        <f t="shared" si="20"/>
        <v>42.25</v>
      </c>
      <c r="AH14" s="56">
        <f t="shared" si="21"/>
        <v>1690</v>
      </c>
      <c r="AI14" s="55">
        <f t="shared" si="6"/>
        <v>63.375</v>
      </c>
      <c r="AJ14" s="56">
        <f t="shared" si="22"/>
        <v>2535</v>
      </c>
      <c r="AK14" s="57">
        <f t="shared" si="7"/>
        <v>32448</v>
      </c>
      <c r="AL14" s="57">
        <f t="shared" si="8"/>
        <v>32448</v>
      </c>
      <c r="AM14" s="57" t="str">
        <f t="shared" si="9"/>
        <v>MAC</v>
      </c>
      <c r="AN14" s="68">
        <f>MAX(FLOOR(($C$3-AA14)/X14, 1), 1)</f>
        <v>1</v>
      </c>
      <c r="AO14" s="44">
        <f t="shared" si="10"/>
        <v>1641.625</v>
      </c>
      <c r="AP14" s="31">
        <f t="shared" si="23"/>
        <v>164163</v>
      </c>
      <c r="AQ14" s="31">
        <f t="shared" si="11"/>
        <v>32448</v>
      </c>
      <c r="AR14" s="31">
        <f t="shared" si="12"/>
        <v>164163</v>
      </c>
      <c r="AS14" s="97" t="str">
        <f t="shared" si="13"/>
        <v>DRAM</v>
      </c>
    </row>
    <row r="15" spans="1:45" s="49" customFormat="1" x14ac:dyDescent="0.35">
      <c r="A15" s="7"/>
      <c r="B15" s="53" t="s">
        <v>87</v>
      </c>
      <c r="C15" s="8">
        <v>4</v>
      </c>
      <c r="D15" s="8" t="s">
        <v>109</v>
      </c>
      <c r="E15" s="9">
        <v>192</v>
      </c>
      <c r="F15" s="9">
        <v>13</v>
      </c>
      <c r="G15" s="9">
        <v>13</v>
      </c>
      <c r="H15" s="9">
        <v>192</v>
      </c>
      <c r="I15" s="9">
        <v>3</v>
      </c>
      <c r="J15" s="9">
        <v>3</v>
      </c>
      <c r="K15" s="49" t="b">
        <v>1</v>
      </c>
      <c r="L15" s="49">
        <v>1</v>
      </c>
      <c r="M15" s="49">
        <v>1</v>
      </c>
      <c r="N15" s="49">
        <f t="shared" si="14"/>
        <v>13</v>
      </c>
      <c r="O15" s="9">
        <f t="shared" si="15"/>
        <v>13</v>
      </c>
      <c r="P15" s="49" t="b">
        <v>0</v>
      </c>
      <c r="U15" s="49">
        <f t="shared" si="0"/>
        <v>13</v>
      </c>
      <c r="V15" s="49">
        <f t="shared" si="0"/>
        <v>13</v>
      </c>
      <c r="W15" s="49">
        <f t="shared" si="16"/>
        <v>56070144</v>
      </c>
      <c r="X15" s="10">
        <f t="shared" si="1"/>
        <v>31.6875</v>
      </c>
      <c r="Y15" s="10">
        <f t="shared" si="17"/>
        <v>9.75</v>
      </c>
      <c r="Z15" s="10">
        <f t="shared" si="2"/>
        <v>31.6875</v>
      </c>
      <c r="AA15" s="10">
        <f t="shared" si="18"/>
        <v>576</v>
      </c>
      <c r="AB15" s="10">
        <f t="shared" si="19"/>
        <v>54</v>
      </c>
      <c r="AC15" s="10" t="b">
        <f t="shared" si="3"/>
        <v>1</v>
      </c>
      <c r="AD15" s="104">
        <f t="shared" si="4"/>
        <v>55</v>
      </c>
      <c r="AE15" s="55">
        <f>AA15/IF(D15="fc",$C$9,MIN($AD$11:$AD$18))</f>
        <v>32</v>
      </c>
      <c r="AF15" s="56">
        <f t="shared" si="5"/>
        <v>3200</v>
      </c>
      <c r="AG15" s="55">
        <f t="shared" si="20"/>
        <v>31.6875</v>
      </c>
      <c r="AH15" s="56">
        <f t="shared" si="21"/>
        <v>1268</v>
      </c>
      <c r="AI15" s="55">
        <f t="shared" si="6"/>
        <v>31.6875</v>
      </c>
      <c r="AJ15" s="56">
        <f t="shared" si="22"/>
        <v>1268</v>
      </c>
      <c r="AK15" s="57">
        <f t="shared" si="7"/>
        <v>12168</v>
      </c>
      <c r="AL15" s="57">
        <f t="shared" si="8"/>
        <v>12168</v>
      </c>
      <c r="AM15" s="57" t="str">
        <f t="shared" si="9"/>
        <v>MAC</v>
      </c>
      <c r="AN15" s="68">
        <f>MAX(FLOOR(($C$3-AA15)/X15, 1), 1)</f>
        <v>1</v>
      </c>
      <c r="AO15" s="44">
        <f t="shared" si="10"/>
        <v>639.375</v>
      </c>
      <c r="AP15" s="31">
        <f t="shared" si="23"/>
        <v>63938</v>
      </c>
      <c r="AQ15" s="31">
        <f t="shared" si="11"/>
        <v>12168</v>
      </c>
      <c r="AR15" s="31">
        <f t="shared" si="12"/>
        <v>63938</v>
      </c>
      <c r="AS15" s="97" t="str">
        <f t="shared" si="13"/>
        <v>DRAM</v>
      </c>
    </row>
    <row r="16" spans="1:45" s="49" customFormat="1" x14ac:dyDescent="0.35">
      <c r="A16" s="7"/>
      <c r="B16" s="53" t="s">
        <v>87</v>
      </c>
      <c r="C16" s="8">
        <v>4</v>
      </c>
      <c r="D16" s="8" t="s">
        <v>109</v>
      </c>
      <c r="E16" s="9">
        <v>192</v>
      </c>
      <c r="F16" s="9">
        <v>13</v>
      </c>
      <c r="G16" s="9">
        <v>13</v>
      </c>
      <c r="H16" s="9">
        <v>192</v>
      </c>
      <c r="I16" s="9">
        <v>3</v>
      </c>
      <c r="J16" s="9">
        <v>3</v>
      </c>
      <c r="K16" s="49" t="b">
        <v>1</v>
      </c>
      <c r="L16" s="49">
        <v>1</v>
      </c>
      <c r="M16" s="49">
        <v>1</v>
      </c>
      <c r="N16" s="49">
        <f t="shared" si="14"/>
        <v>13</v>
      </c>
      <c r="O16" s="9">
        <f t="shared" si="15"/>
        <v>13</v>
      </c>
      <c r="P16" s="49" t="b">
        <v>0</v>
      </c>
      <c r="U16" s="49">
        <f t="shared" si="0"/>
        <v>13</v>
      </c>
      <c r="V16" s="49">
        <f t="shared" si="0"/>
        <v>13</v>
      </c>
      <c r="W16" s="49">
        <f t="shared" si="16"/>
        <v>56070144</v>
      </c>
      <c r="X16" s="10">
        <f t="shared" si="1"/>
        <v>31.6875</v>
      </c>
      <c r="Y16" s="10">
        <f t="shared" si="17"/>
        <v>9.75</v>
      </c>
      <c r="Z16" s="10">
        <f t="shared" si="2"/>
        <v>31.6875</v>
      </c>
      <c r="AA16" s="10">
        <f t="shared" si="18"/>
        <v>576</v>
      </c>
      <c r="AB16" s="10">
        <f t="shared" si="19"/>
        <v>54</v>
      </c>
      <c r="AC16" s="10" t="b">
        <f t="shared" si="3"/>
        <v>1</v>
      </c>
      <c r="AD16" s="104">
        <f t="shared" si="4"/>
        <v>55</v>
      </c>
      <c r="AE16" s="55">
        <f>AA16/IF(D16="fc",$C$9,MIN($AD$11:$AD$18))</f>
        <v>32</v>
      </c>
      <c r="AF16" s="56">
        <f t="shared" si="5"/>
        <v>3200</v>
      </c>
      <c r="AG16" s="55">
        <f t="shared" si="20"/>
        <v>31.6875</v>
      </c>
      <c r="AH16" s="56">
        <f t="shared" si="21"/>
        <v>1268</v>
      </c>
      <c r="AI16" s="55">
        <f t="shared" si="6"/>
        <v>31.6875</v>
      </c>
      <c r="AJ16" s="56">
        <f t="shared" si="22"/>
        <v>1268</v>
      </c>
      <c r="AK16" s="57">
        <f t="shared" si="7"/>
        <v>12168</v>
      </c>
      <c r="AL16" s="57">
        <f t="shared" si="8"/>
        <v>12168</v>
      </c>
      <c r="AM16" s="57" t="str">
        <f t="shared" si="9"/>
        <v>MAC</v>
      </c>
      <c r="AN16" s="68">
        <f>MAX(FLOOR(($C$3-AA16)/X16, 1), 1)</f>
        <v>1</v>
      </c>
      <c r="AO16" s="44">
        <f t="shared" si="10"/>
        <v>639.375</v>
      </c>
      <c r="AP16" s="31">
        <f t="shared" si="23"/>
        <v>63938</v>
      </c>
      <c r="AQ16" s="31">
        <f t="shared" si="11"/>
        <v>12168</v>
      </c>
      <c r="AR16" s="31">
        <f t="shared" si="12"/>
        <v>63938</v>
      </c>
      <c r="AS16" s="97" t="str">
        <f t="shared" si="13"/>
        <v>DRAM</v>
      </c>
    </row>
    <row r="17" spans="1:45" s="49" customFormat="1" x14ac:dyDescent="0.35">
      <c r="A17" s="7"/>
      <c r="B17" s="58" t="s">
        <v>87</v>
      </c>
      <c r="C17" s="8">
        <v>5</v>
      </c>
      <c r="D17" s="8" t="s">
        <v>109</v>
      </c>
      <c r="E17" s="49">
        <v>192</v>
      </c>
      <c r="F17" s="49">
        <v>13</v>
      </c>
      <c r="G17" s="49">
        <v>13</v>
      </c>
      <c r="H17" s="49">
        <v>128</v>
      </c>
      <c r="I17" s="49">
        <v>3</v>
      </c>
      <c r="J17" s="49">
        <v>3</v>
      </c>
      <c r="K17" s="49" t="b">
        <v>1</v>
      </c>
      <c r="L17" s="49">
        <v>1</v>
      </c>
      <c r="M17" s="49">
        <v>1</v>
      </c>
      <c r="N17" s="49">
        <f t="shared" si="14"/>
        <v>13</v>
      </c>
      <c r="O17" s="9">
        <f t="shared" si="15"/>
        <v>13</v>
      </c>
      <c r="P17" s="49" t="b">
        <v>1</v>
      </c>
      <c r="Q17" s="49">
        <v>3</v>
      </c>
      <c r="R17" s="49">
        <v>3</v>
      </c>
      <c r="S17" s="49">
        <v>2</v>
      </c>
      <c r="T17" s="49">
        <v>2</v>
      </c>
      <c r="U17" s="49">
        <f t="shared" si="0"/>
        <v>6</v>
      </c>
      <c r="V17" s="49">
        <f t="shared" si="0"/>
        <v>6</v>
      </c>
      <c r="W17" s="49">
        <f t="shared" si="16"/>
        <v>37380096</v>
      </c>
      <c r="X17" s="10">
        <f t="shared" si="1"/>
        <v>31.6875</v>
      </c>
      <c r="Y17" s="10">
        <f t="shared" si="17"/>
        <v>9.75</v>
      </c>
      <c r="Z17" s="10">
        <f t="shared" si="2"/>
        <v>4.5</v>
      </c>
      <c r="AA17" s="10">
        <f t="shared" si="18"/>
        <v>384</v>
      </c>
      <c r="AB17" s="10">
        <f t="shared" si="19"/>
        <v>54</v>
      </c>
      <c r="AC17" s="10" t="b">
        <f t="shared" si="3"/>
        <v>1</v>
      </c>
      <c r="AD17" s="104">
        <f t="shared" si="4"/>
        <v>102</v>
      </c>
      <c r="AE17" s="55">
        <f>AA17/IF(D17="fc",$C$9,MIN($AD$11:$AD$18))+Z17</f>
        <v>25.833333333333332</v>
      </c>
      <c r="AF17" s="56">
        <f t="shared" si="5"/>
        <v>2584</v>
      </c>
      <c r="AG17" s="55">
        <f t="shared" si="20"/>
        <v>31.6875</v>
      </c>
      <c r="AH17" s="56">
        <f t="shared" si="21"/>
        <v>1268</v>
      </c>
      <c r="AI17" s="55">
        <f t="shared" si="6"/>
        <v>4.5</v>
      </c>
      <c r="AJ17" s="56">
        <f t="shared" si="22"/>
        <v>180</v>
      </c>
      <c r="AK17" s="56">
        <f t="shared" si="7"/>
        <v>8112</v>
      </c>
      <c r="AL17" s="56">
        <f t="shared" si="8"/>
        <v>8112</v>
      </c>
      <c r="AM17" s="56" t="str">
        <f t="shared" si="9"/>
        <v>MAC</v>
      </c>
      <c r="AN17" s="68">
        <v>1</v>
      </c>
      <c r="AO17" s="44">
        <f t="shared" si="10"/>
        <v>420.1875</v>
      </c>
      <c r="AP17" s="31">
        <f t="shared" si="23"/>
        <v>42019</v>
      </c>
      <c r="AQ17" s="31">
        <f t="shared" si="11"/>
        <v>8112</v>
      </c>
      <c r="AR17" s="31">
        <f t="shared" si="12"/>
        <v>42019</v>
      </c>
      <c r="AS17" s="97" t="str">
        <f t="shared" si="13"/>
        <v>DRAM</v>
      </c>
    </row>
    <row r="18" spans="1:45" s="13" customFormat="1" x14ac:dyDescent="0.35">
      <c r="A18" s="11"/>
      <c r="B18" s="61" t="s">
        <v>87</v>
      </c>
      <c r="C18" s="12">
        <v>5</v>
      </c>
      <c r="D18" s="12" t="s">
        <v>109</v>
      </c>
      <c r="E18" s="13">
        <v>192</v>
      </c>
      <c r="F18" s="13">
        <v>13</v>
      </c>
      <c r="G18" s="13">
        <v>13</v>
      </c>
      <c r="H18" s="13">
        <v>128</v>
      </c>
      <c r="I18" s="13">
        <v>3</v>
      </c>
      <c r="J18" s="13">
        <v>3</v>
      </c>
      <c r="K18" s="13" t="b">
        <v>1</v>
      </c>
      <c r="L18" s="13">
        <v>1</v>
      </c>
      <c r="M18" s="13">
        <v>1</v>
      </c>
      <c r="N18" s="13">
        <f t="shared" si="14"/>
        <v>13</v>
      </c>
      <c r="O18" s="14">
        <f t="shared" si="15"/>
        <v>13</v>
      </c>
      <c r="P18" s="13" t="b">
        <v>1</v>
      </c>
      <c r="Q18" s="13">
        <v>3</v>
      </c>
      <c r="R18" s="13">
        <v>3</v>
      </c>
      <c r="S18" s="13">
        <v>2</v>
      </c>
      <c r="T18" s="13">
        <v>2</v>
      </c>
      <c r="U18" s="13">
        <f t="shared" si="0"/>
        <v>6</v>
      </c>
      <c r="V18" s="13">
        <f t="shared" si="0"/>
        <v>6</v>
      </c>
      <c r="W18" s="13">
        <f t="shared" si="16"/>
        <v>37380096</v>
      </c>
      <c r="X18" s="15">
        <f t="shared" si="1"/>
        <v>31.6875</v>
      </c>
      <c r="Y18" s="15">
        <f t="shared" si="17"/>
        <v>9.75</v>
      </c>
      <c r="Z18" s="15">
        <f t="shared" si="2"/>
        <v>4.5</v>
      </c>
      <c r="AA18" s="15">
        <f t="shared" si="18"/>
        <v>384</v>
      </c>
      <c r="AB18" s="15">
        <f t="shared" si="19"/>
        <v>54</v>
      </c>
      <c r="AC18" s="15" t="b">
        <f t="shared" si="3"/>
        <v>1</v>
      </c>
      <c r="AD18" s="105">
        <f t="shared" si="4"/>
        <v>102</v>
      </c>
      <c r="AE18" s="62">
        <f>AA18/IF(D18="fc",$C$9,MIN($AD$11:$AD$18))+Z18</f>
        <v>25.833333333333332</v>
      </c>
      <c r="AF18" s="63">
        <f>CEILING(AE18/$C$8*$C$5, 1)</f>
        <v>2584</v>
      </c>
      <c r="AG18" s="62">
        <f t="shared" si="20"/>
        <v>31.6875</v>
      </c>
      <c r="AH18" s="63">
        <f t="shared" si="21"/>
        <v>1268</v>
      </c>
      <c r="AI18" s="62">
        <f t="shared" si="6"/>
        <v>4.5</v>
      </c>
      <c r="AJ18" s="63">
        <f t="shared" si="22"/>
        <v>180</v>
      </c>
      <c r="AK18" s="63">
        <f t="shared" si="7"/>
        <v>8112</v>
      </c>
      <c r="AL18" s="63">
        <f t="shared" si="8"/>
        <v>8112</v>
      </c>
      <c r="AM18" s="63" t="str">
        <f t="shared" si="9"/>
        <v>MAC</v>
      </c>
      <c r="AN18" s="69">
        <v>1</v>
      </c>
      <c r="AO18" s="26">
        <f t="shared" si="10"/>
        <v>420.1875</v>
      </c>
      <c r="AP18" s="25">
        <f t="shared" si="23"/>
        <v>42019</v>
      </c>
      <c r="AQ18" s="25">
        <f t="shared" si="11"/>
        <v>8112</v>
      </c>
      <c r="AR18" s="25">
        <f t="shared" si="12"/>
        <v>42019</v>
      </c>
      <c r="AS18" s="98" t="str">
        <f t="shared" si="13"/>
        <v>DRAM</v>
      </c>
    </row>
    <row r="19" spans="1:45" s="31" customFormat="1" x14ac:dyDescent="0.35">
      <c r="A19" s="7"/>
      <c r="B19" s="53" t="s">
        <v>87</v>
      </c>
      <c r="C19" s="17" t="s">
        <v>25</v>
      </c>
      <c r="D19" s="17" t="s">
        <v>86</v>
      </c>
      <c r="E19" s="18">
        <v>256</v>
      </c>
      <c r="F19" s="18">
        <v>6</v>
      </c>
      <c r="G19" s="18">
        <v>6</v>
      </c>
      <c r="H19" s="18">
        <v>4096</v>
      </c>
      <c r="I19" s="18">
        <v>6</v>
      </c>
      <c r="J19" s="18">
        <v>6</v>
      </c>
      <c r="K19" s="18" t="b">
        <v>0</v>
      </c>
      <c r="L19" s="18">
        <v>1</v>
      </c>
      <c r="M19" s="18">
        <v>1</v>
      </c>
      <c r="N19" s="18">
        <f t="shared" si="14"/>
        <v>1</v>
      </c>
      <c r="O19" s="18">
        <f t="shared" si="15"/>
        <v>1</v>
      </c>
      <c r="P19" s="18" t="b">
        <v>0</v>
      </c>
      <c r="Q19" s="18"/>
      <c r="R19" s="18"/>
      <c r="S19" s="18"/>
      <c r="T19" s="18"/>
      <c r="U19" s="18">
        <f t="shared" si="0"/>
        <v>1</v>
      </c>
      <c r="V19" s="18">
        <f t="shared" si="0"/>
        <v>1</v>
      </c>
      <c r="W19" s="18">
        <f t="shared" si="16"/>
        <v>37748736</v>
      </c>
      <c r="X19" s="19">
        <f t="shared" si="1"/>
        <v>9</v>
      </c>
      <c r="Y19" s="19">
        <f t="shared" si="17"/>
        <v>9</v>
      </c>
      <c r="Z19" s="19">
        <f t="shared" si="2"/>
        <v>4</v>
      </c>
      <c r="AA19" s="19">
        <f t="shared" si="18"/>
        <v>36864</v>
      </c>
      <c r="AB19" s="19">
        <f t="shared" si="19"/>
        <v>288</v>
      </c>
      <c r="AC19" s="19" t="b">
        <f t="shared" si="3"/>
        <v>0</v>
      </c>
      <c r="AD19" s="104"/>
      <c r="AE19" s="55">
        <f>X19+AA19/IF(D19="fc",$C$9,MIN($AD$11:$AD$18))</f>
        <v>2313</v>
      </c>
      <c r="AF19" s="56">
        <f t="shared" ref="AF19:AF21" si="24">CEILING(AE19/$C$8*$C$5, 1)</f>
        <v>231300</v>
      </c>
      <c r="AG19" s="55">
        <f t="shared" si="20"/>
        <v>9</v>
      </c>
      <c r="AH19" s="56">
        <f t="shared" si="21"/>
        <v>360</v>
      </c>
      <c r="AI19" s="55">
        <f t="shared" si="6"/>
        <v>4</v>
      </c>
      <c r="AJ19" s="56">
        <f t="shared" si="22"/>
        <v>160</v>
      </c>
      <c r="AK19" s="57">
        <f t="shared" si="7"/>
        <v>18432</v>
      </c>
      <c r="AL19" s="57">
        <f t="shared" si="8"/>
        <v>231300</v>
      </c>
      <c r="AM19" s="57" t="str">
        <f t="shared" si="9"/>
        <v>DRAM</v>
      </c>
      <c r="AN19" s="68">
        <f>MAX(FLOOR(($C$3-AA19)/X19, 1), 1)</f>
        <v>1</v>
      </c>
      <c r="AO19" s="44">
        <f t="shared" si="10"/>
        <v>2317</v>
      </c>
      <c r="AP19" s="31">
        <f t="shared" si="23"/>
        <v>231700</v>
      </c>
      <c r="AQ19" s="31">
        <f t="shared" si="11"/>
        <v>18432</v>
      </c>
      <c r="AR19" s="31">
        <f t="shared" si="12"/>
        <v>231700</v>
      </c>
      <c r="AS19" s="97" t="str">
        <f t="shared" si="13"/>
        <v>DRAM</v>
      </c>
    </row>
    <row r="20" spans="1:45" s="20" customFormat="1" x14ac:dyDescent="0.35">
      <c r="A20" s="16"/>
      <c r="B20" s="53" t="s">
        <v>87</v>
      </c>
      <c r="C20" s="17" t="s">
        <v>26</v>
      </c>
      <c r="D20" s="17" t="s">
        <v>86</v>
      </c>
      <c r="E20" s="18">
        <v>4096</v>
      </c>
      <c r="F20" s="18">
        <v>1</v>
      </c>
      <c r="G20" s="18">
        <v>1</v>
      </c>
      <c r="H20" s="18">
        <v>4096</v>
      </c>
      <c r="I20" s="18">
        <v>1</v>
      </c>
      <c r="J20" s="18">
        <v>1</v>
      </c>
      <c r="K20" s="18" t="b">
        <v>0</v>
      </c>
      <c r="L20" s="18">
        <v>1</v>
      </c>
      <c r="M20" s="18">
        <v>1</v>
      </c>
      <c r="N20" s="18">
        <f t="shared" si="14"/>
        <v>1</v>
      </c>
      <c r="O20" s="18">
        <f t="shared" si="15"/>
        <v>1</v>
      </c>
      <c r="P20" s="18" t="b">
        <v>0</v>
      </c>
      <c r="Q20" s="18"/>
      <c r="R20" s="18"/>
      <c r="S20" s="18"/>
      <c r="T20" s="18"/>
      <c r="U20" s="18">
        <f t="shared" si="0"/>
        <v>1</v>
      </c>
      <c r="V20" s="18">
        <f t="shared" si="0"/>
        <v>1</v>
      </c>
      <c r="W20" s="18">
        <f t="shared" si="16"/>
        <v>16777216</v>
      </c>
      <c r="X20" s="19">
        <f t="shared" si="1"/>
        <v>4</v>
      </c>
      <c r="Y20" s="19">
        <f t="shared" si="17"/>
        <v>4</v>
      </c>
      <c r="Z20" s="19">
        <f t="shared" si="2"/>
        <v>4</v>
      </c>
      <c r="AA20" s="19">
        <f t="shared" si="18"/>
        <v>16384</v>
      </c>
      <c r="AB20" s="19">
        <f t="shared" si="19"/>
        <v>128</v>
      </c>
      <c r="AC20" s="19" t="b">
        <f t="shared" si="3"/>
        <v>0</v>
      </c>
      <c r="AD20" s="104"/>
      <c r="AE20" s="55">
        <f>X20+AA20/IF(D20="fc",$C$9,MIN($AD$11:$AD$18))</f>
        <v>1028</v>
      </c>
      <c r="AF20" s="56">
        <f t="shared" si="24"/>
        <v>102800</v>
      </c>
      <c r="AG20" s="55">
        <f t="shared" si="20"/>
        <v>4</v>
      </c>
      <c r="AH20" s="56">
        <f t="shared" si="21"/>
        <v>160</v>
      </c>
      <c r="AI20" s="55">
        <f t="shared" si="6"/>
        <v>4</v>
      </c>
      <c r="AJ20" s="56">
        <f t="shared" si="22"/>
        <v>160</v>
      </c>
      <c r="AK20" s="57">
        <f t="shared" si="7"/>
        <v>8192</v>
      </c>
      <c r="AL20" s="57">
        <f t="shared" si="8"/>
        <v>102800</v>
      </c>
      <c r="AM20" s="57" t="str">
        <f t="shared" si="9"/>
        <v>DRAM</v>
      </c>
      <c r="AN20" s="68">
        <f>MAX(FLOOR(($C$3-AA20)/X20, 1), 1)</f>
        <v>1</v>
      </c>
      <c r="AO20" s="44">
        <f t="shared" si="10"/>
        <v>1032</v>
      </c>
      <c r="AP20" s="31">
        <f t="shared" si="23"/>
        <v>103200</v>
      </c>
      <c r="AQ20" s="31">
        <f t="shared" si="11"/>
        <v>8192</v>
      </c>
      <c r="AR20" s="31">
        <f t="shared" si="12"/>
        <v>103200</v>
      </c>
      <c r="AS20" s="97" t="str">
        <f t="shared" si="13"/>
        <v>DRAM</v>
      </c>
    </row>
    <row r="21" spans="1:45" s="25" customFormat="1" x14ac:dyDescent="0.35">
      <c r="A21" s="11"/>
      <c r="B21" s="61" t="s">
        <v>87</v>
      </c>
      <c r="C21" s="22" t="s">
        <v>27</v>
      </c>
      <c r="D21" s="22" t="s">
        <v>86</v>
      </c>
      <c r="E21" s="23">
        <v>4096</v>
      </c>
      <c r="F21" s="23">
        <v>1</v>
      </c>
      <c r="G21" s="23">
        <v>1</v>
      </c>
      <c r="H21" s="23">
        <v>1000</v>
      </c>
      <c r="I21" s="23">
        <v>1</v>
      </c>
      <c r="J21" s="23">
        <v>1</v>
      </c>
      <c r="K21" s="23" t="b">
        <v>0</v>
      </c>
      <c r="L21" s="23">
        <v>1</v>
      </c>
      <c r="M21" s="23">
        <v>1</v>
      </c>
      <c r="N21" s="23">
        <f t="shared" si="14"/>
        <v>1</v>
      </c>
      <c r="O21" s="23">
        <f t="shared" si="15"/>
        <v>1</v>
      </c>
      <c r="P21" s="23" t="b">
        <v>0</v>
      </c>
      <c r="Q21" s="23"/>
      <c r="R21" s="23"/>
      <c r="S21" s="23"/>
      <c r="T21" s="23"/>
      <c r="U21" s="23">
        <f t="shared" si="0"/>
        <v>1</v>
      </c>
      <c r="V21" s="23">
        <f t="shared" si="0"/>
        <v>1</v>
      </c>
      <c r="W21" s="23">
        <f t="shared" si="16"/>
        <v>4096000</v>
      </c>
      <c r="X21" s="24">
        <f t="shared" si="1"/>
        <v>4</v>
      </c>
      <c r="Y21" s="24">
        <f t="shared" si="17"/>
        <v>4</v>
      </c>
      <c r="Z21" s="24">
        <f t="shared" si="2"/>
        <v>0.984375</v>
      </c>
      <c r="AA21" s="24">
        <f t="shared" si="18"/>
        <v>4000</v>
      </c>
      <c r="AB21" s="24">
        <f t="shared" si="19"/>
        <v>128</v>
      </c>
      <c r="AC21" s="24" t="b">
        <f t="shared" si="3"/>
        <v>0</v>
      </c>
      <c r="AD21" s="105"/>
      <c r="AE21" s="62">
        <f>X21+AA21/IF(D21="fc",$C$9,MIN($AD$11:$AD$18))</f>
        <v>254</v>
      </c>
      <c r="AF21" s="63">
        <f t="shared" si="24"/>
        <v>25400</v>
      </c>
      <c r="AG21" s="62">
        <f t="shared" si="20"/>
        <v>4</v>
      </c>
      <c r="AH21" s="63">
        <f t="shared" si="21"/>
        <v>160</v>
      </c>
      <c r="AI21" s="62">
        <f t="shared" si="6"/>
        <v>0.984375</v>
      </c>
      <c r="AJ21" s="63">
        <f t="shared" si="22"/>
        <v>40</v>
      </c>
      <c r="AK21" s="63">
        <f t="shared" si="7"/>
        <v>2000</v>
      </c>
      <c r="AL21" s="63">
        <f t="shared" si="8"/>
        <v>25400</v>
      </c>
      <c r="AM21" s="63" t="str">
        <f t="shared" si="9"/>
        <v>DRAM</v>
      </c>
      <c r="AN21" s="68">
        <f>MAX(FLOOR(($C$3-AA21)/X21, 1), 1)</f>
        <v>1</v>
      </c>
      <c r="AO21" s="26">
        <f t="shared" si="10"/>
        <v>254.984375</v>
      </c>
      <c r="AP21" s="25">
        <f t="shared" si="23"/>
        <v>25499</v>
      </c>
      <c r="AQ21" s="25">
        <f t="shared" si="11"/>
        <v>2000</v>
      </c>
      <c r="AR21" s="25">
        <f t="shared" si="12"/>
        <v>25499</v>
      </c>
      <c r="AS21" s="98" t="str">
        <f t="shared" si="13"/>
        <v>DRAM</v>
      </c>
    </row>
    <row r="22" spans="1:45" s="29" customFormat="1" x14ac:dyDescent="0.35">
      <c r="A22" s="16"/>
      <c r="B22" s="53" t="s">
        <v>87</v>
      </c>
      <c r="C22" s="27"/>
      <c r="D22" s="27"/>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92"/>
      <c r="AE22" s="28"/>
      <c r="AF22" s="28"/>
      <c r="AG22" s="28"/>
      <c r="AH22" s="28"/>
      <c r="AI22" s="28"/>
      <c r="AJ22" s="28"/>
      <c r="AK22" s="29" t="s">
        <v>131</v>
      </c>
      <c r="AL22" s="85">
        <f>SUM(AL11:AL21)</f>
        <v>591475.5625</v>
      </c>
      <c r="AM22" s="85"/>
      <c r="AN22" s="103"/>
      <c r="AO22" s="85"/>
      <c r="AP22" s="85"/>
      <c r="AQ22" s="85" t="s">
        <v>131</v>
      </c>
      <c r="AR22" s="85">
        <f>SUM(AR11:AR21)</f>
        <v>895443.5625</v>
      </c>
      <c r="AS22" s="99"/>
    </row>
    <row r="23" spans="1:45" s="29" customFormat="1" x14ac:dyDescent="0.35">
      <c r="A23" s="16"/>
      <c r="B23" s="53" t="s">
        <v>87</v>
      </c>
      <c r="C23" s="27" t="s">
        <v>28</v>
      </c>
      <c r="D23" s="27"/>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92"/>
      <c r="AE23" s="28"/>
      <c r="AF23" s="28"/>
      <c r="AG23" s="28"/>
      <c r="AH23" s="28"/>
      <c r="AI23" s="28"/>
      <c r="AJ23" s="28"/>
      <c r="AK23" s="29" t="s">
        <v>130</v>
      </c>
      <c r="AL23" s="30">
        <f>AL22/1000/$C$5</f>
        <v>0.5914755625</v>
      </c>
      <c r="AM23" s="30" t="s">
        <v>93</v>
      </c>
      <c r="AN23" s="70"/>
      <c r="AO23" s="30"/>
      <c r="AP23" s="30"/>
      <c r="AQ23" s="30" t="s">
        <v>130</v>
      </c>
      <c r="AR23" s="86">
        <f>AR22/1000/$C$5</f>
        <v>0.89544356250000001</v>
      </c>
      <c r="AS23" s="99" t="s">
        <v>93</v>
      </c>
    </row>
    <row r="24" spans="1:45" s="67" customFormat="1" ht="15" thickBot="1" x14ac:dyDescent="0.4">
      <c r="A24" s="64"/>
      <c r="B24" s="87" t="s">
        <v>87</v>
      </c>
      <c r="C24" s="65"/>
      <c r="D24" s="65"/>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93"/>
      <c r="AE24" s="66"/>
      <c r="AF24" s="66"/>
      <c r="AG24" s="66"/>
      <c r="AH24" s="66"/>
      <c r="AI24" s="66"/>
      <c r="AJ24" s="66"/>
      <c r="AK24" s="67" t="s">
        <v>89</v>
      </c>
      <c r="AL24" s="67">
        <f>1000/AL23</f>
        <v>1690.6869250409648</v>
      </c>
      <c r="AM24" s="67" t="s">
        <v>89</v>
      </c>
      <c r="AN24" s="71"/>
      <c r="AQ24" s="67" t="s">
        <v>89</v>
      </c>
      <c r="AR24" s="67">
        <f>1000/AR23</f>
        <v>1116.7649664129447</v>
      </c>
      <c r="AS24" s="100" t="s">
        <v>89</v>
      </c>
    </row>
    <row r="25" spans="1:45" s="7" customFormat="1" x14ac:dyDescent="0.35">
      <c r="B25" s="72"/>
      <c r="C25" s="73"/>
      <c r="D25" s="73"/>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94"/>
      <c r="AE25" s="54"/>
      <c r="AF25" s="54"/>
      <c r="AG25" s="54"/>
      <c r="AH25" s="54"/>
      <c r="AI25" s="54"/>
      <c r="AJ25" s="54"/>
      <c r="AK25" s="30" t="s">
        <v>132</v>
      </c>
      <c r="AL25" s="43">
        <f>SUM(AK11:AK21)/SUM(AL11:AL21)</f>
        <v>0.44059227299014575</v>
      </c>
      <c r="AM25"/>
      <c r="AN25" s="48"/>
      <c r="AO25" s="41"/>
      <c r="AP25" s="41"/>
      <c r="AQ25" s="30" t="s">
        <v>132</v>
      </c>
      <c r="AR25" s="88">
        <f>SUM(AQ11:AQ21)/SUM(AR11:AR21)</f>
        <v>0.29102846166254059</v>
      </c>
      <c r="AS25" s="101"/>
    </row>
    <row r="26" spans="1:45" s="41" customFormat="1" x14ac:dyDescent="0.35">
      <c r="AD26" s="48"/>
      <c r="AK26" s="30" t="s">
        <v>133</v>
      </c>
      <c r="AL26" s="88">
        <f>SUM(W11:W21)/$C$4/AL22</f>
        <v>0.59802008409265428</v>
      </c>
      <c r="AN26" s="48"/>
      <c r="AQ26" s="30" t="s">
        <v>133</v>
      </c>
      <c r="AR26" s="88">
        <f>SUM($W11:$W21)/$C$4/AR22</f>
        <v>0.39501569997048253</v>
      </c>
      <c r="AS26" s="47"/>
    </row>
  </sheetData>
  <mergeCells count="2">
    <mergeCell ref="AE8:AM8"/>
    <mergeCell ref="AN8:AS8"/>
  </mergeCells>
  <dataValidations disablePrompts="1" count="1">
    <dataValidation type="list" allowBlank="1" showInputMessage="1" showErrorMessage="1" sqref="K11:K21 P11:P18">
      <formula1>"TRUE,FALSE"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8"/>
  <dimension ref="A1:AT89"/>
  <sheetViews>
    <sheetView zoomScale="70" zoomScaleNormal="70" workbookViewId="0">
      <pane xSplit="3" ySplit="10" topLeftCell="Q59" activePane="bottomRight" state="frozen"/>
      <selection activeCell="AB8" sqref="AB8:AJ8"/>
      <selection pane="topRight" activeCell="AB8" sqref="AB8:AJ8"/>
      <selection pane="bottomLeft" activeCell="AB8" sqref="AB8:AJ8"/>
      <selection pane="bottomRight" activeCell="AP9" sqref="AP9"/>
    </sheetView>
  </sheetViews>
  <sheetFormatPr defaultColWidth="8.81640625" defaultRowHeight="14.5" outlineLevelRow="1" outlineLevelCol="2" x14ac:dyDescent="0.35"/>
  <cols>
    <col min="1" max="1" width="10" customWidth="1"/>
    <col min="2" max="2" width="30.54296875" customWidth="1"/>
    <col min="3" max="3" width="29.6328125" customWidth="1"/>
    <col min="4" max="4" width="24" customWidth="1"/>
    <col min="5" max="5" width="16.36328125" customWidth="1"/>
    <col min="6" max="6" width="7.08984375" customWidth="1"/>
    <col min="7" max="7" width="6.81640625" customWidth="1"/>
    <col min="8" max="8" width="8" customWidth="1"/>
    <col min="9" max="10" width="7" bestFit="1" customWidth="1"/>
    <col min="11" max="11" width="8.1796875" customWidth="1" outlineLevel="2"/>
    <col min="12" max="12" width="7.6328125" customWidth="1" outlineLevel="2"/>
    <col min="13" max="13" width="10.1796875" customWidth="1" outlineLevel="2"/>
    <col min="14" max="14" width="6.81640625" customWidth="1" outlineLevel="2"/>
    <col min="15" max="15" width="6.54296875" customWidth="1" outlineLevel="2"/>
    <col min="16" max="16" width="7.6328125" customWidth="1" outlineLevel="2"/>
    <col min="17" max="20" width="8.81640625" customWidth="1" outlineLevel="2"/>
    <col min="21" max="22" width="8.81640625" customWidth="1" outlineLevel="1"/>
    <col min="23" max="23" width="8.81640625" style="106" customWidth="1" outlineLevel="1"/>
    <col min="24" max="24" width="10.36328125" customWidth="1" outlineLevel="2"/>
    <col min="25" max="25" width="10.36328125" style="106" customWidth="1" outlineLevel="2"/>
    <col min="26" max="27" width="10.36328125" customWidth="1" outlineLevel="2"/>
    <col min="28" max="29" width="10.36328125" style="106" customWidth="1" outlineLevel="2"/>
    <col min="30" max="30" width="10.81640625" hidden="1" customWidth="1" outlineLevel="1"/>
    <col min="31" max="31" width="10.81640625" hidden="1" customWidth="1" outlineLevel="2"/>
    <col min="32" max="32" width="10.81640625" hidden="1" customWidth="1" outlineLevel="1" collapsed="1"/>
    <col min="33" max="33" width="10.81640625" hidden="1" customWidth="1" outlineLevel="2"/>
    <col min="34" max="34" width="10.81640625" hidden="1" customWidth="1" outlineLevel="1" collapsed="1"/>
    <col min="35" max="35" width="10.81640625" hidden="1" customWidth="1" outlineLevel="2"/>
    <col min="36" max="36" width="10.81640625" hidden="1" customWidth="1" outlineLevel="1" collapsed="1"/>
    <col min="37" max="39" width="10.81640625" hidden="1" customWidth="1" outlineLevel="2"/>
    <col min="40" max="41" width="10.81640625" style="106" customWidth="1" outlineLevel="2"/>
    <col min="42" max="46" width="10.81640625" customWidth="1" outlineLevel="2"/>
  </cols>
  <sheetData>
    <row r="1" spans="1:46" outlineLevel="1" x14ac:dyDescent="0.35">
      <c r="B1" t="s">
        <v>0</v>
      </c>
      <c r="C1" s="106">
        <f>'Configuration Input'!B3</f>
        <v>1</v>
      </c>
      <c r="F1" s="43"/>
      <c r="I1" s="43"/>
      <c r="J1" s="43"/>
    </row>
    <row r="2" spans="1:46" outlineLevel="1" x14ac:dyDescent="0.35">
      <c r="B2" t="s">
        <v>1</v>
      </c>
      <c r="C2" s="106">
        <f>'Configuration Input'!C3</f>
        <v>1</v>
      </c>
      <c r="E2" t="s">
        <v>119</v>
      </c>
      <c r="F2" s="43">
        <v>0</v>
      </c>
      <c r="G2" s="43"/>
      <c r="I2" s="43"/>
      <c r="J2" s="43"/>
    </row>
    <row r="3" spans="1:46" outlineLevel="1" x14ac:dyDescent="0.35">
      <c r="B3" t="s">
        <v>113</v>
      </c>
      <c r="C3" s="106">
        <f>'Configuration Input'!D3</f>
        <v>512</v>
      </c>
      <c r="G3" s="43"/>
      <c r="I3" s="43"/>
      <c r="J3" s="43"/>
    </row>
    <row r="4" spans="1:46" outlineLevel="1" x14ac:dyDescent="0.35">
      <c r="B4" t="s">
        <v>2</v>
      </c>
      <c r="C4" s="106">
        <f>'Configuration Input'!E3</f>
        <v>2048</v>
      </c>
      <c r="I4" s="43"/>
      <c r="J4" s="43"/>
    </row>
    <row r="5" spans="1:46" outlineLevel="1" x14ac:dyDescent="0.35">
      <c r="B5" t="s">
        <v>3</v>
      </c>
      <c r="C5" s="1">
        <f>'Configuration Input'!F3</f>
        <v>1000</v>
      </c>
      <c r="D5" s="1"/>
    </row>
    <row r="6" spans="1:46" outlineLevel="1" x14ac:dyDescent="0.35">
      <c r="B6" t="s">
        <v>114</v>
      </c>
      <c r="C6" s="2">
        <f>'Configuration Input'!G3</f>
        <v>25</v>
      </c>
      <c r="D6" s="2"/>
    </row>
    <row r="7" spans="1:46" outlineLevel="1" x14ac:dyDescent="0.35">
      <c r="B7" t="s">
        <v>115</v>
      </c>
      <c r="C7" s="2">
        <f>'Configuration Input'!H3</f>
        <v>25</v>
      </c>
      <c r="D7" s="2"/>
    </row>
    <row r="8" spans="1:46" outlineLevel="1" x14ac:dyDescent="0.35">
      <c r="B8" t="s">
        <v>104</v>
      </c>
      <c r="C8" s="2">
        <f>'Configuration Input'!I3</f>
        <v>10</v>
      </c>
      <c r="D8" s="2"/>
      <c r="AE8" s="140" t="s">
        <v>105</v>
      </c>
      <c r="AF8" s="140"/>
      <c r="AG8" s="140"/>
      <c r="AH8" s="140"/>
      <c r="AI8" s="140"/>
      <c r="AJ8" s="140"/>
      <c r="AK8" s="140"/>
      <c r="AL8" s="140"/>
      <c r="AM8" s="140"/>
      <c r="AN8" s="112"/>
      <c r="AO8" s="112"/>
      <c r="AP8" s="140" t="s">
        <v>254</v>
      </c>
      <c r="AQ8" s="140"/>
      <c r="AR8" s="140"/>
      <c r="AS8" s="140"/>
      <c r="AT8" s="140"/>
    </row>
    <row r="9" spans="1:46" outlineLevel="1" x14ac:dyDescent="0.35">
      <c r="B9" t="s">
        <v>110</v>
      </c>
      <c r="C9" s="106">
        <f>'Configuration Input'!J3</f>
        <v>16</v>
      </c>
      <c r="D9" s="2"/>
      <c r="AD9" s="77"/>
      <c r="AE9" s="60"/>
      <c r="AF9" s="60"/>
      <c r="AG9" s="60"/>
      <c r="AH9" s="60"/>
      <c r="AI9" s="60">
        <v>4096</v>
      </c>
      <c r="AJ9" s="60">
        <v>512</v>
      </c>
      <c r="AK9" s="60"/>
      <c r="AL9" s="60"/>
      <c r="AM9" s="60"/>
      <c r="AN9" s="112"/>
      <c r="AO9" s="112"/>
      <c r="AP9" s="60"/>
      <c r="AQ9" s="60"/>
      <c r="AR9" s="60"/>
      <c r="AS9" s="60"/>
      <c r="AT9" s="60"/>
    </row>
    <row r="10" spans="1:46" s="3" customFormat="1" ht="73" thickBot="1" x14ac:dyDescent="0.4">
      <c r="B10" s="4" t="s">
        <v>4</v>
      </c>
      <c r="C10" s="4" t="s">
        <v>5</v>
      </c>
      <c r="D10" s="4" t="s">
        <v>108</v>
      </c>
      <c r="E10" s="4" t="s">
        <v>6</v>
      </c>
      <c r="F10" s="4" t="s">
        <v>7</v>
      </c>
      <c r="G10" s="4" t="s">
        <v>8</v>
      </c>
      <c r="H10" s="4" t="s">
        <v>9</v>
      </c>
      <c r="I10" s="4" t="s">
        <v>10</v>
      </c>
      <c r="J10" s="4" t="s">
        <v>11</v>
      </c>
      <c r="K10" s="4" t="s">
        <v>12</v>
      </c>
      <c r="L10" s="4" t="s">
        <v>88</v>
      </c>
      <c r="M10" s="4" t="s">
        <v>13</v>
      </c>
      <c r="N10" s="4" t="s">
        <v>14</v>
      </c>
      <c r="O10" s="4" t="s">
        <v>15</v>
      </c>
      <c r="P10" s="4" t="s">
        <v>16</v>
      </c>
      <c r="Q10" s="4" t="s">
        <v>17</v>
      </c>
      <c r="R10" s="4" t="s">
        <v>18</v>
      </c>
      <c r="S10" s="4" t="s">
        <v>19</v>
      </c>
      <c r="T10" s="4" t="s">
        <v>20</v>
      </c>
      <c r="U10" s="4" t="s">
        <v>21</v>
      </c>
      <c r="V10" s="4" t="s">
        <v>22</v>
      </c>
      <c r="W10" s="4" t="s">
        <v>91</v>
      </c>
      <c r="X10" s="4" t="s">
        <v>23</v>
      </c>
      <c r="Y10" s="4" t="s">
        <v>200</v>
      </c>
      <c r="Z10" s="4" t="s">
        <v>94</v>
      </c>
      <c r="AA10" s="4" t="s">
        <v>24</v>
      </c>
      <c r="AB10" s="4" t="s">
        <v>201</v>
      </c>
      <c r="AC10" s="4" t="s">
        <v>135</v>
      </c>
      <c r="AD10" s="4" t="s">
        <v>116</v>
      </c>
      <c r="AE10" s="4" t="s">
        <v>99</v>
      </c>
      <c r="AF10" s="4" t="s">
        <v>100</v>
      </c>
      <c r="AG10" s="4" t="s">
        <v>98</v>
      </c>
      <c r="AH10" s="4" t="s">
        <v>101</v>
      </c>
      <c r="AI10" s="4" t="s">
        <v>102</v>
      </c>
      <c r="AJ10" s="4" t="s">
        <v>103</v>
      </c>
      <c r="AK10" s="5" t="s">
        <v>95</v>
      </c>
      <c r="AL10" s="5" t="s">
        <v>96</v>
      </c>
      <c r="AM10" s="5" t="s">
        <v>92</v>
      </c>
      <c r="AN10" s="5" t="s">
        <v>202</v>
      </c>
      <c r="AO10" s="5" t="s">
        <v>203</v>
      </c>
      <c r="AP10" s="5" t="s">
        <v>99</v>
      </c>
      <c r="AQ10" s="5" t="s">
        <v>100</v>
      </c>
      <c r="AR10" s="4" t="s">
        <v>106</v>
      </c>
      <c r="AS10" s="4" t="s">
        <v>107</v>
      </c>
      <c r="AT10" s="4" t="s">
        <v>92</v>
      </c>
    </row>
    <row r="11" spans="1:46" s="6" customFormat="1" ht="15" outlineLevel="1" thickTop="1" x14ac:dyDescent="0.35">
      <c r="A11" s="16"/>
      <c r="B11" s="76" t="s">
        <v>29</v>
      </c>
      <c r="C11" s="38" t="s">
        <v>30</v>
      </c>
      <c r="D11" s="39" t="s">
        <v>109</v>
      </c>
      <c r="E11" s="39">
        <v>3</v>
      </c>
      <c r="F11" s="39">
        <v>224</v>
      </c>
      <c r="G11" s="39">
        <v>224</v>
      </c>
      <c r="H11" s="39">
        <v>64</v>
      </c>
      <c r="I11" s="39">
        <v>7</v>
      </c>
      <c r="J11" s="39">
        <v>7</v>
      </c>
      <c r="K11" s="37" t="b">
        <v>1</v>
      </c>
      <c r="L11" s="37">
        <v>2</v>
      </c>
      <c r="M11" s="37">
        <v>2</v>
      </c>
      <c r="N11" s="37">
        <f>IF(K11=TRUE,CEILING(F11/L11,1),CEILING((F11-I11)/L11,1)+1)</f>
        <v>112</v>
      </c>
      <c r="O11" s="39">
        <f>IF(K11=TRUE,CEILING(G11/M11,1),CEILING((G11-J11)/M11,1)+1)</f>
        <v>112</v>
      </c>
      <c r="P11" s="37" t="b">
        <v>1</v>
      </c>
      <c r="Q11" s="37">
        <v>3</v>
      </c>
      <c r="R11" s="37">
        <v>3</v>
      </c>
      <c r="S11" s="37">
        <v>2</v>
      </c>
      <c r="T11" s="37">
        <v>2</v>
      </c>
      <c r="U11" s="37">
        <f>IF($O11,CEILING((N11-Q11)/S11,1)+1,N11)</f>
        <v>56</v>
      </c>
      <c r="V11" s="37">
        <f>IF($O11,CEILING((O11-R11)/T11,1)+1,O11)</f>
        <v>56</v>
      </c>
      <c r="W11" s="49">
        <f>E11*N11*O11*H11*I11*J11</f>
        <v>118013952</v>
      </c>
      <c r="X11" s="10">
        <f t="shared" ref="X11:X83" si="0">CEILING(E11*L11*M11, 16)*CEILING(F11/L11, 1)*CEILING(G11/M11,1)*$C$1/1024</f>
        <v>196</v>
      </c>
      <c r="Y11" s="10">
        <f>CEILING(E11*L11*M11, 16)*MIN(I11+1, CEILING(F11/L11, 1))*CEILING(G11/M11,1)*$C$1/1024</f>
        <v>14</v>
      </c>
      <c r="Z11" s="10">
        <f t="shared" ref="Z11:Z83" si="1">U11*V11*CEILING(H11, 16)*$C$1/1024</f>
        <v>196</v>
      </c>
      <c r="AA11" s="10">
        <f t="shared" ref="AA11" si="2">CEILING(E11*L11*M11,16)*CEILING(I11/L11,1)*CEILING(J11/M11,1)*H11*$C$2*(1-$F$2)/1024*IF(AC11, 16/9, 1)</f>
        <v>16</v>
      </c>
      <c r="AB11" s="10">
        <f>IF((CEILING(E11*L11*M11,16)*CEILING(I11/L11,1)*CEILING(J11/M11,1)*32*$C$2*(1-$F$2)/1024)&gt;=$C$3, $C$3/2, CEILING(E11*L11*M11,16)*CEILING(I11/L11,1)*CEILING(J11/M11,1)*32*$C$2*(1-$F$2)/1024)</f>
        <v>8</v>
      </c>
      <c r="AC11" s="10" t="b">
        <f t="shared" ref="AC11" si="3">IF(I11=3, IF(J11=3, TRUE, FALSE), FALSE)</f>
        <v>0</v>
      </c>
      <c r="AD11" s="56">
        <f>FLOOR(($AI$9-AA11-AA12)/(X11+X12+Z11), 1)</f>
        <v>6</v>
      </c>
      <c r="AE11" s="55">
        <f>X11+AA11/IF(D11="fc",$C$9,MIN(AD11:AD12))</f>
        <v>198.66666666666666</v>
      </c>
      <c r="AF11" s="56">
        <f t="shared" ref="AF11" si="4">CEILING(AE11/$C$8*$C$5, 1)</f>
        <v>19867</v>
      </c>
      <c r="AG11" s="55">
        <f>X11+AA11/IF(D11="fc",$C$9,MIN(AD11:AD12))</f>
        <v>198.66666666666666</v>
      </c>
      <c r="AH11" s="56">
        <f>CEILING(AG11/$C$6*$C$5, 1)</f>
        <v>7947</v>
      </c>
      <c r="AI11" s="55">
        <f t="shared" ref="AI11" si="5">Z11</f>
        <v>196</v>
      </c>
      <c r="AJ11" s="56">
        <f>CEILING(AI11/$C$7*$C$5, 1)</f>
        <v>7840</v>
      </c>
      <c r="AK11" s="57">
        <f t="shared" ref="AK11:AK83" si="6">CEILING(E11*L11*M11, 16)*CEILING(IF(K11, F11, F11-I11+1)/L11, 1)*CEILING(IF(K11, G11, G11-J11+1)/M11,1)*CEILING(H11*IF(D11="fc", $C$9, 1), 16)*I11*J11/L11/M11/$C$4/IF(I11=3, IF(J11=3, 2.25, 1), 1)/IF(D11="fc", $C$9, 1)</f>
        <v>76832</v>
      </c>
      <c r="AL11" s="57">
        <f t="shared" ref="AL11:AL84" si="7">MAX(AF11, AH11,AJ11,AK11)</f>
        <v>76832</v>
      </c>
      <c r="AM11" s="57" t="str">
        <f t="shared" ref="AM11" si="8">IF(AL11=AK11,"MAC",IF(AL11=AJ11,"CVSRAM-W",IF(AL11=AF11,"DRAM","CVSRAM-R")))</f>
        <v>MAC</v>
      </c>
      <c r="AN11" s="21" t="str">
        <f>IF(X11&lt;AB11, "feature", "weight")</f>
        <v>weight</v>
      </c>
      <c r="AO11" s="31">
        <f>IF(AN11="weight", IF(AA11&gt;($C$3-Y11), CEILING(AA11/($C$3-Y11), 1), 1), IF(X11&gt;($C$3-AB11), CEILING(X11/($C$3-AB11),1), 1))</f>
        <v>1</v>
      </c>
      <c r="AP11" s="21">
        <f t="shared" ref="AP11:AP42" si="9">IF(AN11="weight", IF(AA11&gt;($C$3-Y11), CEILING(AA11/($C$3-Y11), 1)*X11+Z11+AA11, X11+Z11+AA11), IF(X11&gt;($C$3-AB11), CEILING(X11/($C$3-AB11),1)*AA11+X11+Z11, X11+Z11+AA11)) + IF(D11="conv + elwise", Z11, 0)</f>
        <v>408</v>
      </c>
      <c r="AQ11" s="31">
        <f>CEILING(AP11/$C$8*$C$5, 1)</f>
        <v>40800</v>
      </c>
      <c r="AR11" s="20">
        <f>CEILING(E11*L11*M11, 16)*CEILING(IF(K11, F11, F11-I11+1)/L11, 1)*CEILING(IF(K11, G11, G11-J11+1)/M11,1)*CEILING(H11*IF(D11="fc", $C$9, 1), 16)*I11*J11/L11/M11/$C$4/IF(I11=3, IF(J11=3, 2.25, 1), 1)/IF(D11="fc", $C$9, 1)</f>
        <v>76832</v>
      </c>
      <c r="AS11" s="20">
        <f t="shared" ref="AS11:AS83" si="10">MAX(AQ11:AR11)</f>
        <v>76832</v>
      </c>
      <c r="AT11" s="20" t="str">
        <f t="shared" ref="AT11:AT83" si="11">IF(AS11=AR11, "MAC", "DRAM")</f>
        <v>MAC</v>
      </c>
    </row>
    <row r="12" spans="1:46" s="13" customFormat="1" outlineLevel="1" x14ac:dyDescent="0.35">
      <c r="A12" s="11"/>
      <c r="B12" s="61" t="s">
        <v>29</v>
      </c>
      <c r="C12" s="45" t="s">
        <v>31</v>
      </c>
      <c r="D12" s="13" t="s">
        <v>109</v>
      </c>
      <c r="E12" s="13">
        <v>64</v>
      </c>
      <c r="F12" s="13">
        <v>56</v>
      </c>
      <c r="G12" s="13">
        <v>56</v>
      </c>
      <c r="H12" s="13">
        <v>192</v>
      </c>
      <c r="I12" s="13">
        <v>3</v>
      </c>
      <c r="J12" s="13">
        <v>3</v>
      </c>
      <c r="K12" s="13" t="b">
        <v>1</v>
      </c>
      <c r="L12" s="13">
        <v>1</v>
      </c>
      <c r="M12" s="13">
        <v>1</v>
      </c>
      <c r="N12" s="13">
        <f t="shared" ref="N12:N84" si="12">IF(K12=TRUE,CEILING(F12/L12,1),CEILING((F12-I12)/L12,1)+1)</f>
        <v>56</v>
      </c>
      <c r="O12" s="14">
        <f t="shared" ref="O12:O84" si="13">IF(K12=TRUE,CEILING(G12/M12,1),CEILING((G12-J12)/M12,1)+1)</f>
        <v>56</v>
      </c>
      <c r="P12" s="13" t="b">
        <v>1</v>
      </c>
      <c r="Q12" s="13">
        <v>3</v>
      </c>
      <c r="R12" s="13">
        <v>3</v>
      </c>
      <c r="S12" s="13">
        <v>2</v>
      </c>
      <c r="T12" s="13">
        <v>2</v>
      </c>
      <c r="U12" s="13">
        <f t="shared" ref="U12" si="14">IF($O12,CEILING((N12-Q12)/S12,1)+1,N12)</f>
        <v>28</v>
      </c>
      <c r="V12" s="13">
        <f t="shared" ref="V12" si="15">IF($O12,CEILING((O12-R12)/T12,1)+1,O12)</f>
        <v>28</v>
      </c>
      <c r="W12" s="13">
        <f>E12*N12*O12*H12*I12*J12</f>
        <v>346816512</v>
      </c>
      <c r="X12" s="15">
        <f t="shared" si="0"/>
        <v>196</v>
      </c>
      <c r="Y12" s="15">
        <f>CEILING(E12*L12*M12, 16)*MIN(I12+1, CEILING(F12/L12, 1))*CEILING(G12/M12,1)*$C$1/1024</f>
        <v>14</v>
      </c>
      <c r="Z12" s="15">
        <f t="shared" si="1"/>
        <v>147</v>
      </c>
      <c r="AA12" s="15">
        <f>CEILING(E12*L12*M12,16)*CEILING(I12/L12,1)*CEILING(J12/M12,1)*H12*$C$2*(1-$F$2)/1024*IF(AC12, 16/9, 1)</f>
        <v>192</v>
      </c>
      <c r="AB12" s="15">
        <f t="shared" ref="AB12:AB19" si="16">IF((CEILING(E12*L12*M12,16)*CEILING(I12/L12,1)*CEILING(J12/M12,1)*32*$C$2*(1-$F$2)/1024)&gt;=$C$3, $C$3/2, CEILING(E12*L12*M12,16)*CEILING(I12/L12,1)*CEILING(J12/M12,1)*32*$C$2*(1-$F$2)/1024)</f>
        <v>18</v>
      </c>
      <c r="AC12" s="15" t="b">
        <f>IF(I12=3, IF(J12=3, TRUE, FALSE), FALSE)</f>
        <v>1</v>
      </c>
      <c r="AD12" s="63">
        <f>FLOOR(($AI$9-AA11-AA12)/(X11+X12+Z11), 1)</f>
        <v>6</v>
      </c>
      <c r="AE12" s="62">
        <f>Z12+AA12/IF(D12="fc",$C$9,MIN(AD11:AD12))</f>
        <v>179</v>
      </c>
      <c r="AF12" s="63">
        <f t="shared" ref="AF12:AF84" si="17">CEILING(AE12/$C$8*$C$5, 1)</f>
        <v>17900</v>
      </c>
      <c r="AG12" s="62">
        <f>X12+AA12/IF(D12="fc",$C$9,MIN(AD12:AD13))</f>
        <v>228</v>
      </c>
      <c r="AH12" s="63">
        <f t="shared" ref="AH12:AH84" si="18">CEILING(AG12/$C$6*$C$5, 1)</f>
        <v>9120</v>
      </c>
      <c r="AI12" s="62">
        <f t="shared" ref="AI12:AI19" si="19">Z12</f>
        <v>147</v>
      </c>
      <c r="AJ12" s="63">
        <f t="shared" ref="AJ12:AJ84" si="20">CEILING(AI12/$C$7*$C$5, 1)</f>
        <v>5880</v>
      </c>
      <c r="AK12" s="63">
        <f t="shared" si="6"/>
        <v>75264</v>
      </c>
      <c r="AL12" s="63">
        <f t="shared" si="7"/>
        <v>75264</v>
      </c>
      <c r="AM12" s="63" t="str">
        <f t="shared" ref="AM12:AM84" si="21">IF(AL12=AK12,"MAC",IF(AL12=AJ12,"CVSRAM-W",IF(AL12=AF12,"DRAM","CVSRAM-R")))</f>
        <v>MAC</v>
      </c>
      <c r="AN12" s="26" t="str">
        <f t="shared" ref="AN12:AN75" si="22">IF(X12&lt;AB12, "feature", "weight")</f>
        <v>weight</v>
      </c>
      <c r="AO12" s="25">
        <f t="shared" ref="AO12:AO75" si="23">IF(AN12="weight", IF(AA12&gt;($C$3-Y12), CEILING(AA12/($C$3-Y12), 1), 1), IF(X12&gt;($C$3-AB12), CEILING(X12/($C$3-AB12),1), 1))</f>
        <v>1</v>
      </c>
      <c r="AP12" s="26">
        <f t="shared" si="9"/>
        <v>535</v>
      </c>
      <c r="AQ12" s="25">
        <f t="shared" ref="AQ12:AQ84" si="24">CEILING(AP12/$C$8*$C$5, 1)</f>
        <v>53500</v>
      </c>
      <c r="AR12" s="25">
        <f>CEILING(E12*L12*M12, 16)*CEILING(IF(K12, F12, F12-I12+1)/L12, 1)*CEILING(IF(K12, G12, G12-J12+1)/M12,1)*CEILING(H12*IF(D12="fc", $C$9, 1), 16)*I12*J12/L12/M12/$C$4/IF(I12=3, IF(J12=3, 2.25, 1), 1)/IF(D12="fc", $C$9, 1)</f>
        <v>75264</v>
      </c>
      <c r="AS12" s="25">
        <f t="shared" si="10"/>
        <v>75264</v>
      </c>
      <c r="AT12" s="25" t="str">
        <f t="shared" si="11"/>
        <v>MAC</v>
      </c>
    </row>
    <row r="13" spans="1:46" s="6" customFormat="1" outlineLevel="1" x14ac:dyDescent="0.35">
      <c r="A13" s="16"/>
      <c r="B13" s="74" t="s">
        <v>29</v>
      </c>
      <c r="C13" s="32" t="s">
        <v>32</v>
      </c>
      <c r="D13" s="49" t="s">
        <v>109</v>
      </c>
      <c r="E13" s="49">
        <v>192</v>
      </c>
      <c r="F13" s="49">
        <v>28</v>
      </c>
      <c r="G13" s="49">
        <v>28</v>
      </c>
      <c r="H13" s="49">
        <v>64</v>
      </c>
      <c r="I13" s="49">
        <v>1</v>
      </c>
      <c r="J13" s="49">
        <v>1</v>
      </c>
      <c r="K13" s="49" t="b">
        <v>1</v>
      </c>
      <c r="L13" s="49">
        <v>1</v>
      </c>
      <c r="M13" s="49">
        <v>1</v>
      </c>
      <c r="N13" s="49">
        <f t="shared" si="12"/>
        <v>28</v>
      </c>
      <c r="O13" s="9">
        <f t="shared" si="13"/>
        <v>28</v>
      </c>
      <c r="P13" s="49" t="b">
        <v>0</v>
      </c>
      <c r="Q13" s="49"/>
      <c r="R13" s="49"/>
      <c r="S13" s="49"/>
      <c r="T13" s="49"/>
      <c r="U13" s="49">
        <f t="shared" ref="U13" si="25">IF(P13,CEILING((N13-Q13)/S13,1)+1,N13)</f>
        <v>28</v>
      </c>
      <c r="V13" s="49">
        <f>IF(P13,CEILING((O13-R13)/T13,1)+1,O13)</f>
        <v>28</v>
      </c>
      <c r="W13" s="49">
        <f>E13*N13*O13*H13*I13*J13</f>
        <v>9633792</v>
      </c>
      <c r="X13" s="10">
        <f t="shared" si="0"/>
        <v>147</v>
      </c>
      <c r="Y13" s="10">
        <f t="shared" ref="Y13:Y19" si="26">CEILING(E13*L13*M13, 16)*MIN(I13+1, CEILING(F13/L13, 1))*CEILING(G13/M13,1)*$C$1/1024</f>
        <v>10.5</v>
      </c>
      <c r="Z13" s="10">
        <f t="shared" si="1"/>
        <v>49</v>
      </c>
      <c r="AA13" s="10">
        <f t="shared" ref="AA13:AA19" si="27">CEILING(E13*L13*M13,16)*CEILING(I13/L13,1)*CEILING(J13/M13,1)*H13*$C$2*(1-$F$2)/1024*IF(AC13, 16/9, 1)</f>
        <v>12</v>
      </c>
      <c r="AB13" s="10">
        <f t="shared" si="16"/>
        <v>6</v>
      </c>
      <c r="AC13" s="10" t="b">
        <f t="shared" ref="AC13:AC77" si="28">IF(I13=3, IF(J13=3, TRUE, FALSE), FALSE)</f>
        <v>0</v>
      </c>
      <c r="AD13" s="56">
        <f>FLOOR(($AI$9-SUM(AA13:AA19))/(X13+X17+X18), 1)</f>
        <v>16</v>
      </c>
      <c r="AE13" s="55">
        <f>AA13/MIN($AD$13:$AD$83)</f>
        <v>1.0909090909090908</v>
      </c>
      <c r="AF13" s="56">
        <f t="shared" si="17"/>
        <v>110</v>
      </c>
      <c r="AG13" s="55">
        <f t="shared" ref="AG13:AG14" si="29">X13</f>
        <v>147</v>
      </c>
      <c r="AH13" s="56">
        <f t="shared" si="18"/>
        <v>5880</v>
      </c>
      <c r="AI13" s="55">
        <f t="shared" si="19"/>
        <v>49</v>
      </c>
      <c r="AJ13" s="56">
        <f t="shared" si="20"/>
        <v>1960</v>
      </c>
      <c r="AK13" s="57"/>
      <c r="AL13" s="57"/>
      <c r="AM13" s="57"/>
      <c r="AN13" s="21" t="str">
        <f t="shared" si="22"/>
        <v>weight</v>
      </c>
      <c r="AO13" s="31">
        <f t="shared" si="23"/>
        <v>1</v>
      </c>
      <c r="AP13" s="21">
        <f t="shared" si="9"/>
        <v>208</v>
      </c>
      <c r="AQ13" s="31">
        <f t="shared" si="24"/>
        <v>20800</v>
      </c>
      <c r="AR13" s="20"/>
      <c r="AS13" s="20"/>
      <c r="AT13" s="20"/>
    </row>
    <row r="14" spans="1:46" s="6" customFormat="1" x14ac:dyDescent="0.35">
      <c r="A14" s="16"/>
      <c r="B14" s="74" t="s">
        <v>29</v>
      </c>
      <c r="C14" s="32" t="s">
        <v>33</v>
      </c>
      <c r="D14" s="49" t="s">
        <v>109</v>
      </c>
      <c r="E14" s="49">
        <v>192</v>
      </c>
      <c r="F14" s="49">
        <v>28</v>
      </c>
      <c r="G14" s="49">
        <v>28</v>
      </c>
      <c r="H14" s="49">
        <v>96</v>
      </c>
      <c r="I14" s="49">
        <v>1</v>
      </c>
      <c r="J14" s="49">
        <v>1</v>
      </c>
      <c r="K14" s="49" t="b">
        <v>1</v>
      </c>
      <c r="L14" s="49">
        <v>1</v>
      </c>
      <c r="M14" s="49">
        <v>1</v>
      </c>
      <c r="N14" s="49">
        <f t="shared" si="12"/>
        <v>28</v>
      </c>
      <c r="O14" s="9">
        <f t="shared" si="13"/>
        <v>28</v>
      </c>
      <c r="P14" s="49" t="b">
        <v>0</v>
      </c>
      <c r="Q14" s="49"/>
      <c r="R14" s="49"/>
      <c r="S14" s="49"/>
      <c r="T14" s="49"/>
      <c r="U14" s="49">
        <f>IF(P14,CEILING((N14-Q14)/S14,1)+1,N14)</f>
        <v>28</v>
      </c>
      <c r="V14" s="49">
        <f t="shared" ref="V14:V84" si="30">IF(P14,CEILING((O14-R14)/T14,1)+1,O14)</f>
        <v>28</v>
      </c>
      <c r="W14" s="49">
        <f>E14*N14*O14*H14*I14*J14</f>
        <v>14450688</v>
      </c>
      <c r="X14" s="10">
        <f t="shared" si="0"/>
        <v>147</v>
      </c>
      <c r="Y14" s="10">
        <f t="shared" si="26"/>
        <v>10.5</v>
      </c>
      <c r="Z14" s="10">
        <f t="shared" si="1"/>
        <v>73.5</v>
      </c>
      <c r="AA14" s="10">
        <f t="shared" si="27"/>
        <v>18</v>
      </c>
      <c r="AB14" s="10">
        <f t="shared" si="16"/>
        <v>6</v>
      </c>
      <c r="AC14" s="10" t="b">
        <f t="shared" si="28"/>
        <v>0</v>
      </c>
      <c r="AD14" s="56">
        <f>FLOOR(($AI$9-SUM(AA13:AA19))/(X13+X17+X18), 1)</f>
        <v>16</v>
      </c>
      <c r="AE14" s="55">
        <f>AA14/MIN($AD$13:$AD$83)</f>
        <v>1.6363636363636365</v>
      </c>
      <c r="AF14" s="56">
        <f t="shared" si="17"/>
        <v>164</v>
      </c>
      <c r="AG14" s="55">
        <f t="shared" si="29"/>
        <v>147</v>
      </c>
      <c r="AH14" s="56">
        <f t="shared" si="18"/>
        <v>5880</v>
      </c>
      <c r="AI14" s="55">
        <f t="shared" si="19"/>
        <v>73.5</v>
      </c>
      <c r="AJ14" s="56">
        <f t="shared" si="20"/>
        <v>2940</v>
      </c>
      <c r="AK14" s="57"/>
      <c r="AL14" s="57"/>
      <c r="AM14" s="57"/>
      <c r="AN14" s="21" t="str">
        <f t="shared" si="22"/>
        <v>weight</v>
      </c>
      <c r="AO14" s="31">
        <f t="shared" si="23"/>
        <v>1</v>
      </c>
      <c r="AP14" s="21">
        <f t="shared" si="9"/>
        <v>238.5</v>
      </c>
      <c r="AQ14" s="31">
        <f t="shared" si="24"/>
        <v>23850</v>
      </c>
      <c r="AR14" s="20"/>
      <c r="AS14" s="20"/>
      <c r="AT14" s="20"/>
    </row>
    <row r="15" spans="1:46" s="6" customFormat="1" x14ac:dyDescent="0.35">
      <c r="A15" s="16"/>
      <c r="B15" s="74" t="s">
        <v>29</v>
      </c>
      <c r="C15" s="32" t="s">
        <v>35</v>
      </c>
      <c r="D15" s="49" t="s">
        <v>109</v>
      </c>
      <c r="E15" s="49">
        <v>192</v>
      </c>
      <c r="F15" s="49">
        <v>28</v>
      </c>
      <c r="G15" s="49">
        <v>28</v>
      </c>
      <c r="H15" s="49">
        <v>16</v>
      </c>
      <c r="I15" s="49">
        <v>1</v>
      </c>
      <c r="J15" s="49">
        <v>1</v>
      </c>
      <c r="K15" s="49" t="b">
        <v>1</v>
      </c>
      <c r="L15" s="49">
        <v>1</v>
      </c>
      <c r="M15" s="49">
        <v>1</v>
      </c>
      <c r="N15" s="49">
        <f t="shared" si="12"/>
        <v>28</v>
      </c>
      <c r="O15" s="9">
        <f t="shared" si="13"/>
        <v>28</v>
      </c>
      <c r="P15" s="49" t="b">
        <v>0</v>
      </c>
      <c r="Q15" s="49"/>
      <c r="R15" s="49"/>
      <c r="S15" s="49"/>
      <c r="T15" s="49"/>
      <c r="U15" s="49">
        <f t="shared" ref="U15:U84" si="31">IF(P15,CEILING((N15-Q15)/S15,1)+1,N15)</f>
        <v>28</v>
      </c>
      <c r="V15" s="49">
        <f t="shared" si="30"/>
        <v>28</v>
      </c>
      <c r="W15" s="49">
        <f>E15*N15*O15*H15*I15*J15</f>
        <v>2408448</v>
      </c>
      <c r="X15" s="10">
        <f t="shared" si="0"/>
        <v>147</v>
      </c>
      <c r="Y15" s="10">
        <f t="shared" si="26"/>
        <v>10.5</v>
      </c>
      <c r="Z15" s="10">
        <f t="shared" si="1"/>
        <v>12.25</v>
      </c>
      <c r="AA15" s="10">
        <f t="shared" si="27"/>
        <v>3</v>
      </c>
      <c r="AB15" s="10">
        <f t="shared" si="16"/>
        <v>6</v>
      </c>
      <c r="AC15" s="10" t="b">
        <f t="shared" si="28"/>
        <v>0</v>
      </c>
      <c r="AD15" s="56">
        <f>FLOOR(($AI$9-SUM(AA13:AA19))/(X13+X17+X18), 1)</f>
        <v>16</v>
      </c>
      <c r="AE15" s="55">
        <f>AA15/MIN($AD$13:$AD$83)</f>
        <v>0.27272727272727271</v>
      </c>
      <c r="AF15" s="56">
        <f t="shared" si="17"/>
        <v>28</v>
      </c>
      <c r="AG15" s="55">
        <f>X15</f>
        <v>147</v>
      </c>
      <c r="AH15" s="56">
        <f t="shared" si="18"/>
        <v>5880</v>
      </c>
      <c r="AI15" s="55">
        <f t="shared" si="19"/>
        <v>12.25</v>
      </c>
      <c r="AJ15" s="56">
        <f t="shared" si="20"/>
        <v>490</v>
      </c>
      <c r="AK15" s="57"/>
      <c r="AL15" s="57"/>
      <c r="AM15" s="57"/>
      <c r="AN15" s="21" t="str">
        <f t="shared" si="22"/>
        <v>weight</v>
      </c>
      <c r="AO15" s="31">
        <f t="shared" si="23"/>
        <v>1</v>
      </c>
      <c r="AP15" s="21">
        <f t="shared" si="9"/>
        <v>162.25</v>
      </c>
      <c r="AQ15" s="31">
        <f t="shared" si="24"/>
        <v>16225</v>
      </c>
      <c r="AR15" s="20"/>
      <c r="AS15" s="20"/>
      <c r="AT15" s="20"/>
    </row>
    <row r="16" spans="1:46" s="6" customFormat="1" x14ac:dyDescent="0.35">
      <c r="A16" s="16"/>
      <c r="B16" s="74" t="s">
        <v>29</v>
      </c>
      <c r="C16" s="32" t="s">
        <v>121</v>
      </c>
      <c r="D16" s="49" t="s">
        <v>109</v>
      </c>
      <c r="E16" s="49">
        <f>E15</f>
        <v>192</v>
      </c>
      <c r="F16" s="49">
        <f>F15</f>
        <v>28</v>
      </c>
      <c r="G16" s="49">
        <f>G15</f>
        <v>28</v>
      </c>
      <c r="H16" s="49">
        <f>SUM(H13:H15)</f>
        <v>176</v>
      </c>
      <c r="I16" s="49">
        <f t="shared" ref="I16:P16" si="32">I15</f>
        <v>1</v>
      </c>
      <c r="J16" s="49">
        <f t="shared" si="32"/>
        <v>1</v>
      </c>
      <c r="K16" s="49" t="b">
        <f t="shared" si="32"/>
        <v>1</v>
      </c>
      <c r="L16" s="49">
        <f t="shared" si="32"/>
        <v>1</v>
      </c>
      <c r="M16" s="49">
        <f t="shared" si="32"/>
        <v>1</v>
      </c>
      <c r="N16" s="49">
        <f t="shared" si="12"/>
        <v>28</v>
      </c>
      <c r="O16" s="9">
        <f t="shared" si="13"/>
        <v>28</v>
      </c>
      <c r="P16" s="49" t="b">
        <f t="shared" si="32"/>
        <v>0</v>
      </c>
      <c r="Q16" s="49"/>
      <c r="R16" s="49"/>
      <c r="S16" s="49"/>
      <c r="T16" s="49"/>
      <c r="U16" s="49">
        <f t="shared" ref="U16" si="33">IF(P16,CEILING((N16-Q16)/S16,1)+1,N16)</f>
        <v>28</v>
      </c>
      <c r="V16" s="49">
        <f t="shared" ref="V16" si="34">IF(P16,CEILING((O16-R16)/T16,1)+1,O16)</f>
        <v>28</v>
      </c>
      <c r="W16" s="49"/>
      <c r="X16" s="10">
        <f t="shared" si="0"/>
        <v>147</v>
      </c>
      <c r="Y16" s="10">
        <f t="shared" si="26"/>
        <v>10.5</v>
      </c>
      <c r="Z16" s="10">
        <f t="shared" si="1"/>
        <v>134.75</v>
      </c>
      <c r="AA16" s="10">
        <f t="shared" si="27"/>
        <v>33</v>
      </c>
      <c r="AB16" s="10">
        <f t="shared" si="16"/>
        <v>6</v>
      </c>
      <c r="AC16" s="10" t="b">
        <f t="shared" si="28"/>
        <v>0</v>
      </c>
      <c r="AD16" s="56">
        <f>FLOOR(($AI$9-SUM(AA13:AA19))/(X13+X17+X18), 1)</f>
        <v>16</v>
      </c>
      <c r="AE16" s="55">
        <f>AA16/MIN($AD$13:$AD$83)</f>
        <v>3</v>
      </c>
      <c r="AF16" s="56">
        <f t="shared" si="17"/>
        <v>300</v>
      </c>
      <c r="AG16" s="55">
        <f>X16</f>
        <v>147</v>
      </c>
      <c r="AH16" s="56">
        <f t="shared" si="18"/>
        <v>5880</v>
      </c>
      <c r="AI16" s="55">
        <f t="shared" si="19"/>
        <v>134.75</v>
      </c>
      <c r="AJ16" s="56">
        <f t="shared" si="20"/>
        <v>5390</v>
      </c>
      <c r="AK16" s="57">
        <f t="shared" si="6"/>
        <v>12936</v>
      </c>
      <c r="AL16" s="57">
        <f t="shared" si="7"/>
        <v>12936</v>
      </c>
      <c r="AM16" s="57" t="str">
        <f t="shared" si="21"/>
        <v>MAC</v>
      </c>
      <c r="AN16" s="21" t="str">
        <f t="shared" si="22"/>
        <v>weight</v>
      </c>
      <c r="AO16" s="31">
        <f t="shared" si="23"/>
        <v>1</v>
      </c>
      <c r="AP16" s="21">
        <f t="shared" si="9"/>
        <v>314.75</v>
      </c>
      <c r="AQ16" s="31">
        <f t="shared" si="24"/>
        <v>31475</v>
      </c>
      <c r="AR16" s="20">
        <f>CEILING(E16*L16*M16, 16)*CEILING(IF(K16, F16, F16-I16+1)/L16, 1)*CEILING(IF(K16, G16, G16-J16+1)/M16,1)*CEILING(H16*IF(D16="fc", $C$9, 1), 16)*I16*J16/L16/M16/$C$4/IF(I16=3, IF(J16=3, 2.25, 1), 1)/IF(D16="fc", $C$9, 1)</f>
        <v>12936</v>
      </c>
      <c r="AS16" s="20">
        <f t="shared" si="10"/>
        <v>31475</v>
      </c>
      <c r="AT16" s="20" t="str">
        <f t="shared" si="11"/>
        <v>DRAM</v>
      </c>
    </row>
    <row r="17" spans="1:46" s="6" customFormat="1" x14ac:dyDescent="0.35">
      <c r="A17" s="16"/>
      <c r="B17" s="74" t="s">
        <v>29</v>
      </c>
      <c r="C17" s="32" t="s">
        <v>34</v>
      </c>
      <c r="D17" s="49" t="s">
        <v>109</v>
      </c>
      <c r="E17" s="49">
        <v>96</v>
      </c>
      <c r="F17" s="49">
        <v>28</v>
      </c>
      <c r="G17" s="49">
        <v>28</v>
      </c>
      <c r="H17" s="49">
        <v>128</v>
      </c>
      <c r="I17" s="49">
        <v>3</v>
      </c>
      <c r="J17" s="49">
        <v>3</v>
      </c>
      <c r="K17" s="49" t="b">
        <v>1</v>
      </c>
      <c r="L17" s="49">
        <v>1</v>
      </c>
      <c r="M17" s="49">
        <v>1</v>
      </c>
      <c r="N17" s="49">
        <f>IF(K17=TRUE,CEILING(F17/L17,1),CEILING((F17-I17)/L17,1)+1)</f>
        <v>28</v>
      </c>
      <c r="O17" s="9">
        <f>IF(K17=TRUE,CEILING(G17/M17,1),CEILING((G17-J17)/M17,1)+1)</f>
        <v>28</v>
      </c>
      <c r="P17" s="49" t="b">
        <v>0</v>
      </c>
      <c r="Q17" s="49"/>
      <c r="R17" s="49"/>
      <c r="S17" s="49"/>
      <c r="T17" s="49"/>
      <c r="U17" s="49">
        <f>IF(P17,CEILING((N17-Q17)/S17,1)+1,N17)</f>
        <v>28</v>
      </c>
      <c r="V17" s="49">
        <f>IF(P17,CEILING((O17-R17)/T17,1)+1,O17)</f>
        <v>28</v>
      </c>
      <c r="W17" s="49">
        <f>E17*N17*O17*H17*I17*J17</f>
        <v>86704128</v>
      </c>
      <c r="X17" s="10">
        <f>CEILING(E17*L17*M17, 16)*CEILING(F17/L17, 1)*CEILING(G17/M17,1)*$C$1/1024</f>
        <v>73.5</v>
      </c>
      <c r="Y17" s="10">
        <f t="shared" si="26"/>
        <v>10.5</v>
      </c>
      <c r="Z17" s="10">
        <f>U17*V17*CEILING(H17, 16)*$C$1/1024</f>
        <v>98</v>
      </c>
      <c r="AA17" s="10">
        <f t="shared" si="27"/>
        <v>192</v>
      </c>
      <c r="AB17" s="10">
        <f t="shared" si="16"/>
        <v>27</v>
      </c>
      <c r="AC17" s="10" t="b">
        <f t="shared" si="28"/>
        <v>1</v>
      </c>
      <c r="AD17" s="56">
        <f>FLOOR(($AI$9-SUM(AA13:AA19))/(X13+X17+X18), 1)</f>
        <v>16</v>
      </c>
      <c r="AE17" s="55">
        <f>AA17/MIN($AD$13:$AD$83)</f>
        <v>17.454545454545453</v>
      </c>
      <c r="AF17" s="56">
        <f>CEILING(AE17/$C$8*$C$5, 1)</f>
        <v>1746</v>
      </c>
      <c r="AG17" s="55">
        <f>X17+AA17</f>
        <v>265.5</v>
      </c>
      <c r="AH17" s="56">
        <f>CEILING(AG17/$C$6*$C$5, 1)</f>
        <v>10620</v>
      </c>
      <c r="AI17" s="55">
        <f t="shared" si="19"/>
        <v>98</v>
      </c>
      <c r="AJ17" s="56">
        <f>CEILING(AI17/$C$7*$C$5, 1)</f>
        <v>3920</v>
      </c>
      <c r="AK17" s="57">
        <f>CEILING(E17*L17*M17, 16)*CEILING(IF(K17, F17, F17-I17+1)/L17, 1)*CEILING(IF(K17, G17, G17-J17+1)/M17,1)*CEILING(H17*IF(D17="fc", $C$9, 1), 16)*I17*J17/L17/M17/$C$4/IF(I17=3, IF(J17=3, 2.25, 1), 1)/IF(D17="fc", $C$9, 1)</f>
        <v>18816</v>
      </c>
      <c r="AL17" s="57">
        <f>MAX(AF17, AH17,AJ17,AK17)</f>
        <v>18816</v>
      </c>
      <c r="AM17" s="57" t="str">
        <f>IF(AL17=AK17,"MAC",IF(AL17=AJ17,"CVSRAM-W",IF(AL17=AF17,"DRAM","CVSRAM-R")))</f>
        <v>MAC</v>
      </c>
      <c r="AN17" s="21" t="str">
        <f t="shared" si="22"/>
        <v>weight</v>
      </c>
      <c r="AO17" s="31">
        <f t="shared" si="23"/>
        <v>1</v>
      </c>
      <c r="AP17" s="21">
        <f t="shared" si="9"/>
        <v>363.5</v>
      </c>
      <c r="AQ17" s="31">
        <f>CEILING(AP17/$C$8*$C$5, 1)</f>
        <v>36350</v>
      </c>
      <c r="AR17" s="20">
        <f>CEILING(E17*L17*M17, 16)*CEILING(IF(K17, F17, F17-I17+1)/L17, 1)*CEILING(IF(K17, G17, G17-J17+1)/M17,1)*CEILING(H17*IF(D17="fc", $C$9, 1), 16)*I17*J17/L17/M17/$C$4/IF(I17=3, IF(J17=3, 2.25, 1), 1)/IF(D17="fc", $C$9, 1)</f>
        <v>18816</v>
      </c>
      <c r="AS17" s="20">
        <f>MAX(AQ17:AR17)</f>
        <v>36350</v>
      </c>
      <c r="AT17" s="20" t="str">
        <f>IF(AS17=AR17, "MAC", "DRAM")</f>
        <v>DRAM</v>
      </c>
    </row>
    <row r="18" spans="1:46" s="6" customFormat="1" x14ac:dyDescent="0.35">
      <c r="A18" s="16"/>
      <c r="B18" s="74" t="s">
        <v>29</v>
      </c>
      <c r="C18" s="32" t="s">
        <v>36</v>
      </c>
      <c r="D18" s="49" t="s">
        <v>109</v>
      </c>
      <c r="E18" s="49">
        <v>16</v>
      </c>
      <c r="F18" s="49">
        <v>28</v>
      </c>
      <c r="G18" s="49">
        <v>28</v>
      </c>
      <c r="H18" s="49">
        <v>32</v>
      </c>
      <c r="I18" s="49">
        <v>5</v>
      </c>
      <c r="J18" s="49">
        <v>5</v>
      </c>
      <c r="K18" s="49" t="b">
        <v>1</v>
      </c>
      <c r="L18" s="49">
        <v>1</v>
      </c>
      <c r="M18" s="49">
        <v>1</v>
      </c>
      <c r="N18" s="49">
        <f t="shared" si="12"/>
        <v>28</v>
      </c>
      <c r="O18" s="9">
        <f t="shared" si="13"/>
        <v>28</v>
      </c>
      <c r="P18" s="49" t="b">
        <v>0</v>
      </c>
      <c r="Q18" s="49"/>
      <c r="R18" s="49"/>
      <c r="S18" s="49"/>
      <c r="T18" s="49"/>
      <c r="U18" s="49">
        <f t="shared" si="31"/>
        <v>28</v>
      </c>
      <c r="V18" s="49">
        <f t="shared" si="30"/>
        <v>28</v>
      </c>
      <c r="W18" s="49">
        <f>E18*N18*O18*H18*I18*J18</f>
        <v>10035200</v>
      </c>
      <c r="X18" s="10">
        <f t="shared" si="0"/>
        <v>12.25</v>
      </c>
      <c r="Y18" s="10">
        <f t="shared" si="26"/>
        <v>2.625</v>
      </c>
      <c r="Z18" s="10">
        <f t="shared" si="1"/>
        <v>24.5</v>
      </c>
      <c r="AA18" s="10">
        <f t="shared" si="27"/>
        <v>12.5</v>
      </c>
      <c r="AB18" s="10">
        <f t="shared" si="16"/>
        <v>12.5</v>
      </c>
      <c r="AC18" s="10" t="b">
        <f t="shared" si="28"/>
        <v>0</v>
      </c>
      <c r="AD18" s="56">
        <f>FLOOR(($AI$9-SUM(AA13:AA19))/(X13+X17+X18), 1)</f>
        <v>16</v>
      </c>
      <c r="AE18" s="55">
        <f>AA18/MIN($AD$13:$AD$83)+Z18</f>
        <v>25.636363636363637</v>
      </c>
      <c r="AF18" s="56">
        <f t="shared" si="17"/>
        <v>2564</v>
      </c>
      <c r="AG18" s="55">
        <f t="shared" ref="AG18:AG19" si="35">X18+AA18</f>
        <v>24.75</v>
      </c>
      <c r="AH18" s="56">
        <f t="shared" si="18"/>
        <v>990</v>
      </c>
      <c r="AI18" s="55">
        <f t="shared" si="19"/>
        <v>24.5</v>
      </c>
      <c r="AJ18" s="56">
        <f t="shared" si="20"/>
        <v>980</v>
      </c>
      <c r="AK18" s="57">
        <f t="shared" si="6"/>
        <v>4900</v>
      </c>
      <c r="AL18" s="57">
        <f t="shared" si="7"/>
        <v>4900</v>
      </c>
      <c r="AM18" s="57" t="str">
        <f t="shared" si="21"/>
        <v>MAC</v>
      </c>
      <c r="AN18" s="21" t="str">
        <f t="shared" si="22"/>
        <v>feature</v>
      </c>
      <c r="AO18" s="31">
        <f t="shared" si="23"/>
        <v>1</v>
      </c>
      <c r="AP18" s="21">
        <f t="shared" si="9"/>
        <v>49.25</v>
      </c>
      <c r="AQ18" s="31">
        <f t="shared" si="24"/>
        <v>4925</v>
      </c>
      <c r="AR18" s="20">
        <f>CEILING(E18*L18*M18, 16)*CEILING(IF(K18, F18, F18-I18+1)/L18, 1)*CEILING(IF(K18, G18, G18-J18+1)/M18,1)*CEILING(H18*IF(D18="fc", $C$9, 1), 16)*I18*J18/L18/M18/$C$4/IF(I18=3, IF(J18=3, 2.25, 1), 1)/IF(D18="fc", $C$9, 1)</f>
        <v>4900</v>
      </c>
      <c r="AS18" s="20">
        <f t="shared" si="10"/>
        <v>4925</v>
      </c>
      <c r="AT18" s="20" t="str">
        <f t="shared" si="11"/>
        <v>DRAM</v>
      </c>
    </row>
    <row r="19" spans="1:46" s="49" customFormat="1" x14ac:dyDescent="0.35">
      <c r="A19" s="11"/>
      <c r="B19" s="61" t="s">
        <v>29</v>
      </c>
      <c r="C19" s="82" t="s">
        <v>37</v>
      </c>
      <c r="D19" s="13" t="s">
        <v>109</v>
      </c>
      <c r="E19" s="13">
        <v>192</v>
      </c>
      <c r="F19" s="13">
        <v>28</v>
      </c>
      <c r="G19" s="13">
        <v>28</v>
      </c>
      <c r="H19" s="13">
        <v>32</v>
      </c>
      <c r="I19" s="13">
        <v>1</v>
      </c>
      <c r="J19" s="13">
        <v>1</v>
      </c>
      <c r="K19" s="13" t="b">
        <v>1</v>
      </c>
      <c r="L19" s="13">
        <v>1</v>
      </c>
      <c r="M19" s="13">
        <v>1</v>
      </c>
      <c r="N19" s="13">
        <f t="shared" si="12"/>
        <v>28</v>
      </c>
      <c r="O19" s="14">
        <f t="shared" si="13"/>
        <v>28</v>
      </c>
      <c r="P19" s="13" t="b">
        <v>0</v>
      </c>
      <c r="Q19" s="13"/>
      <c r="R19" s="13"/>
      <c r="S19" s="13"/>
      <c r="T19" s="13"/>
      <c r="U19" s="13">
        <f t="shared" si="31"/>
        <v>28</v>
      </c>
      <c r="V19" s="13">
        <f t="shared" si="30"/>
        <v>28</v>
      </c>
      <c r="W19" s="13">
        <f>E19*N19*O19*H19*I19*J19</f>
        <v>4816896</v>
      </c>
      <c r="X19" s="15">
        <f t="shared" si="0"/>
        <v>147</v>
      </c>
      <c r="Y19" s="15">
        <f t="shared" si="26"/>
        <v>10.5</v>
      </c>
      <c r="Z19" s="15">
        <f t="shared" si="1"/>
        <v>24.5</v>
      </c>
      <c r="AA19" s="15">
        <f t="shared" si="27"/>
        <v>6</v>
      </c>
      <c r="AB19" s="15">
        <f t="shared" si="16"/>
        <v>6</v>
      </c>
      <c r="AC19" s="15" t="b">
        <f t="shared" si="28"/>
        <v>0</v>
      </c>
      <c r="AD19" s="63">
        <f>FLOOR(($AI$9-SUM(AA13:AA19))/(X13+X17+X18), 1)</f>
        <v>16</v>
      </c>
      <c r="AE19" s="62">
        <f>AA19/MIN($AD$13:$AD$83)+Z19</f>
        <v>25.045454545454547</v>
      </c>
      <c r="AF19" s="63">
        <f t="shared" si="17"/>
        <v>2505</v>
      </c>
      <c r="AG19" s="62">
        <f t="shared" si="35"/>
        <v>153</v>
      </c>
      <c r="AH19" s="63">
        <f t="shared" si="18"/>
        <v>6120</v>
      </c>
      <c r="AI19" s="62">
        <f t="shared" si="19"/>
        <v>24.5</v>
      </c>
      <c r="AJ19" s="63">
        <f t="shared" si="20"/>
        <v>980</v>
      </c>
      <c r="AK19" s="63">
        <f t="shared" si="6"/>
        <v>2352</v>
      </c>
      <c r="AL19" s="63">
        <f t="shared" si="7"/>
        <v>6120</v>
      </c>
      <c r="AM19" s="63" t="str">
        <f t="shared" si="21"/>
        <v>CVSRAM-R</v>
      </c>
      <c r="AN19" s="26" t="str">
        <f t="shared" si="22"/>
        <v>weight</v>
      </c>
      <c r="AO19" s="25">
        <f t="shared" si="23"/>
        <v>1</v>
      </c>
      <c r="AP19" s="26">
        <f t="shared" si="9"/>
        <v>177.5</v>
      </c>
      <c r="AQ19" s="25">
        <f t="shared" si="24"/>
        <v>17750</v>
      </c>
      <c r="AR19" s="25">
        <f>CEILING(E19*L19*M19, 16)*CEILING(IF(K19, F19, F19-I19+1)/L19, 1)*CEILING(IF(K19, G19, G19-J19+1)/M19,1)*CEILING(H19*IF(D19="fc", $C$9, 1), 16)*I19*J19/L19/M19/$C$4/IF(I19=3, IF(J19=3, 2.25, 1), 1)/IF(D19="fc", $C$9, 1)</f>
        <v>2352</v>
      </c>
      <c r="AS19" s="25">
        <f t="shared" si="10"/>
        <v>17750</v>
      </c>
      <c r="AT19" s="25" t="str">
        <f t="shared" si="11"/>
        <v>DRAM</v>
      </c>
    </row>
    <row r="20" spans="1:46" s="13" customFormat="1" x14ac:dyDescent="0.35">
      <c r="A20" s="11"/>
      <c r="B20" s="61" t="s">
        <v>29</v>
      </c>
      <c r="C20" s="82" t="s">
        <v>127</v>
      </c>
      <c r="O20" s="14"/>
      <c r="X20" s="15"/>
      <c r="Y20" s="15"/>
      <c r="Z20" s="15"/>
      <c r="AA20" s="15"/>
      <c r="AB20" s="15"/>
      <c r="AC20" s="15"/>
      <c r="AD20" s="63"/>
      <c r="AE20" s="62">
        <f>X13+Z13+Z17+Z18+Z19+SUM(AA16:AA19)/MIN($AD$13:$AD$83)</f>
        <v>365.13636363636363</v>
      </c>
      <c r="AF20" s="63">
        <f t="shared" si="17"/>
        <v>36514</v>
      </c>
      <c r="AG20" s="62"/>
      <c r="AH20" s="63"/>
      <c r="AI20" s="62"/>
      <c r="AJ20" s="63"/>
      <c r="AK20" s="63"/>
      <c r="AL20" s="63">
        <f>MAX(0, AF20-AL16-AL17-AL18-AL19)</f>
        <v>0</v>
      </c>
      <c r="AM20" s="63" t="str">
        <f>IF(AL20&gt;0, "DRAM", "NONE")</f>
        <v>NONE</v>
      </c>
      <c r="AN20" s="26"/>
      <c r="AO20" s="25">
        <f t="shared" si="23"/>
        <v>1</v>
      </c>
      <c r="AP20" s="26"/>
      <c r="AQ20" s="25"/>
      <c r="AR20" s="25"/>
      <c r="AS20" s="25"/>
      <c r="AT20" s="25"/>
    </row>
    <row r="21" spans="1:46" s="6" customFormat="1" x14ac:dyDescent="0.35">
      <c r="A21" s="16"/>
      <c r="B21" s="74" t="s">
        <v>29</v>
      </c>
      <c r="C21" s="32" t="s">
        <v>38</v>
      </c>
      <c r="D21" s="49" t="s">
        <v>109</v>
      </c>
      <c r="E21" s="49">
        <v>256</v>
      </c>
      <c r="F21" s="49">
        <v>28</v>
      </c>
      <c r="G21" s="49">
        <v>28</v>
      </c>
      <c r="H21" s="49">
        <v>128</v>
      </c>
      <c r="I21" s="49">
        <v>1</v>
      </c>
      <c r="J21" s="49">
        <v>1</v>
      </c>
      <c r="K21" s="49" t="b">
        <v>1</v>
      </c>
      <c r="L21" s="49">
        <v>1</v>
      </c>
      <c r="M21" s="49">
        <v>1</v>
      </c>
      <c r="N21" s="49">
        <f t="shared" si="12"/>
        <v>28</v>
      </c>
      <c r="O21" s="9">
        <f t="shared" si="13"/>
        <v>28</v>
      </c>
      <c r="P21" s="49" t="b">
        <v>0</v>
      </c>
      <c r="Q21" s="49"/>
      <c r="R21" s="49"/>
      <c r="S21" s="49"/>
      <c r="T21" s="49"/>
      <c r="U21" s="49">
        <f t="shared" si="31"/>
        <v>28</v>
      </c>
      <c r="V21" s="49">
        <f t="shared" si="30"/>
        <v>28</v>
      </c>
      <c r="W21" s="49">
        <f>E21*N21*O21*H21*I21*J21</f>
        <v>25690112</v>
      </c>
      <c r="X21" s="10">
        <f t="shared" si="0"/>
        <v>196</v>
      </c>
      <c r="Y21" s="10">
        <f t="shared" ref="Y21:Y27" si="36">CEILING(E21*L21*M21, 16)*MIN(I21+1, CEILING(F21/L21, 1))*CEILING(G21/M21,1)*$C$1/1024</f>
        <v>14</v>
      </c>
      <c r="Z21" s="10">
        <f t="shared" si="1"/>
        <v>98</v>
      </c>
      <c r="AA21" s="10">
        <f t="shared" ref="AA21:AA84" si="37">CEILING(E21*L21*M21,16)*CEILING(I21/L21,1)*CEILING(J21/M21,1)*H21*$C$2*(1-$F$2)/1024</f>
        <v>32</v>
      </c>
      <c r="AB21" s="10">
        <f t="shared" ref="AB21:AB84" si="38">IF((CEILING(E21*L21*M21,16)*CEILING(I21/L21,1)*CEILING(J21/M21,1)*32*$C$2*(1-$F$2)/1024)&gt;=$C$3, $C$3/2, CEILING(E21*L21*M21,16)*CEILING(I21/L21,1)*CEILING(J21/M21,1)*32*$C$2*(1-$F$2)/1024)</f>
        <v>8</v>
      </c>
      <c r="AC21" s="10" t="b">
        <f t="shared" si="28"/>
        <v>0</v>
      </c>
      <c r="AD21" s="56">
        <f>FLOOR(($AI$9-SUM(AA21:AA27))/(X21+X25+X26), 1)</f>
        <v>11</v>
      </c>
      <c r="AE21" s="55">
        <f>AA21/MIN($AD$13:$AD$83)</f>
        <v>2.9090909090909092</v>
      </c>
      <c r="AF21" s="56">
        <f t="shared" ref="AF21:AF24" si="39">CEILING(AE21/$C$8*$C$5, 1)</f>
        <v>291</v>
      </c>
      <c r="AG21" s="55">
        <f t="shared" ref="AG21:AG22" si="40">X21</f>
        <v>196</v>
      </c>
      <c r="AH21" s="56">
        <f t="shared" si="18"/>
        <v>7840</v>
      </c>
      <c r="AI21" s="55">
        <f t="shared" ref="AI21:AI27" si="41">Z21</f>
        <v>98</v>
      </c>
      <c r="AJ21" s="56">
        <f t="shared" si="20"/>
        <v>3920</v>
      </c>
      <c r="AK21" s="57"/>
      <c r="AL21" s="57"/>
      <c r="AM21" s="57"/>
      <c r="AN21" s="21" t="str">
        <f t="shared" si="22"/>
        <v>weight</v>
      </c>
      <c r="AO21" s="31">
        <f t="shared" si="23"/>
        <v>1</v>
      </c>
      <c r="AP21" s="21">
        <f t="shared" si="9"/>
        <v>326</v>
      </c>
      <c r="AQ21" s="31">
        <f t="shared" si="24"/>
        <v>32600</v>
      </c>
      <c r="AR21" s="20"/>
      <c r="AS21" s="20"/>
      <c r="AT21" s="20"/>
    </row>
    <row r="22" spans="1:46" s="6" customFormat="1" x14ac:dyDescent="0.35">
      <c r="A22" s="16"/>
      <c r="B22" s="74" t="s">
        <v>29</v>
      </c>
      <c r="C22" s="32" t="s">
        <v>39</v>
      </c>
      <c r="D22" s="49" t="s">
        <v>109</v>
      </c>
      <c r="E22" s="49">
        <v>256</v>
      </c>
      <c r="F22" s="49">
        <v>28</v>
      </c>
      <c r="G22" s="49">
        <v>28</v>
      </c>
      <c r="H22" s="49">
        <v>128</v>
      </c>
      <c r="I22" s="49">
        <v>1</v>
      </c>
      <c r="J22" s="49">
        <v>1</v>
      </c>
      <c r="K22" s="49" t="b">
        <v>1</v>
      </c>
      <c r="L22" s="49">
        <v>1</v>
      </c>
      <c r="M22" s="49">
        <v>1</v>
      </c>
      <c r="N22" s="49">
        <f t="shared" si="12"/>
        <v>28</v>
      </c>
      <c r="O22" s="9">
        <f t="shared" si="13"/>
        <v>28</v>
      </c>
      <c r="P22" s="49" t="b">
        <v>0</v>
      </c>
      <c r="Q22" s="49"/>
      <c r="R22" s="49"/>
      <c r="S22" s="49"/>
      <c r="T22" s="49"/>
      <c r="U22" s="49">
        <f t="shared" si="31"/>
        <v>28</v>
      </c>
      <c r="V22" s="49">
        <f t="shared" si="30"/>
        <v>28</v>
      </c>
      <c r="W22" s="49">
        <f>E22*N22*O22*H22*I22*J22</f>
        <v>25690112</v>
      </c>
      <c r="X22" s="10">
        <f t="shared" si="0"/>
        <v>196</v>
      </c>
      <c r="Y22" s="10">
        <f t="shared" si="36"/>
        <v>14</v>
      </c>
      <c r="Z22" s="10">
        <f t="shared" si="1"/>
        <v>98</v>
      </c>
      <c r="AA22" s="10">
        <f t="shared" si="37"/>
        <v>32</v>
      </c>
      <c r="AB22" s="10">
        <f t="shared" si="38"/>
        <v>8</v>
      </c>
      <c r="AC22" s="10" t="b">
        <f t="shared" si="28"/>
        <v>0</v>
      </c>
      <c r="AD22" s="56">
        <f>FLOOR(($AI$9-SUM(AA21:AA27))/(X21+X25+X26), 1)</f>
        <v>11</v>
      </c>
      <c r="AE22" s="55">
        <f>AA22/MIN($AD$13:$AD$83)</f>
        <v>2.9090909090909092</v>
      </c>
      <c r="AF22" s="56">
        <f t="shared" si="39"/>
        <v>291</v>
      </c>
      <c r="AG22" s="55">
        <f t="shared" si="40"/>
        <v>196</v>
      </c>
      <c r="AH22" s="56">
        <f t="shared" si="18"/>
        <v>7840</v>
      </c>
      <c r="AI22" s="55">
        <f t="shared" si="41"/>
        <v>98</v>
      </c>
      <c r="AJ22" s="56">
        <f t="shared" si="20"/>
        <v>3920</v>
      </c>
      <c r="AK22" s="57"/>
      <c r="AL22" s="57"/>
      <c r="AM22" s="57"/>
      <c r="AN22" s="21" t="str">
        <f t="shared" si="22"/>
        <v>weight</v>
      </c>
      <c r="AO22" s="31">
        <f t="shared" si="23"/>
        <v>1</v>
      </c>
      <c r="AP22" s="21">
        <f t="shared" si="9"/>
        <v>326</v>
      </c>
      <c r="AQ22" s="31">
        <f t="shared" si="24"/>
        <v>32600</v>
      </c>
      <c r="AR22" s="20"/>
      <c r="AS22" s="20"/>
      <c r="AT22" s="20"/>
    </row>
    <row r="23" spans="1:46" s="6" customFormat="1" x14ac:dyDescent="0.35">
      <c r="A23" s="16"/>
      <c r="B23" s="74" t="s">
        <v>29</v>
      </c>
      <c r="C23" s="32" t="s">
        <v>41</v>
      </c>
      <c r="D23" s="49" t="s">
        <v>109</v>
      </c>
      <c r="E23" s="49">
        <v>256</v>
      </c>
      <c r="F23" s="49">
        <v>28</v>
      </c>
      <c r="G23" s="49">
        <v>28</v>
      </c>
      <c r="H23" s="49">
        <v>32</v>
      </c>
      <c r="I23" s="49">
        <v>1</v>
      </c>
      <c r="J23" s="49">
        <v>1</v>
      </c>
      <c r="K23" s="49" t="b">
        <v>1</v>
      </c>
      <c r="L23" s="49">
        <v>1</v>
      </c>
      <c r="M23" s="49">
        <v>1</v>
      </c>
      <c r="N23" s="49">
        <f>IF(K23=TRUE,CEILING(F23/L23,1),CEILING((F23-I23)/L23,1)+1)</f>
        <v>28</v>
      </c>
      <c r="O23" s="9">
        <f>IF(K23=TRUE,CEILING(G23/M23,1),CEILING((G23-J23)/M23,1)+1)</f>
        <v>28</v>
      </c>
      <c r="P23" s="49" t="b">
        <v>0</v>
      </c>
      <c r="Q23" s="49"/>
      <c r="R23" s="49"/>
      <c r="S23" s="49"/>
      <c r="T23" s="49"/>
      <c r="U23" s="49">
        <f>IF(P23,CEILING((N23-Q23)/S23,1)+1,N23)</f>
        <v>28</v>
      </c>
      <c r="V23" s="49">
        <f>IF(P23,CEILING((O23-R23)/T23,1)+1,O23)</f>
        <v>28</v>
      </c>
      <c r="W23" s="49">
        <f>E23*N23*O23*H23*I23*J23</f>
        <v>6422528</v>
      </c>
      <c r="X23" s="10">
        <f>CEILING(E23*L23*M23, 16)*CEILING(F23/L23, 1)*CEILING(G23/M23,1)*$C$1/1024</f>
        <v>196</v>
      </c>
      <c r="Y23" s="10">
        <f t="shared" si="36"/>
        <v>14</v>
      </c>
      <c r="Z23" s="10">
        <f>U23*V23*CEILING(H23, 16)*$C$1/1024</f>
        <v>24.5</v>
      </c>
      <c r="AA23" s="10">
        <f>CEILING(E23*L23*M23,16)*CEILING(I23/L23,1)*CEILING(J23/M23,1)*H23*$C$2*(1-$F$2)/1024</f>
        <v>8</v>
      </c>
      <c r="AB23" s="10">
        <f t="shared" si="38"/>
        <v>8</v>
      </c>
      <c r="AC23" s="10" t="b">
        <f t="shared" si="28"/>
        <v>0</v>
      </c>
      <c r="AD23" s="56">
        <f>FLOOR(($AI$9-SUM(AA21:AA27))/(X21+X25+X26), 1)</f>
        <v>11</v>
      </c>
      <c r="AE23" s="55">
        <f>AA23/MIN($AD$13:$AD$83)</f>
        <v>0.72727272727272729</v>
      </c>
      <c r="AF23" s="56">
        <f t="shared" si="39"/>
        <v>73</v>
      </c>
      <c r="AG23" s="55">
        <f>X23</f>
        <v>196</v>
      </c>
      <c r="AH23" s="56">
        <f t="shared" si="18"/>
        <v>7840</v>
      </c>
      <c r="AI23" s="55">
        <f t="shared" si="41"/>
        <v>24.5</v>
      </c>
      <c r="AJ23" s="56">
        <f t="shared" si="20"/>
        <v>980</v>
      </c>
      <c r="AK23" s="57"/>
      <c r="AL23" s="57"/>
      <c r="AM23" s="57"/>
      <c r="AN23" s="21" t="str">
        <f t="shared" si="22"/>
        <v>weight</v>
      </c>
      <c r="AO23" s="31">
        <f t="shared" si="23"/>
        <v>1</v>
      </c>
      <c r="AP23" s="21">
        <f t="shared" si="9"/>
        <v>228.5</v>
      </c>
      <c r="AQ23" s="31">
        <f t="shared" si="24"/>
        <v>22850</v>
      </c>
      <c r="AR23" s="20"/>
      <c r="AS23" s="20"/>
      <c r="AT23" s="20"/>
    </row>
    <row r="24" spans="1:46" s="6" customFormat="1" x14ac:dyDescent="0.35">
      <c r="A24" s="16"/>
      <c r="B24" s="74" t="s">
        <v>29</v>
      </c>
      <c r="C24" s="32" t="s">
        <v>122</v>
      </c>
      <c r="D24" s="49" t="s">
        <v>109</v>
      </c>
      <c r="E24" s="49">
        <f>E23</f>
        <v>256</v>
      </c>
      <c r="F24" s="49">
        <f>F23</f>
        <v>28</v>
      </c>
      <c r="G24" s="49">
        <f>G23</f>
        <v>28</v>
      </c>
      <c r="H24" s="49">
        <f>SUM(H21:H23)</f>
        <v>288</v>
      </c>
      <c r="I24" s="49">
        <f t="shared" ref="I24:P24" si="42">I23</f>
        <v>1</v>
      </c>
      <c r="J24" s="49">
        <f t="shared" si="42"/>
        <v>1</v>
      </c>
      <c r="K24" s="49" t="b">
        <f t="shared" si="42"/>
        <v>1</v>
      </c>
      <c r="L24" s="49">
        <f t="shared" si="42"/>
        <v>1</v>
      </c>
      <c r="M24" s="49">
        <f t="shared" si="42"/>
        <v>1</v>
      </c>
      <c r="N24" s="49">
        <f>IF(K24=TRUE,CEILING(F24/L24,1),CEILING((F24-I24)/L24,1)+1)</f>
        <v>28</v>
      </c>
      <c r="O24" s="9">
        <f>IF(K24=TRUE,CEILING(G24/M24,1),CEILING((G24-J24)/M24,1)+1)</f>
        <v>28</v>
      </c>
      <c r="P24" s="49" t="b">
        <f t="shared" si="42"/>
        <v>0</v>
      </c>
      <c r="Q24" s="49"/>
      <c r="R24" s="49"/>
      <c r="S24" s="49"/>
      <c r="T24" s="49"/>
      <c r="U24" s="49">
        <f t="shared" ref="U24" si="43">IF(P24,CEILING((N24-Q24)/S24,1)+1,N24)</f>
        <v>28</v>
      </c>
      <c r="V24" s="49">
        <f t="shared" ref="V24" si="44">IF(P24,CEILING((O24-R24)/T24,1)+1,O24)</f>
        <v>28</v>
      </c>
      <c r="W24" s="49"/>
      <c r="X24" s="10">
        <f t="shared" ref="X24" si="45">CEILING(E24*L24*M24, 16)*CEILING(F24/L24, 1)*CEILING(G24/M24,1)*$C$1/1024</f>
        <v>196</v>
      </c>
      <c r="Y24" s="10">
        <f t="shared" si="36"/>
        <v>14</v>
      </c>
      <c r="Z24" s="10">
        <f t="shared" ref="Z24" si="46">U24*V24*CEILING(H24, 16)*$C$1/1024</f>
        <v>220.5</v>
      </c>
      <c r="AA24" s="10">
        <f t="shared" ref="AA24" si="47">CEILING(E24*L24*M24,16)*CEILING(I24/L24,1)*CEILING(J24/M24,1)*H24*$C$2*(1-$F$2)/1024</f>
        <v>72</v>
      </c>
      <c r="AB24" s="10">
        <f t="shared" si="38"/>
        <v>8</v>
      </c>
      <c r="AC24" s="10" t="b">
        <f t="shared" si="28"/>
        <v>0</v>
      </c>
      <c r="AD24" s="56">
        <f>FLOOR(($AI$9-SUM(AA21:AA27))/(X21+X25+X26), 1)</f>
        <v>11</v>
      </c>
      <c r="AE24" s="55">
        <f>X24</f>
        <v>196</v>
      </c>
      <c r="AF24" s="56">
        <f t="shared" si="39"/>
        <v>19600</v>
      </c>
      <c r="AG24" s="55">
        <f>AA24</f>
        <v>72</v>
      </c>
      <c r="AH24" s="56">
        <f t="shared" si="18"/>
        <v>2880</v>
      </c>
      <c r="AI24" s="55">
        <f t="shared" si="41"/>
        <v>220.5</v>
      </c>
      <c r="AJ24" s="56">
        <f t="shared" si="20"/>
        <v>8820</v>
      </c>
      <c r="AK24" s="57">
        <f t="shared" ref="AK24" si="48">CEILING(E24*L24*M24, 16)*CEILING(IF(K24, F24, F24-I24+1)/L24, 1)*CEILING(IF(K24, G24, G24-J24+1)/M24,1)*CEILING(H24*IF(D24="fc", $C$9, 1), 16)*I24*J24/L24/M24/$C$4/IF(I24=3, IF(J24=3, 2.25, 1), 1)/IF(D24="fc", $C$9, 1)</f>
        <v>28224</v>
      </c>
      <c r="AL24" s="57">
        <f t="shared" ref="AL24" si="49">MAX(AF24, AH24,AJ24,AK24)</f>
        <v>28224</v>
      </c>
      <c r="AM24" s="57" t="str">
        <f t="shared" ref="AM24" si="50">IF(AL24=AK24,"MAC",IF(AL24=AJ24,"CVSRAM-W",IF(AL24=AF24,"DRAM","CVSRAM-R")))</f>
        <v>MAC</v>
      </c>
      <c r="AN24" s="21" t="str">
        <f t="shared" si="22"/>
        <v>weight</v>
      </c>
      <c r="AO24" s="31">
        <f t="shared" si="23"/>
        <v>1</v>
      </c>
      <c r="AP24" s="21">
        <f t="shared" si="9"/>
        <v>488.5</v>
      </c>
      <c r="AQ24" s="31">
        <f t="shared" si="24"/>
        <v>48850</v>
      </c>
      <c r="AR24" s="20">
        <f>CEILING(E24*L24*M24, 16)*CEILING(IF(K24, F24, F24-I24+1)/L24, 1)*CEILING(IF(K24, G24, G24-J24+1)/M24,1)*CEILING(H24*IF(D24="fc", $C$9, 1), 16)*I24*J24/L24/M24/$C$4/IF(I24=3, IF(J24=3, 2.25, 1), 1)/IF(D24="fc", $C$9, 1)</f>
        <v>28224</v>
      </c>
      <c r="AS24" s="20">
        <f t="shared" ref="AS24" si="51">MAX(AQ24:AR24)</f>
        <v>48850</v>
      </c>
      <c r="AT24" s="20" t="str">
        <f t="shared" ref="AT24" si="52">IF(AS24=AR24, "MAC", "DRAM")</f>
        <v>DRAM</v>
      </c>
    </row>
    <row r="25" spans="1:46" s="6" customFormat="1" x14ac:dyDescent="0.35">
      <c r="A25" s="16"/>
      <c r="B25" s="74" t="s">
        <v>29</v>
      </c>
      <c r="C25" s="32" t="s">
        <v>40</v>
      </c>
      <c r="D25" s="49" t="s">
        <v>109</v>
      </c>
      <c r="E25" s="49">
        <v>128</v>
      </c>
      <c r="F25" s="49">
        <v>28</v>
      </c>
      <c r="G25" s="49">
        <v>28</v>
      </c>
      <c r="H25" s="49">
        <v>192</v>
      </c>
      <c r="I25" s="49">
        <v>3</v>
      </c>
      <c r="J25" s="49">
        <v>3</v>
      </c>
      <c r="K25" s="49" t="b">
        <v>1</v>
      </c>
      <c r="L25" s="49">
        <v>1</v>
      </c>
      <c r="M25" s="49">
        <v>1</v>
      </c>
      <c r="N25" s="49">
        <f t="shared" si="12"/>
        <v>28</v>
      </c>
      <c r="O25" s="9">
        <f t="shared" si="13"/>
        <v>28</v>
      </c>
      <c r="P25" s="49" t="b">
        <v>0</v>
      </c>
      <c r="Q25" s="49"/>
      <c r="R25" s="49"/>
      <c r="S25" s="49"/>
      <c r="T25" s="49"/>
      <c r="U25" s="49">
        <f t="shared" si="31"/>
        <v>28</v>
      </c>
      <c r="V25" s="49">
        <f t="shared" si="30"/>
        <v>28</v>
      </c>
      <c r="W25" s="49">
        <f>E25*N25*O25*H25*I25*J25</f>
        <v>173408256</v>
      </c>
      <c r="X25" s="10">
        <f t="shared" si="0"/>
        <v>98</v>
      </c>
      <c r="Y25" s="10">
        <f t="shared" si="36"/>
        <v>14</v>
      </c>
      <c r="Z25" s="10">
        <f t="shared" si="1"/>
        <v>147</v>
      </c>
      <c r="AA25" s="10">
        <f t="shared" si="37"/>
        <v>216</v>
      </c>
      <c r="AB25" s="10">
        <f t="shared" si="38"/>
        <v>36</v>
      </c>
      <c r="AC25" s="10" t="b">
        <f t="shared" si="28"/>
        <v>1</v>
      </c>
      <c r="AD25" s="56">
        <f>FLOOR(($AI$9-SUM(AA21:AA27))/(X21+X25+X26), 1)</f>
        <v>11</v>
      </c>
      <c r="AE25" s="55">
        <f>Z25</f>
        <v>147</v>
      </c>
      <c r="AF25" s="56">
        <f>CEILING(AE25/$C$8*$C$5, 1)</f>
        <v>14700</v>
      </c>
      <c r="AG25" s="55">
        <f>X25+AA25</f>
        <v>314</v>
      </c>
      <c r="AH25" s="56">
        <f>CEILING(AG25/$C$6*$C$5, 1)</f>
        <v>12560</v>
      </c>
      <c r="AI25" s="55">
        <v>0</v>
      </c>
      <c r="AJ25" s="56">
        <f>CEILING(AI25/$C$7*$C$5, 1)</f>
        <v>0</v>
      </c>
      <c r="AK25" s="57">
        <f>CEILING(E25*L25*M25, 16)*CEILING(IF(K25, F25, F25-I25+1)/L25, 1)*CEILING(IF(K25, G25, G25-J25+1)/M25,1)*CEILING(H25*IF(D25="fc", $C$9, 1), 16)*I25*J25/L25/M25/$C$4/IF(I25=3, IF(J25=3, 2.25, 1), 1)/IF(D25="fc", $C$9, 1)</f>
        <v>37632</v>
      </c>
      <c r="AL25" s="57">
        <f>MAX(AF25, AH25,AJ25,AK25)</f>
        <v>37632</v>
      </c>
      <c r="AM25" s="57" t="str">
        <f>IF(AL25=AK25,"MAC",IF(AL25=AJ25,"CVSRAM-W",IF(AL25=AF25,"DRAM","CVSRAM-R")))</f>
        <v>MAC</v>
      </c>
      <c r="AN25" s="21" t="str">
        <f t="shared" si="22"/>
        <v>weight</v>
      </c>
      <c r="AO25" s="31">
        <f t="shared" si="23"/>
        <v>1</v>
      </c>
      <c r="AP25" s="21">
        <f t="shared" si="9"/>
        <v>461</v>
      </c>
      <c r="AQ25" s="31">
        <f>CEILING(AP25/$C$8*$C$5, 1)</f>
        <v>46100</v>
      </c>
      <c r="AR25" s="20">
        <f>CEILING(E25*L25*M25, 16)*CEILING(IF(K25, F25, F25-I25+1)/L25, 1)*CEILING(IF(K25, G25, G25-J25+1)/M25,1)*CEILING(H25*IF(D25="fc", $C$9, 1), 16)*I25*J25/L25/M25/$C$4/IF(I25=3, IF(J25=3, 2.25, 1), 1)/IF(D25="fc", $C$9, 1)</f>
        <v>37632</v>
      </c>
      <c r="AS25" s="20">
        <f>MAX(AQ25:AR25)</f>
        <v>46100</v>
      </c>
      <c r="AT25" s="20" t="str">
        <f>IF(AS25=AR25, "MAC", "DRAM")</f>
        <v>DRAM</v>
      </c>
    </row>
    <row r="26" spans="1:46" s="6" customFormat="1" x14ac:dyDescent="0.35">
      <c r="A26" s="16"/>
      <c r="B26" s="74" t="s">
        <v>29</v>
      </c>
      <c r="C26" s="32" t="s">
        <v>42</v>
      </c>
      <c r="D26" s="49" t="s">
        <v>109</v>
      </c>
      <c r="E26" s="49">
        <v>32</v>
      </c>
      <c r="F26" s="49">
        <v>28</v>
      </c>
      <c r="G26" s="49">
        <v>28</v>
      </c>
      <c r="H26" s="49">
        <v>96</v>
      </c>
      <c r="I26" s="49">
        <v>5</v>
      </c>
      <c r="J26" s="49">
        <v>5</v>
      </c>
      <c r="K26" s="49" t="b">
        <v>1</v>
      </c>
      <c r="L26" s="49">
        <v>1</v>
      </c>
      <c r="M26" s="49">
        <v>1</v>
      </c>
      <c r="N26" s="49">
        <f t="shared" si="12"/>
        <v>28</v>
      </c>
      <c r="O26" s="9">
        <f t="shared" si="13"/>
        <v>28</v>
      </c>
      <c r="P26" s="49" t="b">
        <v>0</v>
      </c>
      <c r="Q26" s="49"/>
      <c r="R26" s="49"/>
      <c r="S26" s="49"/>
      <c r="T26" s="49"/>
      <c r="U26" s="49">
        <f t="shared" si="31"/>
        <v>28</v>
      </c>
      <c r="V26" s="49">
        <f t="shared" si="30"/>
        <v>28</v>
      </c>
      <c r="W26" s="49">
        <f>E26*N26*O26*H26*I26*J26</f>
        <v>60211200</v>
      </c>
      <c r="X26" s="10">
        <f t="shared" si="0"/>
        <v>24.5</v>
      </c>
      <c r="Y26" s="10">
        <f t="shared" si="36"/>
        <v>5.25</v>
      </c>
      <c r="Z26" s="10">
        <f t="shared" si="1"/>
        <v>73.5</v>
      </c>
      <c r="AA26" s="10">
        <f t="shared" si="37"/>
        <v>75</v>
      </c>
      <c r="AB26" s="10">
        <f t="shared" si="38"/>
        <v>25</v>
      </c>
      <c r="AC26" s="10" t="b">
        <f t="shared" si="28"/>
        <v>0</v>
      </c>
      <c r="AD26" s="56">
        <f>FLOOR(($AI$9-SUM(AA21:AA27))/(X21+X25+X26), 1)</f>
        <v>11</v>
      </c>
      <c r="AE26" s="55">
        <f>Z26</f>
        <v>73.5</v>
      </c>
      <c r="AF26" s="56">
        <f t="shared" ref="AF26:AF32" si="53">CEILING(AE26/$C$8*$C$5, 1)</f>
        <v>7350</v>
      </c>
      <c r="AG26" s="55">
        <f>X26+AA26</f>
        <v>99.5</v>
      </c>
      <c r="AH26" s="56">
        <f t="shared" si="18"/>
        <v>3980</v>
      </c>
      <c r="AI26" s="55">
        <v>0</v>
      </c>
      <c r="AJ26" s="56">
        <f t="shared" si="20"/>
        <v>0</v>
      </c>
      <c r="AK26" s="57">
        <f t="shared" ref="AK26:AK27" si="54">CEILING(E26*L26*M26, 16)*CEILING(IF(K26, F26, F26-I26+1)/L26, 1)*CEILING(IF(K26, G26, G26-J26+1)/M26,1)*CEILING(H26*IF(D26="fc", $C$9, 1), 16)*I26*J26/L26/M26/$C$4/IF(I26=3, IF(J26=3, 2.25, 1), 1)/IF(D26="fc", $C$9, 1)</f>
        <v>29400</v>
      </c>
      <c r="AL26" s="57">
        <f t="shared" ref="AL26:AL27" si="55">MAX(AF26, AH26,AJ26,AK26)</f>
        <v>29400</v>
      </c>
      <c r="AM26" s="57" t="str">
        <f t="shared" ref="AM26:AM27" si="56">IF(AL26=AK26,"MAC",IF(AL26=AJ26,"CVSRAM-W",IF(AL26=AF26,"DRAM","CVSRAM-R")))</f>
        <v>MAC</v>
      </c>
      <c r="AN26" s="21" t="str">
        <f t="shared" si="22"/>
        <v>feature</v>
      </c>
      <c r="AO26" s="31">
        <f t="shared" si="23"/>
        <v>1</v>
      </c>
      <c r="AP26" s="21">
        <f t="shared" si="9"/>
        <v>173</v>
      </c>
      <c r="AQ26" s="31">
        <f t="shared" si="24"/>
        <v>17300</v>
      </c>
      <c r="AR26" s="20">
        <f>CEILING(E26*L26*M26, 16)*CEILING(IF(K26, F26, F26-I26+1)/L26, 1)*CEILING(IF(K26, G26, G26-J26+1)/M26,1)*CEILING(H26*IF(D26="fc", $C$9, 1), 16)*I26*J26/L26/M26/$C$4/IF(I26=3, IF(J26=3, 2.25, 1), 1)/IF(D26="fc", $C$9, 1)</f>
        <v>29400</v>
      </c>
      <c r="AS26" s="20">
        <f t="shared" ref="AS26:AS27" si="57">MAX(AQ26:AR26)</f>
        <v>29400</v>
      </c>
      <c r="AT26" s="20" t="str">
        <f t="shared" ref="AT26:AT27" si="58">IF(AS26=AR26, "MAC", "DRAM")</f>
        <v>MAC</v>
      </c>
    </row>
    <row r="27" spans="1:46" s="13" customFormat="1" x14ac:dyDescent="0.35">
      <c r="A27" s="11"/>
      <c r="B27" s="61" t="s">
        <v>29</v>
      </c>
      <c r="C27" s="82" t="s">
        <v>43</v>
      </c>
      <c r="D27" s="13" t="s">
        <v>109</v>
      </c>
      <c r="E27" s="13">
        <v>256</v>
      </c>
      <c r="F27" s="13">
        <v>28</v>
      </c>
      <c r="G27" s="13">
        <v>28</v>
      </c>
      <c r="H27" s="13">
        <v>64</v>
      </c>
      <c r="I27" s="13">
        <v>1</v>
      </c>
      <c r="J27" s="13">
        <v>1</v>
      </c>
      <c r="K27" s="13" t="b">
        <v>1</v>
      </c>
      <c r="L27" s="13">
        <v>1</v>
      </c>
      <c r="M27" s="13">
        <v>1</v>
      </c>
      <c r="N27" s="13">
        <f t="shared" si="12"/>
        <v>28</v>
      </c>
      <c r="O27" s="14">
        <f t="shared" si="13"/>
        <v>28</v>
      </c>
      <c r="P27" s="13" t="b">
        <v>1</v>
      </c>
      <c r="Q27" s="13">
        <v>3</v>
      </c>
      <c r="R27" s="13">
        <v>3</v>
      </c>
      <c r="S27" s="13">
        <v>2</v>
      </c>
      <c r="T27" s="13">
        <v>2</v>
      </c>
      <c r="U27" s="13">
        <f t="shared" si="31"/>
        <v>14</v>
      </c>
      <c r="V27" s="13">
        <f t="shared" si="30"/>
        <v>14</v>
      </c>
      <c r="W27" s="13">
        <f>E27*N27*O27*H27*I27*J27</f>
        <v>12845056</v>
      </c>
      <c r="X27" s="15">
        <f t="shared" si="0"/>
        <v>196</v>
      </c>
      <c r="Y27" s="15">
        <f t="shared" si="36"/>
        <v>14</v>
      </c>
      <c r="Z27" s="15">
        <f t="shared" si="1"/>
        <v>12.25</v>
      </c>
      <c r="AA27" s="15">
        <f t="shared" si="37"/>
        <v>16</v>
      </c>
      <c r="AB27" s="15">
        <f t="shared" si="38"/>
        <v>8</v>
      </c>
      <c r="AC27" s="15" t="b">
        <f t="shared" si="28"/>
        <v>0</v>
      </c>
      <c r="AD27" s="63">
        <f>FLOOR(($AI$9-SUM(AA21:AA27))/(X21+X25+X26), 1)</f>
        <v>11</v>
      </c>
      <c r="AE27" s="62">
        <f>Z27</f>
        <v>12.25</v>
      </c>
      <c r="AF27" s="63">
        <f t="shared" si="53"/>
        <v>1225</v>
      </c>
      <c r="AG27" s="62">
        <f>X27+AA27</f>
        <v>212</v>
      </c>
      <c r="AH27" s="63">
        <f t="shared" si="18"/>
        <v>8480</v>
      </c>
      <c r="AI27" s="62">
        <f t="shared" si="41"/>
        <v>12.25</v>
      </c>
      <c r="AJ27" s="63">
        <f t="shared" si="20"/>
        <v>490</v>
      </c>
      <c r="AK27" s="63">
        <f t="shared" si="54"/>
        <v>6272</v>
      </c>
      <c r="AL27" s="63">
        <f t="shared" si="55"/>
        <v>8480</v>
      </c>
      <c r="AM27" s="63" t="str">
        <f t="shared" si="56"/>
        <v>CVSRAM-R</v>
      </c>
      <c r="AN27" s="26" t="str">
        <f t="shared" si="22"/>
        <v>weight</v>
      </c>
      <c r="AO27" s="25">
        <f t="shared" si="23"/>
        <v>1</v>
      </c>
      <c r="AP27" s="26">
        <f t="shared" si="9"/>
        <v>224.25</v>
      </c>
      <c r="AQ27" s="25">
        <f t="shared" si="24"/>
        <v>22425</v>
      </c>
      <c r="AR27" s="25">
        <f>CEILING(E27*L27*M27, 16)*CEILING(IF(K27, F27, F27-I27+1)/L27, 1)*CEILING(IF(K27, G27, G27-J27+1)/M27,1)*CEILING(H27*IF(D27="fc", $C$9, 1), 16)*I27*J27/L27/M27/$C$4/IF(I27=3, IF(J27=3, 2.25, 1), 1)/IF(D27="fc", $C$9, 1)</f>
        <v>6272</v>
      </c>
      <c r="AS27" s="25">
        <f t="shared" si="57"/>
        <v>22425</v>
      </c>
      <c r="AT27" s="25" t="str">
        <f t="shared" si="58"/>
        <v>DRAM</v>
      </c>
    </row>
    <row r="28" spans="1:46" s="13" customFormat="1" x14ac:dyDescent="0.35">
      <c r="A28" s="11"/>
      <c r="B28" s="61" t="s">
        <v>29</v>
      </c>
      <c r="C28" s="82" t="s">
        <v>128</v>
      </c>
      <c r="O28" s="14"/>
      <c r="X28" s="15"/>
      <c r="Y28" s="15"/>
      <c r="Z28" s="15"/>
      <c r="AA28" s="15"/>
      <c r="AB28" s="15"/>
      <c r="AC28" s="15"/>
      <c r="AD28" s="63"/>
      <c r="AE28" s="62">
        <f>X21+Z21+Z25+Z26+Z27+SUM(AA24:AA27)/MIN($AD$13:$AD$83)</f>
        <v>561.2045454545455</v>
      </c>
      <c r="AF28" s="63">
        <f t="shared" si="53"/>
        <v>56121</v>
      </c>
      <c r="AG28" s="62"/>
      <c r="AH28" s="63"/>
      <c r="AI28" s="62"/>
      <c r="AJ28" s="63"/>
      <c r="AK28" s="63"/>
      <c r="AL28" s="63">
        <f>MAX(0, AF28-AL24-AL25-AL26-AL27)</f>
        <v>0</v>
      </c>
      <c r="AM28" s="63" t="str">
        <f>IF(AL28&gt;0, "DRAM", "NONE")</f>
        <v>NONE</v>
      </c>
      <c r="AN28" s="26"/>
      <c r="AO28" s="25">
        <f t="shared" si="23"/>
        <v>1</v>
      </c>
      <c r="AP28" s="26"/>
      <c r="AQ28" s="25"/>
      <c r="AR28" s="25"/>
      <c r="AS28" s="25"/>
      <c r="AT28" s="25"/>
    </row>
    <row r="29" spans="1:46" s="30" customFormat="1" x14ac:dyDescent="0.35">
      <c r="A29" s="7"/>
      <c r="B29" s="74" t="s">
        <v>29</v>
      </c>
      <c r="C29" s="32" t="s">
        <v>44</v>
      </c>
      <c r="D29" s="49" t="s">
        <v>109</v>
      </c>
      <c r="E29" s="49">
        <v>480</v>
      </c>
      <c r="F29" s="49">
        <v>14</v>
      </c>
      <c r="G29" s="49">
        <v>14</v>
      </c>
      <c r="H29" s="49">
        <v>192</v>
      </c>
      <c r="I29" s="49">
        <v>1</v>
      </c>
      <c r="J29" s="49">
        <v>1</v>
      </c>
      <c r="K29" s="49" t="b">
        <v>1</v>
      </c>
      <c r="L29" s="49">
        <v>1</v>
      </c>
      <c r="M29" s="49">
        <v>1</v>
      </c>
      <c r="N29" s="49">
        <f t="shared" si="12"/>
        <v>14</v>
      </c>
      <c r="O29" s="9">
        <f t="shared" si="13"/>
        <v>14</v>
      </c>
      <c r="P29" s="49" t="b">
        <v>0</v>
      </c>
      <c r="Q29" s="49"/>
      <c r="R29" s="49"/>
      <c r="S29" s="49"/>
      <c r="T29" s="49"/>
      <c r="U29" s="49">
        <f t="shared" si="31"/>
        <v>14</v>
      </c>
      <c r="V29" s="49">
        <f t="shared" si="30"/>
        <v>14</v>
      </c>
      <c r="W29" s="49">
        <f>E29*N29*O29*H29*I29*J29</f>
        <v>18063360</v>
      </c>
      <c r="X29" s="10">
        <f t="shared" si="0"/>
        <v>91.875</v>
      </c>
      <c r="Y29" s="10">
        <f t="shared" ref="Y29:Y35" si="59">CEILING(E29*L29*M29, 16)*MIN(I29+1, CEILING(F29/L29, 1))*CEILING(G29/M29,1)*$C$1/1024</f>
        <v>13.125</v>
      </c>
      <c r="Z29" s="10">
        <f t="shared" si="1"/>
        <v>36.75</v>
      </c>
      <c r="AA29" s="10">
        <f t="shared" si="37"/>
        <v>90</v>
      </c>
      <c r="AB29" s="10">
        <f t="shared" si="38"/>
        <v>15</v>
      </c>
      <c r="AC29" s="10" t="b">
        <f t="shared" si="28"/>
        <v>0</v>
      </c>
      <c r="AD29" s="56">
        <f>FLOOR(($AI$9-SUM(AA29:AA35))/(X29+X33+X34), 1)</f>
        <v>31</v>
      </c>
      <c r="AE29" s="55">
        <f t="shared" ref="AE29:AE35" si="60">AA29/MIN($AD$13:$AD$83)</f>
        <v>8.1818181818181817</v>
      </c>
      <c r="AF29" s="56">
        <f t="shared" si="53"/>
        <v>819</v>
      </c>
      <c r="AG29" s="55">
        <f t="shared" ref="AG29:AG30" si="61">X29</f>
        <v>91.875</v>
      </c>
      <c r="AH29" s="56">
        <f t="shared" si="18"/>
        <v>3675</v>
      </c>
      <c r="AI29" s="55">
        <f t="shared" ref="AI29:AI35" si="62">Z29</f>
        <v>36.75</v>
      </c>
      <c r="AJ29" s="56">
        <f t="shared" si="20"/>
        <v>1470</v>
      </c>
      <c r="AK29" s="57"/>
      <c r="AL29" s="57"/>
      <c r="AM29" s="57"/>
      <c r="AN29" s="21" t="str">
        <f t="shared" si="22"/>
        <v>weight</v>
      </c>
      <c r="AO29" s="31">
        <f t="shared" si="23"/>
        <v>1</v>
      </c>
      <c r="AP29" s="21">
        <f t="shared" si="9"/>
        <v>218.625</v>
      </c>
      <c r="AQ29" s="31">
        <f t="shared" si="24"/>
        <v>21863</v>
      </c>
      <c r="AR29" s="20"/>
      <c r="AS29" s="20"/>
      <c r="AT29" s="20"/>
    </row>
    <row r="30" spans="1:46" s="7" customFormat="1" x14ac:dyDescent="0.35">
      <c r="B30" s="74" t="s">
        <v>29</v>
      </c>
      <c r="C30" s="32" t="s">
        <v>45</v>
      </c>
      <c r="D30" s="49" t="s">
        <v>109</v>
      </c>
      <c r="E30" s="49">
        <v>480</v>
      </c>
      <c r="F30" s="49">
        <v>14</v>
      </c>
      <c r="G30" s="49">
        <v>14</v>
      </c>
      <c r="H30" s="49">
        <v>96</v>
      </c>
      <c r="I30" s="49">
        <v>1</v>
      </c>
      <c r="J30" s="49">
        <v>1</v>
      </c>
      <c r="K30" s="49" t="b">
        <v>1</v>
      </c>
      <c r="L30" s="49">
        <v>1</v>
      </c>
      <c r="M30" s="49">
        <v>1</v>
      </c>
      <c r="N30" s="49">
        <f t="shared" si="12"/>
        <v>14</v>
      </c>
      <c r="O30" s="9">
        <f t="shared" si="13"/>
        <v>14</v>
      </c>
      <c r="P30" s="49" t="b">
        <v>0</v>
      </c>
      <c r="Q30" s="49"/>
      <c r="R30" s="49"/>
      <c r="S30" s="49"/>
      <c r="T30" s="49"/>
      <c r="U30" s="49">
        <f t="shared" si="31"/>
        <v>14</v>
      </c>
      <c r="V30" s="49">
        <f t="shared" si="30"/>
        <v>14</v>
      </c>
      <c r="W30" s="49">
        <f>E30*N30*O30*H30*I30*J30</f>
        <v>9031680</v>
      </c>
      <c r="X30" s="10">
        <f t="shared" si="0"/>
        <v>91.875</v>
      </c>
      <c r="Y30" s="10">
        <f t="shared" si="59"/>
        <v>13.125</v>
      </c>
      <c r="Z30" s="10">
        <f t="shared" si="1"/>
        <v>18.375</v>
      </c>
      <c r="AA30" s="10">
        <f t="shared" si="37"/>
        <v>45</v>
      </c>
      <c r="AB30" s="10">
        <f t="shared" si="38"/>
        <v>15</v>
      </c>
      <c r="AC30" s="10" t="b">
        <f t="shared" si="28"/>
        <v>0</v>
      </c>
      <c r="AD30" s="56">
        <f>FLOOR(($AI$9-SUM(AA29:AA35))/(X29+X33+X34), 1)</f>
        <v>31</v>
      </c>
      <c r="AE30" s="55">
        <f t="shared" si="60"/>
        <v>4.0909090909090908</v>
      </c>
      <c r="AF30" s="56">
        <f t="shared" si="53"/>
        <v>410</v>
      </c>
      <c r="AG30" s="55">
        <f t="shared" si="61"/>
        <v>91.875</v>
      </c>
      <c r="AH30" s="56">
        <f t="shared" si="18"/>
        <v>3675</v>
      </c>
      <c r="AI30" s="55">
        <f t="shared" si="62"/>
        <v>18.375</v>
      </c>
      <c r="AJ30" s="56">
        <f t="shared" si="20"/>
        <v>735</v>
      </c>
      <c r="AK30" s="57"/>
      <c r="AL30" s="57"/>
      <c r="AM30" s="57"/>
      <c r="AN30" s="21" t="str">
        <f t="shared" si="22"/>
        <v>weight</v>
      </c>
      <c r="AO30" s="31">
        <f t="shared" si="23"/>
        <v>1</v>
      </c>
      <c r="AP30" s="21">
        <f t="shared" si="9"/>
        <v>155.25</v>
      </c>
      <c r="AQ30" s="31">
        <f t="shared" si="24"/>
        <v>15525</v>
      </c>
      <c r="AR30" s="20"/>
      <c r="AS30" s="20"/>
      <c r="AT30" s="20"/>
    </row>
    <row r="31" spans="1:46" x14ac:dyDescent="0.35">
      <c r="B31" s="74" t="s">
        <v>29</v>
      </c>
      <c r="C31" s="32" t="s">
        <v>47</v>
      </c>
      <c r="D31" s="49" t="s">
        <v>109</v>
      </c>
      <c r="E31" s="49">
        <v>480</v>
      </c>
      <c r="F31" s="49">
        <v>14</v>
      </c>
      <c r="G31" s="49">
        <v>14</v>
      </c>
      <c r="H31" s="49">
        <v>16</v>
      </c>
      <c r="I31" s="49">
        <v>1</v>
      </c>
      <c r="J31" s="49">
        <v>1</v>
      </c>
      <c r="K31" s="49" t="b">
        <v>1</v>
      </c>
      <c r="L31" s="49">
        <v>1</v>
      </c>
      <c r="M31" s="49">
        <v>1</v>
      </c>
      <c r="N31" s="49">
        <f>IF(K31=TRUE,CEILING(F31/L31,1),CEILING((F31-I31)/L31,1)+1)</f>
        <v>14</v>
      </c>
      <c r="O31" s="9">
        <f>IF(K31=TRUE,CEILING(G31/M31,1),CEILING((G31-J31)/M31,1)+1)</f>
        <v>14</v>
      </c>
      <c r="P31" s="49" t="b">
        <v>0</v>
      </c>
      <c r="Q31" s="49"/>
      <c r="R31" s="49"/>
      <c r="S31" s="49"/>
      <c r="T31" s="49"/>
      <c r="U31" s="49">
        <f>IF(P31,CEILING((N31-Q31)/S31,1)+1,N31)</f>
        <v>14</v>
      </c>
      <c r="V31" s="49">
        <f>IF(P31,CEILING((O31-R31)/T31,1)+1,O31)</f>
        <v>14</v>
      </c>
      <c r="W31" s="49">
        <f>E31*N31*O31*H31*I31*J31</f>
        <v>1505280</v>
      </c>
      <c r="X31" s="10">
        <f>CEILING(E31*L31*M31, 16)*CEILING(F31/L31, 1)*CEILING(G31/M31,1)*$C$1/1024</f>
        <v>91.875</v>
      </c>
      <c r="Y31" s="10">
        <f t="shared" si="59"/>
        <v>13.125</v>
      </c>
      <c r="Z31" s="10">
        <f>U31*V31*CEILING(H31, 16)*$C$1/1024</f>
        <v>3.0625</v>
      </c>
      <c r="AA31" s="10">
        <f>CEILING(E31*L31*M31,16)*CEILING(I31/L31,1)*CEILING(J31/M31,1)*H31*$C$2*(1-$F$2)/1024</f>
        <v>7.5</v>
      </c>
      <c r="AB31" s="10">
        <f t="shared" si="38"/>
        <v>15</v>
      </c>
      <c r="AC31" s="10" t="b">
        <f t="shared" si="28"/>
        <v>0</v>
      </c>
      <c r="AD31" s="56">
        <f>FLOOR(($AI$9-SUM(AA29:AA35))/(X29+X33+X34), 1)</f>
        <v>31</v>
      </c>
      <c r="AE31" s="55">
        <f t="shared" si="60"/>
        <v>0.68181818181818177</v>
      </c>
      <c r="AF31" s="56">
        <f t="shared" si="53"/>
        <v>69</v>
      </c>
      <c r="AG31" s="55">
        <f>X31</f>
        <v>91.875</v>
      </c>
      <c r="AH31" s="56">
        <f t="shared" si="18"/>
        <v>3675</v>
      </c>
      <c r="AI31" s="55">
        <f t="shared" si="62"/>
        <v>3.0625</v>
      </c>
      <c r="AJ31" s="56">
        <f t="shared" si="20"/>
        <v>123</v>
      </c>
      <c r="AK31" s="57"/>
      <c r="AL31" s="57"/>
      <c r="AM31" s="57"/>
      <c r="AN31" s="21" t="str">
        <f t="shared" si="22"/>
        <v>weight</v>
      </c>
      <c r="AO31" s="31">
        <f t="shared" si="23"/>
        <v>1</v>
      </c>
      <c r="AP31" s="21">
        <f t="shared" si="9"/>
        <v>102.4375</v>
      </c>
      <c r="AQ31" s="31">
        <f t="shared" si="24"/>
        <v>10244</v>
      </c>
      <c r="AR31" s="20"/>
      <c r="AS31" s="20"/>
      <c r="AT31" s="20"/>
    </row>
    <row r="32" spans="1:46" s="6" customFormat="1" x14ac:dyDescent="0.35">
      <c r="A32" s="16"/>
      <c r="B32" s="74" t="s">
        <v>29</v>
      </c>
      <c r="C32" s="32" t="s">
        <v>123</v>
      </c>
      <c r="D32" s="49" t="s">
        <v>109</v>
      </c>
      <c r="E32" s="49">
        <f>E31</f>
        <v>480</v>
      </c>
      <c r="F32" s="49">
        <f>F31</f>
        <v>14</v>
      </c>
      <c r="G32" s="49">
        <f>G31</f>
        <v>14</v>
      </c>
      <c r="H32" s="49">
        <f>SUM(H29:H31)</f>
        <v>304</v>
      </c>
      <c r="I32" s="49">
        <f t="shared" ref="I32:P32" si="63">I31</f>
        <v>1</v>
      </c>
      <c r="J32" s="49">
        <f t="shared" si="63"/>
        <v>1</v>
      </c>
      <c r="K32" s="49" t="b">
        <f t="shared" si="63"/>
        <v>1</v>
      </c>
      <c r="L32" s="49">
        <f t="shared" si="63"/>
        <v>1</v>
      </c>
      <c r="M32" s="49">
        <f t="shared" si="63"/>
        <v>1</v>
      </c>
      <c r="N32" s="49">
        <f t="shared" si="63"/>
        <v>14</v>
      </c>
      <c r="O32" s="49">
        <f t="shared" si="63"/>
        <v>14</v>
      </c>
      <c r="P32" s="49" t="b">
        <f t="shared" si="63"/>
        <v>0</v>
      </c>
      <c r="Q32" s="49"/>
      <c r="R32" s="49"/>
      <c r="S32" s="49"/>
      <c r="T32" s="49"/>
      <c r="U32" s="49">
        <f t="shared" ref="U32" si="64">IF(P32,CEILING((N32-Q32)/S32,1)+1,N32)</f>
        <v>14</v>
      </c>
      <c r="V32" s="49">
        <f t="shared" ref="V32" si="65">IF(P32,CEILING((O32-R32)/T32,1)+1,O32)</f>
        <v>14</v>
      </c>
      <c r="W32" s="49"/>
      <c r="X32" s="10">
        <f t="shared" ref="X32" si="66">CEILING(E32*L32*M32, 16)*CEILING(F32/L32, 1)*CEILING(G32/M32,1)*$C$1/1024</f>
        <v>91.875</v>
      </c>
      <c r="Y32" s="10">
        <f t="shared" si="59"/>
        <v>13.125</v>
      </c>
      <c r="Z32" s="10">
        <f t="shared" ref="Z32" si="67">U32*V32*CEILING(H32, 16)*$C$1/1024</f>
        <v>58.1875</v>
      </c>
      <c r="AA32" s="10">
        <f t="shared" ref="AA32" si="68">CEILING(E32*L32*M32,16)*CEILING(I32/L32,1)*CEILING(J32/M32,1)*H32*$C$2*(1-$F$2)/1024</f>
        <v>142.5</v>
      </c>
      <c r="AB32" s="10">
        <f t="shared" si="38"/>
        <v>15</v>
      </c>
      <c r="AC32" s="10" t="b">
        <f t="shared" si="28"/>
        <v>0</v>
      </c>
      <c r="AD32" s="56">
        <f>FLOOR(($AI$9-SUM(AA29:AA35))/(X29+X33+X34), 1)</f>
        <v>31</v>
      </c>
      <c r="AE32" s="55">
        <f t="shared" si="60"/>
        <v>12.954545454545455</v>
      </c>
      <c r="AF32" s="56">
        <f t="shared" si="53"/>
        <v>1296</v>
      </c>
      <c r="AG32" s="55">
        <f>X32</f>
        <v>91.875</v>
      </c>
      <c r="AH32" s="56">
        <f t="shared" si="18"/>
        <v>3675</v>
      </c>
      <c r="AI32" s="55">
        <f t="shared" si="62"/>
        <v>58.1875</v>
      </c>
      <c r="AJ32" s="56">
        <f t="shared" si="20"/>
        <v>2328</v>
      </c>
      <c r="AK32" s="57">
        <f t="shared" ref="AK32" si="69">CEILING(E32*L32*M32, 16)*CEILING(IF(K32, F32, F32-I32+1)/L32, 1)*CEILING(IF(K32, G32, G32-J32+1)/M32,1)*CEILING(H32*IF(D32="fc", $C$9, 1), 16)*I32*J32/L32/M32/$C$4/IF(I32=3, IF(J32=3, 2.25, 1), 1)/IF(D32="fc", $C$9, 1)</f>
        <v>13965</v>
      </c>
      <c r="AL32" s="57">
        <f t="shared" ref="AL32" si="70">MAX(AF32, AH32,AJ32,AK32)</f>
        <v>13965</v>
      </c>
      <c r="AM32" s="57" t="str">
        <f t="shared" ref="AM32" si="71">IF(AL32=AK32,"MAC",IF(AL32=AJ32,"CVSRAM-W",IF(AL32=AF32,"DRAM","CVSRAM-R")))</f>
        <v>MAC</v>
      </c>
      <c r="AN32" s="21" t="str">
        <f t="shared" si="22"/>
        <v>weight</v>
      </c>
      <c r="AO32" s="31">
        <f t="shared" si="23"/>
        <v>1</v>
      </c>
      <c r="AP32" s="21">
        <f t="shared" si="9"/>
        <v>292.5625</v>
      </c>
      <c r="AQ32" s="31">
        <f t="shared" si="24"/>
        <v>29257</v>
      </c>
      <c r="AR32" s="20">
        <f>CEILING(E32*L32*M32, 16)*CEILING(IF(K32, F32, F32-I32+1)/L32, 1)*CEILING(IF(K32, G32, G32-J32+1)/M32,1)*CEILING(H32*IF(D32="fc", $C$9, 1), 16)*I32*J32/L32/M32/$C$4/IF(I32=3, IF(J32=3, 2.25, 1), 1)/IF(D32="fc", $C$9, 1)</f>
        <v>13965</v>
      </c>
      <c r="AS32" s="20">
        <f t="shared" ref="AS32" si="72">MAX(AQ32:AR32)</f>
        <v>29257</v>
      </c>
      <c r="AT32" s="20" t="str">
        <f t="shared" ref="AT32" si="73">IF(AS32=AR32, "MAC", "DRAM")</f>
        <v>DRAM</v>
      </c>
    </row>
    <row r="33" spans="1:46" x14ac:dyDescent="0.35">
      <c r="B33" s="74" t="s">
        <v>29</v>
      </c>
      <c r="C33" s="32" t="s">
        <v>46</v>
      </c>
      <c r="D33" s="49" t="s">
        <v>109</v>
      </c>
      <c r="E33" s="49">
        <v>96</v>
      </c>
      <c r="F33" s="49">
        <v>14</v>
      </c>
      <c r="G33" s="49">
        <v>14</v>
      </c>
      <c r="H33" s="49">
        <v>208</v>
      </c>
      <c r="I33" s="49">
        <v>3</v>
      </c>
      <c r="J33" s="49">
        <v>3</v>
      </c>
      <c r="K33" s="49" t="b">
        <v>1</v>
      </c>
      <c r="L33" s="49">
        <v>1</v>
      </c>
      <c r="M33" s="49">
        <v>1</v>
      </c>
      <c r="N33" s="49">
        <f t="shared" si="12"/>
        <v>14</v>
      </c>
      <c r="O33" s="9">
        <f t="shared" si="13"/>
        <v>14</v>
      </c>
      <c r="P33" s="49" t="b">
        <v>0</v>
      </c>
      <c r="Q33" s="49"/>
      <c r="R33" s="49"/>
      <c r="S33" s="49"/>
      <c r="T33" s="49"/>
      <c r="U33" s="49">
        <f t="shared" si="31"/>
        <v>14</v>
      </c>
      <c r="V33" s="49">
        <f t="shared" si="30"/>
        <v>14</v>
      </c>
      <c r="W33" s="49">
        <f>E33*N33*O33*H33*I33*J33</f>
        <v>35223552</v>
      </c>
      <c r="X33" s="10">
        <f t="shared" si="0"/>
        <v>18.375</v>
      </c>
      <c r="Y33" s="10">
        <f t="shared" si="59"/>
        <v>5.25</v>
      </c>
      <c r="Z33" s="10">
        <f t="shared" si="1"/>
        <v>39.8125</v>
      </c>
      <c r="AA33" s="10">
        <f t="shared" si="37"/>
        <v>175.5</v>
      </c>
      <c r="AB33" s="10">
        <f t="shared" si="38"/>
        <v>27</v>
      </c>
      <c r="AC33" s="10" t="b">
        <f t="shared" si="28"/>
        <v>1</v>
      </c>
      <c r="AD33" s="56">
        <f>FLOOR(($AI$9-SUM(AA29:AA35))/(X29+X33+X34), 1)</f>
        <v>31</v>
      </c>
      <c r="AE33" s="55">
        <f t="shared" si="60"/>
        <v>15.954545454545455</v>
      </c>
      <c r="AF33" s="56">
        <f>CEILING(AE33/$C$8*$C$5, 1)</f>
        <v>1596</v>
      </c>
      <c r="AG33" s="55">
        <f>X33+AA33</f>
        <v>193.875</v>
      </c>
      <c r="AH33" s="56">
        <f>CEILING(AG33/$C$6*$C$5, 1)</f>
        <v>7755</v>
      </c>
      <c r="AI33" s="55">
        <f t="shared" si="62"/>
        <v>39.8125</v>
      </c>
      <c r="AJ33" s="56">
        <f>CEILING(AI33/$C$7*$C$5, 1)</f>
        <v>1593</v>
      </c>
      <c r="AK33" s="57">
        <f>CEILING(E33*L33*M33, 16)*CEILING(IF(K33, F33, F33-I33+1)/L33, 1)*CEILING(IF(K33, G33, G33-J33+1)/M33,1)*CEILING(H33*IF(D33="fc", $C$9, 1), 16)*I33*J33/L33/M33/$C$4/IF(I33=3, IF(J33=3, 2.25, 1), 1)/IF(D33="fc", $C$9, 1)</f>
        <v>7644</v>
      </c>
      <c r="AL33" s="57">
        <f>MAX(AF33, AH33,AJ33,AK33)</f>
        <v>7755</v>
      </c>
      <c r="AM33" s="57" t="str">
        <f>IF(AL33=AK33,"MAC",IF(AL33=AJ33,"CVSRAM-W",IF(AL33=AF33,"DRAM","CVSRAM-R")))</f>
        <v>CVSRAM-R</v>
      </c>
      <c r="AN33" s="21" t="str">
        <f t="shared" si="22"/>
        <v>feature</v>
      </c>
      <c r="AO33" s="31">
        <f t="shared" si="23"/>
        <v>1</v>
      </c>
      <c r="AP33" s="21">
        <f t="shared" si="9"/>
        <v>233.6875</v>
      </c>
      <c r="AQ33" s="31">
        <f>CEILING(AP33/$C$8*$C$5, 1)</f>
        <v>23369</v>
      </c>
      <c r="AR33" s="20">
        <f>CEILING(E33*L33*M33, 16)*CEILING(IF(K33, F33, F33-I33+1)/L33, 1)*CEILING(IF(K33, G33, G33-J33+1)/M33,1)*CEILING(H33*IF(D33="fc", $C$9, 1), 16)*I33*J33/L33/M33/$C$4/IF(I33=3, IF(J33=3, 2.25, 1), 1)/IF(D33="fc", $C$9, 1)</f>
        <v>7644</v>
      </c>
      <c r="AS33" s="20">
        <f>MAX(AQ33:AR33)</f>
        <v>23369</v>
      </c>
      <c r="AT33" s="20" t="str">
        <f>IF(AS33=AR33, "MAC", "DRAM")</f>
        <v>DRAM</v>
      </c>
    </row>
    <row r="34" spans="1:46" x14ac:dyDescent="0.35">
      <c r="B34" s="74" t="s">
        <v>29</v>
      </c>
      <c r="C34" s="32" t="s">
        <v>48</v>
      </c>
      <c r="D34" s="49" t="s">
        <v>109</v>
      </c>
      <c r="E34" s="49">
        <v>16</v>
      </c>
      <c r="F34" s="49">
        <v>14</v>
      </c>
      <c r="G34" s="49">
        <v>14</v>
      </c>
      <c r="H34" s="49">
        <v>48</v>
      </c>
      <c r="I34" s="49">
        <v>5</v>
      </c>
      <c r="J34" s="49">
        <v>5</v>
      </c>
      <c r="K34" s="49" t="b">
        <v>1</v>
      </c>
      <c r="L34" s="49">
        <v>1</v>
      </c>
      <c r="M34" s="49">
        <v>1</v>
      </c>
      <c r="N34" s="49">
        <f t="shared" si="12"/>
        <v>14</v>
      </c>
      <c r="O34" s="9">
        <f t="shared" si="13"/>
        <v>14</v>
      </c>
      <c r="P34" s="49" t="b">
        <v>0</v>
      </c>
      <c r="Q34" s="49"/>
      <c r="R34" s="49"/>
      <c r="S34" s="49"/>
      <c r="T34" s="49"/>
      <c r="U34" s="49">
        <f t="shared" si="31"/>
        <v>14</v>
      </c>
      <c r="V34" s="49">
        <f t="shared" si="30"/>
        <v>14</v>
      </c>
      <c r="W34" s="49">
        <f>E34*N34*O34*H34*I34*J34</f>
        <v>3763200</v>
      </c>
      <c r="X34" s="10">
        <f t="shared" si="0"/>
        <v>3.0625</v>
      </c>
      <c r="Y34" s="10">
        <f t="shared" si="59"/>
        <v>1.3125</v>
      </c>
      <c r="Z34" s="10">
        <f t="shared" si="1"/>
        <v>9.1875</v>
      </c>
      <c r="AA34" s="10">
        <f t="shared" si="37"/>
        <v>18.75</v>
      </c>
      <c r="AB34" s="10">
        <f t="shared" si="38"/>
        <v>12.5</v>
      </c>
      <c r="AC34" s="10" t="b">
        <f t="shared" si="28"/>
        <v>0</v>
      </c>
      <c r="AD34" s="56">
        <f>FLOOR(($AI$9-SUM(AA29:AA35))/(X29+X33+X34), 1)</f>
        <v>31</v>
      </c>
      <c r="AE34" s="55">
        <f t="shared" si="60"/>
        <v>1.7045454545454546</v>
      </c>
      <c r="AF34" s="56">
        <f t="shared" ref="AF34:AF40" si="74">CEILING(AE34/$C$8*$C$5, 1)</f>
        <v>171</v>
      </c>
      <c r="AG34" s="55">
        <f t="shared" ref="AG34:AG35" si="75">X34+AA34</f>
        <v>21.8125</v>
      </c>
      <c r="AH34" s="56">
        <f t="shared" si="18"/>
        <v>873</v>
      </c>
      <c r="AI34" s="55">
        <f t="shared" si="62"/>
        <v>9.1875</v>
      </c>
      <c r="AJ34" s="56">
        <f t="shared" si="20"/>
        <v>368</v>
      </c>
      <c r="AK34" s="57">
        <f t="shared" ref="AK34:AK35" si="76">CEILING(E34*L34*M34, 16)*CEILING(IF(K34, F34, F34-I34+1)/L34, 1)*CEILING(IF(K34, G34, G34-J34+1)/M34,1)*CEILING(H34*IF(D34="fc", $C$9, 1), 16)*I34*J34/L34/M34/$C$4/IF(I34=3, IF(J34=3, 2.25, 1), 1)/IF(D34="fc", $C$9, 1)</f>
        <v>1837.5</v>
      </c>
      <c r="AL34" s="57">
        <f t="shared" ref="AL34:AL35" si="77">MAX(AF34, AH34,AJ34,AK34)</f>
        <v>1837.5</v>
      </c>
      <c r="AM34" s="57" t="str">
        <f t="shared" ref="AM34:AM35" si="78">IF(AL34=AK34,"MAC",IF(AL34=AJ34,"CVSRAM-W",IF(AL34=AF34,"DRAM","CVSRAM-R")))</f>
        <v>MAC</v>
      </c>
      <c r="AN34" s="21" t="str">
        <f t="shared" si="22"/>
        <v>feature</v>
      </c>
      <c r="AO34" s="31">
        <f t="shared" si="23"/>
        <v>1</v>
      </c>
      <c r="AP34" s="21">
        <f t="shared" si="9"/>
        <v>31</v>
      </c>
      <c r="AQ34" s="31">
        <f t="shared" si="24"/>
        <v>3100</v>
      </c>
      <c r="AR34" s="20">
        <f>CEILING(E34*L34*M34, 16)*CEILING(IF(K34, F34, F34-I34+1)/L34, 1)*CEILING(IF(K34, G34, G34-J34+1)/M34,1)*CEILING(H34*IF(D34="fc", $C$9, 1), 16)*I34*J34/L34/M34/$C$4/IF(I34=3, IF(J34=3, 2.25, 1), 1)/IF(D34="fc", $C$9, 1)</f>
        <v>1837.5</v>
      </c>
      <c r="AS34" s="20">
        <f t="shared" ref="AS34:AS35" si="79">MAX(AQ34:AR34)</f>
        <v>3100</v>
      </c>
      <c r="AT34" s="20" t="str">
        <f t="shared" ref="AT34:AT35" si="80">IF(AS34=AR34, "MAC", "DRAM")</f>
        <v>DRAM</v>
      </c>
    </row>
    <row r="35" spans="1:46" s="83" customFormat="1" x14ac:dyDescent="0.35">
      <c r="A35"/>
      <c r="B35" s="61" t="s">
        <v>29</v>
      </c>
      <c r="C35" s="82" t="s">
        <v>49</v>
      </c>
      <c r="D35" s="13" t="s">
        <v>109</v>
      </c>
      <c r="E35" s="13">
        <v>480</v>
      </c>
      <c r="F35" s="13">
        <v>14</v>
      </c>
      <c r="G35" s="13">
        <v>14</v>
      </c>
      <c r="H35" s="13">
        <v>64</v>
      </c>
      <c r="I35" s="13">
        <v>1</v>
      </c>
      <c r="J35" s="13">
        <v>1</v>
      </c>
      <c r="K35" s="13" t="b">
        <v>1</v>
      </c>
      <c r="L35" s="13">
        <v>1</v>
      </c>
      <c r="M35" s="13">
        <v>1</v>
      </c>
      <c r="N35" s="13">
        <f t="shared" si="12"/>
        <v>14</v>
      </c>
      <c r="O35" s="14">
        <f t="shared" si="13"/>
        <v>14</v>
      </c>
      <c r="P35" s="13" t="b">
        <v>0</v>
      </c>
      <c r="Q35" s="13"/>
      <c r="R35" s="13"/>
      <c r="S35" s="13"/>
      <c r="T35" s="13"/>
      <c r="U35" s="13">
        <f t="shared" si="31"/>
        <v>14</v>
      </c>
      <c r="V35" s="13">
        <f t="shared" si="30"/>
        <v>14</v>
      </c>
      <c r="W35" s="13">
        <f>E35*N35*O35*H35*I35*J35</f>
        <v>6021120</v>
      </c>
      <c r="X35" s="15">
        <f t="shared" si="0"/>
        <v>91.875</v>
      </c>
      <c r="Y35" s="15">
        <f t="shared" si="59"/>
        <v>13.125</v>
      </c>
      <c r="Z35" s="15">
        <f t="shared" si="1"/>
        <v>12.25</v>
      </c>
      <c r="AA35" s="15">
        <f t="shared" si="37"/>
        <v>30</v>
      </c>
      <c r="AB35" s="15">
        <f t="shared" si="38"/>
        <v>15</v>
      </c>
      <c r="AC35" s="15" t="b">
        <f t="shared" si="28"/>
        <v>0</v>
      </c>
      <c r="AD35" s="63">
        <f>FLOOR(($AI$9-SUM(AA29:AA35))/(X29+X33+X34), 1)</f>
        <v>31</v>
      </c>
      <c r="AE35" s="55">
        <f t="shared" si="60"/>
        <v>2.7272727272727271</v>
      </c>
      <c r="AF35" s="56">
        <f t="shared" si="74"/>
        <v>273</v>
      </c>
      <c r="AG35" s="55">
        <f t="shared" si="75"/>
        <v>121.875</v>
      </c>
      <c r="AH35" s="56">
        <f t="shared" si="18"/>
        <v>4875</v>
      </c>
      <c r="AI35" s="55">
        <f t="shared" si="62"/>
        <v>12.25</v>
      </c>
      <c r="AJ35" s="56">
        <f t="shared" si="20"/>
        <v>490</v>
      </c>
      <c r="AK35" s="56">
        <f t="shared" si="76"/>
        <v>2940</v>
      </c>
      <c r="AL35" s="56">
        <f t="shared" si="77"/>
        <v>4875</v>
      </c>
      <c r="AM35" s="56" t="str">
        <f t="shared" si="78"/>
        <v>CVSRAM-R</v>
      </c>
      <c r="AN35" s="26" t="str">
        <f t="shared" si="22"/>
        <v>weight</v>
      </c>
      <c r="AO35" s="25">
        <f t="shared" si="23"/>
        <v>1</v>
      </c>
      <c r="AP35" s="26">
        <f t="shared" si="9"/>
        <v>134.125</v>
      </c>
      <c r="AQ35" s="25">
        <f t="shared" si="24"/>
        <v>13413</v>
      </c>
      <c r="AR35" s="25">
        <f>CEILING(E35*L35*M35, 16)*CEILING(IF(K35, F35, F35-I35+1)/L35, 1)*CEILING(IF(K35, G35, G35-J35+1)/M35,1)*CEILING(H35*IF(D35="fc", $C$9, 1), 16)*I35*J35/L35/M35/$C$4/IF(I35=3, IF(J35=3, 2.25, 1), 1)/IF(D35="fc", $C$9, 1)</f>
        <v>2940</v>
      </c>
      <c r="AS35" s="25">
        <f t="shared" si="79"/>
        <v>13413</v>
      </c>
      <c r="AT35" s="25" t="str">
        <f t="shared" si="80"/>
        <v>DRAM</v>
      </c>
    </row>
    <row r="36" spans="1:46" s="13" customFormat="1" x14ac:dyDescent="0.35">
      <c r="A36" s="11"/>
      <c r="B36" s="61"/>
      <c r="C36" s="82"/>
      <c r="O36" s="14"/>
      <c r="X36" s="15"/>
      <c r="Y36" s="15"/>
      <c r="Z36" s="15"/>
      <c r="AA36" s="15"/>
      <c r="AB36" s="15"/>
      <c r="AC36" s="15"/>
      <c r="AD36" s="63"/>
      <c r="AE36" s="62">
        <f>X29+Z29+Z33+Z34+Z35+SUM(AA32:AA35)/MIN($AD$13:$AD$83)</f>
        <v>223.21590909090909</v>
      </c>
      <c r="AF36" s="63">
        <f t="shared" si="74"/>
        <v>22322</v>
      </c>
      <c r="AG36" s="62"/>
      <c r="AH36" s="63"/>
      <c r="AI36" s="62"/>
      <c r="AJ36" s="63"/>
      <c r="AK36" s="63"/>
      <c r="AL36" s="63">
        <f>MAX(0, AF36-AL32-AL33-AL34-AL35)</f>
        <v>0</v>
      </c>
      <c r="AM36" s="63" t="str">
        <f>IF(AL36&gt;0, "DRAM", "NONE")</f>
        <v>NONE</v>
      </c>
      <c r="AN36" s="26"/>
      <c r="AO36" s="25">
        <f t="shared" si="23"/>
        <v>1</v>
      </c>
      <c r="AP36" s="26"/>
      <c r="AQ36" s="25"/>
      <c r="AR36" s="25"/>
      <c r="AS36" s="25"/>
      <c r="AT36" s="25"/>
    </row>
    <row r="37" spans="1:46" x14ac:dyDescent="0.35">
      <c r="B37" s="74" t="s">
        <v>29</v>
      </c>
      <c r="C37" s="32" t="s">
        <v>50</v>
      </c>
      <c r="D37" s="49" t="s">
        <v>109</v>
      </c>
      <c r="E37" s="49">
        <v>512</v>
      </c>
      <c r="F37" s="49">
        <v>14</v>
      </c>
      <c r="G37" s="49">
        <v>14</v>
      </c>
      <c r="H37" s="49">
        <v>160</v>
      </c>
      <c r="I37" s="49">
        <v>1</v>
      </c>
      <c r="J37" s="49">
        <v>1</v>
      </c>
      <c r="K37" s="49" t="b">
        <v>1</v>
      </c>
      <c r="L37" s="49">
        <v>1</v>
      </c>
      <c r="M37" s="49">
        <v>1</v>
      </c>
      <c r="N37" s="49">
        <f t="shared" si="12"/>
        <v>14</v>
      </c>
      <c r="O37" s="9">
        <f t="shared" si="13"/>
        <v>14</v>
      </c>
      <c r="P37" s="49" t="b">
        <v>0</v>
      </c>
      <c r="Q37" s="49"/>
      <c r="R37" s="49"/>
      <c r="S37" s="49"/>
      <c r="T37" s="49"/>
      <c r="U37" s="49">
        <f t="shared" si="31"/>
        <v>14</v>
      </c>
      <c r="V37" s="49">
        <f t="shared" si="30"/>
        <v>14</v>
      </c>
      <c r="W37" s="49">
        <f>E37*N37*O37*H37*I37*J37</f>
        <v>16056320</v>
      </c>
      <c r="X37" s="10">
        <f t="shared" si="0"/>
        <v>98</v>
      </c>
      <c r="Y37" s="10">
        <f t="shared" ref="Y37:Y43" si="81">CEILING(E37*L37*M37, 16)*MIN(I37+1, CEILING(F37/L37, 1))*CEILING(G37/M37,1)*$C$1/1024</f>
        <v>14</v>
      </c>
      <c r="Z37" s="10">
        <f t="shared" si="1"/>
        <v>30.625</v>
      </c>
      <c r="AA37" s="10">
        <f t="shared" si="37"/>
        <v>80</v>
      </c>
      <c r="AB37" s="10">
        <f t="shared" si="38"/>
        <v>16</v>
      </c>
      <c r="AC37" s="10" t="b">
        <f t="shared" si="28"/>
        <v>0</v>
      </c>
      <c r="AD37" s="56">
        <f>FLOOR(($AI$9-SUM(AA37:AA43))/(X37+X41+X42), 1)</f>
        <v>27</v>
      </c>
      <c r="AE37" s="55">
        <f t="shared" ref="AE37:AE43" si="82">AA37/MIN($AD$13:$AD$83)</f>
        <v>7.2727272727272725</v>
      </c>
      <c r="AF37" s="56">
        <f t="shared" si="74"/>
        <v>728</v>
      </c>
      <c r="AG37" s="55">
        <f t="shared" ref="AG37:AG38" si="83">X37</f>
        <v>98</v>
      </c>
      <c r="AH37" s="56">
        <f t="shared" si="18"/>
        <v>3920</v>
      </c>
      <c r="AI37" s="55">
        <f t="shared" ref="AI37:AI43" si="84">Z37</f>
        <v>30.625</v>
      </c>
      <c r="AJ37" s="56">
        <f t="shared" si="20"/>
        <v>1225</v>
      </c>
      <c r="AK37" s="57"/>
      <c r="AL37" s="57"/>
      <c r="AM37" s="57"/>
      <c r="AN37" s="21" t="str">
        <f t="shared" si="22"/>
        <v>weight</v>
      </c>
      <c r="AO37" s="31">
        <f t="shared" si="23"/>
        <v>1</v>
      </c>
      <c r="AP37" s="21">
        <f t="shared" si="9"/>
        <v>208.625</v>
      </c>
      <c r="AQ37" s="31">
        <f t="shared" si="24"/>
        <v>20863</v>
      </c>
      <c r="AR37" s="20"/>
      <c r="AS37" s="20"/>
      <c r="AT37" s="20"/>
    </row>
    <row r="38" spans="1:46" x14ac:dyDescent="0.35">
      <c r="B38" s="74" t="s">
        <v>29</v>
      </c>
      <c r="C38" s="32" t="s">
        <v>51</v>
      </c>
      <c r="D38" s="49" t="s">
        <v>109</v>
      </c>
      <c r="E38" s="49">
        <v>512</v>
      </c>
      <c r="F38" s="49">
        <v>14</v>
      </c>
      <c r="G38" s="49">
        <v>14</v>
      </c>
      <c r="H38" s="49">
        <v>112</v>
      </c>
      <c r="I38" s="49">
        <v>1</v>
      </c>
      <c r="J38" s="49">
        <v>1</v>
      </c>
      <c r="K38" s="49" t="b">
        <v>1</v>
      </c>
      <c r="L38" s="49">
        <v>1</v>
      </c>
      <c r="M38" s="49">
        <v>1</v>
      </c>
      <c r="N38" s="49">
        <f t="shared" si="12"/>
        <v>14</v>
      </c>
      <c r="O38" s="9">
        <f t="shared" si="13"/>
        <v>14</v>
      </c>
      <c r="P38" s="49" t="b">
        <v>0</v>
      </c>
      <c r="Q38" s="49"/>
      <c r="R38" s="49"/>
      <c r="S38" s="49"/>
      <c r="T38" s="49"/>
      <c r="U38" s="49">
        <f t="shared" si="31"/>
        <v>14</v>
      </c>
      <c r="V38" s="49">
        <f t="shared" si="30"/>
        <v>14</v>
      </c>
      <c r="W38" s="49">
        <f>E38*N38*O38*H38*I38*J38</f>
        <v>11239424</v>
      </c>
      <c r="X38" s="10">
        <f t="shared" si="0"/>
        <v>98</v>
      </c>
      <c r="Y38" s="10">
        <f t="shared" si="81"/>
        <v>14</v>
      </c>
      <c r="Z38" s="10">
        <f t="shared" si="1"/>
        <v>21.4375</v>
      </c>
      <c r="AA38" s="10">
        <f t="shared" si="37"/>
        <v>56</v>
      </c>
      <c r="AB38" s="10">
        <f t="shared" si="38"/>
        <v>16</v>
      </c>
      <c r="AC38" s="10" t="b">
        <f t="shared" si="28"/>
        <v>0</v>
      </c>
      <c r="AD38" s="56">
        <f>FLOOR(($AI$9-SUM(AA37:AA43))/(X37+X41+X42), 1)</f>
        <v>27</v>
      </c>
      <c r="AE38" s="55">
        <f t="shared" si="82"/>
        <v>5.0909090909090908</v>
      </c>
      <c r="AF38" s="56">
        <f t="shared" si="74"/>
        <v>510</v>
      </c>
      <c r="AG38" s="55">
        <f t="shared" si="83"/>
        <v>98</v>
      </c>
      <c r="AH38" s="56">
        <f t="shared" si="18"/>
        <v>3920</v>
      </c>
      <c r="AI38" s="55">
        <f t="shared" si="84"/>
        <v>21.4375</v>
      </c>
      <c r="AJ38" s="56">
        <f t="shared" si="20"/>
        <v>858</v>
      </c>
      <c r="AK38" s="57"/>
      <c r="AL38" s="57"/>
      <c r="AM38" s="57"/>
      <c r="AN38" s="21" t="str">
        <f t="shared" si="22"/>
        <v>weight</v>
      </c>
      <c r="AO38" s="31">
        <f t="shared" si="23"/>
        <v>1</v>
      </c>
      <c r="AP38" s="21">
        <f t="shared" si="9"/>
        <v>175.4375</v>
      </c>
      <c r="AQ38" s="31">
        <f t="shared" si="24"/>
        <v>17544</v>
      </c>
      <c r="AR38" s="20"/>
      <c r="AS38" s="20"/>
      <c r="AT38" s="20"/>
    </row>
    <row r="39" spans="1:46" x14ac:dyDescent="0.35">
      <c r="B39" s="74" t="s">
        <v>29</v>
      </c>
      <c r="C39" s="32" t="s">
        <v>53</v>
      </c>
      <c r="D39" s="49" t="s">
        <v>109</v>
      </c>
      <c r="E39" s="49">
        <v>512</v>
      </c>
      <c r="F39" s="49">
        <v>14</v>
      </c>
      <c r="G39" s="49">
        <v>14</v>
      </c>
      <c r="H39" s="49">
        <v>24</v>
      </c>
      <c r="I39" s="49">
        <v>1</v>
      </c>
      <c r="J39" s="49">
        <v>1</v>
      </c>
      <c r="K39" s="49" t="b">
        <v>1</v>
      </c>
      <c r="L39" s="49">
        <v>1</v>
      </c>
      <c r="M39" s="49">
        <v>1</v>
      </c>
      <c r="N39" s="49">
        <f>IF(K39=TRUE,CEILING(F39/L39,1),CEILING((F39-I39)/L39,1)+1)</f>
        <v>14</v>
      </c>
      <c r="O39" s="9">
        <f>IF(K39=TRUE,CEILING(G39/M39,1),CEILING((G39-J39)/M39,1)+1)</f>
        <v>14</v>
      </c>
      <c r="P39" s="49" t="b">
        <v>0</v>
      </c>
      <c r="Q39" s="49"/>
      <c r="R39" s="49"/>
      <c r="S39" s="49"/>
      <c r="T39" s="49"/>
      <c r="U39" s="49">
        <f>IF(P39,CEILING((N39-Q39)/S39,1)+1,N39)</f>
        <v>14</v>
      </c>
      <c r="V39" s="49">
        <f>IF(P39,CEILING((O39-R39)/T39,1)+1,O39)</f>
        <v>14</v>
      </c>
      <c r="W39" s="49">
        <f>E39*N39*O39*H39*I39*J39</f>
        <v>2408448</v>
      </c>
      <c r="X39" s="10">
        <f>CEILING(E39*L39*M39, 16)*CEILING(F39/L39, 1)*CEILING(G39/M39,1)*$C$1/1024</f>
        <v>98</v>
      </c>
      <c r="Y39" s="10">
        <f t="shared" si="81"/>
        <v>14</v>
      </c>
      <c r="Z39" s="10">
        <f>U39*V39*CEILING(H39, 16)*$C$1/1024</f>
        <v>6.125</v>
      </c>
      <c r="AA39" s="10">
        <f>CEILING(E39*L39*M39,16)*CEILING(I39/L39,1)*CEILING(J39/M39,1)*H39*$C$2*(1-$F$2)/1024</f>
        <v>12</v>
      </c>
      <c r="AB39" s="10">
        <f t="shared" si="38"/>
        <v>16</v>
      </c>
      <c r="AC39" s="10" t="b">
        <f t="shared" si="28"/>
        <v>0</v>
      </c>
      <c r="AD39" s="56">
        <f>FLOOR(($AI$9-SUM(AA37:AA43))/(X37+X41+X42), 1)</f>
        <v>27</v>
      </c>
      <c r="AE39" s="55">
        <f t="shared" si="82"/>
        <v>1.0909090909090908</v>
      </c>
      <c r="AF39" s="56">
        <f t="shared" si="74"/>
        <v>110</v>
      </c>
      <c r="AG39" s="55">
        <f>X39</f>
        <v>98</v>
      </c>
      <c r="AH39" s="56">
        <f t="shared" si="18"/>
        <v>3920</v>
      </c>
      <c r="AI39" s="55">
        <f t="shared" si="84"/>
        <v>6.125</v>
      </c>
      <c r="AJ39" s="56">
        <f t="shared" si="20"/>
        <v>245</v>
      </c>
      <c r="AK39" s="57"/>
      <c r="AL39" s="57"/>
      <c r="AM39" s="57"/>
      <c r="AN39" s="21" t="str">
        <f t="shared" si="22"/>
        <v>weight</v>
      </c>
      <c r="AO39" s="31">
        <f t="shared" si="23"/>
        <v>1</v>
      </c>
      <c r="AP39" s="21">
        <f t="shared" si="9"/>
        <v>116.125</v>
      </c>
      <c r="AQ39" s="31">
        <f t="shared" si="24"/>
        <v>11613</v>
      </c>
      <c r="AR39" s="20"/>
      <c r="AS39" s="20"/>
      <c r="AT39" s="20"/>
    </row>
    <row r="40" spans="1:46" s="6" customFormat="1" x14ac:dyDescent="0.35">
      <c r="A40" s="16"/>
      <c r="B40" s="74" t="s">
        <v>29</v>
      </c>
      <c r="C40" s="32" t="s">
        <v>124</v>
      </c>
      <c r="D40" s="49" t="s">
        <v>109</v>
      </c>
      <c r="E40" s="49">
        <f>E39</f>
        <v>512</v>
      </c>
      <c r="F40" s="49">
        <f>F39</f>
        <v>14</v>
      </c>
      <c r="G40" s="49">
        <f>G39</f>
        <v>14</v>
      </c>
      <c r="H40" s="49">
        <f>SUM(H37:H39)</f>
        <v>296</v>
      </c>
      <c r="I40" s="49">
        <f t="shared" ref="I40:P40" si="85">I39</f>
        <v>1</v>
      </c>
      <c r="J40" s="49">
        <f t="shared" si="85"/>
        <v>1</v>
      </c>
      <c r="K40" s="49" t="b">
        <f t="shared" si="85"/>
        <v>1</v>
      </c>
      <c r="L40" s="49">
        <f t="shared" si="85"/>
        <v>1</v>
      </c>
      <c r="M40" s="49">
        <f t="shared" si="85"/>
        <v>1</v>
      </c>
      <c r="N40" s="49">
        <f t="shared" si="85"/>
        <v>14</v>
      </c>
      <c r="O40" s="49">
        <f t="shared" si="85"/>
        <v>14</v>
      </c>
      <c r="P40" s="49" t="b">
        <f t="shared" si="85"/>
        <v>0</v>
      </c>
      <c r="Q40" s="49"/>
      <c r="R40" s="49"/>
      <c r="S40" s="49"/>
      <c r="T40" s="49"/>
      <c r="U40" s="49">
        <f t="shared" ref="U40" si="86">IF(P40,CEILING((N40-Q40)/S40,1)+1,N40)</f>
        <v>14</v>
      </c>
      <c r="V40" s="49">
        <f t="shared" ref="V40" si="87">IF(P40,CEILING((O40-R40)/T40,1)+1,O40)</f>
        <v>14</v>
      </c>
      <c r="W40" s="49"/>
      <c r="X40" s="10">
        <f t="shared" ref="X40" si="88">CEILING(E40*L40*M40, 16)*CEILING(F40/L40, 1)*CEILING(G40/M40,1)*$C$1/1024</f>
        <v>98</v>
      </c>
      <c r="Y40" s="10">
        <f t="shared" si="81"/>
        <v>14</v>
      </c>
      <c r="Z40" s="10">
        <f t="shared" ref="Z40" si="89">U40*V40*CEILING(H40, 16)*$C$1/1024</f>
        <v>58.1875</v>
      </c>
      <c r="AA40" s="10">
        <f t="shared" ref="AA40" si="90">CEILING(E40*L40*M40,16)*CEILING(I40/L40,1)*CEILING(J40/M40,1)*H40*$C$2*(1-$F$2)/1024</f>
        <v>148</v>
      </c>
      <c r="AB40" s="10">
        <f t="shared" si="38"/>
        <v>16</v>
      </c>
      <c r="AC40" s="10" t="b">
        <f t="shared" si="28"/>
        <v>0</v>
      </c>
      <c r="AD40" s="56">
        <f>FLOOR(($AI$9-SUM(AA37:AA43))/(X37+X41+X42), 1)</f>
        <v>27</v>
      </c>
      <c r="AE40" s="55">
        <f t="shared" si="82"/>
        <v>13.454545454545455</v>
      </c>
      <c r="AF40" s="56">
        <f t="shared" si="74"/>
        <v>1346</v>
      </c>
      <c r="AG40" s="55">
        <f>X40</f>
        <v>98</v>
      </c>
      <c r="AH40" s="56">
        <f t="shared" si="18"/>
        <v>3920</v>
      </c>
      <c r="AI40" s="55">
        <f t="shared" si="84"/>
        <v>58.1875</v>
      </c>
      <c r="AJ40" s="56">
        <f t="shared" si="20"/>
        <v>2328</v>
      </c>
      <c r="AK40" s="57">
        <f t="shared" ref="AK40" si="91">CEILING(E40*L40*M40, 16)*CEILING(IF(K40, F40, F40-I40+1)/L40, 1)*CEILING(IF(K40, G40, G40-J40+1)/M40,1)*CEILING(H40*IF(D40="fc", $C$9, 1), 16)*I40*J40/L40/M40/$C$4/IF(I40=3, IF(J40=3, 2.25, 1), 1)/IF(D40="fc", $C$9, 1)</f>
        <v>14896</v>
      </c>
      <c r="AL40" s="57">
        <f t="shared" ref="AL40" si="92">MAX(AF40, AH40,AJ40,AK40)</f>
        <v>14896</v>
      </c>
      <c r="AM40" s="57" t="str">
        <f t="shared" ref="AM40" si="93">IF(AL40=AK40,"MAC",IF(AL40=AJ40,"CVSRAM-W",IF(AL40=AF40,"DRAM","CVSRAM-R")))</f>
        <v>MAC</v>
      </c>
      <c r="AN40" s="21" t="str">
        <f t="shared" si="22"/>
        <v>weight</v>
      </c>
      <c r="AO40" s="31">
        <f t="shared" si="23"/>
        <v>1</v>
      </c>
      <c r="AP40" s="21">
        <f t="shared" si="9"/>
        <v>304.1875</v>
      </c>
      <c r="AQ40" s="31">
        <f t="shared" si="24"/>
        <v>30419</v>
      </c>
      <c r="AR40" s="20">
        <f>CEILING(E40*L40*M40, 16)*CEILING(IF(K40, F40, F40-I40+1)/L40, 1)*CEILING(IF(K40, G40, G40-J40+1)/M40,1)*CEILING(H40*IF(D40="fc", $C$9, 1), 16)*I40*J40/L40/M40/$C$4/IF(I40=3, IF(J40=3, 2.25, 1), 1)/IF(D40="fc", $C$9, 1)</f>
        <v>14896</v>
      </c>
      <c r="AS40" s="20">
        <f t="shared" ref="AS40" si="94">MAX(AQ40:AR40)</f>
        <v>30419</v>
      </c>
      <c r="AT40" s="20" t="str">
        <f t="shared" ref="AT40" si="95">IF(AS40=AR40, "MAC", "DRAM")</f>
        <v>DRAM</v>
      </c>
    </row>
    <row r="41" spans="1:46" x14ac:dyDescent="0.35">
      <c r="B41" s="74" t="s">
        <v>29</v>
      </c>
      <c r="C41" s="32" t="s">
        <v>52</v>
      </c>
      <c r="D41" s="49" t="s">
        <v>109</v>
      </c>
      <c r="E41" s="49">
        <v>112</v>
      </c>
      <c r="F41" s="49">
        <v>14</v>
      </c>
      <c r="G41" s="49">
        <v>14</v>
      </c>
      <c r="H41" s="49">
        <v>224</v>
      </c>
      <c r="I41" s="49">
        <v>3</v>
      </c>
      <c r="J41" s="49">
        <v>3</v>
      </c>
      <c r="K41" s="49" t="b">
        <v>1</v>
      </c>
      <c r="L41" s="49">
        <v>1</v>
      </c>
      <c r="M41" s="49">
        <v>1</v>
      </c>
      <c r="N41" s="49">
        <f t="shared" si="12"/>
        <v>14</v>
      </c>
      <c r="O41" s="9">
        <f t="shared" si="13"/>
        <v>14</v>
      </c>
      <c r="P41" s="49" t="b">
        <v>0</v>
      </c>
      <c r="Q41" s="49"/>
      <c r="R41" s="49"/>
      <c r="S41" s="49"/>
      <c r="T41" s="49"/>
      <c r="U41" s="49">
        <f t="shared" si="31"/>
        <v>14</v>
      </c>
      <c r="V41" s="49">
        <f t="shared" si="30"/>
        <v>14</v>
      </c>
      <c r="W41" s="49">
        <f>E41*N41*O41*H41*I41*J41</f>
        <v>44255232</v>
      </c>
      <c r="X41" s="10">
        <f t="shared" si="0"/>
        <v>21.4375</v>
      </c>
      <c r="Y41" s="10">
        <f t="shared" si="81"/>
        <v>6.125</v>
      </c>
      <c r="Z41" s="10">
        <f t="shared" si="1"/>
        <v>42.875</v>
      </c>
      <c r="AA41" s="10">
        <f t="shared" si="37"/>
        <v>220.5</v>
      </c>
      <c r="AB41" s="10">
        <f t="shared" si="38"/>
        <v>31.5</v>
      </c>
      <c r="AC41" s="10" t="b">
        <f t="shared" si="28"/>
        <v>1</v>
      </c>
      <c r="AD41" s="56">
        <f>FLOOR(($AI$9-SUM(AA37:AA43))/(X37+X41+X42), 1)</f>
        <v>27</v>
      </c>
      <c r="AE41" s="55">
        <f t="shared" si="82"/>
        <v>20.045454545454547</v>
      </c>
      <c r="AF41" s="56">
        <f>CEILING(AE41/$C$8*$C$5, 1)</f>
        <v>2005</v>
      </c>
      <c r="AG41" s="55">
        <f>X41+AA41</f>
        <v>241.9375</v>
      </c>
      <c r="AH41" s="56">
        <f>CEILING(AG41/$C$6*$C$5, 1)</f>
        <v>9678</v>
      </c>
      <c r="AI41" s="55">
        <f t="shared" si="84"/>
        <v>42.875</v>
      </c>
      <c r="AJ41" s="56">
        <f>CEILING(AI41/$C$7*$C$5, 1)</f>
        <v>1715</v>
      </c>
      <c r="AK41" s="57">
        <f>CEILING(E41*L41*M41, 16)*CEILING(IF(K41, F41, F41-I41+1)/L41, 1)*CEILING(IF(K41, G41, G41-J41+1)/M41,1)*CEILING(H41*IF(D41="fc", $C$9, 1), 16)*I41*J41/L41/M41/$C$4/IF(I41=3, IF(J41=3, 2.25, 1), 1)/IF(D41="fc", $C$9, 1)</f>
        <v>9604</v>
      </c>
      <c r="AL41" s="57">
        <f>MAX(AF41, AH41,AJ41,AK41)</f>
        <v>9678</v>
      </c>
      <c r="AM41" s="57" t="str">
        <f>IF(AL41=AK41,"MAC",IF(AL41=AJ41,"CVSRAM-W",IF(AL41=AF41,"DRAM","CVSRAM-R")))</f>
        <v>CVSRAM-R</v>
      </c>
      <c r="AN41" s="21" t="str">
        <f t="shared" si="22"/>
        <v>feature</v>
      </c>
      <c r="AO41" s="31">
        <f t="shared" si="23"/>
        <v>1</v>
      </c>
      <c r="AP41" s="21">
        <f t="shared" si="9"/>
        <v>284.8125</v>
      </c>
      <c r="AQ41" s="31">
        <f>CEILING(AP41/$C$8*$C$5, 1)</f>
        <v>28482</v>
      </c>
      <c r="AR41" s="20">
        <f>CEILING(E41*L41*M41, 16)*CEILING(IF(K41, F41, F41-I41+1)/L41, 1)*CEILING(IF(K41, G41, G41-J41+1)/M41,1)*CEILING(H41*IF(D41="fc", $C$9, 1), 16)*I41*J41/L41/M41/$C$4/IF(I41=3, IF(J41=3, 2.25, 1), 1)/IF(D41="fc", $C$9, 1)</f>
        <v>9604</v>
      </c>
      <c r="AS41" s="20">
        <f>MAX(AQ41:AR41)</f>
        <v>28482</v>
      </c>
      <c r="AT41" s="20" t="str">
        <f>IF(AS41=AR41, "MAC", "DRAM")</f>
        <v>DRAM</v>
      </c>
    </row>
    <row r="42" spans="1:46" x14ac:dyDescent="0.35">
      <c r="B42" s="74" t="s">
        <v>29</v>
      </c>
      <c r="C42" s="32" t="s">
        <v>54</v>
      </c>
      <c r="D42" s="49" t="s">
        <v>109</v>
      </c>
      <c r="E42" s="49">
        <v>24</v>
      </c>
      <c r="F42" s="49">
        <v>14</v>
      </c>
      <c r="G42" s="49">
        <v>14</v>
      </c>
      <c r="H42" s="49">
        <v>64</v>
      </c>
      <c r="I42" s="49">
        <v>5</v>
      </c>
      <c r="J42" s="49">
        <v>5</v>
      </c>
      <c r="K42" s="49" t="b">
        <v>1</v>
      </c>
      <c r="L42" s="49">
        <v>1</v>
      </c>
      <c r="M42" s="49">
        <v>1</v>
      </c>
      <c r="N42" s="49">
        <f t="shared" si="12"/>
        <v>14</v>
      </c>
      <c r="O42" s="9">
        <f t="shared" si="13"/>
        <v>14</v>
      </c>
      <c r="P42" s="49" t="b">
        <v>0</v>
      </c>
      <c r="Q42" s="49"/>
      <c r="R42" s="49"/>
      <c r="S42" s="49"/>
      <c r="T42" s="49"/>
      <c r="U42" s="49">
        <f t="shared" si="31"/>
        <v>14</v>
      </c>
      <c r="V42" s="49">
        <f t="shared" si="30"/>
        <v>14</v>
      </c>
      <c r="W42" s="49">
        <f>E42*N42*O42*H42*I42*J42</f>
        <v>7526400</v>
      </c>
      <c r="X42" s="10">
        <f t="shared" si="0"/>
        <v>6.125</v>
      </c>
      <c r="Y42" s="10">
        <f t="shared" si="81"/>
        <v>2.625</v>
      </c>
      <c r="Z42" s="10">
        <f t="shared" si="1"/>
        <v>12.25</v>
      </c>
      <c r="AA42" s="10">
        <f t="shared" si="37"/>
        <v>50</v>
      </c>
      <c r="AB42" s="10">
        <f t="shared" si="38"/>
        <v>25</v>
      </c>
      <c r="AC42" s="10" t="b">
        <f t="shared" si="28"/>
        <v>0</v>
      </c>
      <c r="AD42" s="56">
        <f>FLOOR(($AI$9-SUM(AA37:AA43))/(X37+X41+X42), 1)</f>
        <v>27</v>
      </c>
      <c r="AE42" s="55">
        <f t="shared" si="82"/>
        <v>4.5454545454545459</v>
      </c>
      <c r="AF42" s="56">
        <f t="shared" ref="AF42:AF48" si="96">CEILING(AE42/$C$8*$C$5, 1)</f>
        <v>455</v>
      </c>
      <c r="AG42" s="55">
        <f t="shared" ref="AG42:AG43" si="97">X42+AA42</f>
        <v>56.125</v>
      </c>
      <c r="AH42" s="56">
        <f t="shared" si="18"/>
        <v>2245</v>
      </c>
      <c r="AI42" s="55">
        <f t="shared" si="84"/>
        <v>12.25</v>
      </c>
      <c r="AJ42" s="56">
        <f t="shared" si="20"/>
        <v>490</v>
      </c>
      <c r="AK42" s="57">
        <f t="shared" ref="AK42:AK43" si="98">CEILING(E42*L42*M42, 16)*CEILING(IF(K42, F42, F42-I42+1)/L42, 1)*CEILING(IF(K42, G42, G42-J42+1)/M42,1)*CEILING(H42*IF(D42="fc", $C$9, 1), 16)*I42*J42/L42/M42/$C$4/IF(I42=3, IF(J42=3, 2.25, 1), 1)/IF(D42="fc", $C$9, 1)</f>
        <v>4900</v>
      </c>
      <c r="AL42" s="57">
        <f t="shared" ref="AL42:AL43" si="99">MAX(AF42, AH42,AJ42,AK42)</f>
        <v>4900</v>
      </c>
      <c r="AM42" s="57" t="str">
        <f t="shared" ref="AM42:AM43" si="100">IF(AL42=AK42,"MAC",IF(AL42=AJ42,"CVSRAM-W",IF(AL42=AF42,"DRAM","CVSRAM-R")))</f>
        <v>MAC</v>
      </c>
      <c r="AN42" s="21" t="str">
        <f t="shared" si="22"/>
        <v>feature</v>
      </c>
      <c r="AO42" s="31">
        <f t="shared" si="23"/>
        <v>1</v>
      </c>
      <c r="AP42" s="21">
        <f t="shared" si="9"/>
        <v>68.375</v>
      </c>
      <c r="AQ42" s="31">
        <f t="shared" si="24"/>
        <v>6838</v>
      </c>
      <c r="AR42" s="20">
        <f>CEILING(E42*L42*M42, 16)*CEILING(IF(K42, F42, F42-I42+1)/L42, 1)*CEILING(IF(K42, G42, G42-J42+1)/M42,1)*CEILING(H42*IF(D42="fc", $C$9, 1), 16)*I42*J42/L42/M42/$C$4/IF(I42=3, IF(J42=3, 2.25, 1), 1)/IF(D42="fc", $C$9, 1)</f>
        <v>4900</v>
      </c>
      <c r="AS42" s="20">
        <f t="shared" ref="AS42:AS43" si="101">MAX(AQ42:AR42)</f>
        <v>6838</v>
      </c>
      <c r="AT42" s="20" t="str">
        <f t="shared" ref="AT42:AT43" si="102">IF(AS42=AR42, "MAC", "DRAM")</f>
        <v>DRAM</v>
      </c>
    </row>
    <row r="43" spans="1:46" s="83" customFormat="1" x14ac:dyDescent="0.35">
      <c r="B43" s="61" t="s">
        <v>29</v>
      </c>
      <c r="C43" s="82" t="s">
        <v>55</v>
      </c>
      <c r="D43" s="13" t="s">
        <v>109</v>
      </c>
      <c r="E43" s="13">
        <v>512</v>
      </c>
      <c r="F43" s="13">
        <v>14</v>
      </c>
      <c r="G43" s="13">
        <v>14</v>
      </c>
      <c r="H43" s="13">
        <v>64</v>
      </c>
      <c r="I43" s="13">
        <v>1</v>
      </c>
      <c r="J43" s="13">
        <v>1</v>
      </c>
      <c r="K43" s="13" t="b">
        <v>1</v>
      </c>
      <c r="L43" s="13">
        <v>1</v>
      </c>
      <c r="M43" s="13">
        <v>1</v>
      </c>
      <c r="N43" s="13">
        <f t="shared" si="12"/>
        <v>14</v>
      </c>
      <c r="O43" s="14">
        <f t="shared" si="13"/>
        <v>14</v>
      </c>
      <c r="P43" s="13" t="b">
        <v>0</v>
      </c>
      <c r="Q43" s="13"/>
      <c r="R43" s="13"/>
      <c r="S43" s="13"/>
      <c r="T43" s="13"/>
      <c r="U43" s="13">
        <f t="shared" si="31"/>
        <v>14</v>
      </c>
      <c r="V43" s="13">
        <f t="shared" si="30"/>
        <v>14</v>
      </c>
      <c r="W43" s="13">
        <f>E43*N43*O43*H43*I43*J43</f>
        <v>6422528</v>
      </c>
      <c r="X43" s="15">
        <f t="shared" si="0"/>
        <v>98</v>
      </c>
      <c r="Y43" s="15">
        <f t="shared" si="81"/>
        <v>14</v>
      </c>
      <c r="Z43" s="15">
        <f t="shared" si="1"/>
        <v>12.25</v>
      </c>
      <c r="AA43" s="15">
        <f t="shared" si="37"/>
        <v>32</v>
      </c>
      <c r="AB43" s="15">
        <f t="shared" si="38"/>
        <v>16</v>
      </c>
      <c r="AC43" s="15" t="b">
        <f t="shared" si="28"/>
        <v>0</v>
      </c>
      <c r="AD43" s="63">
        <f>FLOOR(($AI$9-SUM(AA37:AA43))/(X37+X41+X42), 1)</f>
        <v>27</v>
      </c>
      <c r="AE43" s="55">
        <f t="shared" si="82"/>
        <v>2.9090909090909092</v>
      </c>
      <c r="AF43" s="56">
        <f t="shared" si="96"/>
        <v>291</v>
      </c>
      <c r="AG43" s="55">
        <f t="shared" si="97"/>
        <v>130</v>
      </c>
      <c r="AH43" s="56">
        <f t="shared" si="18"/>
        <v>5200</v>
      </c>
      <c r="AI43" s="55">
        <f t="shared" si="84"/>
        <v>12.25</v>
      </c>
      <c r="AJ43" s="56">
        <f t="shared" si="20"/>
        <v>490</v>
      </c>
      <c r="AK43" s="56">
        <f t="shared" si="98"/>
        <v>3136</v>
      </c>
      <c r="AL43" s="56">
        <f t="shared" si="99"/>
        <v>5200</v>
      </c>
      <c r="AM43" s="56" t="str">
        <f t="shared" si="100"/>
        <v>CVSRAM-R</v>
      </c>
      <c r="AN43" s="26" t="str">
        <f t="shared" si="22"/>
        <v>weight</v>
      </c>
      <c r="AO43" s="25">
        <f t="shared" si="23"/>
        <v>1</v>
      </c>
      <c r="AP43" s="26">
        <f t="shared" ref="AP43:AP74" si="103">IF(AN43="weight", IF(AA43&gt;($C$3-Y43), CEILING(AA43/($C$3-Y43), 1)*X43+Z43+AA43, X43+Z43+AA43), IF(X43&gt;($C$3-AB43), CEILING(X43/($C$3-AB43),1)*AA43+X43+Z43, X43+Z43+AA43)) + IF(D43="conv + elwise", Z43, 0)</f>
        <v>142.25</v>
      </c>
      <c r="AQ43" s="25">
        <f t="shared" si="24"/>
        <v>14225</v>
      </c>
      <c r="AR43" s="25">
        <f>CEILING(E43*L43*M43, 16)*CEILING(IF(K43, F43, F43-I43+1)/L43, 1)*CEILING(IF(K43, G43, G43-J43+1)/M43,1)*CEILING(H43*IF(D43="fc", $C$9, 1), 16)*I43*J43/L43/M43/$C$4/IF(I43=3, IF(J43=3, 2.25, 1), 1)/IF(D43="fc", $C$9, 1)</f>
        <v>3136</v>
      </c>
      <c r="AS43" s="25">
        <f t="shared" si="101"/>
        <v>14225</v>
      </c>
      <c r="AT43" s="25" t="str">
        <f t="shared" si="102"/>
        <v>DRAM</v>
      </c>
    </row>
    <row r="44" spans="1:46" s="13" customFormat="1" x14ac:dyDescent="0.35">
      <c r="A44" s="11"/>
      <c r="B44" s="61"/>
      <c r="C44" s="82"/>
      <c r="O44" s="14"/>
      <c r="X44" s="15"/>
      <c r="Y44" s="15"/>
      <c r="Z44" s="15"/>
      <c r="AA44" s="15"/>
      <c r="AB44" s="15"/>
      <c r="AC44" s="15"/>
      <c r="AD44" s="63"/>
      <c r="AE44" s="62">
        <f>X37+Z37+Z41+Z42+Z43+SUM(AA40:AA43)/MIN($AD$13:$AD$83)</f>
        <v>236.95454545454544</v>
      </c>
      <c r="AF44" s="63">
        <f t="shared" si="96"/>
        <v>23696</v>
      </c>
      <c r="AG44" s="62"/>
      <c r="AH44" s="63"/>
      <c r="AI44" s="62"/>
      <c r="AJ44" s="63"/>
      <c r="AK44" s="63"/>
      <c r="AL44" s="63">
        <f>MAX(0, AF44-AL40-AL41-AL42-AL43)</f>
        <v>0</v>
      </c>
      <c r="AM44" s="63" t="str">
        <f>IF(AL44&gt;0, "DRAM", "NONE")</f>
        <v>NONE</v>
      </c>
      <c r="AN44" s="26"/>
      <c r="AO44" s="25">
        <f t="shared" si="23"/>
        <v>1</v>
      </c>
      <c r="AP44" s="26"/>
      <c r="AQ44" s="25"/>
      <c r="AR44" s="25"/>
      <c r="AS44" s="25"/>
      <c r="AT44" s="25"/>
    </row>
    <row r="45" spans="1:46" x14ac:dyDescent="0.35">
      <c r="B45" s="74" t="s">
        <v>29</v>
      </c>
      <c r="C45" s="32" t="s">
        <v>56</v>
      </c>
      <c r="D45" s="49" t="s">
        <v>109</v>
      </c>
      <c r="E45" s="49">
        <v>512</v>
      </c>
      <c r="F45" s="49">
        <v>14</v>
      </c>
      <c r="G45" s="49">
        <v>14</v>
      </c>
      <c r="H45" s="49">
        <v>128</v>
      </c>
      <c r="I45" s="49">
        <v>1</v>
      </c>
      <c r="J45" s="49">
        <v>1</v>
      </c>
      <c r="K45" s="49" t="b">
        <v>1</v>
      </c>
      <c r="L45" s="49">
        <v>1</v>
      </c>
      <c r="M45" s="49">
        <v>1</v>
      </c>
      <c r="N45" s="49">
        <f t="shared" si="12"/>
        <v>14</v>
      </c>
      <c r="O45" s="9">
        <f t="shared" si="13"/>
        <v>14</v>
      </c>
      <c r="P45" s="49" t="b">
        <v>0</v>
      </c>
      <c r="Q45" s="49"/>
      <c r="R45" s="49"/>
      <c r="S45" s="49"/>
      <c r="T45" s="49"/>
      <c r="U45" s="49">
        <f t="shared" si="31"/>
        <v>14</v>
      </c>
      <c r="V45" s="49">
        <f t="shared" si="30"/>
        <v>14</v>
      </c>
      <c r="W45" s="49">
        <f>E45*N45*O45*H45*I45*J45</f>
        <v>12845056</v>
      </c>
      <c r="X45" s="10">
        <f t="shared" si="0"/>
        <v>98</v>
      </c>
      <c r="Y45" s="10">
        <f t="shared" ref="Y45:Y51" si="104">CEILING(E45*L45*M45, 16)*MIN(I45+1, CEILING(F45/L45, 1))*CEILING(G45/M45,1)*$C$1/1024</f>
        <v>14</v>
      </c>
      <c r="Z45" s="10">
        <f t="shared" si="1"/>
        <v>24.5</v>
      </c>
      <c r="AA45" s="10">
        <f t="shared" si="37"/>
        <v>64</v>
      </c>
      <c r="AB45" s="10">
        <f t="shared" si="38"/>
        <v>16</v>
      </c>
      <c r="AC45" s="10" t="b">
        <f t="shared" si="28"/>
        <v>0</v>
      </c>
      <c r="AD45" s="56">
        <f>FLOOR(($AI$9-SUM(AA45:AA51))/(X45+X49+X50), 1)</f>
        <v>26</v>
      </c>
      <c r="AE45" s="55">
        <f t="shared" ref="AE45:AE51" si="105">AA45/MIN($AD$13:$AD$83)</f>
        <v>5.8181818181818183</v>
      </c>
      <c r="AF45" s="56">
        <f t="shared" si="96"/>
        <v>582</v>
      </c>
      <c r="AG45" s="55">
        <f t="shared" ref="AG45:AG46" si="106">X45</f>
        <v>98</v>
      </c>
      <c r="AH45" s="56">
        <f t="shared" si="18"/>
        <v>3920</v>
      </c>
      <c r="AI45" s="55">
        <f t="shared" ref="AI45:AI51" si="107">Z45</f>
        <v>24.5</v>
      </c>
      <c r="AJ45" s="56">
        <f t="shared" si="20"/>
        <v>980</v>
      </c>
      <c r="AK45" s="57"/>
      <c r="AL45" s="57"/>
      <c r="AM45" s="57"/>
      <c r="AN45" s="21" t="str">
        <f t="shared" si="22"/>
        <v>weight</v>
      </c>
      <c r="AO45" s="31">
        <f t="shared" si="23"/>
        <v>1</v>
      </c>
      <c r="AP45" s="21">
        <f t="shared" si="103"/>
        <v>186.5</v>
      </c>
      <c r="AQ45" s="31">
        <f t="shared" si="24"/>
        <v>18650</v>
      </c>
      <c r="AR45" s="20"/>
      <c r="AS45" s="20"/>
      <c r="AT45" s="20"/>
    </row>
    <row r="46" spans="1:46" x14ac:dyDescent="0.35">
      <c r="B46" s="74" t="s">
        <v>29</v>
      </c>
      <c r="C46" s="32" t="s">
        <v>57</v>
      </c>
      <c r="D46" s="49" t="s">
        <v>109</v>
      </c>
      <c r="E46" s="49">
        <v>512</v>
      </c>
      <c r="F46" s="49">
        <v>14</v>
      </c>
      <c r="G46" s="49">
        <v>14</v>
      </c>
      <c r="H46" s="49">
        <v>128</v>
      </c>
      <c r="I46" s="49">
        <v>1</v>
      </c>
      <c r="J46" s="49">
        <v>1</v>
      </c>
      <c r="K46" s="49" t="b">
        <v>1</v>
      </c>
      <c r="L46" s="49">
        <v>1</v>
      </c>
      <c r="M46" s="49">
        <v>1</v>
      </c>
      <c r="N46" s="49">
        <f t="shared" si="12"/>
        <v>14</v>
      </c>
      <c r="O46" s="9">
        <f t="shared" si="13"/>
        <v>14</v>
      </c>
      <c r="P46" s="49" t="b">
        <v>0</v>
      </c>
      <c r="Q46" s="49"/>
      <c r="R46" s="49"/>
      <c r="S46" s="49"/>
      <c r="T46" s="49"/>
      <c r="U46" s="49">
        <f t="shared" si="31"/>
        <v>14</v>
      </c>
      <c r="V46" s="49">
        <f t="shared" si="30"/>
        <v>14</v>
      </c>
      <c r="W46" s="49">
        <f>E46*N46*O46*H46*I46*J46</f>
        <v>12845056</v>
      </c>
      <c r="X46" s="10">
        <f t="shared" si="0"/>
        <v>98</v>
      </c>
      <c r="Y46" s="10">
        <f t="shared" si="104"/>
        <v>14</v>
      </c>
      <c r="Z46" s="10">
        <f t="shared" si="1"/>
        <v>24.5</v>
      </c>
      <c r="AA46" s="10">
        <f t="shared" si="37"/>
        <v>64</v>
      </c>
      <c r="AB46" s="10">
        <f t="shared" si="38"/>
        <v>16</v>
      </c>
      <c r="AC46" s="10" t="b">
        <f t="shared" si="28"/>
        <v>0</v>
      </c>
      <c r="AD46" s="56">
        <f>FLOOR(($AI$9-SUM(AA45:AA51))/(X45+X49+X50), 1)</f>
        <v>26</v>
      </c>
      <c r="AE46" s="55">
        <f t="shared" si="105"/>
        <v>5.8181818181818183</v>
      </c>
      <c r="AF46" s="56">
        <f t="shared" si="96"/>
        <v>582</v>
      </c>
      <c r="AG46" s="55">
        <f t="shared" si="106"/>
        <v>98</v>
      </c>
      <c r="AH46" s="56">
        <f t="shared" si="18"/>
        <v>3920</v>
      </c>
      <c r="AI46" s="55">
        <f t="shared" si="107"/>
        <v>24.5</v>
      </c>
      <c r="AJ46" s="56">
        <f t="shared" si="20"/>
        <v>980</v>
      </c>
      <c r="AK46" s="57"/>
      <c r="AL46" s="57"/>
      <c r="AM46" s="57"/>
      <c r="AN46" s="21" t="str">
        <f t="shared" si="22"/>
        <v>weight</v>
      </c>
      <c r="AO46" s="31">
        <f t="shared" si="23"/>
        <v>1</v>
      </c>
      <c r="AP46" s="21">
        <f t="shared" si="103"/>
        <v>186.5</v>
      </c>
      <c r="AQ46" s="31">
        <f t="shared" si="24"/>
        <v>18650</v>
      </c>
      <c r="AR46" s="20"/>
      <c r="AS46" s="20"/>
      <c r="AT46" s="20"/>
    </row>
    <row r="47" spans="1:46" x14ac:dyDescent="0.35">
      <c r="B47" s="74" t="s">
        <v>29</v>
      </c>
      <c r="C47" s="32" t="s">
        <v>59</v>
      </c>
      <c r="D47" s="49" t="s">
        <v>109</v>
      </c>
      <c r="E47" s="49">
        <v>512</v>
      </c>
      <c r="F47" s="49">
        <v>14</v>
      </c>
      <c r="G47" s="49">
        <v>14</v>
      </c>
      <c r="H47" s="49">
        <v>24</v>
      </c>
      <c r="I47" s="49">
        <v>1</v>
      </c>
      <c r="J47" s="49">
        <v>1</v>
      </c>
      <c r="K47" s="49" t="b">
        <v>1</v>
      </c>
      <c r="L47" s="49">
        <v>1</v>
      </c>
      <c r="M47" s="49">
        <v>1</v>
      </c>
      <c r="N47" s="49">
        <f>IF(K47=TRUE,CEILING(F47/L47,1),CEILING((F47-I47)/L47,1)+1)</f>
        <v>14</v>
      </c>
      <c r="O47" s="9">
        <f>IF(K47=TRUE,CEILING(G47/M47,1),CEILING((G47-J47)/M47,1)+1)</f>
        <v>14</v>
      </c>
      <c r="P47" s="49" t="b">
        <v>0</v>
      </c>
      <c r="Q47" s="49"/>
      <c r="R47" s="49"/>
      <c r="S47" s="49"/>
      <c r="T47" s="49"/>
      <c r="U47" s="49">
        <f>IF(P47,CEILING((N47-Q47)/S47,1)+1,N47)</f>
        <v>14</v>
      </c>
      <c r="V47" s="49">
        <f>IF(P47,CEILING((O47-R47)/T47,1)+1,O47)</f>
        <v>14</v>
      </c>
      <c r="W47" s="49">
        <f>E47*N47*O47*H47*I47*J47</f>
        <v>2408448</v>
      </c>
      <c r="X47" s="10">
        <f>CEILING(E47*L47*M47, 16)*CEILING(F47/L47, 1)*CEILING(G47/M47,1)*$C$1/1024</f>
        <v>98</v>
      </c>
      <c r="Y47" s="10">
        <f t="shared" si="104"/>
        <v>14</v>
      </c>
      <c r="Z47" s="10">
        <f>U47*V47*CEILING(H47, 16)*$C$1/1024</f>
        <v>6.125</v>
      </c>
      <c r="AA47" s="10">
        <f>CEILING(E47*L47*M47,16)*CEILING(I47/L47,1)*CEILING(J47/M47,1)*H47*$C$2*(1-$F$2)/1024</f>
        <v>12</v>
      </c>
      <c r="AB47" s="10">
        <f t="shared" si="38"/>
        <v>16</v>
      </c>
      <c r="AC47" s="10" t="b">
        <f t="shared" si="28"/>
        <v>0</v>
      </c>
      <c r="AD47" s="56">
        <f>FLOOR(($AI$9-SUM(AA45:AA51))/(X45+X49+X50), 1)</f>
        <v>26</v>
      </c>
      <c r="AE47" s="55">
        <f t="shared" si="105"/>
        <v>1.0909090909090908</v>
      </c>
      <c r="AF47" s="56">
        <f t="shared" si="96"/>
        <v>110</v>
      </c>
      <c r="AG47" s="55">
        <f>X47</f>
        <v>98</v>
      </c>
      <c r="AH47" s="56">
        <f t="shared" si="18"/>
        <v>3920</v>
      </c>
      <c r="AI47" s="55">
        <f t="shared" si="107"/>
        <v>6.125</v>
      </c>
      <c r="AJ47" s="56">
        <f t="shared" si="20"/>
        <v>245</v>
      </c>
      <c r="AK47" s="57"/>
      <c r="AL47" s="57"/>
      <c r="AM47" s="57"/>
      <c r="AN47" s="21" t="str">
        <f t="shared" si="22"/>
        <v>weight</v>
      </c>
      <c r="AO47" s="31">
        <f t="shared" si="23"/>
        <v>1</v>
      </c>
      <c r="AP47" s="21">
        <f t="shared" si="103"/>
        <v>116.125</v>
      </c>
      <c r="AQ47" s="31">
        <f t="shared" si="24"/>
        <v>11613</v>
      </c>
      <c r="AR47" s="20"/>
      <c r="AS47" s="20"/>
      <c r="AT47" s="20"/>
    </row>
    <row r="48" spans="1:46" s="6" customFormat="1" x14ac:dyDescent="0.35">
      <c r="A48" s="16"/>
      <c r="B48" s="74" t="s">
        <v>29</v>
      </c>
      <c r="C48" s="32" t="s">
        <v>125</v>
      </c>
      <c r="D48" s="49" t="s">
        <v>109</v>
      </c>
      <c r="E48" s="49">
        <f>E47</f>
        <v>512</v>
      </c>
      <c r="F48" s="49">
        <f>F47</f>
        <v>14</v>
      </c>
      <c r="G48" s="49">
        <f>G47</f>
        <v>14</v>
      </c>
      <c r="H48" s="49">
        <f>SUM(H45:H47)</f>
        <v>280</v>
      </c>
      <c r="I48" s="49">
        <f t="shared" ref="I48:P48" si="108">I47</f>
        <v>1</v>
      </c>
      <c r="J48" s="49">
        <f t="shared" si="108"/>
        <v>1</v>
      </c>
      <c r="K48" s="49" t="b">
        <f t="shared" si="108"/>
        <v>1</v>
      </c>
      <c r="L48" s="49">
        <f t="shared" si="108"/>
        <v>1</v>
      </c>
      <c r="M48" s="49">
        <f t="shared" si="108"/>
        <v>1</v>
      </c>
      <c r="N48" s="49">
        <f t="shared" si="108"/>
        <v>14</v>
      </c>
      <c r="O48" s="49">
        <f t="shared" si="108"/>
        <v>14</v>
      </c>
      <c r="P48" s="49" t="b">
        <f t="shared" si="108"/>
        <v>0</v>
      </c>
      <c r="Q48" s="49"/>
      <c r="R48" s="49"/>
      <c r="S48" s="49"/>
      <c r="T48" s="49"/>
      <c r="U48" s="49">
        <f t="shared" ref="U48" si="109">IF(P48,CEILING((N48-Q48)/S48,1)+1,N48)</f>
        <v>14</v>
      </c>
      <c r="V48" s="49">
        <f t="shared" ref="V48" si="110">IF(P48,CEILING((O48-R48)/T48,1)+1,O48)</f>
        <v>14</v>
      </c>
      <c r="W48" s="49"/>
      <c r="X48" s="10">
        <f t="shared" ref="X48" si="111">CEILING(E48*L48*M48, 16)*CEILING(F48/L48, 1)*CEILING(G48/M48,1)*$C$1/1024</f>
        <v>98</v>
      </c>
      <c r="Y48" s="10">
        <f t="shared" si="104"/>
        <v>14</v>
      </c>
      <c r="Z48" s="10">
        <f t="shared" ref="Z48" si="112">U48*V48*CEILING(H48, 16)*$C$1/1024</f>
        <v>55.125</v>
      </c>
      <c r="AA48" s="10">
        <f t="shared" ref="AA48" si="113">CEILING(E48*L48*M48,16)*CEILING(I48/L48,1)*CEILING(J48/M48,1)*H48*$C$2*(1-$F$2)/1024</f>
        <v>140</v>
      </c>
      <c r="AB48" s="10">
        <f t="shared" si="38"/>
        <v>16</v>
      </c>
      <c r="AC48" s="10" t="b">
        <f t="shared" si="28"/>
        <v>0</v>
      </c>
      <c r="AD48" s="56">
        <f>FLOOR(($AI$9-SUM(AA45:AA51))/(X45+X49+X50), 1)</f>
        <v>26</v>
      </c>
      <c r="AE48" s="55">
        <f t="shared" si="105"/>
        <v>12.727272727272727</v>
      </c>
      <c r="AF48" s="56">
        <f t="shared" si="96"/>
        <v>1273</v>
      </c>
      <c r="AG48" s="55">
        <f>X48</f>
        <v>98</v>
      </c>
      <c r="AH48" s="56">
        <f t="shared" si="18"/>
        <v>3920</v>
      </c>
      <c r="AI48" s="55">
        <f t="shared" si="107"/>
        <v>55.125</v>
      </c>
      <c r="AJ48" s="56">
        <f t="shared" si="20"/>
        <v>2205</v>
      </c>
      <c r="AK48" s="57">
        <f t="shared" ref="AK48" si="114">CEILING(E48*L48*M48, 16)*CEILING(IF(K48, F48, F48-I48+1)/L48, 1)*CEILING(IF(K48, G48, G48-J48+1)/M48,1)*CEILING(H48*IF(D48="fc", $C$9, 1), 16)*I48*J48/L48/M48/$C$4/IF(I48=3, IF(J48=3, 2.25, 1), 1)/IF(D48="fc", $C$9, 1)</f>
        <v>14112</v>
      </c>
      <c r="AL48" s="57">
        <f t="shared" ref="AL48" si="115">MAX(AF48, AH48,AJ48,AK48)</f>
        <v>14112</v>
      </c>
      <c r="AM48" s="57" t="str">
        <f t="shared" ref="AM48" si="116">IF(AL48=AK48,"MAC",IF(AL48=AJ48,"CVSRAM-W",IF(AL48=AF48,"DRAM","CVSRAM-R")))</f>
        <v>MAC</v>
      </c>
      <c r="AN48" s="21" t="str">
        <f t="shared" si="22"/>
        <v>weight</v>
      </c>
      <c r="AO48" s="31">
        <f t="shared" si="23"/>
        <v>1</v>
      </c>
      <c r="AP48" s="21">
        <f t="shared" si="103"/>
        <v>293.125</v>
      </c>
      <c r="AQ48" s="31">
        <f t="shared" si="24"/>
        <v>29313</v>
      </c>
      <c r="AR48" s="20">
        <f>CEILING(E48*L48*M48, 16)*CEILING(IF(K48, F48, F48-I48+1)/L48, 1)*CEILING(IF(K48, G48, G48-J48+1)/M48,1)*CEILING(H48*IF(D48="fc", $C$9, 1), 16)*I48*J48/L48/M48/$C$4/IF(I48=3, IF(J48=3, 2.25, 1), 1)/IF(D48="fc", $C$9, 1)</f>
        <v>14112</v>
      </c>
      <c r="AS48" s="20">
        <f t="shared" ref="AS48" si="117">MAX(AQ48:AR48)</f>
        <v>29313</v>
      </c>
      <c r="AT48" s="20" t="str">
        <f t="shared" ref="AT48" si="118">IF(AS48=AR48, "MAC", "DRAM")</f>
        <v>DRAM</v>
      </c>
    </row>
    <row r="49" spans="1:46" x14ac:dyDescent="0.35">
      <c r="B49" s="74" t="s">
        <v>29</v>
      </c>
      <c r="C49" s="32" t="s">
        <v>58</v>
      </c>
      <c r="D49" s="49" t="s">
        <v>109</v>
      </c>
      <c r="E49" s="49">
        <v>128</v>
      </c>
      <c r="F49" s="49">
        <v>14</v>
      </c>
      <c r="G49" s="49">
        <v>14</v>
      </c>
      <c r="H49" s="49">
        <v>256</v>
      </c>
      <c r="I49" s="49">
        <v>3</v>
      </c>
      <c r="J49" s="49">
        <v>3</v>
      </c>
      <c r="K49" s="49" t="b">
        <v>1</v>
      </c>
      <c r="L49" s="49">
        <v>1</v>
      </c>
      <c r="M49" s="49">
        <v>1</v>
      </c>
      <c r="N49" s="49">
        <f t="shared" si="12"/>
        <v>14</v>
      </c>
      <c r="O49" s="9">
        <f t="shared" si="13"/>
        <v>14</v>
      </c>
      <c r="P49" s="49" t="b">
        <v>0</v>
      </c>
      <c r="Q49" s="49"/>
      <c r="R49" s="49"/>
      <c r="S49" s="49"/>
      <c r="T49" s="49"/>
      <c r="U49" s="49">
        <f t="shared" si="31"/>
        <v>14</v>
      </c>
      <c r="V49" s="49">
        <f t="shared" si="30"/>
        <v>14</v>
      </c>
      <c r="W49" s="49">
        <f>E49*N49*O49*H49*I49*J49</f>
        <v>57802752</v>
      </c>
      <c r="X49" s="10">
        <f t="shared" si="0"/>
        <v>24.5</v>
      </c>
      <c r="Y49" s="10">
        <f t="shared" si="104"/>
        <v>7</v>
      </c>
      <c r="Z49" s="10">
        <f t="shared" si="1"/>
        <v>49</v>
      </c>
      <c r="AA49" s="10">
        <f t="shared" si="37"/>
        <v>288</v>
      </c>
      <c r="AB49" s="10">
        <f t="shared" si="38"/>
        <v>36</v>
      </c>
      <c r="AC49" s="10" t="b">
        <f t="shared" si="28"/>
        <v>1</v>
      </c>
      <c r="AD49" s="56">
        <f>FLOOR(($AI$9-SUM(AA45:AA51))/(X45+X49+X50), 1)</f>
        <v>26</v>
      </c>
      <c r="AE49" s="55">
        <f t="shared" si="105"/>
        <v>26.181818181818183</v>
      </c>
      <c r="AF49" s="56">
        <f>CEILING(AE49/$C$8*$C$5, 1)</f>
        <v>2619</v>
      </c>
      <c r="AG49" s="55">
        <f>X49+AA49</f>
        <v>312.5</v>
      </c>
      <c r="AH49" s="56">
        <f>CEILING(AG49/$C$6*$C$5, 1)</f>
        <v>12500</v>
      </c>
      <c r="AI49" s="55">
        <f t="shared" si="107"/>
        <v>49</v>
      </c>
      <c r="AJ49" s="56">
        <f>CEILING(AI49/$C$7*$C$5, 1)</f>
        <v>1960</v>
      </c>
      <c r="AK49" s="57">
        <f>CEILING(E49*L49*M49, 16)*CEILING(IF(K49, F49, F49-I49+1)/L49, 1)*CEILING(IF(K49, G49, G49-J49+1)/M49,1)*CEILING(H49*IF(D49="fc", $C$9, 1), 16)*I49*J49/L49/M49/$C$4/IF(I49=3, IF(J49=3, 2.25, 1), 1)/IF(D49="fc", $C$9, 1)</f>
        <v>12544</v>
      </c>
      <c r="AL49" s="57">
        <f>MAX(AF49, AH49,AJ49,AK49)</f>
        <v>12544</v>
      </c>
      <c r="AM49" s="57" t="str">
        <f>IF(AL49=AK49,"MAC",IF(AL49=AJ49,"CVSRAM-W",IF(AL49=AF49,"DRAM","CVSRAM-R")))</f>
        <v>MAC</v>
      </c>
      <c r="AN49" s="21" t="str">
        <f t="shared" si="22"/>
        <v>feature</v>
      </c>
      <c r="AO49" s="31">
        <f t="shared" si="23"/>
        <v>1</v>
      </c>
      <c r="AP49" s="21">
        <f t="shared" si="103"/>
        <v>361.5</v>
      </c>
      <c r="AQ49" s="31">
        <f>CEILING(AP49/$C$8*$C$5, 1)</f>
        <v>36150</v>
      </c>
      <c r="AR49" s="20">
        <f>CEILING(E49*L49*M49, 16)*CEILING(IF(K49, F49, F49-I49+1)/L49, 1)*CEILING(IF(K49, G49, G49-J49+1)/M49,1)*CEILING(H49*IF(D49="fc", $C$9, 1), 16)*I49*J49/L49/M49/$C$4/IF(I49=3, IF(J49=3, 2.25, 1), 1)/IF(D49="fc", $C$9, 1)</f>
        <v>12544</v>
      </c>
      <c r="AS49" s="20">
        <f>MAX(AQ49:AR49)</f>
        <v>36150</v>
      </c>
      <c r="AT49" s="20" t="str">
        <f>IF(AS49=AR49, "MAC", "DRAM")</f>
        <v>DRAM</v>
      </c>
    </row>
    <row r="50" spans="1:46" x14ac:dyDescent="0.35">
      <c r="B50" s="74" t="s">
        <v>29</v>
      </c>
      <c r="C50" s="32" t="s">
        <v>60</v>
      </c>
      <c r="D50" s="49" t="s">
        <v>109</v>
      </c>
      <c r="E50" s="49">
        <v>24</v>
      </c>
      <c r="F50" s="49">
        <v>14</v>
      </c>
      <c r="G50" s="49">
        <v>14</v>
      </c>
      <c r="H50" s="49">
        <v>64</v>
      </c>
      <c r="I50" s="49">
        <v>5</v>
      </c>
      <c r="J50" s="49">
        <v>5</v>
      </c>
      <c r="K50" s="49" t="b">
        <v>1</v>
      </c>
      <c r="L50" s="49">
        <v>1</v>
      </c>
      <c r="M50" s="49">
        <v>1</v>
      </c>
      <c r="N50" s="49">
        <f t="shared" si="12"/>
        <v>14</v>
      </c>
      <c r="O50" s="9">
        <f t="shared" si="13"/>
        <v>14</v>
      </c>
      <c r="P50" s="49" t="b">
        <v>0</v>
      </c>
      <c r="Q50" s="49"/>
      <c r="R50" s="49"/>
      <c r="S50" s="49"/>
      <c r="T50" s="49"/>
      <c r="U50" s="49">
        <f t="shared" si="31"/>
        <v>14</v>
      </c>
      <c r="V50" s="49">
        <f t="shared" si="30"/>
        <v>14</v>
      </c>
      <c r="W50" s="49">
        <f>E50*N50*O50*H50*I50*J50</f>
        <v>7526400</v>
      </c>
      <c r="X50" s="10">
        <f t="shared" si="0"/>
        <v>6.125</v>
      </c>
      <c r="Y50" s="10">
        <f t="shared" si="104"/>
        <v>2.625</v>
      </c>
      <c r="Z50" s="10">
        <f t="shared" si="1"/>
        <v>12.25</v>
      </c>
      <c r="AA50" s="10">
        <f t="shared" si="37"/>
        <v>50</v>
      </c>
      <c r="AB50" s="10">
        <f t="shared" si="38"/>
        <v>25</v>
      </c>
      <c r="AC50" s="10" t="b">
        <f t="shared" si="28"/>
        <v>0</v>
      </c>
      <c r="AD50" s="56">
        <f>FLOOR(($AI$9-SUM(AA45:AA51))/(X45+X49+X50), 1)</f>
        <v>26</v>
      </c>
      <c r="AE50" s="55">
        <f t="shared" si="105"/>
        <v>4.5454545454545459</v>
      </c>
      <c r="AF50" s="56">
        <f t="shared" ref="AF50:AF56" si="119">CEILING(AE50/$C$8*$C$5, 1)</f>
        <v>455</v>
      </c>
      <c r="AG50" s="55">
        <f t="shared" ref="AG50:AG51" si="120">X50+AA50</f>
        <v>56.125</v>
      </c>
      <c r="AH50" s="56">
        <f t="shared" si="18"/>
        <v>2245</v>
      </c>
      <c r="AI50" s="55">
        <f t="shared" si="107"/>
        <v>12.25</v>
      </c>
      <c r="AJ50" s="56">
        <f t="shared" si="20"/>
        <v>490</v>
      </c>
      <c r="AK50" s="57">
        <f t="shared" ref="AK50:AK51" si="121">CEILING(E50*L50*M50, 16)*CEILING(IF(K50, F50, F50-I50+1)/L50, 1)*CEILING(IF(K50, G50, G50-J50+1)/M50,1)*CEILING(H50*IF(D50="fc", $C$9, 1), 16)*I50*J50/L50/M50/$C$4/IF(I50=3, IF(J50=3, 2.25, 1), 1)/IF(D50="fc", $C$9, 1)</f>
        <v>4900</v>
      </c>
      <c r="AL50" s="57">
        <f t="shared" ref="AL50:AL51" si="122">MAX(AF50, AH50,AJ50,AK50)</f>
        <v>4900</v>
      </c>
      <c r="AM50" s="57" t="str">
        <f t="shared" ref="AM50:AM51" si="123">IF(AL50=AK50,"MAC",IF(AL50=AJ50,"CVSRAM-W",IF(AL50=AF50,"DRAM","CVSRAM-R")))</f>
        <v>MAC</v>
      </c>
      <c r="AN50" s="21" t="str">
        <f t="shared" si="22"/>
        <v>feature</v>
      </c>
      <c r="AO50" s="31">
        <f t="shared" si="23"/>
        <v>1</v>
      </c>
      <c r="AP50" s="21">
        <f t="shared" si="103"/>
        <v>68.375</v>
      </c>
      <c r="AQ50" s="31">
        <f t="shared" si="24"/>
        <v>6838</v>
      </c>
      <c r="AR50" s="20">
        <f>CEILING(E50*L50*M50, 16)*CEILING(IF(K50, F50, F50-I50+1)/L50, 1)*CEILING(IF(K50, G50, G50-J50+1)/M50,1)*CEILING(H50*IF(D50="fc", $C$9, 1), 16)*I50*J50/L50/M50/$C$4/IF(I50=3, IF(J50=3, 2.25, 1), 1)/IF(D50="fc", $C$9, 1)</f>
        <v>4900</v>
      </c>
      <c r="AS50" s="20">
        <f t="shared" ref="AS50:AS51" si="124">MAX(AQ50:AR50)</f>
        <v>6838</v>
      </c>
      <c r="AT50" s="20" t="str">
        <f t="shared" ref="AT50:AT51" si="125">IF(AS50=AR50, "MAC", "DRAM")</f>
        <v>DRAM</v>
      </c>
    </row>
    <row r="51" spans="1:46" s="83" customFormat="1" x14ac:dyDescent="0.35">
      <c r="B51" s="61" t="s">
        <v>29</v>
      </c>
      <c r="C51" s="82" t="s">
        <v>61</v>
      </c>
      <c r="D51" s="13" t="s">
        <v>109</v>
      </c>
      <c r="E51" s="13">
        <v>512</v>
      </c>
      <c r="F51" s="13">
        <v>14</v>
      </c>
      <c r="G51" s="13">
        <v>14</v>
      </c>
      <c r="H51" s="13">
        <v>64</v>
      </c>
      <c r="I51" s="13">
        <v>1</v>
      </c>
      <c r="J51" s="13">
        <v>1</v>
      </c>
      <c r="K51" s="13" t="b">
        <v>1</v>
      </c>
      <c r="L51" s="13">
        <v>1</v>
      </c>
      <c r="M51" s="13">
        <v>1</v>
      </c>
      <c r="N51" s="13">
        <f t="shared" si="12"/>
        <v>14</v>
      </c>
      <c r="O51" s="14">
        <f t="shared" si="13"/>
        <v>14</v>
      </c>
      <c r="P51" s="13" t="b">
        <v>0</v>
      </c>
      <c r="Q51" s="13"/>
      <c r="R51" s="13"/>
      <c r="S51" s="13"/>
      <c r="T51" s="13"/>
      <c r="U51" s="13">
        <f t="shared" si="31"/>
        <v>14</v>
      </c>
      <c r="V51" s="13">
        <f t="shared" si="30"/>
        <v>14</v>
      </c>
      <c r="W51" s="13">
        <f>E51*N51*O51*H51*I51*J51</f>
        <v>6422528</v>
      </c>
      <c r="X51" s="15">
        <f t="shared" si="0"/>
        <v>98</v>
      </c>
      <c r="Y51" s="15">
        <f t="shared" si="104"/>
        <v>14</v>
      </c>
      <c r="Z51" s="15">
        <f t="shared" si="1"/>
        <v>12.25</v>
      </c>
      <c r="AA51" s="15">
        <f t="shared" si="37"/>
        <v>32</v>
      </c>
      <c r="AB51" s="15">
        <f t="shared" si="38"/>
        <v>16</v>
      </c>
      <c r="AC51" s="15" t="b">
        <f t="shared" si="28"/>
        <v>0</v>
      </c>
      <c r="AD51" s="63">
        <f>FLOOR(($AI$9-SUM(AA45:AA51))/(X45+X49+X50), 1)</f>
        <v>26</v>
      </c>
      <c r="AE51" s="55">
        <f t="shared" si="105"/>
        <v>2.9090909090909092</v>
      </c>
      <c r="AF51" s="56">
        <f t="shared" si="119"/>
        <v>291</v>
      </c>
      <c r="AG51" s="55">
        <f t="shared" si="120"/>
        <v>130</v>
      </c>
      <c r="AH51" s="56">
        <f t="shared" si="18"/>
        <v>5200</v>
      </c>
      <c r="AI51" s="55">
        <f t="shared" si="107"/>
        <v>12.25</v>
      </c>
      <c r="AJ51" s="56">
        <f t="shared" si="20"/>
        <v>490</v>
      </c>
      <c r="AK51" s="56">
        <f t="shared" si="121"/>
        <v>3136</v>
      </c>
      <c r="AL51" s="56">
        <f t="shared" si="122"/>
        <v>5200</v>
      </c>
      <c r="AM51" s="56" t="str">
        <f t="shared" si="123"/>
        <v>CVSRAM-R</v>
      </c>
      <c r="AN51" s="26" t="str">
        <f t="shared" si="22"/>
        <v>weight</v>
      </c>
      <c r="AO51" s="25">
        <f t="shared" si="23"/>
        <v>1</v>
      </c>
      <c r="AP51" s="26">
        <f t="shared" si="103"/>
        <v>142.25</v>
      </c>
      <c r="AQ51" s="25">
        <f t="shared" si="24"/>
        <v>14225</v>
      </c>
      <c r="AR51" s="25">
        <f>CEILING(E51*L51*M51, 16)*CEILING(IF(K51, F51, F51-I51+1)/L51, 1)*CEILING(IF(K51, G51, G51-J51+1)/M51,1)*CEILING(H51*IF(D51="fc", $C$9, 1), 16)*I51*J51/L51/M51/$C$4/IF(I51=3, IF(J51=3, 2.25, 1), 1)/IF(D51="fc", $C$9, 1)</f>
        <v>3136</v>
      </c>
      <c r="AS51" s="25">
        <f t="shared" si="124"/>
        <v>14225</v>
      </c>
      <c r="AT51" s="25" t="str">
        <f t="shared" si="125"/>
        <v>DRAM</v>
      </c>
    </row>
    <row r="52" spans="1:46" s="13" customFormat="1" x14ac:dyDescent="0.35">
      <c r="A52" s="11"/>
      <c r="B52" s="61"/>
      <c r="C52" s="82"/>
      <c r="O52" s="14"/>
      <c r="X52" s="15"/>
      <c r="Y52" s="15"/>
      <c r="Z52" s="15"/>
      <c r="AA52" s="15"/>
      <c r="AB52" s="15"/>
      <c r="AC52" s="15"/>
      <c r="AD52" s="63"/>
      <c r="AE52" s="62">
        <f>X45+Z45+Z49+Z50+Z51+SUM(AA48:AA51)/MIN($AD$13:$AD$83)</f>
        <v>242.36363636363637</v>
      </c>
      <c r="AF52" s="63">
        <f t="shared" si="119"/>
        <v>24237</v>
      </c>
      <c r="AG52" s="62"/>
      <c r="AH52" s="63"/>
      <c r="AI52" s="62"/>
      <c r="AJ52" s="63"/>
      <c r="AK52" s="63"/>
      <c r="AL52" s="63">
        <f>MAX(0, AF52-AL48-AL49-AL50-AL51)</f>
        <v>0</v>
      </c>
      <c r="AM52" s="63" t="str">
        <f>IF(AL52&gt;0, "DRAM", "NONE")</f>
        <v>NONE</v>
      </c>
      <c r="AN52" s="26"/>
      <c r="AO52" s="25">
        <f t="shared" si="23"/>
        <v>1</v>
      </c>
      <c r="AP52" s="26"/>
      <c r="AQ52" s="25"/>
      <c r="AR52" s="25"/>
      <c r="AS52" s="25"/>
      <c r="AT52" s="25"/>
    </row>
    <row r="53" spans="1:46" x14ac:dyDescent="0.35">
      <c r="B53" s="74" t="s">
        <v>29</v>
      </c>
      <c r="C53" s="32" t="s">
        <v>62</v>
      </c>
      <c r="D53" s="49" t="s">
        <v>109</v>
      </c>
      <c r="E53" s="49">
        <v>512</v>
      </c>
      <c r="F53" s="49">
        <v>14</v>
      </c>
      <c r="G53" s="49">
        <v>14</v>
      </c>
      <c r="H53" s="49">
        <v>112</v>
      </c>
      <c r="I53" s="49">
        <v>1</v>
      </c>
      <c r="J53" s="49">
        <v>1</v>
      </c>
      <c r="K53" s="49" t="b">
        <v>1</v>
      </c>
      <c r="L53" s="49">
        <v>1</v>
      </c>
      <c r="M53" s="49">
        <v>1</v>
      </c>
      <c r="N53" s="49">
        <f t="shared" si="12"/>
        <v>14</v>
      </c>
      <c r="O53" s="9">
        <f t="shared" si="13"/>
        <v>14</v>
      </c>
      <c r="P53" s="49" t="b">
        <v>0</v>
      </c>
      <c r="Q53" s="49"/>
      <c r="R53" s="49"/>
      <c r="S53" s="49"/>
      <c r="T53" s="49"/>
      <c r="U53" s="49">
        <f t="shared" si="31"/>
        <v>14</v>
      </c>
      <c r="V53" s="49">
        <f t="shared" si="30"/>
        <v>14</v>
      </c>
      <c r="W53" s="49">
        <f>E53*N53*O53*H53*I53*J53</f>
        <v>11239424</v>
      </c>
      <c r="X53" s="10">
        <f t="shared" si="0"/>
        <v>98</v>
      </c>
      <c r="Y53" s="10">
        <f t="shared" ref="Y53:Y59" si="126">CEILING(E53*L53*M53, 16)*MIN(I53+1, CEILING(F53/L53, 1))*CEILING(G53/M53,1)*$C$1/1024</f>
        <v>14</v>
      </c>
      <c r="Z53" s="10">
        <f t="shared" si="1"/>
        <v>21.4375</v>
      </c>
      <c r="AA53" s="10">
        <f t="shared" si="37"/>
        <v>56</v>
      </c>
      <c r="AB53" s="10">
        <f t="shared" si="38"/>
        <v>16</v>
      </c>
      <c r="AC53" s="10" t="b">
        <f t="shared" si="28"/>
        <v>0</v>
      </c>
      <c r="AD53" s="56">
        <f>FLOOR(($AI$9-SUM(AA53:AA59))/(X53+X57+X58), 1)</f>
        <v>25</v>
      </c>
      <c r="AE53" s="55">
        <f t="shared" ref="AE53:AE59" si="127">AA53/MIN($AD$13:$AD$83)</f>
        <v>5.0909090909090908</v>
      </c>
      <c r="AF53" s="56">
        <f t="shared" si="119"/>
        <v>510</v>
      </c>
      <c r="AG53" s="55">
        <f t="shared" ref="AG53:AG54" si="128">X53</f>
        <v>98</v>
      </c>
      <c r="AH53" s="56">
        <f t="shared" si="18"/>
        <v>3920</v>
      </c>
      <c r="AI53" s="55">
        <f t="shared" ref="AI53:AI59" si="129">Z53</f>
        <v>21.4375</v>
      </c>
      <c r="AJ53" s="56">
        <f t="shared" si="20"/>
        <v>858</v>
      </c>
      <c r="AK53" s="57"/>
      <c r="AL53" s="57"/>
      <c r="AM53" s="57"/>
      <c r="AN53" s="21" t="str">
        <f t="shared" si="22"/>
        <v>weight</v>
      </c>
      <c r="AO53" s="31">
        <f t="shared" si="23"/>
        <v>1</v>
      </c>
      <c r="AP53" s="21">
        <f t="shared" si="103"/>
        <v>175.4375</v>
      </c>
      <c r="AQ53" s="31">
        <f t="shared" si="24"/>
        <v>17544</v>
      </c>
      <c r="AR53" s="20"/>
      <c r="AS53" s="20"/>
      <c r="AT53" s="20"/>
    </row>
    <row r="54" spans="1:46" x14ac:dyDescent="0.35">
      <c r="B54" s="74" t="s">
        <v>29</v>
      </c>
      <c r="C54" s="32" t="s">
        <v>63</v>
      </c>
      <c r="D54" s="49" t="s">
        <v>109</v>
      </c>
      <c r="E54" s="49">
        <v>512</v>
      </c>
      <c r="F54" s="49">
        <v>14</v>
      </c>
      <c r="G54" s="49">
        <v>14</v>
      </c>
      <c r="H54" s="49">
        <v>144</v>
      </c>
      <c r="I54" s="49">
        <v>1</v>
      </c>
      <c r="J54" s="49">
        <v>1</v>
      </c>
      <c r="K54" s="49" t="b">
        <v>1</v>
      </c>
      <c r="L54" s="49">
        <v>1</v>
      </c>
      <c r="M54" s="49">
        <v>1</v>
      </c>
      <c r="N54" s="49">
        <f t="shared" si="12"/>
        <v>14</v>
      </c>
      <c r="O54" s="9">
        <f t="shared" si="13"/>
        <v>14</v>
      </c>
      <c r="P54" s="49" t="b">
        <v>0</v>
      </c>
      <c r="Q54" s="49"/>
      <c r="R54" s="49"/>
      <c r="S54" s="49"/>
      <c r="T54" s="49"/>
      <c r="U54" s="49">
        <f t="shared" si="31"/>
        <v>14</v>
      </c>
      <c r="V54" s="49">
        <f t="shared" si="30"/>
        <v>14</v>
      </c>
      <c r="W54" s="49">
        <f>E54*N54*O54*H54*I54*J54</f>
        <v>14450688</v>
      </c>
      <c r="X54" s="10">
        <f t="shared" si="0"/>
        <v>98</v>
      </c>
      <c r="Y54" s="10">
        <f t="shared" si="126"/>
        <v>14</v>
      </c>
      <c r="Z54" s="10">
        <f t="shared" si="1"/>
        <v>27.5625</v>
      </c>
      <c r="AA54" s="10">
        <f t="shared" si="37"/>
        <v>72</v>
      </c>
      <c r="AB54" s="10">
        <f t="shared" si="38"/>
        <v>16</v>
      </c>
      <c r="AC54" s="10" t="b">
        <f t="shared" si="28"/>
        <v>0</v>
      </c>
      <c r="AD54" s="56">
        <f>FLOOR(($AI$9-SUM(AA53:AA59))/(X53+X57+X58), 1)</f>
        <v>25</v>
      </c>
      <c r="AE54" s="55">
        <f t="shared" si="127"/>
        <v>6.5454545454545459</v>
      </c>
      <c r="AF54" s="56">
        <f t="shared" si="119"/>
        <v>655</v>
      </c>
      <c r="AG54" s="55">
        <f t="shared" si="128"/>
        <v>98</v>
      </c>
      <c r="AH54" s="56">
        <f t="shared" si="18"/>
        <v>3920</v>
      </c>
      <c r="AI54" s="55">
        <f t="shared" si="129"/>
        <v>27.5625</v>
      </c>
      <c r="AJ54" s="56">
        <f t="shared" si="20"/>
        <v>1103</v>
      </c>
      <c r="AK54" s="57"/>
      <c r="AL54" s="57"/>
      <c r="AM54" s="57"/>
      <c r="AN54" s="21" t="str">
        <f t="shared" si="22"/>
        <v>weight</v>
      </c>
      <c r="AO54" s="31">
        <f t="shared" si="23"/>
        <v>1</v>
      </c>
      <c r="AP54" s="21">
        <f t="shared" si="103"/>
        <v>197.5625</v>
      </c>
      <c r="AQ54" s="31">
        <f t="shared" si="24"/>
        <v>19757</v>
      </c>
      <c r="AR54" s="20"/>
      <c r="AS54" s="20"/>
      <c r="AT54" s="20"/>
    </row>
    <row r="55" spans="1:46" x14ac:dyDescent="0.35">
      <c r="B55" s="74" t="s">
        <v>29</v>
      </c>
      <c r="C55" s="32" t="s">
        <v>65</v>
      </c>
      <c r="D55" s="49" t="s">
        <v>109</v>
      </c>
      <c r="E55" s="49">
        <v>512</v>
      </c>
      <c r="F55" s="49">
        <v>14</v>
      </c>
      <c r="G55" s="49">
        <v>14</v>
      </c>
      <c r="H55" s="49">
        <v>32</v>
      </c>
      <c r="I55" s="49">
        <v>1</v>
      </c>
      <c r="J55" s="49">
        <v>1</v>
      </c>
      <c r="K55" s="49" t="b">
        <v>1</v>
      </c>
      <c r="L55" s="49">
        <v>1</v>
      </c>
      <c r="M55" s="49">
        <v>1</v>
      </c>
      <c r="N55" s="49">
        <f>IF(K55=TRUE,CEILING(F55/L55,1),CEILING((F55-I55)/L55,1)+1)</f>
        <v>14</v>
      </c>
      <c r="O55" s="9">
        <f>IF(K55=TRUE,CEILING(G55/M55,1),CEILING((G55-J55)/M55,1)+1)</f>
        <v>14</v>
      </c>
      <c r="P55" s="49" t="b">
        <v>0</v>
      </c>
      <c r="Q55" s="49"/>
      <c r="R55" s="49"/>
      <c r="S55" s="49"/>
      <c r="T55" s="49"/>
      <c r="U55" s="49">
        <f>IF(P55,CEILING((N55-Q55)/S55,1)+1,N55)</f>
        <v>14</v>
      </c>
      <c r="V55" s="49">
        <f>IF(P55,CEILING((O55-R55)/T55,1)+1,O55)</f>
        <v>14</v>
      </c>
      <c r="W55" s="49">
        <f>E55*N55*O55*H55*I55*J55</f>
        <v>3211264</v>
      </c>
      <c r="X55" s="10">
        <f>CEILING(E55*L55*M55, 16)*CEILING(F55/L55, 1)*CEILING(G55/M55,1)*$C$1/1024</f>
        <v>98</v>
      </c>
      <c r="Y55" s="10">
        <f t="shared" si="126"/>
        <v>14</v>
      </c>
      <c r="Z55" s="10">
        <f>U55*V55*CEILING(H55, 16)*$C$1/1024</f>
        <v>6.125</v>
      </c>
      <c r="AA55" s="10">
        <f>CEILING(E55*L55*M55,16)*CEILING(I55/L55,1)*CEILING(J55/M55,1)*H55*$C$2*(1-$F$2)/1024</f>
        <v>16</v>
      </c>
      <c r="AB55" s="10">
        <f t="shared" si="38"/>
        <v>16</v>
      </c>
      <c r="AC55" s="10" t="b">
        <f t="shared" si="28"/>
        <v>0</v>
      </c>
      <c r="AD55" s="56">
        <f>FLOOR(($AI$9-SUM(AA53:AA59))/(X53+X57+X58), 1)</f>
        <v>25</v>
      </c>
      <c r="AE55" s="55">
        <f t="shared" si="127"/>
        <v>1.4545454545454546</v>
      </c>
      <c r="AF55" s="56">
        <f t="shared" si="119"/>
        <v>146</v>
      </c>
      <c r="AG55" s="55">
        <f>X55</f>
        <v>98</v>
      </c>
      <c r="AH55" s="56">
        <f t="shared" si="18"/>
        <v>3920</v>
      </c>
      <c r="AI55" s="55">
        <f t="shared" si="129"/>
        <v>6.125</v>
      </c>
      <c r="AJ55" s="56">
        <f t="shared" si="20"/>
        <v>245</v>
      </c>
      <c r="AK55" s="57"/>
      <c r="AL55" s="57"/>
      <c r="AM55" s="57"/>
      <c r="AN55" s="21" t="str">
        <f t="shared" si="22"/>
        <v>weight</v>
      </c>
      <c r="AO55" s="31">
        <f t="shared" si="23"/>
        <v>1</v>
      </c>
      <c r="AP55" s="21">
        <f t="shared" si="103"/>
        <v>120.125</v>
      </c>
      <c r="AQ55" s="31">
        <f t="shared" si="24"/>
        <v>12013</v>
      </c>
      <c r="AR55" s="20"/>
      <c r="AS55" s="20"/>
      <c r="AT55" s="20"/>
    </row>
    <row r="56" spans="1:46" s="6" customFormat="1" x14ac:dyDescent="0.35">
      <c r="A56" s="16"/>
      <c r="B56" s="74" t="s">
        <v>29</v>
      </c>
      <c r="C56" s="32" t="s">
        <v>138</v>
      </c>
      <c r="D56" s="49" t="s">
        <v>109</v>
      </c>
      <c r="E56" s="49">
        <f>E55</f>
        <v>512</v>
      </c>
      <c r="F56" s="49">
        <f>F55</f>
        <v>14</v>
      </c>
      <c r="G56" s="49">
        <f>G55</f>
        <v>14</v>
      </c>
      <c r="H56" s="49">
        <f>SUM(H53:H55)</f>
        <v>288</v>
      </c>
      <c r="I56" s="49">
        <f t="shared" ref="I56:P56" si="130">I55</f>
        <v>1</v>
      </c>
      <c r="J56" s="49">
        <f t="shared" si="130"/>
        <v>1</v>
      </c>
      <c r="K56" s="49" t="b">
        <f t="shared" si="130"/>
        <v>1</v>
      </c>
      <c r="L56" s="49">
        <f t="shared" si="130"/>
        <v>1</v>
      </c>
      <c r="M56" s="49">
        <f t="shared" si="130"/>
        <v>1</v>
      </c>
      <c r="N56" s="49">
        <f t="shared" si="130"/>
        <v>14</v>
      </c>
      <c r="O56" s="49">
        <f t="shared" si="130"/>
        <v>14</v>
      </c>
      <c r="P56" s="49" t="b">
        <f t="shared" si="130"/>
        <v>0</v>
      </c>
      <c r="Q56" s="49"/>
      <c r="R56" s="49"/>
      <c r="S56" s="49"/>
      <c r="T56" s="49"/>
      <c r="U56" s="49">
        <f t="shared" ref="U56" si="131">IF(P56,CEILING((N56-Q56)/S56,1)+1,N56)</f>
        <v>14</v>
      </c>
      <c r="V56" s="49">
        <f t="shared" ref="V56" si="132">IF(P56,CEILING((O56-R56)/T56,1)+1,O56)</f>
        <v>14</v>
      </c>
      <c r="W56" s="49"/>
      <c r="X56" s="10">
        <f t="shared" ref="X56" si="133">CEILING(E56*L56*M56, 16)*CEILING(F56/L56, 1)*CEILING(G56/M56,1)*$C$1/1024</f>
        <v>98</v>
      </c>
      <c r="Y56" s="10">
        <f t="shared" si="126"/>
        <v>14</v>
      </c>
      <c r="Z56" s="10">
        <f t="shared" ref="Z56" si="134">U56*V56*CEILING(H56, 16)*$C$1/1024</f>
        <v>55.125</v>
      </c>
      <c r="AA56" s="10">
        <f t="shared" ref="AA56" si="135">CEILING(E56*L56*M56,16)*CEILING(I56/L56,1)*CEILING(J56/M56,1)*H56*$C$2*(1-$F$2)/1024</f>
        <v>144</v>
      </c>
      <c r="AB56" s="10">
        <f t="shared" si="38"/>
        <v>16</v>
      </c>
      <c r="AC56" s="10" t="b">
        <f t="shared" si="28"/>
        <v>0</v>
      </c>
      <c r="AD56" s="56">
        <f>FLOOR(($AI$9-SUM(AA53:AA59))/(X53+X57+X58), 1)</f>
        <v>25</v>
      </c>
      <c r="AE56" s="55">
        <f t="shared" si="127"/>
        <v>13.090909090909092</v>
      </c>
      <c r="AF56" s="56">
        <f t="shared" si="119"/>
        <v>1310</v>
      </c>
      <c r="AG56" s="55">
        <f>X56</f>
        <v>98</v>
      </c>
      <c r="AH56" s="56">
        <f t="shared" si="18"/>
        <v>3920</v>
      </c>
      <c r="AI56" s="55">
        <f t="shared" si="129"/>
        <v>55.125</v>
      </c>
      <c r="AJ56" s="56">
        <f t="shared" si="20"/>
        <v>2205</v>
      </c>
      <c r="AK56" s="57">
        <f t="shared" ref="AK56" si="136">CEILING(E56*L56*M56, 16)*CEILING(IF(K56, F56, F56-I56+1)/L56, 1)*CEILING(IF(K56, G56, G56-J56+1)/M56,1)*CEILING(H56*IF(D56="fc", $C$9, 1), 16)*I56*J56/L56/M56/$C$4/IF(I56=3, IF(J56=3, 2.25, 1), 1)/IF(D56="fc", $C$9, 1)</f>
        <v>14112</v>
      </c>
      <c r="AL56" s="57">
        <f t="shared" ref="AL56" si="137">MAX(AF56, AH56,AJ56,AK56)</f>
        <v>14112</v>
      </c>
      <c r="AM56" s="57" t="str">
        <f t="shared" ref="AM56" si="138">IF(AL56=AK56,"MAC",IF(AL56=AJ56,"CVSRAM-W",IF(AL56=AF56,"DRAM","CVSRAM-R")))</f>
        <v>MAC</v>
      </c>
      <c r="AN56" s="21" t="str">
        <f t="shared" si="22"/>
        <v>weight</v>
      </c>
      <c r="AO56" s="31">
        <f t="shared" si="23"/>
        <v>1</v>
      </c>
      <c r="AP56" s="21">
        <f t="shared" si="103"/>
        <v>297.125</v>
      </c>
      <c r="AQ56" s="31">
        <f t="shared" si="24"/>
        <v>29713</v>
      </c>
      <c r="AR56" s="20">
        <f>CEILING(E56*L56*M56, 16)*CEILING(IF(K56, F56, F56-I56+1)/L56, 1)*CEILING(IF(K56, G56, G56-J56+1)/M56,1)*CEILING(H56*IF(D56="fc", $C$9, 1), 16)*I56*J56/L56/M56/$C$4/IF(I56=3, IF(J56=3, 2.25, 1), 1)/IF(D56="fc", $C$9, 1)</f>
        <v>14112</v>
      </c>
      <c r="AS56" s="20">
        <f t="shared" ref="AS56" si="139">MAX(AQ56:AR56)</f>
        <v>29713</v>
      </c>
      <c r="AT56" s="20" t="str">
        <f t="shared" ref="AT56" si="140">IF(AS56=AR56, "MAC", "DRAM")</f>
        <v>DRAM</v>
      </c>
    </row>
    <row r="57" spans="1:46" x14ac:dyDescent="0.35">
      <c r="B57" s="74" t="s">
        <v>29</v>
      </c>
      <c r="C57" s="32" t="s">
        <v>64</v>
      </c>
      <c r="D57" s="49" t="s">
        <v>109</v>
      </c>
      <c r="E57" s="49">
        <v>144</v>
      </c>
      <c r="F57" s="49">
        <v>14</v>
      </c>
      <c r="G57" s="49">
        <v>14</v>
      </c>
      <c r="H57" s="49">
        <v>288</v>
      </c>
      <c r="I57" s="49">
        <v>3</v>
      </c>
      <c r="J57" s="49">
        <v>3</v>
      </c>
      <c r="K57" s="49" t="b">
        <v>1</v>
      </c>
      <c r="L57" s="49">
        <v>1</v>
      </c>
      <c r="M57" s="49">
        <v>1</v>
      </c>
      <c r="N57" s="49">
        <f t="shared" si="12"/>
        <v>14</v>
      </c>
      <c r="O57" s="9">
        <f t="shared" si="13"/>
        <v>14</v>
      </c>
      <c r="P57" s="49" t="b">
        <v>0</v>
      </c>
      <c r="Q57" s="49"/>
      <c r="R57" s="49"/>
      <c r="S57" s="49"/>
      <c r="T57" s="49"/>
      <c r="U57" s="49">
        <f t="shared" si="31"/>
        <v>14</v>
      </c>
      <c r="V57" s="49">
        <f t="shared" si="30"/>
        <v>14</v>
      </c>
      <c r="W57" s="49">
        <f>E57*N57*O57*H57*I57*J57</f>
        <v>73156608</v>
      </c>
      <c r="X57" s="10">
        <f t="shared" si="0"/>
        <v>27.5625</v>
      </c>
      <c r="Y57" s="10">
        <f t="shared" si="126"/>
        <v>7.875</v>
      </c>
      <c r="Z57" s="10">
        <f t="shared" si="1"/>
        <v>55.125</v>
      </c>
      <c r="AA57" s="10">
        <f t="shared" si="37"/>
        <v>364.5</v>
      </c>
      <c r="AB57" s="10">
        <f t="shared" si="38"/>
        <v>40.5</v>
      </c>
      <c r="AC57" s="10" t="b">
        <f t="shared" si="28"/>
        <v>1</v>
      </c>
      <c r="AD57" s="56">
        <f>FLOOR(($AI$9-SUM(AA53:AA59))/(X53+X57+X58), 1)</f>
        <v>25</v>
      </c>
      <c r="AE57" s="55">
        <f t="shared" si="127"/>
        <v>33.136363636363633</v>
      </c>
      <c r="AF57" s="56">
        <f>CEILING(AE57/$C$8*$C$5, 1)</f>
        <v>3314</v>
      </c>
      <c r="AG57" s="55">
        <f>X57+AA57</f>
        <v>392.0625</v>
      </c>
      <c r="AH57" s="56">
        <f>CEILING(AG57/$C$6*$C$5, 1)</f>
        <v>15683</v>
      </c>
      <c r="AI57" s="55">
        <f t="shared" si="129"/>
        <v>55.125</v>
      </c>
      <c r="AJ57" s="56">
        <f>CEILING(AI57/$C$7*$C$5, 1)</f>
        <v>2205</v>
      </c>
      <c r="AK57" s="57">
        <f>CEILING(E57*L57*M57, 16)*CEILING(IF(K57, F57, F57-I57+1)/L57, 1)*CEILING(IF(K57, G57, G57-J57+1)/M57,1)*CEILING(H57*IF(D57="fc", $C$9, 1), 16)*I57*J57/L57/M57/$C$4/IF(I57=3, IF(J57=3, 2.25, 1), 1)/IF(D57="fc", $C$9, 1)</f>
        <v>15876</v>
      </c>
      <c r="AL57" s="57">
        <f>MAX(AF57, AH57,AJ57,AK57)</f>
        <v>15876</v>
      </c>
      <c r="AM57" s="57" t="str">
        <f>IF(AL57=AK57,"MAC",IF(AL57=AJ57,"CVSRAM-W",IF(AL57=AF57,"DRAM","CVSRAM-R")))</f>
        <v>MAC</v>
      </c>
      <c r="AN57" s="21" t="str">
        <f t="shared" si="22"/>
        <v>feature</v>
      </c>
      <c r="AO57" s="31">
        <f t="shared" si="23"/>
        <v>1</v>
      </c>
      <c r="AP57" s="21">
        <f t="shared" si="103"/>
        <v>447.1875</v>
      </c>
      <c r="AQ57" s="31">
        <f>CEILING(AP57/$C$8*$C$5, 1)</f>
        <v>44719</v>
      </c>
      <c r="AR57" s="20">
        <f>CEILING(E57*L57*M57, 16)*CEILING(IF(K57, F57, F57-I57+1)/L57, 1)*CEILING(IF(K57, G57, G57-J57+1)/M57,1)*CEILING(H57*IF(D57="fc", $C$9, 1), 16)*I57*J57/L57/M57/$C$4/IF(I57=3, IF(J57=3, 2.25, 1), 1)/IF(D57="fc", $C$9, 1)</f>
        <v>15876</v>
      </c>
      <c r="AS57" s="20">
        <f>MAX(AQ57:AR57)</f>
        <v>44719</v>
      </c>
      <c r="AT57" s="20" t="str">
        <f>IF(AS57=AR57, "MAC", "DRAM")</f>
        <v>DRAM</v>
      </c>
    </row>
    <row r="58" spans="1:46" x14ac:dyDescent="0.35">
      <c r="B58" s="74" t="s">
        <v>29</v>
      </c>
      <c r="C58" s="32" t="s">
        <v>66</v>
      </c>
      <c r="D58" s="49" t="s">
        <v>109</v>
      </c>
      <c r="E58" s="49">
        <v>32</v>
      </c>
      <c r="F58" s="49">
        <v>14</v>
      </c>
      <c r="G58" s="49">
        <v>14</v>
      </c>
      <c r="H58" s="49">
        <v>64</v>
      </c>
      <c r="I58" s="49">
        <v>5</v>
      </c>
      <c r="J58" s="49">
        <v>5</v>
      </c>
      <c r="K58" s="49" t="b">
        <v>1</v>
      </c>
      <c r="L58" s="49">
        <v>1</v>
      </c>
      <c r="M58" s="49">
        <v>1</v>
      </c>
      <c r="N58" s="49">
        <f t="shared" si="12"/>
        <v>14</v>
      </c>
      <c r="O58" s="9">
        <f t="shared" si="13"/>
        <v>14</v>
      </c>
      <c r="P58" s="49" t="b">
        <v>0</v>
      </c>
      <c r="Q58" s="49"/>
      <c r="R58" s="49"/>
      <c r="S58" s="49"/>
      <c r="T58" s="49"/>
      <c r="U58" s="49">
        <f t="shared" si="31"/>
        <v>14</v>
      </c>
      <c r="V58" s="49">
        <f t="shared" si="30"/>
        <v>14</v>
      </c>
      <c r="W58" s="49">
        <f>E58*N58*O58*H58*I58*J58</f>
        <v>10035200</v>
      </c>
      <c r="X58" s="10">
        <f t="shared" si="0"/>
        <v>6.125</v>
      </c>
      <c r="Y58" s="10">
        <f t="shared" si="126"/>
        <v>2.625</v>
      </c>
      <c r="Z58" s="10">
        <f t="shared" si="1"/>
        <v>12.25</v>
      </c>
      <c r="AA58" s="10">
        <f t="shared" si="37"/>
        <v>50</v>
      </c>
      <c r="AB58" s="10">
        <f t="shared" si="38"/>
        <v>25</v>
      </c>
      <c r="AC58" s="10" t="b">
        <f t="shared" si="28"/>
        <v>0</v>
      </c>
      <c r="AD58" s="56">
        <f>FLOOR(($AI$9-SUM(AA53:AA59))/(X53+X57+X58), 1)</f>
        <v>25</v>
      </c>
      <c r="AE58" s="55">
        <f t="shared" si="127"/>
        <v>4.5454545454545459</v>
      </c>
      <c r="AF58" s="56">
        <f t="shared" ref="AF58:AF64" si="141">CEILING(AE58/$C$8*$C$5, 1)</f>
        <v>455</v>
      </c>
      <c r="AG58" s="55">
        <f t="shared" ref="AG58:AG59" si="142">X58+AA58</f>
        <v>56.125</v>
      </c>
      <c r="AH58" s="56">
        <f t="shared" si="18"/>
        <v>2245</v>
      </c>
      <c r="AI58" s="55">
        <f t="shared" si="129"/>
        <v>12.25</v>
      </c>
      <c r="AJ58" s="56">
        <f t="shared" si="20"/>
        <v>490</v>
      </c>
      <c r="AK58" s="57">
        <f t="shared" ref="AK58:AK59" si="143">CEILING(E58*L58*M58, 16)*CEILING(IF(K58, F58, F58-I58+1)/L58, 1)*CEILING(IF(K58, G58, G58-J58+1)/M58,1)*CEILING(H58*IF(D58="fc", $C$9, 1), 16)*I58*J58/L58/M58/$C$4/IF(I58=3, IF(J58=3, 2.25, 1), 1)/IF(D58="fc", $C$9, 1)</f>
        <v>4900</v>
      </c>
      <c r="AL58" s="57">
        <f t="shared" ref="AL58:AL59" si="144">MAX(AF58, AH58,AJ58,AK58)</f>
        <v>4900</v>
      </c>
      <c r="AM58" s="57" t="str">
        <f t="shared" ref="AM58:AM59" si="145">IF(AL58=AK58,"MAC",IF(AL58=AJ58,"CVSRAM-W",IF(AL58=AF58,"DRAM","CVSRAM-R")))</f>
        <v>MAC</v>
      </c>
      <c r="AN58" s="21" t="str">
        <f t="shared" si="22"/>
        <v>feature</v>
      </c>
      <c r="AO58" s="31">
        <f t="shared" si="23"/>
        <v>1</v>
      </c>
      <c r="AP58" s="21">
        <f t="shared" si="103"/>
        <v>68.375</v>
      </c>
      <c r="AQ58" s="31">
        <f t="shared" si="24"/>
        <v>6838</v>
      </c>
      <c r="AR58" s="20">
        <f>CEILING(E58*L58*M58, 16)*CEILING(IF(K58, F58, F58-I58+1)/L58, 1)*CEILING(IF(K58, G58, G58-J58+1)/M58,1)*CEILING(H58*IF(D58="fc", $C$9, 1), 16)*I58*J58/L58/M58/$C$4/IF(I58=3, IF(J58=3, 2.25, 1), 1)/IF(D58="fc", $C$9, 1)</f>
        <v>4900</v>
      </c>
      <c r="AS58" s="20">
        <f t="shared" ref="AS58:AS59" si="146">MAX(AQ58:AR58)</f>
        <v>6838</v>
      </c>
      <c r="AT58" s="20" t="str">
        <f t="shared" ref="AT58:AT59" si="147">IF(AS58=AR58, "MAC", "DRAM")</f>
        <v>DRAM</v>
      </c>
    </row>
    <row r="59" spans="1:46" s="83" customFormat="1" x14ac:dyDescent="0.35">
      <c r="B59" s="61" t="s">
        <v>29</v>
      </c>
      <c r="C59" s="82" t="s">
        <v>67</v>
      </c>
      <c r="D59" s="13" t="s">
        <v>109</v>
      </c>
      <c r="E59" s="13">
        <v>512</v>
      </c>
      <c r="F59" s="13">
        <v>14</v>
      </c>
      <c r="G59" s="13">
        <v>14</v>
      </c>
      <c r="H59" s="13">
        <v>64</v>
      </c>
      <c r="I59" s="13">
        <v>1</v>
      </c>
      <c r="J59" s="13">
        <v>1</v>
      </c>
      <c r="K59" s="13" t="b">
        <v>1</v>
      </c>
      <c r="L59" s="13">
        <v>1</v>
      </c>
      <c r="M59" s="13">
        <v>1</v>
      </c>
      <c r="N59" s="13">
        <f t="shared" si="12"/>
        <v>14</v>
      </c>
      <c r="O59" s="14">
        <f t="shared" si="13"/>
        <v>14</v>
      </c>
      <c r="P59" s="13" t="b">
        <v>0</v>
      </c>
      <c r="Q59" s="13"/>
      <c r="R59" s="13"/>
      <c r="S59" s="13"/>
      <c r="T59" s="13"/>
      <c r="U59" s="13">
        <f t="shared" si="31"/>
        <v>14</v>
      </c>
      <c r="V59" s="13">
        <f t="shared" si="30"/>
        <v>14</v>
      </c>
      <c r="W59" s="13">
        <f>E59*N59*O59*H59*I59*J59</f>
        <v>6422528</v>
      </c>
      <c r="X59" s="15">
        <f t="shared" si="0"/>
        <v>98</v>
      </c>
      <c r="Y59" s="15">
        <f t="shared" si="126"/>
        <v>14</v>
      </c>
      <c r="Z59" s="15">
        <f t="shared" si="1"/>
        <v>12.25</v>
      </c>
      <c r="AA59" s="15">
        <f t="shared" si="37"/>
        <v>32</v>
      </c>
      <c r="AB59" s="15">
        <f t="shared" si="38"/>
        <v>16</v>
      </c>
      <c r="AC59" s="15" t="b">
        <f t="shared" si="28"/>
        <v>0</v>
      </c>
      <c r="AD59" s="63">
        <f>FLOOR(($AI$9-SUM(AA53:AA59))/(X53+X57+X58), 1)</f>
        <v>25</v>
      </c>
      <c r="AE59" s="55">
        <f t="shared" si="127"/>
        <v>2.9090909090909092</v>
      </c>
      <c r="AF59" s="56">
        <f t="shared" si="141"/>
        <v>291</v>
      </c>
      <c r="AG59" s="55">
        <f t="shared" si="142"/>
        <v>130</v>
      </c>
      <c r="AH59" s="56">
        <f t="shared" si="18"/>
        <v>5200</v>
      </c>
      <c r="AI59" s="55">
        <f t="shared" si="129"/>
        <v>12.25</v>
      </c>
      <c r="AJ59" s="56">
        <f t="shared" si="20"/>
        <v>490</v>
      </c>
      <c r="AK59" s="56">
        <f t="shared" si="143"/>
        <v>3136</v>
      </c>
      <c r="AL59" s="56">
        <f t="shared" si="144"/>
        <v>5200</v>
      </c>
      <c r="AM59" s="56" t="str">
        <f t="shared" si="145"/>
        <v>CVSRAM-R</v>
      </c>
      <c r="AN59" s="26" t="str">
        <f t="shared" si="22"/>
        <v>weight</v>
      </c>
      <c r="AO59" s="25">
        <f t="shared" si="23"/>
        <v>1</v>
      </c>
      <c r="AP59" s="26">
        <f t="shared" si="103"/>
        <v>142.25</v>
      </c>
      <c r="AQ59" s="25">
        <f t="shared" si="24"/>
        <v>14225</v>
      </c>
      <c r="AR59" s="25">
        <f>CEILING(E59*L59*M59, 16)*CEILING(IF(K59, F59, F59-I59+1)/L59, 1)*CEILING(IF(K59, G59, G59-J59+1)/M59,1)*CEILING(H59*IF(D59="fc", $C$9, 1), 16)*I59*J59/L59/M59/$C$4/IF(I59=3, IF(J59=3, 2.25, 1), 1)/IF(D59="fc", $C$9, 1)</f>
        <v>3136</v>
      </c>
      <c r="AS59" s="25">
        <f t="shared" si="146"/>
        <v>14225</v>
      </c>
      <c r="AT59" s="25" t="str">
        <f t="shared" si="147"/>
        <v>DRAM</v>
      </c>
    </row>
    <row r="60" spans="1:46" s="13" customFormat="1" x14ac:dyDescent="0.35">
      <c r="A60" s="11"/>
      <c r="B60" s="61"/>
      <c r="C60" s="82"/>
      <c r="O60" s="14"/>
      <c r="X60" s="15"/>
      <c r="Y60" s="15"/>
      <c r="Z60" s="15"/>
      <c r="AA60" s="15"/>
      <c r="AB60" s="15"/>
      <c r="AC60" s="15"/>
      <c r="AD60" s="63"/>
      <c r="AE60" s="62">
        <f>X53+Z53+Z57+Z58+Z59+SUM(AA56:AA59)/MIN($AD$13:$AD$83)</f>
        <v>252.74431818181819</v>
      </c>
      <c r="AF60" s="63">
        <f t="shared" si="141"/>
        <v>25275</v>
      </c>
      <c r="AG60" s="62"/>
      <c r="AH60" s="63"/>
      <c r="AI60" s="62"/>
      <c r="AJ60" s="63"/>
      <c r="AK60" s="63"/>
      <c r="AL60" s="63">
        <f>MAX(0, AF60-AL56-AL57-AL58-AL59)</f>
        <v>0</v>
      </c>
      <c r="AM60" s="63" t="str">
        <f>IF(AL60&gt;0, "DRAM", "NONE")</f>
        <v>NONE</v>
      </c>
      <c r="AN60" s="26"/>
      <c r="AO60" s="25">
        <f t="shared" si="23"/>
        <v>1</v>
      </c>
      <c r="AP60" s="26"/>
      <c r="AQ60" s="25"/>
      <c r="AR60" s="25"/>
      <c r="AS60" s="25"/>
      <c r="AT60" s="25"/>
    </row>
    <row r="61" spans="1:46" x14ac:dyDescent="0.35">
      <c r="B61" s="74" t="s">
        <v>29</v>
      </c>
      <c r="C61" s="32" t="s">
        <v>68</v>
      </c>
      <c r="D61" s="49" t="s">
        <v>109</v>
      </c>
      <c r="E61" s="49">
        <v>528</v>
      </c>
      <c r="F61" s="49">
        <v>14</v>
      </c>
      <c r="G61" s="49">
        <v>14</v>
      </c>
      <c r="H61" s="49">
        <v>256</v>
      </c>
      <c r="I61" s="49">
        <v>1</v>
      </c>
      <c r="J61" s="49">
        <v>1</v>
      </c>
      <c r="K61" s="49" t="b">
        <v>1</v>
      </c>
      <c r="L61" s="49">
        <v>1</v>
      </c>
      <c r="M61" s="49">
        <v>1</v>
      </c>
      <c r="N61" s="49">
        <f t="shared" si="12"/>
        <v>14</v>
      </c>
      <c r="O61" s="9">
        <f t="shared" si="13"/>
        <v>14</v>
      </c>
      <c r="P61" s="49" t="b">
        <v>0</v>
      </c>
      <c r="Q61" s="49"/>
      <c r="R61" s="49"/>
      <c r="S61" s="49"/>
      <c r="T61" s="49"/>
      <c r="U61" s="49">
        <f t="shared" si="31"/>
        <v>14</v>
      </c>
      <c r="V61" s="49">
        <f t="shared" si="30"/>
        <v>14</v>
      </c>
      <c r="W61" s="49">
        <f>E61*N61*O61*H61*I61*J61</f>
        <v>26492928</v>
      </c>
      <c r="X61" s="10">
        <f t="shared" si="0"/>
        <v>101.0625</v>
      </c>
      <c r="Y61" s="10">
        <f t="shared" ref="Y61:Y67" si="148">CEILING(E61*L61*M61, 16)*MIN(I61+1, CEILING(F61/L61, 1))*CEILING(G61/M61,1)*$C$1/1024</f>
        <v>14.4375</v>
      </c>
      <c r="Z61" s="10">
        <f t="shared" si="1"/>
        <v>49</v>
      </c>
      <c r="AA61" s="10">
        <f t="shared" si="37"/>
        <v>132</v>
      </c>
      <c r="AB61" s="10">
        <f t="shared" si="38"/>
        <v>16.5</v>
      </c>
      <c r="AC61" s="10" t="b">
        <f t="shared" si="28"/>
        <v>0</v>
      </c>
      <c r="AD61" s="56">
        <f>FLOOR(($AI$9-SUM(AA61:AA67))/(X61+X65+X66), 1)</f>
        <v>21</v>
      </c>
      <c r="AE61" s="55">
        <f t="shared" ref="AE61:AE67" si="149">AA61/MIN($AD$13:$AD$83)</f>
        <v>12</v>
      </c>
      <c r="AF61" s="56">
        <f t="shared" si="141"/>
        <v>1200</v>
      </c>
      <c r="AG61" s="55">
        <f t="shared" ref="AG61:AG62" si="150">X61</f>
        <v>101.0625</v>
      </c>
      <c r="AH61" s="56">
        <f t="shared" si="18"/>
        <v>4043</v>
      </c>
      <c r="AI61" s="55">
        <f t="shared" ref="AI61:AI67" si="151">Z61</f>
        <v>49</v>
      </c>
      <c r="AJ61" s="56">
        <f t="shared" si="20"/>
        <v>1960</v>
      </c>
      <c r="AK61" s="57"/>
      <c r="AL61" s="57"/>
      <c r="AM61" s="57"/>
      <c r="AN61" s="21" t="str">
        <f t="shared" si="22"/>
        <v>weight</v>
      </c>
      <c r="AO61" s="31">
        <f t="shared" si="23"/>
        <v>1</v>
      </c>
      <c r="AP61" s="21">
        <f t="shared" si="103"/>
        <v>282.0625</v>
      </c>
      <c r="AQ61" s="31">
        <f t="shared" si="24"/>
        <v>28207</v>
      </c>
      <c r="AR61" s="20"/>
      <c r="AS61" s="20"/>
      <c r="AT61" s="20"/>
    </row>
    <row r="62" spans="1:46" x14ac:dyDescent="0.35">
      <c r="B62" s="74" t="s">
        <v>29</v>
      </c>
      <c r="C62" s="32" t="s">
        <v>69</v>
      </c>
      <c r="D62" s="49" t="s">
        <v>109</v>
      </c>
      <c r="E62" s="49">
        <v>528</v>
      </c>
      <c r="F62" s="49">
        <v>14</v>
      </c>
      <c r="G62" s="49">
        <v>14</v>
      </c>
      <c r="H62" s="49">
        <v>160</v>
      </c>
      <c r="I62" s="49">
        <v>1</v>
      </c>
      <c r="J62" s="49">
        <v>1</v>
      </c>
      <c r="K62" s="49" t="b">
        <v>1</v>
      </c>
      <c r="L62" s="49">
        <v>1</v>
      </c>
      <c r="M62" s="49">
        <v>1</v>
      </c>
      <c r="N62" s="49">
        <f t="shared" si="12"/>
        <v>14</v>
      </c>
      <c r="O62" s="9">
        <f t="shared" si="13"/>
        <v>14</v>
      </c>
      <c r="P62" s="49" t="b">
        <v>0</v>
      </c>
      <c r="Q62" s="49"/>
      <c r="R62" s="49"/>
      <c r="S62" s="49"/>
      <c r="T62" s="49"/>
      <c r="U62" s="49">
        <f t="shared" si="31"/>
        <v>14</v>
      </c>
      <c r="V62" s="49">
        <f t="shared" si="30"/>
        <v>14</v>
      </c>
      <c r="W62" s="49">
        <f>E62*N62*O62*H62*I62*J62</f>
        <v>16558080</v>
      </c>
      <c r="X62" s="10">
        <f t="shared" si="0"/>
        <v>101.0625</v>
      </c>
      <c r="Y62" s="10">
        <f t="shared" si="148"/>
        <v>14.4375</v>
      </c>
      <c r="Z62" s="10">
        <f t="shared" si="1"/>
        <v>30.625</v>
      </c>
      <c r="AA62" s="10">
        <f t="shared" si="37"/>
        <v>82.5</v>
      </c>
      <c r="AB62" s="10">
        <f t="shared" si="38"/>
        <v>16.5</v>
      </c>
      <c r="AC62" s="10" t="b">
        <f t="shared" si="28"/>
        <v>0</v>
      </c>
      <c r="AD62" s="56">
        <f>FLOOR(($AI$9-SUM(AA61:AA67))/(X61+X65+X66), 1)</f>
        <v>21</v>
      </c>
      <c r="AE62" s="55">
        <f t="shared" si="149"/>
        <v>7.5</v>
      </c>
      <c r="AF62" s="56">
        <f t="shared" si="141"/>
        <v>750</v>
      </c>
      <c r="AG62" s="55">
        <f t="shared" si="150"/>
        <v>101.0625</v>
      </c>
      <c r="AH62" s="56">
        <f t="shared" si="18"/>
        <v>4043</v>
      </c>
      <c r="AI62" s="55">
        <f t="shared" si="151"/>
        <v>30.625</v>
      </c>
      <c r="AJ62" s="56">
        <f t="shared" si="20"/>
        <v>1225</v>
      </c>
      <c r="AK62" s="57"/>
      <c r="AL62" s="57"/>
      <c r="AM62" s="57"/>
      <c r="AN62" s="21" t="str">
        <f t="shared" si="22"/>
        <v>weight</v>
      </c>
      <c r="AO62" s="31">
        <f t="shared" si="23"/>
        <v>1</v>
      </c>
      <c r="AP62" s="21">
        <f t="shared" si="103"/>
        <v>214.1875</v>
      </c>
      <c r="AQ62" s="31">
        <f t="shared" si="24"/>
        <v>21419</v>
      </c>
      <c r="AR62" s="20"/>
      <c r="AS62" s="20"/>
      <c r="AT62" s="20"/>
    </row>
    <row r="63" spans="1:46" x14ac:dyDescent="0.35">
      <c r="B63" s="74" t="s">
        <v>29</v>
      </c>
      <c r="C63" s="32" t="s">
        <v>71</v>
      </c>
      <c r="D63" s="49" t="s">
        <v>109</v>
      </c>
      <c r="E63" s="49">
        <v>528</v>
      </c>
      <c r="F63" s="49">
        <v>14</v>
      </c>
      <c r="G63" s="49">
        <v>14</v>
      </c>
      <c r="H63" s="49">
        <v>32</v>
      </c>
      <c r="I63" s="49">
        <v>1</v>
      </c>
      <c r="J63" s="49">
        <v>1</v>
      </c>
      <c r="K63" s="49" t="b">
        <v>1</v>
      </c>
      <c r="L63" s="49">
        <v>1</v>
      </c>
      <c r="M63" s="49">
        <v>1</v>
      </c>
      <c r="N63" s="49">
        <f>IF(K63=TRUE,CEILING(F63/L63,1),CEILING((F63-I63)/L63,1)+1)</f>
        <v>14</v>
      </c>
      <c r="O63" s="9">
        <f>IF(K63=TRUE,CEILING(G63/M63,1),CEILING((G63-J63)/M63,1)+1)</f>
        <v>14</v>
      </c>
      <c r="P63" s="49" t="b">
        <v>0</v>
      </c>
      <c r="Q63" s="49"/>
      <c r="R63" s="49"/>
      <c r="S63" s="49"/>
      <c r="T63" s="49"/>
      <c r="U63" s="49">
        <f>IF(P63,CEILING((N63-Q63)/S63,1)+1,N63)</f>
        <v>14</v>
      </c>
      <c r="V63" s="49">
        <f>IF(P63,CEILING((O63-R63)/T63,1)+1,O63)</f>
        <v>14</v>
      </c>
      <c r="W63" s="49">
        <f>E63*N63*O63*H63*I63*J63</f>
        <v>3311616</v>
      </c>
      <c r="X63" s="10">
        <f>CEILING(E63*L63*M63, 16)*CEILING(F63/L63, 1)*CEILING(G63/M63,1)*$C$1/1024</f>
        <v>101.0625</v>
      </c>
      <c r="Y63" s="10">
        <f t="shared" si="148"/>
        <v>14.4375</v>
      </c>
      <c r="Z63" s="10">
        <f>U63*V63*CEILING(H63, 16)*$C$1/1024</f>
        <v>6.125</v>
      </c>
      <c r="AA63" s="10">
        <f>CEILING(E63*L63*M63,16)*CEILING(I63/L63,1)*CEILING(J63/M63,1)*H63*$C$2*(1-$F$2)/1024</f>
        <v>16.5</v>
      </c>
      <c r="AB63" s="10">
        <f t="shared" si="38"/>
        <v>16.5</v>
      </c>
      <c r="AC63" s="10" t="b">
        <f t="shared" si="28"/>
        <v>0</v>
      </c>
      <c r="AD63" s="56">
        <f>FLOOR(($AI$9-SUM(AA61:AA67))/(X61+X65+X66), 1)</f>
        <v>21</v>
      </c>
      <c r="AE63" s="55">
        <f t="shared" si="149"/>
        <v>1.5</v>
      </c>
      <c r="AF63" s="56">
        <f t="shared" si="141"/>
        <v>150</v>
      </c>
      <c r="AG63" s="55">
        <f>X63</f>
        <v>101.0625</v>
      </c>
      <c r="AH63" s="56">
        <f t="shared" si="18"/>
        <v>4043</v>
      </c>
      <c r="AI63" s="55">
        <f t="shared" si="151"/>
        <v>6.125</v>
      </c>
      <c r="AJ63" s="56">
        <f t="shared" si="20"/>
        <v>245</v>
      </c>
      <c r="AK63" s="57"/>
      <c r="AL63" s="57"/>
      <c r="AM63" s="57"/>
      <c r="AN63" s="21" t="str">
        <f t="shared" si="22"/>
        <v>weight</v>
      </c>
      <c r="AO63" s="31">
        <f t="shared" si="23"/>
        <v>1</v>
      </c>
      <c r="AP63" s="21">
        <f t="shared" si="103"/>
        <v>123.6875</v>
      </c>
      <c r="AQ63" s="31">
        <f t="shared" si="24"/>
        <v>12369</v>
      </c>
      <c r="AR63" s="20"/>
      <c r="AS63" s="20"/>
      <c r="AT63" s="20"/>
    </row>
    <row r="64" spans="1:46" s="6" customFormat="1" x14ac:dyDescent="0.35">
      <c r="A64" s="16"/>
      <c r="B64" s="74" t="s">
        <v>29</v>
      </c>
      <c r="C64" s="32" t="s">
        <v>126</v>
      </c>
      <c r="D64" s="49" t="s">
        <v>109</v>
      </c>
      <c r="E64" s="49">
        <f>E63</f>
        <v>528</v>
      </c>
      <c r="F64" s="49">
        <f>F63</f>
        <v>14</v>
      </c>
      <c r="G64" s="49">
        <f>G63</f>
        <v>14</v>
      </c>
      <c r="H64" s="49">
        <f>SUM(H61:H63)</f>
        <v>448</v>
      </c>
      <c r="I64" s="49">
        <f t="shared" ref="I64:P64" si="152">I63</f>
        <v>1</v>
      </c>
      <c r="J64" s="49">
        <f t="shared" si="152"/>
        <v>1</v>
      </c>
      <c r="K64" s="49" t="b">
        <f t="shared" si="152"/>
        <v>1</v>
      </c>
      <c r="L64" s="49">
        <f t="shared" si="152"/>
        <v>1</v>
      </c>
      <c r="M64" s="49">
        <f t="shared" si="152"/>
        <v>1</v>
      </c>
      <c r="N64" s="49">
        <f t="shared" si="152"/>
        <v>14</v>
      </c>
      <c r="O64" s="49">
        <f t="shared" si="152"/>
        <v>14</v>
      </c>
      <c r="P64" s="49" t="b">
        <f t="shared" si="152"/>
        <v>0</v>
      </c>
      <c r="Q64" s="49"/>
      <c r="R64" s="49"/>
      <c r="S64" s="49"/>
      <c r="T64" s="49"/>
      <c r="U64" s="49">
        <f t="shared" ref="U64" si="153">IF(P64,CEILING((N64-Q64)/S64,1)+1,N64)</f>
        <v>14</v>
      </c>
      <c r="V64" s="49">
        <f t="shared" ref="V64" si="154">IF(P64,CEILING((O64-R64)/T64,1)+1,O64)</f>
        <v>14</v>
      </c>
      <c r="W64" s="49"/>
      <c r="X64" s="10">
        <f t="shared" ref="X64" si="155">CEILING(E64*L64*M64, 16)*CEILING(F64/L64, 1)*CEILING(G64/M64,1)*$C$1/1024</f>
        <v>101.0625</v>
      </c>
      <c r="Y64" s="10">
        <f t="shared" si="148"/>
        <v>14.4375</v>
      </c>
      <c r="Z64" s="10">
        <f t="shared" ref="Z64" si="156">U64*V64*CEILING(H64, 16)*$C$1/1024</f>
        <v>85.75</v>
      </c>
      <c r="AA64" s="10">
        <f t="shared" ref="AA64" si="157">CEILING(E64*L64*M64,16)*CEILING(I64/L64,1)*CEILING(J64/M64,1)*H64*$C$2*(1-$F$2)/1024</f>
        <v>231</v>
      </c>
      <c r="AB64" s="10">
        <f t="shared" si="38"/>
        <v>16.5</v>
      </c>
      <c r="AC64" s="10" t="b">
        <f t="shared" si="28"/>
        <v>0</v>
      </c>
      <c r="AD64" s="56">
        <f>FLOOR(($AI$9-SUM(AA61:AA67))/(X61+X65+X66), 1)</f>
        <v>21</v>
      </c>
      <c r="AE64" s="55">
        <f t="shared" si="149"/>
        <v>21</v>
      </c>
      <c r="AF64" s="56">
        <f t="shared" si="141"/>
        <v>2100</v>
      </c>
      <c r="AG64" s="55">
        <f>X64</f>
        <v>101.0625</v>
      </c>
      <c r="AH64" s="56">
        <f t="shared" si="18"/>
        <v>4043</v>
      </c>
      <c r="AI64" s="55">
        <f t="shared" si="151"/>
        <v>85.75</v>
      </c>
      <c r="AJ64" s="56">
        <f t="shared" si="20"/>
        <v>3430</v>
      </c>
      <c r="AK64" s="57">
        <f t="shared" ref="AK64" si="158">CEILING(E64*L64*M64, 16)*CEILING(IF(K64, F64, F64-I64+1)/L64, 1)*CEILING(IF(K64, G64, G64-J64+1)/M64,1)*CEILING(H64*IF(D64="fc", $C$9, 1), 16)*I64*J64/L64/M64/$C$4/IF(I64=3, IF(J64=3, 2.25, 1), 1)/IF(D64="fc", $C$9, 1)</f>
        <v>22638</v>
      </c>
      <c r="AL64" s="57">
        <f t="shared" ref="AL64" si="159">MAX(AF64, AH64,AJ64,AK64)</f>
        <v>22638</v>
      </c>
      <c r="AM64" s="57" t="str">
        <f t="shared" ref="AM64" si="160">IF(AL64=AK64,"MAC",IF(AL64=AJ64,"CVSRAM-W",IF(AL64=AF64,"DRAM","CVSRAM-R")))</f>
        <v>MAC</v>
      </c>
      <c r="AN64" s="21" t="str">
        <f t="shared" si="22"/>
        <v>weight</v>
      </c>
      <c r="AO64" s="31">
        <f t="shared" si="23"/>
        <v>1</v>
      </c>
      <c r="AP64" s="21">
        <f t="shared" si="103"/>
        <v>417.8125</v>
      </c>
      <c r="AQ64" s="31">
        <f t="shared" si="24"/>
        <v>41782</v>
      </c>
      <c r="AR64" s="20">
        <f>CEILING(E64*L64*M64, 16)*CEILING(IF(K64, F64, F64-I64+1)/L64, 1)*CEILING(IF(K64, G64, G64-J64+1)/M64,1)*CEILING(H64*IF(D64="fc", $C$9, 1), 16)*I64*J64/L64/M64/$C$4/IF(I64=3, IF(J64=3, 2.25, 1), 1)/IF(D64="fc", $C$9, 1)</f>
        <v>22638</v>
      </c>
      <c r="AS64" s="20">
        <f t="shared" ref="AS64" si="161">MAX(AQ64:AR64)</f>
        <v>41782</v>
      </c>
      <c r="AT64" s="20" t="str">
        <f t="shared" ref="AT64" si="162">IF(AS64=AR64, "MAC", "DRAM")</f>
        <v>DRAM</v>
      </c>
    </row>
    <row r="65" spans="1:46" x14ac:dyDescent="0.35">
      <c r="B65" s="74" t="s">
        <v>29</v>
      </c>
      <c r="C65" s="32" t="s">
        <v>70</v>
      </c>
      <c r="D65" s="49" t="s">
        <v>109</v>
      </c>
      <c r="E65" s="49">
        <v>160</v>
      </c>
      <c r="F65" s="49">
        <v>14</v>
      </c>
      <c r="G65" s="49">
        <v>14</v>
      </c>
      <c r="H65" s="49">
        <v>320</v>
      </c>
      <c r="I65" s="49">
        <v>3</v>
      </c>
      <c r="J65" s="49">
        <v>3</v>
      </c>
      <c r="K65" s="49" t="b">
        <v>1</v>
      </c>
      <c r="L65" s="49">
        <v>1</v>
      </c>
      <c r="M65" s="49">
        <v>1</v>
      </c>
      <c r="N65" s="49">
        <f t="shared" si="12"/>
        <v>14</v>
      </c>
      <c r="O65" s="9">
        <f t="shared" si="13"/>
        <v>14</v>
      </c>
      <c r="P65" s="49" t="b">
        <v>0</v>
      </c>
      <c r="Q65" s="49"/>
      <c r="R65" s="49"/>
      <c r="S65" s="49"/>
      <c r="T65" s="49"/>
      <c r="U65" s="49">
        <f t="shared" si="31"/>
        <v>14</v>
      </c>
      <c r="V65" s="49">
        <f t="shared" si="30"/>
        <v>14</v>
      </c>
      <c r="W65" s="49">
        <f>E65*N65*O65*H65*I65*J65</f>
        <v>90316800</v>
      </c>
      <c r="X65" s="10">
        <f t="shared" si="0"/>
        <v>30.625</v>
      </c>
      <c r="Y65" s="10">
        <f t="shared" si="148"/>
        <v>8.75</v>
      </c>
      <c r="Z65" s="10">
        <f t="shared" si="1"/>
        <v>61.25</v>
      </c>
      <c r="AA65" s="10">
        <f t="shared" si="37"/>
        <v>450</v>
      </c>
      <c r="AB65" s="10">
        <f t="shared" si="38"/>
        <v>45</v>
      </c>
      <c r="AC65" s="10" t="b">
        <f t="shared" si="28"/>
        <v>1</v>
      </c>
      <c r="AD65" s="56">
        <f>FLOOR(($AI$9-SUM(AA61:AA67))/(X61+X65+X66), 1)</f>
        <v>21</v>
      </c>
      <c r="AE65" s="55">
        <f t="shared" si="149"/>
        <v>40.909090909090907</v>
      </c>
      <c r="AF65" s="56">
        <f>CEILING(AE65/$C$8*$C$5, 1)</f>
        <v>4091</v>
      </c>
      <c r="AG65" s="55">
        <f>X65+AA65</f>
        <v>480.625</v>
      </c>
      <c r="AH65" s="56">
        <f>CEILING(AG65/$C$6*$C$5, 1)</f>
        <v>19225</v>
      </c>
      <c r="AI65" s="55">
        <f t="shared" si="151"/>
        <v>61.25</v>
      </c>
      <c r="AJ65" s="56">
        <f>CEILING(AI65/$C$7*$C$5, 1)</f>
        <v>2450</v>
      </c>
      <c r="AK65" s="57">
        <f>CEILING(E65*L65*M65, 16)*CEILING(IF(K65, F65, F65-I65+1)/L65, 1)*CEILING(IF(K65, G65, G65-J65+1)/M65,1)*CEILING(H65*IF(D65="fc", $C$9, 1), 16)*I65*J65/L65/M65/$C$4/IF(I65=3, IF(J65=3, 2.25, 1), 1)/IF(D65="fc", $C$9, 1)</f>
        <v>19600</v>
      </c>
      <c r="AL65" s="57">
        <f>MAX(AF65, AH65,AJ65,AK65)</f>
        <v>19600</v>
      </c>
      <c r="AM65" s="57" t="str">
        <f>IF(AL65=AK65,"MAC",IF(AL65=AJ65,"CVSRAM-W",IF(AL65=AF65,"DRAM","CVSRAM-R")))</f>
        <v>MAC</v>
      </c>
      <c r="AN65" s="21" t="str">
        <f t="shared" si="22"/>
        <v>feature</v>
      </c>
      <c r="AO65" s="31">
        <f t="shared" si="23"/>
        <v>1</v>
      </c>
      <c r="AP65" s="21">
        <f t="shared" si="103"/>
        <v>541.875</v>
      </c>
      <c r="AQ65" s="31">
        <f>CEILING(AP65/$C$8*$C$5, 1)</f>
        <v>54188</v>
      </c>
      <c r="AR65" s="20">
        <f>CEILING(E65*L65*M65, 16)*CEILING(IF(K65, F65, F65-I65+1)/L65, 1)*CEILING(IF(K65, G65, G65-J65+1)/M65,1)*CEILING(H65*IF(D65="fc", $C$9, 1), 16)*I65*J65/L65/M65/$C$4/IF(I65=3, IF(J65=3, 2.25, 1), 1)/IF(D65="fc", $C$9, 1)</f>
        <v>19600</v>
      </c>
      <c r="AS65" s="20">
        <f>MAX(AQ65:AR65)</f>
        <v>54188</v>
      </c>
      <c r="AT65" s="20" t="str">
        <f>IF(AS65=AR65, "MAC", "DRAM")</f>
        <v>DRAM</v>
      </c>
    </row>
    <row r="66" spans="1:46" x14ac:dyDescent="0.35">
      <c r="B66" s="74" t="s">
        <v>29</v>
      </c>
      <c r="C66" s="32" t="s">
        <v>72</v>
      </c>
      <c r="D66" s="49" t="s">
        <v>109</v>
      </c>
      <c r="E66" s="49">
        <v>32</v>
      </c>
      <c r="F66" s="49">
        <v>14</v>
      </c>
      <c r="G66" s="49">
        <v>14</v>
      </c>
      <c r="H66" s="49">
        <v>128</v>
      </c>
      <c r="I66" s="49">
        <v>5</v>
      </c>
      <c r="J66" s="49">
        <v>5</v>
      </c>
      <c r="K66" s="49" t="b">
        <v>1</v>
      </c>
      <c r="L66" s="49">
        <v>1</v>
      </c>
      <c r="M66" s="49">
        <v>1</v>
      </c>
      <c r="N66" s="49">
        <f t="shared" si="12"/>
        <v>14</v>
      </c>
      <c r="O66" s="9">
        <f t="shared" si="13"/>
        <v>14</v>
      </c>
      <c r="P66" s="49" t="b">
        <v>0</v>
      </c>
      <c r="Q66" s="49"/>
      <c r="R66" s="49"/>
      <c r="S66" s="49"/>
      <c r="T66" s="49"/>
      <c r="U66" s="49">
        <f t="shared" si="31"/>
        <v>14</v>
      </c>
      <c r="V66" s="49">
        <f t="shared" si="30"/>
        <v>14</v>
      </c>
      <c r="W66" s="49">
        <f>E66*N66*O66*H66*I66*J66</f>
        <v>20070400</v>
      </c>
      <c r="X66" s="10">
        <f t="shared" si="0"/>
        <v>6.125</v>
      </c>
      <c r="Y66" s="10">
        <f t="shared" si="148"/>
        <v>2.625</v>
      </c>
      <c r="Z66" s="10">
        <f t="shared" si="1"/>
        <v>24.5</v>
      </c>
      <c r="AA66" s="10">
        <f t="shared" si="37"/>
        <v>100</v>
      </c>
      <c r="AB66" s="10">
        <f t="shared" si="38"/>
        <v>25</v>
      </c>
      <c r="AC66" s="10" t="b">
        <f t="shared" si="28"/>
        <v>0</v>
      </c>
      <c r="AD66" s="56">
        <f>FLOOR(($AI$9-SUM(AA61:AA67))/(X61+X65+X66), 1)</f>
        <v>21</v>
      </c>
      <c r="AE66" s="55">
        <f t="shared" si="149"/>
        <v>9.0909090909090917</v>
      </c>
      <c r="AF66" s="56">
        <f t="shared" ref="AF66:AF68" si="163">CEILING(AE66/$C$8*$C$5, 1)</f>
        <v>910</v>
      </c>
      <c r="AG66" s="55">
        <f t="shared" ref="AG66:AG67" si="164">X66+AA66</f>
        <v>106.125</v>
      </c>
      <c r="AH66" s="56">
        <f t="shared" si="18"/>
        <v>4245</v>
      </c>
      <c r="AI66" s="55">
        <f t="shared" si="151"/>
        <v>24.5</v>
      </c>
      <c r="AJ66" s="56">
        <f t="shared" si="20"/>
        <v>980</v>
      </c>
      <c r="AK66" s="57">
        <f t="shared" ref="AK66:AK67" si="165">CEILING(E66*L66*M66, 16)*CEILING(IF(K66, F66, F66-I66+1)/L66, 1)*CEILING(IF(K66, G66, G66-J66+1)/M66,1)*CEILING(H66*IF(D66="fc", $C$9, 1), 16)*I66*J66/L66/M66/$C$4/IF(I66=3, IF(J66=3, 2.25, 1), 1)/IF(D66="fc", $C$9, 1)</f>
        <v>9800</v>
      </c>
      <c r="AL66" s="57">
        <f t="shared" ref="AL66:AL67" si="166">MAX(AF66, AH66,AJ66,AK66)</f>
        <v>9800</v>
      </c>
      <c r="AM66" s="57" t="str">
        <f t="shared" ref="AM66:AM67" si="167">IF(AL66=AK66,"MAC",IF(AL66=AJ66,"CVSRAM-W",IF(AL66=AF66,"DRAM","CVSRAM-R")))</f>
        <v>MAC</v>
      </c>
      <c r="AN66" s="21" t="str">
        <f t="shared" si="22"/>
        <v>feature</v>
      </c>
      <c r="AO66" s="31">
        <f t="shared" si="23"/>
        <v>1</v>
      </c>
      <c r="AP66" s="21">
        <f t="shared" si="103"/>
        <v>130.625</v>
      </c>
      <c r="AQ66" s="31">
        <f t="shared" si="24"/>
        <v>13063</v>
      </c>
      <c r="AR66" s="20">
        <f>CEILING(E66*L66*M66, 16)*CEILING(IF(K66, F66, F66-I66+1)/L66, 1)*CEILING(IF(K66, G66, G66-J66+1)/M66,1)*CEILING(H66*IF(D66="fc", $C$9, 1), 16)*I66*J66/L66/M66/$C$4/IF(I66=3, IF(J66=3, 2.25, 1), 1)/IF(D66="fc", $C$9, 1)</f>
        <v>9800</v>
      </c>
      <c r="AS66" s="20">
        <f t="shared" ref="AS66:AS67" si="168">MAX(AQ66:AR66)</f>
        <v>13063</v>
      </c>
      <c r="AT66" s="20" t="str">
        <f t="shared" ref="AT66:AT67" si="169">IF(AS66=AR66, "MAC", "DRAM")</f>
        <v>DRAM</v>
      </c>
    </row>
    <row r="67" spans="1:46" s="83" customFormat="1" x14ac:dyDescent="0.35">
      <c r="B67" s="61" t="s">
        <v>29</v>
      </c>
      <c r="C67" s="82" t="s">
        <v>73</v>
      </c>
      <c r="D67" s="13" t="s">
        <v>109</v>
      </c>
      <c r="E67" s="13">
        <v>528</v>
      </c>
      <c r="F67" s="13">
        <v>14</v>
      </c>
      <c r="G67" s="13">
        <v>14</v>
      </c>
      <c r="H67" s="13">
        <v>128</v>
      </c>
      <c r="I67" s="13">
        <v>1</v>
      </c>
      <c r="J67" s="13">
        <v>1</v>
      </c>
      <c r="K67" s="13" t="b">
        <v>1</v>
      </c>
      <c r="L67" s="13">
        <v>1</v>
      </c>
      <c r="M67" s="13">
        <v>1</v>
      </c>
      <c r="N67" s="13">
        <f t="shared" si="12"/>
        <v>14</v>
      </c>
      <c r="O67" s="14">
        <f t="shared" si="13"/>
        <v>14</v>
      </c>
      <c r="P67" s="13" t="b">
        <v>1</v>
      </c>
      <c r="Q67" s="13">
        <v>3</v>
      </c>
      <c r="R67" s="13">
        <v>3</v>
      </c>
      <c r="S67" s="13">
        <v>2</v>
      </c>
      <c r="T67" s="13">
        <v>2</v>
      </c>
      <c r="U67" s="13">
        <f t="shared" si="31"/>
        <v>7</v>
      </c>
      <c r="V67" s="13">
        <f t="shared" si="30"/>
        <v>7</v>
      </c>
      <c r="W67" s="13">
        <f>E67*N67*O67*H67*I67*J67</f>
        <v>13246464</v>
      </c>
      <c r="X67" s="15">
        <f t="shared" si="0"/>
        <v>101.0625</v>
      </c>
      <c r="Y67" s="15">
        <f t="shared" si="148"/>
        <v>14.4375</v>
      </c>
      <c r="Z67" s="15">
        <f t="shared" si="1"/>
        <v>6.125</v>
      </c>
      <c r="AA67" s="15">
        <f t="shared" si="37"/>
        <v>66</v>
      </c>
      <c r="AB67" s="15">
        <f t="shared" si="38"/>
        <v>16.5</v>
      </c>
      <c r="AC67" s="15" t="b">
        <f t="shared" si="28"/>
        <v>0</v>
      </c>
      <c r="AD67" s="63">
        <f>FLOOR(($AI$9-SUM(AA61:AA67))/(X61+X65+X66), 1)</f>
        <v>21</v>
      </c>
      <c r="AE67" s="55">
        <f t="shared" si="149"/>
        <v>6</v>
      </c>
      <c r="AF67" s="56">
        <f t="shared" si="163"/>
        <v>600</v>
      </c>
      <c r="AG67" s="55">
        <f t="shared" si="164"/>
        <v>167.0625</v>
      </c>
      <c r="AH67" s="56">
        <f t="shared" si="18"/>
        <v>6683</v>
      </c>
      <c r="AI67" s="55">
        <f t="shared" si="151"/>
        <v>6.125</v>
      </c>
      <c r="AJ67" s="56">
        <f t="shared" si="20"/>
        <v>245</v>
      </c>
      <c r="AK67" s="56">
        <f t="shared" si="165"/>
        <v>6468</v>
      </c>
      <c r="AL67" s="56">
        <f t="shared" si="166"/>
        <v>6683</v>
      </c>
      <c r="AM67" s="56" t="str">
        <f t="shared" si="167"/>
        <v>CVSRAM-R</v>
      </c>
      <c r="AN67" s="26" t="str">
        <f t="shared" si="22"/>
        <v>weight</v>
      </c>
      <c r="AO67" s="25">
        <f t="shared" si="23"/>
        <v>1</v>
      </c>
      <c r="AP67" s="26">
        <f t="shared" si="103"/>
        <v>173.1875</v>
      </c>
      <c r="AQ67" s="25">
        <f t="shared" si="24"/>
        <v>17319</v>
      </c>
      <c r="AR67" s="25">
        <f>CEILING(E67*L67*M67, 16)*CEILING(IF(K67, F67, F67-I67+1)/L67, 1)*CEILING(IF(K67, G67, G67-J67+1)/M67,1)*CEILING(H67*IF(D67="fc", $C$9, 1), 16)*I67*J67/L67/M67/$C$4/IF(I67=3, IF(J67=3, 2.25, 1), 1)/IF(D67="fc", $C$9, 1)</f>
        <v>6468</v>
      </c>
      <c r="AS67" s="25">
        <f t="shared" si="168"/>
        <v>17319</v>
      </c>
      <c r="AT67" s="25" t="str">
        <f t="shared" si="169"/>
        <v>DRAM</v>
      </c>
    </row>
    <row r="68" spans="1:46" s="13" customFormat="1" x14ac:dyDescent="0.35">
      <c r="A68" s="11"/>
      <c r="B68" s="61"/>
      <c r="C68" s="82"/>
      <c r="O68" s="14"/>
      <c r="X68" s="15"/>
      <c r="Y68" s="15"/>
      <c r="Z68" s="15"/>
      <c r="AA68" s="15"/>
      <c r="AB68" s="15"/>
      <c r="AC68" s="15"/>
      <c r="AD68" s="63"/>
      <c r="AE68" s="62">
        <f>X61+Z61+Z65+Z66+Z67+SUM(AA64:AA67)/MIN($AD$13:$AD$83)</f>
        <v>318.9375</v>
      </c>
      <c r="AF68" s="63">
        <f t="shared" si="163"/>
        <v>31894</v>
      </c>
      <c r="AG68" s="62"/>
      <c r="AH68" s="63"/>
      <c r="AI68" s="62"/>
      <c r="AJ68" s="63"/>
      <c r="AK68" s="63"/>
      <c r="AL68" s="63">
        <f>MAX(0, AF68-AL64-AL65-AL66-AL67)</f>
        <v>0</v>
      </c>
      <c r="AM68" s="63" t="str">
        <f>IF(AL68&gt;0, "DRAM", "NONE")</f>
        <v>NONE</v>
      </c>
      <c r="AN68" s="26"/>
      <c r="AO68" s="25">
        <f t="shared" si="23"/>
        <v>1</v>
      </c>
      <c r="AP68" s="26"/>
      <c r="AQ68" s="25"/>
      <c r="AR68" s="25"/>
      <c r="AS68" s="25"/>
      <c r="AT68" s="25"/>
    </row>
    <row r="69" spans="1:46" x14ac:dyDescent="0.35">
      <c r="B69" s="74" t="s">
        <v>29</v>
      </c>
      <c r="C69" s="32" t="s">
        <v>74</v>
      </c>
      <c r="D69" s="49" t="s">
        <v>109</v>
      </c>
      <c r="E69" s="49">
        <v>832</v>
      </c>
      <c r="F69" s="49">
        <v>7</v>
      </c>
      <c r="G69" s="49">
        <v>7</v>
      </c>
      <c r="H69" s="49">
        <v>256</v>
      </c>
      <c r="I69" s="49">
        <v>1</v>
      </c>
      <c r="J69" s="49">
        <v>1</v>
      </c>
      <c r="K69" s="49" t="b">
        <v>1</v>
      </c>
      <c r="L69" s="49">
        <v>1</v>
      </c>
      <c r="M69" s="49">
        <v>1</v>
      </c>
      <c r="N69" s="49">
        <f t="shared" si="12"/>
        <v>7</v>
      </c>
      <c r="O69" s="9">
        <f t="shared" si="13"/>
        <v>7</v>
      </c>
      <c r="P69" s="49" t="b">
        <v>0</v>
      </c>
      <c r="Q69" s="49"/>
      <c r="R69" s="49"/>
      <c r="S69" s="49"/>
      <c r="T69" s="49"/>
      <c r="U69" s="49">
        <f t="shared" si="31"/>
        <v>7</v>
      </c>
      <c r="V69" s="49">
        <f t="shared" si="30"/>
        <v>7</v>
      </c>
      <c r="W69" s="49">
        <f>E69*N69*O69*H69*I69*J69</f>
        <v>10436608</v>
      </c>
      <c r="X69" s="10">
        <f t="shared" si="0"/>
        <v>39.8125</v>
      </c>
      <c r="Y69" s="10">
        <f t="shared" ref="Y69:Y83" si="170">CEILING(E69*L69*M69, 16)*MIN(I69+1, CEILING(F69/L69, 1))*CEILING(G69/M69,1)*$C$1/1024</f>
        <v>11.375</v>
      </c>
      <c r="Z69" s="10">
        <f t="shared" si="1"/>
        <v>12.25</v>
      </c>
      <c r="AA69" s="10">
        <f t="shared" si="37"/>
        <v>208</v>
      </c>
      <c r="AB69" s="10">
        <f t="shared" si="38"/>
        <v>26</v>
      </c>
      <c r="AC69" s="10" t="b">
        <f t="shared" si="28"/>
        <v>0</v>
      </c>
      <c r="AD69" s="56">
        <f>FLOOR(($AI$9-SUM(AA69:AA75))/(X69+X73+X74), 1)</f>
        <v>55</v>
      </c>
      <c r="AE69" s="55">
        <f>AA69/MIN($AD$13:$AD$83)+X69</f>
        <v>58.721590909090907</v>
      </c>
      <c r="AF69" s="56">
        <f t="shared" si="17"/>
        <v>5873</v>
      </c>
      <c r="AG69" s="55">
        <f t="shared" ref="AG69:AG83" si="171">X69+AA69/AD69</f>
        <v>43.594318181818181</v>
      </c>
      <c r="AH69" s="56">
        <f t="shared" si="18"/>
        <v>1744</v>
      </c>
      <c r="AI69" s="55">
        <f t="shared" ref="AI69:AI70" si="172">Z69</f>
        <v>12.25</v>
      </c>
      <c r="AJ69" s="56">
        <f t="shared" si="20"/>
        <v>490</v>
      </c>
      <c r="AK69" s="57"/>
      <c r="AL69" s="57"/>
      <c r="AM69" s="57"/>
      <c r="AN69" s="21" t="str">
        <f t="shared" si="22"/>
        <v>weight</v>
      </c>
      <c r="AO69" s="31">
        <f t="shared" si="23"/>
        <v>1</v>
      </c>
      <c r="AP69" s="21">
        <f t="shared" si="103"/>
        <v>260.0625</v>
      </c>
      <c r="AQ69" s="31">
        <f t="shared" si="24"/>
        <v>26007</v>
      </c>
      <c r="AR69" s="20"/>
      <c r="AS69" s="20"/>
      <c r="AT69" s="20"/>
    </row>
    <row r="70" spans="1:46" x14ac:dyDescent="0.35">
      <c r="B70" s="74" t="s">
        <v>29</v>
      </c>
      <c r="C70" s="32" t="s">
        <v>75</v>
      </c>
      <c r="D70" s="49" t="s">
        <v>109</v>
      </c>
      <c r="E70" s="49">
        <v>832</v>
      </c>
      <c r="F70" s="49">
        <v>7</v>
      </c>
      <c r="G70" s="49">
        <v>7</v>
      </c>
      <c r="H70" s="49">
        <v>160</v>
      </c>
      <c r="I70" s="49">
        <v>1</v>
      </c>
      <c r="J70" s="49">
        <v>1</v>
      </c>
      <c r="K70" s="49" t="b">
        <v>1</v>
      </c>
      <c r="L70" s="49">
        <v>1</v>
      </c>
      <c r="M70" s="49">
        <v>1</v>
      </c>
      <c r="N70" s="49">
        <f t="shared" si="12"/>
        <v>7</v>
      </c>
      <c r="O70" s="9">
        <f t="shared" si="13"/>
        <v>7</v>
      </c>
      <c r="P70" s="49" t="b">
        <v>0</v>
      </c>
      <c r="Q70" s="49"/>
      <c r="R70" s="49"/>
      <c r="S70" s="49"/>
      <c r="T70" s="49"/>
      <c r="U70" s="49">
        <f t="shared" si="31"/>
        <v>7</v>
      </c>
      <c r="V70" s="49">
        <f t="shared" si="30"/>
        <v>7</v>
      </c>
      <c r="W70" s="49">
        <f>E70*N70*O70*H70*I70*J70</f>
        <v>6522880</v>
      </c>
      <c r="X70" s="10">
        <f t="shared" si="0"/>
        <v>39.8125</v>
      </c>
      <c r="Y70" s="10">
        <f t="shared" si="170"/>
        <v>11.375</v>
      </c>
      <c r="Z70" s="10">
        <f t="shared" si="1"/>
        <v>7.65625</v>
      </c>
      <c r="AA70" s="10">
        <f t="shared" si="37"/>
        <v>130</v>
      </c>
      <c r="AB70" s="10">
        <f t="shared" si="38"/>
        <v>26</v>
      </c>
      <c r="AC70" s="10" t="b">
        <f t="shared" si="28"/>
        <v>0</v>
      </c>
      <c r="AD70" s="56">
        <f>FLOOR(($AI$9-SUM(AA69:AA75))/(X69+X73+X74), 1)</f>
        <v>55</v>
      </c>
      <c r="AE70" s="55">
        <f>AA70/MIN($AD$13:$AD$83)</f>
        <v>11.818181818181818</v>
      </c>
      <c r="AF70" s="56">
        <f t="shared" si="17"/>
        <v>1182</v>
      </c>
      <c r="AG70" s="55">
        <f t="shared" si="171"/>
        <v>42.176136363636367</v>
      </c>
      <c r="AH70" s="56">
        <f t="shared" si="18"/>
        <v>1688</v>
      </c>
      <c r="AI70" s="55">
        <f t="shared" si="172"/>
        <v>7.65625</v>
      </c>
      <c r="AJ70" s="56">
        <f t="shared" si="20"/>
        <v>307</v>
      </c>
      <c r="AK70" s="57"/>
      <c r="AL70" s="57"/>
      <c r="AM70" s="57"/>
      <c r="AN70" s="21" t="str">
        <f t="shared" si="22"/>
        <v>weight</v>
      </c>
      <c r="AO70" s="31">
        <f t="shared" si="23"/>
        <v>1</v>
      </c>
      <c r="AP70" s="21">
        <f t="shared" si="103"/>
        <v>177.46875</v>
      </c>
      <c r="AQ70" s="31">
        <f t="shared" si="24"/>
        <v>17747</v>
      </c>
      <c r="AR70" s="20"/>
      <c r="AS70" s="20"/>
      <c r="AT70" s="20"/>
    </row>
    <row r="71" spans="1:46" x14ac:dyDescent="0.35">
      <c r="B71" s="74" t="s">
        <v>29</v>
      </c>
      <c r="C71" s="32" t="s">
        <v>77</v>
      </c>
      <c r="D71" s="49" t="s">
        <v>109</v>
      </c>
      <c r="E71" s="49">
        <v>832</v>
      </c>
      <c r="F71" s="49">
        <v>7</v>
      </c>
      <c r="G71" s="49">
        <v>7</v>
      </c>
      <c r="H71" s="49">
        <v>32</v>
      </c>
      <c r="I71" s="49">
        <v>1</v>
      </c>
      <c r="J71" s="49">
        <v>1</v>
      </c>
      <c r="K71" s="49" t="b">
        <v>1</v>
      </c>
      <c r="L71" s="49">
        <v>1</v>
      </c>
      <c r="M71" s="49">
        <v>1</v>
      </c>
      <c r="N71" s="49">
        <f>IF(K71=TRUE,CEILING(F71/L71,1),CEILING((F71-I71)/L71,1)+1)</f>
        <v>7</v>
      </c>
      <c r="O71" s="9">
        <f>IF(K71=TRUE,CEILING(G71/M71,1),CEILING((G71-J71)/M71,1)+1)</f>
        <v>7</v>
      </c>
      <c r="P71" s="49" t="b">
        <v>0</v>
      </c>
      <c r="Q71" s="49"/>
      <c r="R71" s="49"/>
      <c r="S71" s="49"/>
      <c r="T71" s="49"/>
      <c r="U71" s="49">
        <f>IF(P71,CEILING((N71-Q71)/S71,1)+1,N71)</f>
        <v>7</v>
      </c>
      <c r="V71" s="49">
        <f>IF(P71,CEILING((O71-R71)/T71,1)+1,O71)</f>
        <v>7</v>
      </c>
      <c r="W71" s="49">
        <f>E71*N71*O71*H71*I71*J71</f>
        <v>1304576</v>
      </c>
      <c r="X71" s="10">
        <f>CEILING(E71*L71*M71, 16)*CEILING(F71/L71, 1)*CEILING(G71/M71,1)*$C$1/1024</f>
        <v>39.8125</v>
      </c>
      <c r="Y71" s="10">
        <f t="shared" si="170"/>
        <v>11.375</v>
      </c>
      <c r="Z71" s="10">
        <f>U71*V71*CEILING(H71, 16)*$C$1/1024</f>
        <v>1.53125</v>
      </c>
      <c r="AA71" s="10">
        <f>CEILING(E71*L71*M71,16)*CEILING(I71/L71,1)*CEILING(J71/M71,1)*H71*$C$2*(1-$F$2)/1024</f>
        <v>26</v>
      </c>
      <c r="AB71" s="10">
        <f t="shared" si="38"/>
        <v>26</v>
      </c>
      <c r="AC71" s="10" t="b">
        <f t="shared" si="28"/>
        <v>0</v>
      </c>
      <c r="AD71" s="56">
        <f>FLOOR(($AI$9-SUM(AA69:AA75))/(X69+X73+X74), 1)</f>
        <v>55</v>
      </c>
      <c r="AE71" s="55">
        <f>AA71/MIN($AD$13:$AD$83)</f>
        <v>2.3636363636363638</v>
      </c>
      <c r="AF71" s="56">
        <f>CEILING(AE71/$C$8*$C$5, 1)</f>
        <v>237</v>
      </c>
      <c r="AG71" s="55">
        <f>X71+AA71/AD71</f>
        <v>40.285227272727276</v>
      </c>
      <c r="AH71" s="56">
        <f>CEILING(AG71/$C$6*$C$5, 1)</f>
        <v>1612</v>
      </c>
      <c r="AI71" s="55">
        <f>Z71</f>
        <v>1.53125</v>
      </c>
      <c r="AJ71" s="56">
        <f>CEILING(AI71/$C$7*$C$5, 1)</f>
        <v>62</v>
      </c>
      <c r="AK71" s="57"/>
      <c r="AL71" s="57"/>
      <c r="AM71" s="57"/>
      <c r="AN71" s="21" t="str">
        <f t="shared" si="22"/>
        <v>weight</v>
      </c>
      <c r="AO71" s="31">
        <f t="shared" si="23"/>
        <v>1</v>
      </c>
      <c r="AP71" s="21">
        <f t="shared" si="103"/>
        <v>67.34375</v>
      </c>
      <c r="AQ71" s="31">
        <f>CEILING(AP71/$C$8*$C$5, 1)</f>
        <v>6735</v>
      </c>
      <c r="AR71" s="20"/>
      <c r="AS71" s="20"/>
      <c r="AT71" s="20"/>
    </row>
    <row r="72" spans="1:46" s="6" customFormat="1" x14ac:dyDescent="0.35">
      <c r="A72" s="16"/>
      <c r="B72" s="74" t="s">
        <v>29</v>
      </c>
      <c r="C72" s="32" t="s">
        <v>136</v>
      </c>
      <c r="D72" s="49" t="s">
        <v>109</v>
      </c>
      <c r="E72" s="49">
        <f>E71</f>
        <v>832</v>
      </c>
      <c r="F72" s="49">
        <f>F71</f>
        <v>7</v>
      </c>
      <c r="G72" s="49">
        <f>G71</f>
        <v>7</v>
      </c>
      <c r="H72" s="49">
        <f>SUM(H69:H71)</f>
        <v>448</v>
      </c>
      <c r="I72" s="49">
        <f t="shared" ref="I72:P72" si="173">I71</f>
        <v>1</v>
      </c>
      <c r="J72" s="49">
        <f t="shared" si="173"/>
        <v>1</v>
      </c>
      <c r="K72" s="49" t="b">
        <f t="shared" si="173"/>
        <v>1</v>
      </c>
      <c r="L72" s="49">
        <f t="shared" si="173"/>
        <v>1</v>
      </c>
      <c r="M72" s="49">
        <f t="shared" si="173"/>
        <v>1</v>
      </c>
      <c r="N72" s="49">
        <f t="shared" si="173"/>
        <v>7</v>
      </c>
      <c r="O72" s="49">
        <f t="shared" si="173"/>
        <v>7</v>
      </c>
      <c r="P72" s="49" t="b">
        <f t="shared" si="173"/>
        <v>0</v>
      </c>
      <c r="Q72" s="49"/>
      <c r="R72" s="49"/>
      <c r="S72" s="49"/>
      <c r="T72" s="49"/>
      <c r="U72" s="49">
        <f t="shared" ref="U72" si="174">IF(P72,CEILING((N72-Q72)/S72,1)+1,N72)</f>
        <v>7</v>
      </c>
      <c r="V72" s="49">
        <f t="shared" ref="V72" si="175">IF(P72,CEILING((O72-R72)/T72,1)+1,O72)</f>
        <v>7</v>
      </c>
      <c r="W72" s="49"/>
      <c r="X72" s="10">
        <f t="shared" ref="X72" si="176">CEILING(E72*L72*M72, 16)*CEILING(F72/L72, 1)*CEILING(G72/M72,1)*$C$1/1024</f>
        <v>39.8125</v>
      </c>
      <c r="Y72" s="10">
        <f t="shared" si="170"/>
        <v>11.375</v>
      </c>
      <c r="Z72" s="10">
        <f t="shared" ref="Z72" si="177">U72*V72*CEILING(H72, 16)*$C$1/1024</f>
        <v>21.4375</v>
      </c>
      <c r="AA72" s="10">
        <f t="shared" ref="AA72" si="178">CEILING(E72*L72*M72,16)*CEILING(I72/L72,1)*CEILING(J72/M72,1)*H72*$C$2*(1-$F$2)/1024</f>
        <v>364</v>
      </c>
      <c r="AB72" s="10">
        <f t="shared" si="38"/>
        <v>26</v>
      </c>
      <c r="AC72" s="10" t="b">
        <f t="shared" si="28"/>
        <v>0</v>
      </c>
      <c r="AD72" s="56">
        <f>FLOOR(($AI$9-SUM(AA69:AA75))/(X69+X73+X74), 1)</f>
        <v>55</v>
      </c>
      <c r="AE72" s="55">
        <f>AA72/2+X72</f>
        <v>221.8125</v>
      </c>
      <c r="AF72" s="56">
        <f t="shared" ref="AF72" si="179">CEILING(AE72/$C$8*$C$5, 1)</f>
        <v>22182</v>
      </c>
      <c r="AG72" s="55">
        <f>X72</f>
        <v>39.8125</v>
      </c>
      <c r="AH72" s="56">
        <f t="shared" si="18"/>
        <v>1593</v>
      </c>
      <c r="AI72" s="55">
        <f t="shared" ref="AI72" si="180">Z72</f>
        <v>21.4375</v>
      </c>
      <c r="AJ72" s="56">
        <f t="shared" si="20"/>
        <v>858</v>
      </c>
      <c r="AK72" s="57">
        <f t="shared" ref="AK72" si="181">CEILING(E72*L72*M72, 16)*CEILING(IF(K72, F72, F72-I72+1)/L72, 1)*CEILING(IF(K72, G72, G72-J72+1)/M72,1)*CEILING(H72*IF(D72="fc", $C$9, 1), 16)*I72*J72/L72/M72/$C$4/IF(I72=3, IF(J72=3, 2.25, 1), 1)/IF(D72="fc", $C$9, 1)</f>
        <v>8918</v>
      </c>
      <c r="AL72" s="57">
        <f t="shared" ref="AL72" si="182">MAX(AF72, AH72,AJ72,AK72)</f>
        <v>22182</v>
      </c>
      <c r="AM72" s="57" t="str">
        <f t="shared" ref="AM72" si="183">IF(AL72=AK72,"MAC",IF(AL72=AJ72,"CVSRAM-W",IF(AL72=AF72,"DRAM","CVSRAM-R")))</f>
        <v>DRAM</v>
      </c>
      <c r="AN72" s="21" t="str">
        <f t="shared" si="22"/>
        <v>weight</v>
      </c>
      <c r="AO72" s="31">
        <f t="shared" si="23"/>
        <v>1</v>
      </c>
      <c r="AP72" s="21">
        <f t="shared" si="103"/>
        <v>425.25</v>
      </c>
      <c r="AQ72" s="31">
        <f t="shared" si="24"/>
        <v>42525</v>
      </c>
      <c r="AR72" s="20">
        <f>CEILING(E72*L72*M72, 16)*CEILING(IF(K72, F72, F72-I72+1)/L72, 1)*CEILING(IF(K72, G72, G72-J72+1)/M72,1)*CEILING(H72*IF(D72="fc", $C$9, 1), 16)*I72*J72/L72/M72/$C$4/IF(I72=3, IF(J72=3, 2.25, 1), 1)/IF(D72="fc", $C$9, 1)</f>
        <v>8918</v>
      </c>
      <c r="AS72" s="20">
        <f t="shared" ref="AS72" si="184">MAX(AQ72:AR72)</f>
        <v>42525</v>
      </c>
      <c r="AT72" s="20" t="str">
        <f t="shared" ref="AT72" si="185">IF(AS72=AR72, "MAC", "DRAM")</f>
        <v>DRAM</v>
      </c>
    </row>
    <row r="73" spans="1:46" x14ac:dyDescent="0.35">
      <c r="B73" s="74" t="s">
        <v>29</v>
      </c>
      <c r="C73" s="32" t="s">
        <v>76</v>
      </c>
      <c r="D73" s="49" t="s">
        <v>109</v>
      </c>
      <c r="E73" s="49">
        <v>160</v>
      </c>
      <c r="F73" s="49">
        <v>7</v>
      </c>
      <c r="G73" s="49">
        <v>7</v>
      </c>
      <c r="H73" s="49">
        <v>320</v>
      </c>
      <c r="I73" s="49">
        <v>3</v>
      </c>
      <c r="J73" s="49">
        <v>3</v>
      </c>
      <c r="K73" s="49" t="b">
        <v>1</v>
      </c>
      <c r="L73" s="49">
        <v>1</v>
      </c>
      <c r="M73" s="49">
        <v>1</v>
      </c>
      <c r="N73" s="49">
        <f t="shared" si="12"/>
        <v>7</v>
      </c>
      <c r="O73" s="9">
        <f t="shared" si="13"/>
        <v>7</v>
      </c>
      <c r="P73" s="49" t="b">
        <v>0</v>
      </c>
      <c r="Q73" s="49"/>
      <c r="R73" s="49"/>
      <c r="S73" s="49"/>
      <c r="T73" s="49"/>
      <c r="U73" s="49">
        <f t="shared" si="31"/>
        <v>7</v>
      </c>
      <c r="V73" s="49">
        <f t="shared" si="30"/>
        <v>7</v>
      </c>
      <c r="W73" s="49">
        <f>E73*N73*O73*H73*I73*J73</f>
        <v>22579200</v>
      </c>
      <c r="X73" s="10">
        <f t="shared" si="0"/>
        <v>7.65625</v>
      </c>
      <c r="Y73" s="10">
        <f t="shared" si="170"/>
        <v>4.375</v>
      </c>
      <c r="Z73" s="10">
        <f t="shared" si="1"/>
        <v>15.3125</v>
      </c>
      <c r="AA73" s="10">
        <f t="shared" si="37"/>
        <v>450</v>
      </c>
      <c r="AB73" s="10">
        <f t="shared" si="38"/>
        <v>45</v>
      </c>
      <c r="AC73" s="10" t="b">
        <f t="shared" si="28"/>
        <v>1</v>
      </c>
      <c r="AD73" s="56">
        <f>FLOOR(($AI$9-SUM(AA69:AA75))/(X69+X73+X74), 1)</f>
        <v>55</v>
      </c>
      <c r="AE73" s="55">
        <f>AA73/MIN($AD$13:$AD$83)+Z73</f>
        <v>56.221590909090907</v>
      </c>
      <c r="AF73" s="56">
        <f t="shared" si="17"/>
        <v>5623</v>
      </c>
      <c r="AG73" s="55">
        <f t="shared" si="171"/>
        <v>15.838068181818182</v>
      </c>
      <c r="AH73" s="56">
        <f t="shared" si="18"/>
        <v>634</v>
      </c>
      <c r="AI73" s="55">
        <v>0</v>
      </c>
      <c r="AJ73" s="56">
        <f t="shared" si="20"/>
        <v>0</v>
      </c>
      <c r="AK73" s="57">
        <f t="shared" si="6"/>
        <v>4900</v>
      </c>
      <c r="AL73" s="57">
        <f t="shared" si="7"/>
        <v>5623</v>
      </c>
      <c r="AM73" s="57" t="str">
        <f t="shared" si="21"/>
        <v>DRAM</v>
      </c>
      <c r="AN73" s="21" t="str">
        <f t="shared" si="22"/>
        <v>feature</v>
      </c>
      <c r="AO73" s="31">
        <f t="shared" si="23"/>
        <v>1</v>
      </c>
      <c r="AP73" s="21">
        <f t="shared" si="103"/>
        <v>472.96875</v>
      </c>
      <c r="AQ73" s="31">
        <f t="shared" si="24"/>
        <v>47297</v>
      </c>
      <c r="AR73" s="20">
        <f>CEILING(E73*L73*M73, 16)*CEILING(IF(K73, F73, F73-I73+1)/L73, 1)*CEILING(IF(K73, G73, G73-J73+1)/M73,1)*CEILING(H73*IF(D73="fc", $C$9, 1), 16)*I73*J73/L73/M73/$C$4/IF(I73=3, IF(J73=3, 2.25, 1), 1)/IF(D73="fc", $C$9, 1)</f>
        <v>4900</v>
      </c>
      <c r="AS73" s="20">
        <f t="shared" si="10"/>
        <v>47297</v>
      </c>
      <c r="AT73" s="20" t="str">
        <f t="shared" si="11"/>
        <v>DRAM</v>
      </c>
    </row>
    <row r="74" spans="1:46" x14ac:dyDescent="0.35">
      <c r="B74" s="74" t="s">
        <v>29</v>
      </c>
      <c r="C74" s="32" t="s">
        <v>78</v>
      </c>
      <c r="D74" s="49" t="s">
        <v>109</v>
      </c>
      <c r="E74" s="49">
        <v>32</v>
      </c>
      <c r="F74" s="49">
        <v>7</v>
      </c>
      <c r="G74" s="49">
        <v>7</v>
      </c>
      <c r="H74" s="49">
        <v>128</v>
      </c>
      <c r="I74" s="49">
        <v>5</v>
      </c>
      <c r="J74" s="49">
        <v>5</v>
      </c>
      <c r="K74" s="49" t="b">
        <v>1</v>
      </c>
      <c r="L74" s="49">
        <v>1</v>
      </c>
      <c r="M74" s="49">
        <v>1</v>
      </c>
      <c r="N74" s="49">
        <f t="shared" si="12"/>
        <v>7</v>
      </c>
      <c r="O74" s="9">
        <f t="shared" si="13"/>
        <v>7</v>
      </c>
      <c r="P74" s="49" t="b">
        <v>0</v>
      </c>
      <c r="Q74" s="49"/>
      <c r="R74" s="49"/>
      <c r="S74" s="49"/>
      <c r="T74" s="49"/>
      <c r="U74" s="49">
        <f t="shared" si="31"/>
        <v>7</v>
      </c>
      <c r="V74" s="49">
        <f t="shared" si="30"/>
        <v>7</v>
      </c>
      <c r="W74" s="49">
        <f>E74*N74*O74*H74*I74*J74</f>
        <v>5017600</v>
      </c>
      <c r="X74" s="10">
        <f t="shared" si="0"/>
        <v>1.53125</v>
      </c>
      <c r="Y74" s="10">
        <f t="shared" si="170"/>
        <v>1.3125</v>
      </c>
      <c r="Z74" s="10">
        <f t="shared" si="1"/>
        <v>6.125</v>
      </c>
      <c r="AA74" s="10">
        <f t="shared" si="37"/>
        <v>100</v>
      </c>
      <c r="AB74" s="10">
        <f t="shared" si="38"/>
        <v>25</v>
      </c>
      <c r="AC74" s="10" t="b">
        <f t="shared" si="28"/>
        <v>0</v>
      </c>
      <c r="AD74" s="56">
        <f>FLOOR(($AI$9-SUM(AA69:AA75))/(X69+X73+X74), 1)</f>
        <v>55</v>
      </c>
      <c r="AE74" s="55">
        <f>AA74/MIN($AD$13:$AD$83)+Z74</f>
        <v>15.215909090909092</v>
      </c>
      <c r="AF74" s="56">
        <f t="shared" si="17"/>
        <v>1522</v>
      </c>
      <c r="AG74" s="55">
        <f t="shared" si="171"/>
        <v>3.3494318181818183</v>
      </c>
      <c r="AH74" s="56">
        <f t="shared" si="18"/>
        <v>134</v>
      </c>
      <c r="AI74" s="55">
        <v>0</v>
      </c>
      <c r="AJ74" s="56">
        <f t="shared" si="20"/>
        <v>0</v>
      </c>
      <c r="AK74" s="57">
        <f t="shared" si="6"/>
        <v>2450</v>
      </c>
      <c r="AL74" s="57">
        <f t="shared" si="7"/>
        <v>2450</v>
      </c>
      <c r="AM74" s="57" t="str">
        <f t="shared" si="21"/>
        <v>MAC</v>
      </c>
      <c r="AN74" s="21" t="str">
        <f t="shared" si="22"/>
        <v>feature</v>
      </c>
      <c r="AO74" s="31">
        <f t="shared" si="23"/>
        <v>1</v>
      </c>
      <c r="AP74" s="21">
        <f t="shared" si="103"/>
        <v>107.65625</v>
      </c>
      <c r="AQ74" s="31">
        <f t="shared" si="24"/>
        <v>10766</v>
      </c>
      <c r="AR74" s="20">
        <f>CEILING(E74*L74*M74, 16)*CEILING(IF(K74, F74, F74-I74+1)/L74, 1)*CEILING(IF(K74, G74, G74-J74+1)/M74,1)*CEILING(H74*IF(D74="fc", $C$9, 1), 16)*I74*J74/L74/M74/$C$4/IF(I74=3, IF(J74=3, 2.25, 1), 1)/IF(D74="fc", $C$9, 1)</f>
        <v>2450</v>
      </c>
      <c r="AS74" s="20">
        <f t="shared" si="10"/>
        <v>10766</v>
      </c>
      <c r="AT74" s="20" t="str">
        <f t="shared" si="11"/>
        <v>DRAM</v>
      </c>
    </row>
    <row r="75" spans="1:46" s="83" customFormat="1" x14ac:dyDescent="0.35">
      <c r="B75" s="61" t="s">
        <v>29</v>
      </c>
      <c r="C75" s="82" t="s">
        <v>79</v>
      </c>
      <c r="D75" s="13" t="s">
        <v>109</v>
      </c>
      <c r="E75" s="13">
        <v>832</v>
      </c>
      <c r="F75" s="13">
        <v>7</v>
      </c>
      <c r="G75" s="13">
        <v>7</v>
      </c>
      <c r="H75" s="13">
        <v>128</v>
      </c>
      <c r="I75" s="13">
        <v>1</v>
      </c>
      <c r="J75" s="13">
        <v>1</v>
      </c>
      <c r="K75" s="13" t="b">
        <v>1</v>
      </c>
      <c r="L75" s="13">
        <v>1</v>
      </c>
      <c r="M75" s="13">
        <v>1</v>
      </c>
      <c r="N75" s="13">
        <f t="shared" si="12"/>
        <v>7</v>
      </c>
      <c r="O75" s="14">
        <f t="shared" si="13"/>
        <v>7</v>
      </c>
      <c r="P75" s="13" t="b">
        <v>0</v>
      </c>
      <c r="Q75" s="13"/>
      <c r="R75" s="13"/>
      <c r="S75" s="13"/>
      <c r="T75" s="13"/>
      <c r="U75" s="13">
        <f t="shared" si="31"/>
        <v>7</v>
      </c>
      <c r="V75" s="13">
        <f t="shared" si="30"/>
        <v>7</v>
      </c>
      <c r="W75" s="13">
        <f>E75*N75*O75*H75*I75*J75</f>
        <v>5218304</v>
      </c>
      <c r="X75" s="15">
        <f t="shared" si="0"/>
        <v>39.8125</v>
      </c>
      <c r="Y75" s="15">
        <f t="shared" si="170"/>
        <v>11.375</v>
      </c>
      <c r="Z75" s="15">
        <f t="shared" si="1"/>
        <v>6.125</v>
      </c>
      <c r="AA75" s="15">
        <f t="shared" si="37"/>
        <v>104</v>
      </c>
      <c r="AB75" s="15">
        <f t="shared" si="38"/>
        <v>26</v>
      </c>
      <c r="AC75" s="15" t="b">
        <f t="shared" si="28"/>
        <v>0</v>
      </c>
      <c r="AD75" s="63">
        <f>FLOOR(($AI$9-SUM(AA69:AA75))/(X69+X73+X74), 1)</f>
        <v>55</v>
      </c>
      <c r="AE75" s="62">
        <f>AA75/MIN($AD$13:$AD$83)+Z75</f>
        <v>15.579545454545455</v>
      </c>
      <c r="AF75" s="63">
        <f t="shared" si="17"/>
        <v>1558</v>
      </c>
      <c r="AG75" s="62">
        <f t="shared" si="171"/>
        <v>41.703409090909091</v>
      </c>
      <c r="AH75" s="63">
        <f t="shared" si="18"/>
        <v>1669</v>
      </c>
      <c r="AI75" s="62">
        <v>0</v>
      </c>
      <c r="AJ75" s="63">
        <f t="shared" si="20"/>
        <v>0</v>
      </c>
      <c r="AK75" s="63">
        <f t="shared" si="6"/>
        <v>2548</v>
      </c>
      <c r="AL75" s="63">
        <f t="shared" si="7"/>
        <v>2548</v>
      </c>
      <c r="AM75" s="63" t="str">
        <f t="shared" si="21"/>
        <v>MAC</v>
      </c>
      <c r="AN75" s="26" t="str">
        <f t="shared" si="22"/>
        <v>weight</v>
      </c>
      <c r="AO75" s="25">
        <f t="shared" si="23"/>
        <v>1</v>
      </c>
      <c r="AP75" s="26">
        <f t="shared" ref="AP75:AP84" si="186">IF(AN75="weight", IF(AA75&gt;($C$3-Y75), CEILING(AA75/($C$3-Y75), 1)*X75+Z75+AA75, X75+Z75+AA75), IF(X75&gt;($C$3-AB75), CEILING(X75/($C$3-AB75),1)*AA75+X75+Z75, X75+Z75+AA75)) + IF(D75="conv + elwise", Z75, 0)</f>
        <v>149.9375</v>
      </c>
      <c r="AQ75" s="25">
        <f t="shared" si="24"/>
        <v>14994</v>
      </c>
      <c r="AR75" s="25">
        <f>CEILING(E75*L75*M75, 16)*CEILING(IF(K75, F75, F75-I75+1)/L75, 1)*CEILING(IF(K75, G75, G75-J75+1)/M75,1)*CEILING(H75*IF(D75="fc", $C$9, 1), 16)*I75*J75/L75/M75/$C$4/IF(I75=3, IF(J75=3, 2.25, 1), 1)/IF(D75="fc", $C$9, 1)</f>
        <v>2548</v>
      </c>
      <c r="AS75" s="25">
        <f t="shared" si="10"/>
        <v>14994</v>
      </c>
      <c r="AT75" s="25" t="str">
        <f t="shared" si="11"/>
        <v>DRAM</v>
      </c>
    </row>
    <row r="76" spans="1:46" s="84" customFormat="1" x14ac:dyDescent="0.35">
      <c r="B76" s="78"/>
      <c r="C76" s="120"/>
      <c r="D76" s="121"/>
      <c r="E76" s="121"/>
      <c r="F76" s="121"/>
      <c r="G76" s="121"/>
      <c r="H76" s="121"/>
      <c r="I76" s="121"/>
      <c r="J76" s="121"/>
      <c r="K76" s="121"/>
      <c r="L76" s="121"/>
      <c r="M76" s="121"/>
      <c r="N76" s="121"/>
      <c r="O76" s="122"/>
      <c r="P76" s="121"/>
      <c r="Q76" s="121"/>
      <c r="R76" s="121"/>
      <c r="S76" s="121"/>
      <c r="T76" s="121"/>
      <c r="U76" s="121"/>
      <c r="V76" s="121"/>
      <c r="W76" s="121"/>
      <c r="X76" s="79"/>
      <c r="Y76" s="79"/>
      <c r="Z76" s="79"/>
      <c r="AA76" s="79"/>
      <c r="AB76" s="79"/>
      <c r="AC76" s="79"/>
      <c r="AD76" s="80"/>
      <c r="AE76" s="81"/>
      <c r="AF76" s="80"/>
      <c r="AG76" s="81"/>
      <c r="AH76" s="80"/>
      <c r="AI76" s="81"/>
      <c r="AJ76" s="80"/>
      <c r="AK76" s="80"/>
      <c r="AL76" s="80"/>
      <c r="AM76" s="80"/>
      <c r="AN76" s="36"/>
      <c r="AO76" s="34"/>
      <c r="AP76" s="36"/>
      <c r="AQ76" s="34"/>
      <c r="AR76" s="34"/>
      <c r="AS76" s="34"/>
      <c r="AT76" s="34"/>
    </row>
    <row r="77" spans="1:46" x14ac:dyDescent="0.35">
      <c r="B77" s="74" t="s">
        <v>29</v>
      </c>
      <c r="C77" s="32" t="s">
        <v>80</v>
      </c>
      <c r="D77" s="49" t="s">
        <v>109</v>
      </c>
      <c r="E77" s="49">
        <v>832</v>
      </c>
      <c r="F77" s="49">
        <v>7</v>
      </c>
      <c r="G77" s="49">
        <v>7</v>
      </c>
      <c r="H77" s="49">
        <v>384</v>
      </c>
      <c r="I77" s="49">
        <v>1</v>
      </c>
      <c r="J77" s="49">
        <v>1</v>
      </c>
      <c r="K77" s="49" t="b">
        <v>1</v>
      </c>
      <c r="L77" s="49">
        <v>1</v>
      </c>
      <c r="M77" s="49">
        <v>1</v>
      </c>
      <c r="N77" s="49">
        <f t="shared" si="12"/>
        <v>7</v>
      </c>
      <c r="O77" s="9">
        <f t="shared" si="13"/>
        <v>7</v>
      </c>
      <c r="P77" s="49" t="b">
        <v>0</v>
      </c>
      <c r="Q77" s="49"/>
      <c r="R77" s="49"/>
      <c r="S77" s="49"/>
      <c r="T77" s="49"/>
      <c r="U77" s="49">
        <f t="shared" si="31"/>
        <v>7</v>
      </c>
      <c r="V77" s="49">
        <f t="shared" si="30"/>
        <v>7</v>
      </c>
      <c r="W77" s="49">
        <f>E77*N77*O77*H77*I77*J77</f>
        <v>15654912</v>
      </c>
      <c r="X77" s="10">
        <f t="shared" si="0"/>
        <v>39.8125</v>
      </c>
      <c r="Y77" s="10">
        <f t="shared" si="170"/>
        <v>11.375</v>
      </c>
      <c r="Z77" s="10">
        <f t="shared" si="1"/>
        <v>18.375</v>
      </c>
      <c r="AA77" s="10">
        <f t="shared" si="37"/>
        <v>312</v>
      </c>
      <c r="AB77" s="10">
        <f t="shared" si="38"/>
        <v>26</v>
      </c>
      <c r="AC77" s="10" t="b">
        <f t="shared" si="28"/>
        <v>0</v>
      </c>
      <c r="AD77" s="56">
        <f>FLOOR(($AI$9-SUM(AA77:AA83))/(X77+X81+X82), 1)</f>
        <v>42</v>
      </c>
      <c r="AE77" s="55">
        <f>AA77/MIN($AD$13:$AD$83)+X77</f>
        <v>68.17613636363636</v>
      </c>
      <c r="AF77" s="56">
        <f t="shared" si="17"/>
        <v>6818</v>
      </c>
      <c r="AG77" s="55">
        <f t="shared" si="171"/>
        <v>47.241071428571431</v>
      </c>
      <c r="AH77" s="56">
        <f t="shared" si="18"/>
        <v>1890</v>
      </c>
      <c r="AI77" s="55">
        <f t="shared" ref="AI77:AI78" si="187">Z77</f>
        <v>18.375</v>
      </c>
      <c r="AJ77" s="56">
        <f t="shared" si="20"/>
        <v>735</v>
      </c>
      <c r="AK77" s="57"/>
      <c r="AL77" s="57"/>
      <c r="AM77" s="57"/>
      <c r="AN77" s="21" t="str">
        <f t="shared" ref="AN77:AN84" si="188">IF(X77&lt;AB77, "feature", "weight")</f>
        <v>weight</v>
      </c>
      <c r="AO77" s="31">
        <f t="shared" ref="AO77:AO84" si="189">IF(AN77="weight", IF(AA77&gt;($C$3-Y77), CEILING(AA77/($C$3-Y77), 1), 1), IF(X77&gt;($C$3-AB77), CEILING(X77/($C$3-AB77),1), 1))</f>
        <v>1</v>
      </c>
      <c r="AP77" s="21">
        <f t="shared" si="186"/>
        <v>370.1875</v>
      </c>
      <c r="AQ77" s="31">
        <f t="shared" si="24"/>
        <v>37019</v>
      </c>
      <c r="AR77" s="20"/>
      <c r="AS77" s="20"/>
      <c r="AT77" s="20"/>
    </row>
    <row r="78" spans="1:46" x14ac:dyDescent="0.35">
      <c r="B78" s="74" t="s">
        <v>29</v>
      </c>
      <c r="C78" s="32" t="s">
        <v>81</v>
      </c>
      <c r="D78" s="49" t="s">
        <v>109</v>
      </c>
      <c r="E78" s="49">
        <v>832</v>
      </c>
      <c r="F78" s="49">
        <v>7</v>
      </c>
      <c r="G78" s="49">
        <v>7</v>
      </c>
      <c r="H78" s="49">
        <v>192</v>
      </c>
      <c r="I78" s="49">
        <v>1</v>
      </c>
      <c r="J78" s="49">
        <v>1</v>
      </c>
      <c r="K78" s="49" t="b">
        <v>1</v>
      </c>
      <c r="L78" s="49">
        <v>1</v>
      </c>
      <c r="M78" s="49">
        <v>1</v>
      </c>
      <c r="N78" s="49">
        <f t="shared" si="12"/>
        <v>7</v>
      </c>
      <c r="O78" s="9">
        <f t="shared" si="13"/>
        <v>7</v>
      </c>
      <c r="P78" s="49" t="b">
        <v>0</v>
      </c>
      <c r="Q78" s="49"/>
      <c r="R78" s="49"/>
      <c r="S78" s="49"/>
      <c r="T78" s="49"/>
      <c r="U78" s="49">
        <f t="shared" si="31"/>
        <v>7</v>
      </c>
      <c r="V78" s="49">
        <f t="shared" si="30"/>
        <v>7</v>
      </c>
      <c r="W78" s="49">
        <f>E78*N78*O78*H78*I78*J78</f>
        <v>7827456</v>
      </c>
      <c r="X78" s="10">
        <f t="shared" si="0"/>
        <v>39.8125</v>
      </c>
      <c r="Y78" s="10">
        <f t="shared" si="170"/>
        <v>11.375</v>
      </c>
      <c r="Z78" s="10">
        <f t="shared" si="1"/>
        <v>9.1875</v>
      </c>
      <c r="AA78" s="10">
        <f t="shared" si="37"/>
        <v>156</v>
      </c>
      <c r="AB78" s="10">
        <f t="shared" si="38"/>
        <v>26</v>
      </c>
      <c r="AC78" s="10" t="b">
        <f t="shared" ref="AC78:AC84" si="190">IF(I78=3, IF(J78=3, TRUE, FALSE), FALSE)</f>
        <v>0</v>
      </c>
      <c r="AD78" s="56">
        <f>FLOOR(($AI$9-SUM(AA77:AA83))/(X77+X81+X82), 1)</f>
        <v>42</v>
      </c>
      <c r="AE78" s="55">
        <f>AA78/MIN($AD$13:$AD$83)</f>
        <v>14.181818181818182</v>
      </c>
      <c r="AF78" s="56">
        <f t="shared" si="17"/>
        <v>1419</v>
      </c>
      <c r="AG78" s="55">
        <f t="shared" si="171"/>
        <v>43.526785714285715</v>
      </c>
      <c r="AH78" s="56">
        <f t="shared" si="18"/>
        <v>1742</v>
      </c>
      <c r="AI78" s="55">
        <f t="shared" si="187"/>
        <v>9.1875</v>
      </c>
      <c r="AJ78" s="56">
        <f t="shared" si="20"/>
        <v>368</v>
      </c>
      <c r="AK78" s="57"/>
      <c r="AL78" s="57"/>
      <c r="AM78" s="57"/>
      <c r="AN78" s="21" t="str">
        <f t="shared" si="188"/>
        <v>weight</v>
      </c>
      <c r="AO78" s="31">
        <f t="shared" si="189"/>
        <v>1</v>
      </c>
      <c r="AP78" s="21">
        <f t="shared" si="186"/>
        <v>205</v>
      </c>
      <c r="AQ78" s="31">
        <f t="shared" si="24"/>
        <v>20500</v>
      </c>
      <c r="AR78" s="20"/>
      <c r="AS78" s="20"/>
      <c r="AT78" s="20"/>
    </row>
    <row r="79" spans="1:46" x14ac:dyDescent="0.35">
      <c r="B79" s="74" t="s">
        <v>29</v>
      </c>
      <c r="C79" s="32" t="s">
        <v>83</v>
      </c>
      <c r="D79" s="49" t="s">
        <v>109</v>
      </c>
      <c r="E79" s="49">
        <v>832</v>
      </c>
      <c r="F79" s="49">
        <v>7</v>
      </c>
      <c r="G79" s="49">
        <v>7</v>
      </c>
      <c r="H79" s="49">
        <v>48</v>
      </c>
      <c r="I79" s="49">
        <v>1</v>
      </c>
      <c r="J79" s="49">
        <v>1</v>
      </c>
      <c r="K79" s="49" t="b">
        <v>1</v>
      </c>
      <c r="L79" s="49">
        <v>1</v>
      </c>
      <c r="M79" s="49">
        <v>1</v>
      </c>
      <c r="N79" s="49">
        <f>IF(K79=TRUE,CEILING(F79/L79,1),CEILING((F79-I79)/L79,1)+1)</f>
        <v>7</v>
      </c>
      <c r="O79" s="9">
        <f>IF(K79=TRUE,CEILING(G79/M79,1),CEILING((G79-J79)/M79,1)+1)</f>
        <v>7</v>
      </c>
      <c r="P79" s="49" t="b">
        <v>0</v>
      </c>
      <c r="Q79" s="49"/>
      <c r="R79" s="49"/>
      <c r="S79" s="49"/>
      <c r="T79" s="49"/>
      <c r="U79" s="49">
        <f>IF(P79,CEILING((N79-Q79)/S79,1)+1,N79)</f>
        <v>7</v>
      </c>
      <c r="V79" s="49">
        <f>IF(P79,CEILING((O79-R79)/T79,1)+1,O79)</f>
        <v>7</v>
      </c>
      <c r="W79" s="49">
        <f>E79*N79*O79*H79*I79*J79</f>
        <v>1956864</v>
      </c>
      <c r="X79" s="10">
        <f>CEILING(E79*L79*M79, 16)*CEILING(F79/L79, 1)*CEILING(G79/M79,1)*$C$1/1024</f>
        <v>39.8125</v>
      </c>
      <c r="Y79" s="10">
        <f t="shared" si="170"/>
        <v>11.375</v>
      </c>
      <c r="Z79" s="10">
        <f>U79*V79*CEILING(H79, 16)*$C$1/1024</f>
        <v>2.296875</v>
      </c>
      <c r="AA79" s="10">
        <f>CEILING(E79*L79*M79,16)*CEILING(I79/L79,1)*CEILING(J79/M79,1)*H79*$C$2*(1-$F$2)/1024</f>
        <v>39</v>
      </c>
      <c r="AB79" s="10">
        <f t="shared" si="38"/>
        <v>26</v>
      </c>
      <c r="AC79" s="10" t="b">
        <f t="shared" si="190"/>
        <v>0</v>
      </c>
      <c r="AD79" s="56">
        <f>FLOOR(($AI$9-SUM(AA77:AA83))/(X77+X81+X82), 1)</f>
        <v>42</v>
      </c>
      <c r="AE79" s="55">
        <f>AA79/MIN($AD$13:$AD$83)</f>
        <v>3.5454545454545454</v>
      </c>
      <c r="AF79" s="56">
        <f>CEILING(AE79/$C$8*$C$5, 1)</f>
        <v>355</v>
      </c>
      <c r="AG79" s="55">
        <f>X79+AA79/AD79</f>
        <v>40.741071428571431</v>
      </c>
      <c r="AH79" s="56">
        <f>CEILING(AG79/$C$6*$C$5, 1)</f>
        <v>1630</v>
      </c>
      <c r="AI79" s="55">
        <f>Z79</f>
        <v>2.296875</v>
      </c>
      <c r="AJ79" s="56">
        <f>CEILING(AI79/$C$7*$C$5, 1)</f>
        <v>92</v>
      </c>
      <c r="AK79" s="57"/>
      <c r="AL79" s="57"/>
      <c r="AM79" s="57"/>
      <c r="AN79" s="21" t="str">
        <f t="shared" si="188"/>
        <v>weight</v>
      </c>
      <c r="AO79" s="31">
        <f t="shared" si="189"/>
        <v>1</v>
      </c>
      <c r="AP79" s="21">
        <f t="shared" si="186"/>
        <v>81.109375</v>
      </c>
      <c r="AQ79" s="31">
        <f>CEILING(AP79/$C$8*$C$5, 1)</f>
        <v>8111</v>
      </c>
      <c r="AR79" s="20"/>
      <c r="AS79" s="20"/>
      <c r="AT79" s="20"/>
    </row>
    <row r="80" spans="1:46" s="6" customFormat="1" x14ac:dyDescent="0.35">
      <c r="A80" s="16"/>
      <c r="B80" s="74" t="s">
        <v>29</v>
      </c>
      <c r="C80" s="32" t="s">
        <v>137</v>
      </c>
      <c r="D80" s="49" t="s">
        <v>109</v>
      </c>
      <c r="E80" s="49">
        <f>E79</f>
        <v>832</v>
      </c>
      <c r="F80" s="49">
        <f>F79</f>
        <v>7</v>
      </c>
      <c r="G80" s="49">
        <f>G79</f>
        <v>7</v>
      </c>
      <c r="H80" s="49">
        <f>SUM(H77:H79)</f>
        <v>624</v>
      </c>
      <c r="I80" s="49">
        <f t="shared" ref="I80:P80" si="191">I79</f>
        <v>1</v>
      </c>
      <c r="J80" s="49">
        <f t="shared" si="191"/>
        <v>1</v>
      </c>
      <c r="K80" s="49" t="b">
        <f t="shared" si="191"/>
        <v>1</v>
      </c>
      <c r="L80" s="49">
        <f t="shared" si="191"/>
        <v>1</v>
      </c>
      <c r="M80" s="49">
        <f t="shared" si="191"/>
        <v>1</v>
      </c>
      <c r="N80" s="49">
        <f t="shared" si="191"/>
        <v>7</v>
      </c>
      <c r="O80" s="49">
        <f t="shared" si="191"/>
        <v>7</v>
      </c>
      <c r="P80" s="49" t="b">
        <f t="shared" si="191"/>
        <v>0</v>
      </c>
      <c r="Q80" s="49"/>
      <c r="R80" s="49"/>
      <c r="S80" s="49"/>
      <c r="T80" s="49"/>
      <c r="U80" s="49">
        <f t="shared" ref="U80" si="192">IF(P80,CEILING((N80-Q80)/S80,1)+1,N80)</f>
        <v>7</v>
      </c>
      <c r="V80" s="49">
        <f t="shared" ref="V80" si="193">IF(P80,CEILING((O80-R80)/T80,1)+1,O80)</f>
        <v>7</v>
      </c>
      <c r="W80" s="49"/>
      <c r="X80" s="10">
        <f t="shared" ref="X80" si="194">CEILING(E80*L80*M80, 16)*CEILING(F80/L80, 1)*CEILING(G80/M80,1)*$C$1/1024</f>
        <v>39.8125</v>
      </c>
      <c r="Y80" s="10">
        <f t="shared" si="170"/>
        <v>11.375</v>
      </c>
      <c r="Z80" s="10">
        <f t="shared" ref="Z80" si="195">U80*V80*CEILING(H80, 16)*$C$1/1024</f>
        <v>29.859375</v>
      </c>
      <c r="AA80" s="10">
        <f t="shared" ref="AA80" si="196">CEILING(E80*L80*M80,16)*CEILING(I80/L80,1)*CEILING(J80/M80,1)*H80*$C$2*(1-$F$2)/1024</f>
        <v>507</v>
      </c>
      <c r="AB80" s="10">
        <f t="shared" si="38"/>
        <v>26</v>
      </c>
      <c r="AC80" s="10" t="b">
        <f t="shared" si="190"/>
        <v>0</v>
      </c>
      <c r="AD80" s="56">
        <f>FLOOR(($AI$9-SUM(AA77:AA83))/(X77+X81+X82), 1)</f>
        <v>42</v>
      </c>
      <c r="AE80" s="55">
        <f>AA80/2+X80</f>
        <v>293.3125</v>
      </c>
      <c r="AF80" s="56">
        <f t="shared" ref="AF80" si="197">CEILING(AE80/$C$8*$C$5, 1)</f>
        <v>29332</v>
      </c>
      <c r="AG80" s="55">
        <f>X80</f>
        <v>39.8125</v>
      </c>
      <c r="AH80" s="56">
        <f t="shared" si="18"/>
        <v>1593</v>
      </c>
      <c r="AI80" s="55">
        <f t="shared" ref="AI80" si="198">Z80</f>
        <v>29.859375</v>
      </c>
      <c r="AJ80" s="56">
        <f t="shared" si="20"/>
        <v>1195</v>
      </c>
      <c r="AK80" s="57">
        <f t="shared" ref="AK80" si="199">CEILING(E80*L80*M80, 16)*CEILING(IF(K80, F80, F80-I80+1)/L80, 1)*CEILING(IF(K80, G80, G80-J80+1)/M80,1)*CEILING(H80*IF(D80="fc", $C$9, 1), 16)*I80*J80/L80/M80/$C$4/IF(I80=3, IF(J80=3, 2.25, 1), 1)/IF(D80="fc", $C$9, 1)</f>
        <v>12421.5</v>
      </c>
      <c r="AL80" s="57">
        <f t="shared" ref="AL80" si="200">MAX(AF80, AH80,AJ80,AK80)</f>
        <v>29332</v>
      </c>
      <c r="AM80" s="57" t="str">
        <f t="shared" ref="AM80" si="201">IF(AL80=AK80,"MAC",IF(AL80=AJ80,"CVSRAM-W",IF(AL80=AF80,"DRAM","CVSRAM-R")))</f>
        <v>DRAM</v>
      </c>
      <c r="AN80" s="21" t="str">
        <f t="shared" si="188"/>
        <v>weight</v>
      </c>
      <c r="AO80" s="31">
        <f t="shared" si="189"/>
        <v>2</v>
      </c>
      <c r="AP80" s="21">
        <f t="shared" si="186"/>
        <v>616.484375</v>
      </c>
      <c r="AQ80" s="31">
        <f t="shared" si="24"/>
        <v>61649</v>
      </c>
      <c r="AR80" s="20">
        <f>CEILING(E80*L80*M80, 16)*CEILING(IF(K80, F80, F80-I80+1)/L80, 1)*CEILING(IF(K80, G80, G80-J80+1)/M80,1)*CEILING(H80*IF(D80="fc", $C$9, 1), 16)*I80*J80/L80/M80/$C$4/IF(I80=3, IF(J80=3, 2.25, 1), 1)/IF(D80="fc", $C$9, 1)</f>
        <v>12421.5</v>
      </c>
      <c r="AS80" s="20">
        <f t="shared" ref="AS80" si="202">MAX(AQ80:AR80)</f>
        <v>61649</v>
      </c>
      <c r="AT80" s="20" t="str">
        <f t="shared" ref="AT80" si="203">IF(AS80=AR80, "MAC", "DRAM")</f>
        <v>DRAM</v>
      </c>
    </row>
    <row r="81" spans="2:46" x14ac:dyDescent="0.35">
      <c r="B81" s="74" t="s">
        <v>29</v>
      </c>
      <c r="C81" s="32" t="s">
        <v>82</v>
      </c>
      <c r="D81" s="49" t="s">
        <v>109</v>
      </c>
      <c r="E81" s="49">
        <v>192</v>
      </c>
      <c r="F81" s="49">
        <v>7</v>
      </c>
      <c r="G81" s="49">
        <v>7</v>
      </c>
      <c r="H81" s="49">
        <v>384</v>
      </c>
      <c r="I81" s="49">
        <v>3</v>
      </c>
      <c r="J81" s="49">
        <v>3</v>
      </c>
      <c r="K81" s="49" t="b">
        <v>1</v>
      </c>
      <c r="L81" s="49">
        <v>1</v>
      </c>
      <c r="M81" s="49">
        <v>1</v>
      </c>
      <c r="N81" s="49">
        <f t="shared" si="12"/>
        <v>7</v>
      </c>
      <c r="O81" s="9">
        <f t="shared" si="13"/>
        <v>7</v>
      </c>
      <c r="P81" s="49" t="b">
        <v>0</v>
      </c>
      <c r="Q81" s="49"/>
      <c r="R81" s="49"/>
      <c r="S81" s="49"/>
      <c r="T81" s="49"/>
      <c r="U81" s="49">
        <f t="shared" si="31"/>
        <v>7</v>
      </c>
      <c r="V81" s="49">
        <f t="shared" si="30"/>
        <v>7</v>
      </c>
      <c r="W81" s="49">
        <f>E81*N81*O81*H81*I81*J81</f>
        <v>32514048</v>
      </c>
      <c r="X81" s="10">
        <f t="shared" si="0"/>
        <v>9.1875</v>
      </c>
      <c r="Y81" s="10">
        <f t="shared" si="170"/>
        <v>5.25</v>
      </c>
      <c r="Z81" s="10">
        <f t="shared" si="1"/>
        <v>18.375</v>
      </c>
      <c r="AA81" s="10">
        <f t="shared" si="37"/>
        <v>648</v>
      </c>
      <c r="AB81" s="10">
        <f t="shared" si="38"/>
        <v>54</v>
      </c>
      <c r="AC81" s="10" t="b">
        <f t="shared" si="190"/>
        <v>1</v>
      </c>
      <c r="AD81" s="56">
        <f>FLOOR(($AI$9-SUM(AA77:AA83))/(X77+X81+X82), 1)</f>
        <v>42</v>
      </c>
      <c r="AE81" s="55">
        <f>AA81/MIN($AD$13:$AD$83)+Z81</f>
        <v>77.284090909090907</v>
      </c>
      <c r="AF81" s="56">
        <f t="shared" si="17"/>
        <v>7729</v>
      </c>
      <c r="AG81" s="55">
        <f t="shared" si="171"/>
        <v>24.616071428571431</v>
      </c>
      <c r="AH81" s="56">
        <f t="shared" si="18"/>
        <v>985</v>
      </c>
      <c r="AI81" s="55">
        <v>0</v>
      </c>
      <c r="AJ81" s="56">
        <f t="shared" si="20"/>
        <v>0</v>
      </c>
      <c r="AK81" s="57">
        <f t="shared" si="6"/>
        <v>7056</v>
      </c>
      <c r="AL81" s="57">
        <f t="shared" si="7"/>
        <v>7729</v>
      </c>
      <c r="AM81" s="57" t="str">
        <f t="shared" si="21"/>
        <v>DRAM</v>
      </c>
      <c r="AN81" s="21" t="str">
        <f t="shared" si="188"/>
        <v>feature</v>
      </c>
      <c r="AO81" s="31">
        <f t="shared" si="189"/>
        <v>1</v>
      </c>
      <c r="AP81" s="21">
        <f t="shared" si="186"/>
        <v>675.5625</v>
      </c>
      <c r="AQ81" s="31">
        <f t="shared" si="24"/>
        <v>67557</v>
      </c>
      <c r="AR81" s="20">
        <f>CEILING(E81*L81*M81, 16)*CEILING(IF(K81, F81, F81-I81+1)/L81, 1)*CEILING(IF(K81, G81, G81-J81+1)/M81,1)*CEILING(H81*IF(D81="fc", $C$9, 1), 16)*I81*J81/L81/M81/$C$4/IF(I81=3, IF(J81=3, 2.25, 1), 1)/IF(D81="fc", $C$9, 1)</f>
        <v>7056</v>
      </c>
      <c r="AS81" s="20">
        <f t="shared" si="10"/>
        <v>67557</v>
      </c>
      <c r="AT81" s="20" t="str">
        <f t="shared" si="11"/>
        <v>DRAM</v>
      </c>
    </row>
    <row r="82" spans="2:46" x14ac:dyDescent="0.35">
      <c r="B82" s="74" t="s">
        <v>29</v>
      </c>
      <c r="C82" s="32" t="s">
        <v>84</v>
      </c>
      <c r="D82" s="49" t="s">
        <v>109</v>
      </c>
      <c r="E82" s="49">
        <v>48</v>
      </c>
      <c r="F82" s="49">
        <v>7</v>
      </c>
      <c r="G82" s="49">
        <v>7</v>
      </c>
      <c r="H82" s="49">
        <v>128</v>
      </c>
      <c r="I82" s="49">
        <v>5</v>
      </c>
      <c r="J82" s="49">
        <v>5</v>
      </c>
      <c r="K82" s="49" t="b">
        <v>1</v>
      </c>
      <c r="L82" s="49">
        <v>1</v>
      </c>
      <c r="M82" s="49">
        <v>1</v>
      </c>
      <c r="N82" s="49">
        <f t="shared" si="12"/>
        <v>7</v>
      </c>
      <c r="O82" s="9">
        <f t="shared" si="13"/>
        <v>7</v>
      </c>
      <c r="P82" s="49" t="b">
        <v>0</v>
      </c>
      <c r="Q82" s="49"/>
      <c r="R82" s="49"/>
      <c r="S82" s="49"/>
      <c r="T82" s="49"/>
      <c r="U82" s="49">
        <f t="shared" si="31"/>
        <v>7</v>
      </c>
      <c r="V82" s="49">
        <f t="shared" si="30"/>
        <v>7</v>
      </c>
      <c r="W82" s="49">
        <f>E82*N82*O82*H82*I82*J82</f>
        <v>7526400</v>
      </c>
      <c r="X82" s="10">
        <f t="shared" si="0"/>
        <v>2.296875</v>
      </c>
      <c r="Y82" s="10">
        <f t="shared" si="170"/>
        <v>1.96875</v>
      </c>
      <c r="Z82" s="10">
        <f t="shared" si="1"/>
        <v>6.125</v>
      </c>
      <c r="AA82" s="10">
        <f t="shared" si="37"/>
        <v>150</v>
      </c>
      <c r="AB82" s="10">
        <f t="shared" si="38"/>
        <v>37.5</v>
      </c>
      <c r="AC82" s="10" t="b">
        <f t="shared" si="190"/>
        <v>0</v>
      </c>
      <c r="AD82" s="56">
        <f>FLOOR(($AI$9-SUM(AA77:AA83))/(X77+X81+X82), 1)</f>
        <v>42</v>
      </c>
      <c r="AE82" s="55">
        <f>AA82/MIN($AD$13:$AD$83)+Z82</f>
        <v>19.761363636363637</v>
      </c>
      <c r="AF82" s="56">
        <f t="shared" si="17"/>
        <v>1977</v>
      </c>
      <c r="AG82" s="55">
        <f t="shared" si="171"/>
        <v>5.8683035714285712</v>
      </c>
      <c r="AH82" s="56">
        <f t="shared" si="18"/>
        <v>235</v>
      </c>
      <c r="AI82" s="55">
        <v>0</v>
      </c>
      <c r="AJ82" s="56">
        <f t="shared" si="20"/>
        <v>0</v>
      </c>
      <c r="AK82" s="57">
        <f t="shared" si="6"/>
        <v>3675</v>
      </c>
      <c r="AL82" s="57">
        <f t="shared" si="7"/>
        <v>3675</v>
      </c>
      <c r="AM82" s="57" t="str">
        <f t="shared" si="21"/>
        <v>MAC</v>
      </c>
      <c r="AN82" s="21" t="str">
        <f t="shared" si="188"/>
        <v>feature</v>
      </c>
      <c r="AO82" s="31">
        <f t="shared" si="189"/>
        <v>1</v>
      </c>
      <c r="AP82" s="21">
        <f t="shared" si="186"/>
        <v>158.421875</v>
      </c>
      <c r="AQ82" s="31">
        <f t="shared" si="24"/>
        <v>15843</v>
      </c>
      <c r="AR82" s="20">
        <f>CEILING(E82*L82*M82, 16)*CEILING(IF(K82, F82, F82-I82+1)/L82, 1)*CEILING(IF(K82, G82, G82-J82+1)/M82,1)*CEILING(H82*IF(D82="fc", $C$9, 1), 16)*I82*J82/L82/M82/$C$4/IF(I82=3, IF(J82=3, 2.25, 1), 1)/IF(D82="fc", $C$9, 1)</f>
        <v>3675</v>
      </c>
      <c r="AS82" s="20">
        <f t="shared" si="10"/>
        <v>15843</v>
      </c>
      <c r="AT82" s="20" t="str">
        <f t="shared" si="11"/>
        <v>DRAM</v>
      </c>
    </row>
    <row r="83" spans="2:46" s="83" customFormat="1" x14ac:dyDescent="0.35">
      <c r="B83" s="61" t="s">
        <v>29</v>
      </c>
      <c r="C83" s="82" t="s">
        <v>85</v>
      </c>
      <c r="D83" s="13" t="s">
        <v>109</v>
      </c>
      <c r="E83" s="13">
        <v>832</v>
      </c>
      <c r="F83" s="13">
        <v>7</v>
      </c>
      <c r="G83" s="13">
        <v>7</v>
      </c>
      <c r="H83" s="13">
        <v>128</v>
      </c>
      <c r="I83" s="13">
        <v>1</v>
      </c>
      <c r="J83" s="13">
        <v>1</v>
      </c>
      <c r="K83" s="13" t="b">
        <v>1</v>
      </c>
      <c r="L83" s="13">
        <v>1</v>
      </c>
      <c r="M83" s="13">
        <v>1</v>
      </c>
      <c r="N83" s="13">
        <f t="shared" si="12"/>
        <v>7</v>
      </c>
      <c r="O83" s="14">
        <f t="shared" si="13"/>
        <v>7</v>
      </c>
      <c r="P83" s="13" t="b">
        <v>1</v>
      </c>
      <c r="Q83" s="13">
        <v>7</v>
      </c>
      <c r="R83" s="13">
        <v>7</v>
      </c>
      <c r="S83" s="13">
        <v>1</v>
      </c>
      <c r="T83" s="13">
        <v>1</v>
      </c>
      <c r="U83" s="13">
        <f t="shared" si="31"/>
        <v>1</v>
      </c>
      <c r="V83" s="13">
        <f t="shared" si="30"/>
        <v>1</v>
      </c>
      <c r="W83" s="13">
        <f>E83*N83*O83*H83*I83*J83</f>
        <v>5218304</v>
      </c>
      <c r="X83" s="15">
        <f t="shared" si="0"/>
        <v>39.8125</v>
      </c>
      <c r="Y83" s="15">
        <f t="shared" si="170"/>
        <v>11.375</v>
      </c>
      <c r="Z83" s="15">
        <f t="shared" si="1"/>
        <v>0.125</v>
      </c>
      <c r="AA83" s="15">
        <f t="shared" si="37"/>
        <v>104</v>
      </c>
      <c r="AB83" s="15">
        <f t="shared" si="38"/>
        <v>26</v>
      </c>
      <c r="AC83" s="15" t="b">
        <f t="shared" si="190"/>
        <v>0</v>
      </c>
      <c r="AD83" s="63">
        <f>FLOOR(($AI$9-SUM(AA77:AA83))/(X77+X81+X82), 1)</f>
        <v>42</v>
      </c>
      <c r="AE83" s="62">
        <f>AA83/MIN($AD$13:$AD$83)+Z83</f>
        <v>9.579545454545455</v>
      </c>
      <c r="AF83" s="63">
        <f t="shared" si="17"/>
        <v>958</v>
      </c>
      <c r="AG83" s="62">
        <f t="shared" si="171"/>
        <v>42.288690476190474</v>
      </c>
      <c r="AH83" s="63">
        <f t="shared" si="18"/>
        <v>1692</v>
      </c>
      <c r="AI83" s="62">
        <v>0</v>
      </c>
      <c r="AJ83" s="63">
        <f t="shared" si="20"/>
        <v>0</v>
      </c>
      <c r="AK83" s="63">
        <f t="shared" si="6"/>
        <v>2548</v>
      </c>
      <c r="AL83" s="63">
        <f t="shared" si="7"/>
        <v>2548</v>
      </c>
      <c r="AM83" s="63" t="str">
        <f t="shared" si="21"/>
        <v>MAC</v>
      </c>
      <c r="AN83" s="26" t="str">
        <f t="shared" si="188"/>
        <v>weight</v>
      </c>
      <c r="AO83" s="25">
        <f t="shared" si="189"/>
        <v>1</v>
      </c>
      <c r="AP83" s="26">
        <f t="shared" si="186"/>
        <v>143.9375</v>
      </c>
      <c r="AQ83" s="25">
        <f t="shared" si="24"/>
        <v>14394</v>
      </c>
      <c r="AR83" s="25">
        <f>CEILING(E83*L83*M83, 16)*CEILING(IF(K83, F83, F83-I83+1)/L83, 1)*CEILING(IF(K83, G83, G83-J83+1)/M83,1)*CEILING(H83*IF(D83="fc", $C$9, 1), 16)*I83*J83/L83/M83/$C$4/IF(I83=3, IF(J83=3, 2.25, 1), 1)/IF(D83="fc", $C$9, 1)</f>
        <v>2548</v>
      </c>
      <c r="AS83" s="25">
        <f t="shared" si="10"/>
        <v>14394</v>
      </c>
      <c r="AT83" s="25" t="str">
        <f t="shared" si="11"/>
        <v>DRAM</v>
      </c>
    </row>
    <row r="84" spans="2:46" s="84" customFormat="1" x14ac:dyDescent="0.35">
      <c r="B84" s="78" t="s">
        <v>29</v>
      </c>
      <c r="C84" s="33" t="s">
        <v>86</v>
      </c>
      <c r="D84" s="34" t="s">
        <v>86</v>
      </c>
      <c r="E84" s="34">
        <v>1024</v>
      </c>
      <c r="F84" s="34">
        <v>1</v>
      </c>
      <c r="G84" s="34">
        <v>1</v>
      </c>
      <c r="H84" s="34">
        <v>1000</v>
      </c>
      <c r="I84" s="34">
        <v>1</v>
      </c>
      <c r="J84" s="34">
        <v>1</v>
      </c>
      <c r="K84" s="34" t="b">
        <v>0</v>
      </c>
      <c r="L84" s="34">
        <v>1</v>
      </c>
      <c r="M84" s="34">
        <v>1</v>
      </c>
      <c r="N84" s="34">
        <f t="shared" si="12"/>
        <v>1</v>
      </c>
      <c r="O84" s="35">
        <f t="shared" si="13"/>
        <v>1</v>
      </c>
      <c r="P84" s="34" t="b">
        <v>0</v>
      </c>
      <c r="Q84" s="34"/>
      <c r="R84" s="34"/>
      <c r="S84" s="34"/>
      <c r="T84" s="34"/>
      <c r="U84" s="34">
        <f t="shared" si="31"/>
        <v>1</v>
      </c>
      <c r="V84" s="34">
        <f t="shared" si="30"/>
        <v>1</v>
      </c>
      <c r="W84" s="34">
        <f>E84*N84*O84*H84*I84*J84</f>
        <v>1024000</v>
      </c>
      <c r="X84" s="36">
        <f t="shared" ref="X84" si="204">CEILING(E84*L84*M84, 16)*CEILING(F84/L84, 1)*CEILING(G84/M84,1)*$C$1/1024</f>
        <v>1</v>
      </c>
      <c r="Y84" s="36">
        <f>CEILING(E84*L84*M84, 16)*MIN(I84+1, CEILING(F84/L84, 1))*CEILING(G84/M84,1)*$C$1/1024</f>
        <v>1</v>
      </c>
      <c r="Z84" s="36">
        <f t="shared" ref="Z84" si="205">U84*V84*CEILING(H84, 16)*$C$1/1024</f>
        <v>0.984375</v>
      </c>
      <c r="AA84" s="36">
        <f t="shared" si="37"/>
        <v>1000</v>
      </c>
      <c r="AB84" s="36">
        <f t="shared" si="38"/>
        <v>32</v>
      </c>
      <c r="AC84" s="36" t="b">
        <f t="shared" si="190"/>
        <v>0</v>
      </c>
      <c r="AD84" s="80">
        <f>MIN(FLOOR(($AI$9-AA84)/(X84), 1), 16)</f>
        <v>16</v>
      </c>
      <c r="AE84" s="81">
        <f>AA84/AD84+X84</f>
        <v>63.5</v>
      </c>
      <c r="AF84" s="80">
        <f t="shared" si="17"/>
        <v>6350</v>
      </c>
      <c r="AG84" s="81">
        <v>0</v>
      </c>
      <c r="AH84" s="80">
        <f t="shared" si="18"/>
        <v>0</v>
      </c>
      <c r="AI84" s="81">
        <v>0</v>
      </c>
      <c r="AJ84" s="80">
        <f t="shared" si="20"/>
        <v>0</v>
      </c>
      <c r="AK84" s="80">
        <f t="shared" ref="AK84" si="206">CEILING(E84*L84*M84, 16)*CEILING(IF(K84, F84, F84-I84+1)/L84, 1)*CEILING(IF(K84, G84, G84-J84+1)/M84,1)*CEILING(H84*IF(D84="fc", $C$9, 1), 16)*I84*J84/L84/M84/$C$4/IF(I84=3, IF(J84=3, 2.25, 1), 1)/IF(D84="fc", $C$9, 1)</f>
        <v>500</v>
      </c>
      <c r="AL84" s="80">
        <f t="shared" si="7"/>
        <v>6350</v>
      </c>
      <c r="AM84" s="80" t="str">
        <f t="shared" si="21"/>
        <v>DRAM</v>
      </c>
      <c r="AN84" s="36" t="str">
        <f t="shared" si="188"/>
        <v>feature</v>
      </c>
      <c r="AO84" s="34">
        <f t="shared" si="189"/>
        <v>1</v>
      </c>
      <c r="AP84" s="36">
        <f t="shared" si="186"/>
        <v>1001.984375</v>
      </c>
      <c r="AQ84" s="34">
        <f t="shared" si="24"/>
        <v>100199</v>
      </c>
      <c r="AR84" s="34">
        <f>CEILING(E84*L84*M84, 16)*CEILING(IF(K84, F84, F84-I84+1)/L84, 1)*CEILING(IF(K84, G84, G84-J84+1)/M84,1)*CEILING(H84*IF(D84="fc", $C$9, 1), 16)*I84*J84/L84/M84/$C$4/IF(I84=3, IF(J84=3, 2.25, 1), 1)/IF(D84="fc", $C$9, 1)</f>
        <v>500</v>
      </c>
      <c r="AS84" s="34">
        <f t="shared" ref="AS84" si="207">MAX(AQ84:AR84)</f>
        <v>100199</v>
      </c>
      <c r="AT84" s="34" t="str">
        <f t="shared" ref="AT84" si="208">IF(AS84=AR84, "MAC", "DRAM")</f>
        <v>DRAM</v>
      </c>
    </row>
    <row r="85" spans="2:46" x14ac:dyDescent="0.35">
      <c r="B85" s="74" t="s">
        <v>29</v>
      </c>
      <c r="C85" s="27" t="s">
        <v>28</v>
      </c>
      <c r="D85" s="30"/>
      <c r="E85" s="30"/>
      <c r="F85" s="30"/>
      <c r="G85" s="30"/>
      <c r="H85" s="30"/>
      <c r="I85" s="30"/>
      <c r="J85" s="30"/>
      <c r="K85" s="30"/>
      <c r="L85" s="30"/>
      <c r="M85" s="30"/>
      <c r="N85" s="30"/>
      <c r="O85" s="30"/>
      <c r="P85" s="30"/>
      <c r="Q85" s="30"/>
      <c r="R85" s="30"/>
      <c r="S85" s="30"/>
      <c r="T85" s="30"/>
      <c r="U85" s="30"/>
      <c r="V85" s="30"/>
      <c r="W85" s="30"/>
      <c r="X85" s="29"/>
      <c r="Y85" s="29"/>
      <c r="Z85" s="29"/>
      <c r="AA85" s="29"/>
      <c r="AB85" s="29"/>
      <c r="AC85" s="29"/>
      <c r="AD85" s="29"/>
      <c r="AE85" s="29"/>
      <c r="AF85" s="29"/>
      <c r="AG85" s="29"/>
      <c r="AH85" s="29"/>
      <c r="AI85" s="29"/>
      <c r="AJ85" s="29"/>
      <c r="AK85" s="29"/>
      <c r="AL85" s="29">
        <f>SUM(AL11:AL84)</f>
        <v>579712.5</v>
      </c>
      <c r="AM85" s="29" t="s">
        <v>120</v>
      </c>
      <c r="AN85" s="29"/>
      <c r="AO85" s="29"/>
      <c r="AP85" s="29"/>
      <c r="AQ85" s="29"/>
      <c r="AR85" s="29"/>
      <c r="AS85" s="29">
        <f>SUM(AS11:AS84)</f>
        <v>1222071</v>
      </c>
      <c r="AT85" s="29" t="s">
        <v>117</v>
      </c>
    </row>
    <row r="86" spans="2:46" x14ac:dyDescent="0.35">
      <c r="B86" s="74" t="s">
        <v>29</v>
      </c>
      <c r="C86" s="27" t="s">
        <v>28</v>
      </c>
      <c r="D86" s="30"/>
      <c r="E86" s="30"/>
      <c r="F86" s="30"/>
      <c r="G86" s="30"/>
      <c r="H86" s="30"/>
      <c r="I86" s="30"/>
      <c r="J86" s="30"/>
      <c r="K86" s="30"/>
      <c r="L86" s="30"/>
      <c r="M86" s="30"/>
      <c r="N86" s="30"/>
      <c r="O86" s="30"/>
      <c r="P86" s="30"/>
      <c r="Q86" s="30"/>
      <c r="R86" s="30"/>
      <c r="S86" s="30"/>
      <c r="T86" s="30"/>
      <c r="U86" s="30"/>
      <c r="V86" s="30"/>
      <c r="W86" s="30"/>
      <c r="X86" s="29"/>
      <c r="Y86" s="29"/>
      <c r="Z86" s="29"/>
      <c r="AA86" s="29"/>
      <c r="AB86" s="29"/>
      <c r="AC86" s="29"/>
      <c r="AD86" s="29"/>
      <c r="AE86" s="29"/>
      <c r="AF86" s="29"/>
      <c r="AG86" s="29"/>
      <c r="AH86" s="29"/>
      <c r="AI86" s="29"/>
      <c r="AJ86" s="29"/>
      <c r="AK86" s="29"/>
      <c r="AL86" s="29">
        <f>AL85/1000/$C$5</f>
        <v>0.57971249999999996</v>
      </c>
      <c r="AM86" s="29" t="s">
        <v>93</v>
      </c>
      <c r="AN86" s="29"/>
      <c r="AO86" s="29"/>
      <c r="AP86" s="29"/>
      <c r="AQ86" s="29"/>
      <c r="AR86" s="29"/>
      <c r="AS86" s="29">
        <f>AS85/1000/$C$5</f>
        <v>1.2220709999999999</v>
      </c>
      <c r="AT86" s="29" t="s">
        <v>93</v>
      </c>
    </row>
    <row r="87" spans="2:46" s="3" customFormat="1" ht="15" thickBot="1" x14ac:dyDescent="0.4">
      <c r="B87" s="75" t="s">
        <v>29</v>
      </c>
      <c r="C87" s="65" t="s">
        <v>28</v>
      </c>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c r="AL87" s="67">
        <f>1000/AL86</f>
        <v>1724.9929922159693</v>
      </c>
      <c r="AM87" s="67" t="s">
        <v>89</v>
      </c>
      <c r="AN87" s="67"/>
      <c r="AO87" s="67"/>
      <c r="AP87" s="67"/>
      <c r="AQ87" s="67"/>
      <c r="AR87" s="67"/>
      <c r="AS87" s="67">
        <f>1000/AS86</f>
        <v>818.28306211341248</v>
      </c>
      <c r="AT87" s="67" t="s">
        <v>89</v>
      </c>
    </row>
    <row r="88" spans="2:46" x14ac:dyDescent="0.35">
      <c r="AS88" s="30" t="s">
        <v>132</v>
      </c>
      <c r="AT88" s="43">
        <f>SUM(AR11:AR84)/SUM(AS11:AS84)</f>
        <v>0.43188079906977583</v>
      </c>
    </row>
    <row r="89" spans="2:46" x14ac:dyDescent="0.35">
      <c r="AS89" s="30" t="s">
        <v>133</v>
      </c>
      <c r="AT89" s="88">
        <f>SUM(W11:W84)/$C$4/AS85</f>
        <v>0.62722787792198653</v>
      </c>
    </row>
  </sheetData>
  <mergeCells count="2">
    <mergeCell ref="AE8:AM8"/>
    <mergeCell ref="AP8:AT8"/>
  </mergeCells>
  <dataValidations count="1">
    <dataValidation type="list" allowBlank="1" showInputMessage="1" showErrorMessage="1" sqref="K81:K84 K11:K15 P11:P15 P17:P23 K17:K23 K25:K31 P25:P31 K33:K39 P33:P39 K41:K47 P41:P47 K49:K55 P49:P55 K57:K63 P57:P63 P81:P84 K65:K71 P65:P71 P73:P79 K73:K79">
      <formula1>"TRUE,FALSE"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69"/>
  <sheetViews>
    <sheetView zoomScale="70" zoomScaleNormal="70" workbookViewId="0">
      <pane xSplit="2" ySplit="10" topLeftCell="C11" activePane="bottomRight" state="frozen"/>
      <selection pane="topRight" activeCell="C1" sqref="C1"/>
      <selection pane="bottomLeft" activeCell="A11" sqref="A11"/>
      <selection pane="bottomRight" activeCell="F2" sqref="F2"/>
    </sheetView>
  </sheetViews>
  <sheetFormatPr defaultRowHeight="14.5" x14ac:dyDescent="0.35"/>
  <cols>
    <col min="2" max="2" width="24.08984375" bestFit="1" customWidth="1"/>
    <col min="3" max="3" width="40.54296875" bestFit="1" customWidth="1"/>
    <col min="4" max="4" width="11.1796875" bestFit="1" customWidth="1"/>
    <col min="8" max="8" width="18.81640625" bestFit="1" customWidth="1"/>
    <col min="10" max="23" width="9.08984375" customWidth="1"/>
    <col min="25" max="25" width="9.08984375" style="106"/>
    <col min="27" max="27" width="9.08984375" style="106"/>
    <col min="29" max="37" width="0" hidden="1" customWidth="1"/>
    <col min="38" max="38" width="9.81640625" hidden="1" customWidth="1"/>
    <col min="39" max="39" width="9.08984375" customWidth="1"/>
    <col min="40" max="41" width="9.08984375" style="106"/>
    <col min="42" max="42" width="15.08984375" customWidth="1"/>
    <col min="43" max="43" width="12.36328125" customWidth="1"/>
  </cols>
  <sheetData>
    <row r="1" spans="1:46" x14ac:dyDescent="0.35">
      <c r="A1" s="106"/>
      <c r="B1" s="106" t="s">
        <v>0</v>
      </c>
      <c r="C1" s="106">
        <f>'Configuration Input'!B3</f>
        <v>1</v>
      </c>
      <c r="D1" s="106"/>
      <c r="E1" s="106"/>
      <c r="F1" s="106"/>
      <c r="G1" s="106"/>
      <c r="H1" s="106"/>
      <c r="I1" s="43"/>
      <c r="J1" s="43"/>
      <c r="K1" s="106"/>
      <c r="L1" s="106"/>
      <c r="M1" s="106"/>
      <c r="N1" s="106"/>
      <c r="O1" s="106"/>
      <c r="P1" s="106"/>
      <c r="Q1" s="106"/>
      <c r="R1" s="106"/>
      <c r="S1" s="106"/>
      <c r="T1" s="106"/>
      <c r="U1" s="106"/>
      <c r="V1" s="106"/>
      <c r="W1" s="106"/>
      <c r="X1" s="106"/>
      <c r="Z1" s="106"/>
      <c r="AB1" s="106"/>
      <c r="AC1" s="48"/>
      <c r="AD1" s="106"/>
      <c r="AE1" s="106"/>
      <c r="AF1" s="106"/>
      <c r="AG1" s="106"/>
      <c r="AH1" s="106"/>
      <c r="AI1" s="106"/>
      <c r="AJ1" s="106"/>
      <c r="AK1" s="106"/>
      <c r="AL1" s="106"/>
      <c r="AM1" s="106"/>
      <c r="AN1" s="41"/>
      <c r="AO1" s="41"/>
      <c r="AP1" s="41"/>
      <c r="AQ1" s="41"/>
      <c r="AR1" s="41"/>
      <c r="AS1" s="41"/>
      <c r="AT1" s="47"/>
    </row>
    <row r="2" spans="1:46" x14ac:dyDescent="0.35">
      <c r="A2" s="106"/>
      <c r="B2" s="106" t="s">
        <v>1</v>
      </c>
      <c r="C2" s="106">
        <f>'Configuration Input'!C3</f>
        <v>1</v>
      </c>
      <c r="D2" s="106"/>
      <c r="E2" s="106" t="s">
        <v>118</v>
      </c>
      <c r="F2" s="43">
        <v>0</v>
      </c>
      <c r="G2" s="43"/>
      <c r="H2" s="106"/>
      <c r="I2" s="43"/>
      <c r="J2" s="43"/>
      <c r="K2" s="106"/>
      <c r="L2" s="106"/>
      <c r="M2" s="106"/>
      <c r="N2" s="106"/>
      <c r="O2" s="106"/>
      <c r="P2" s="106"/>
      <c r="Q2" s="106"/>
      <c r="R2" s="106"/>
      <c r="S2" s="106"/>
      <c r="T2" s="106"/>
      <c r="U2" s="106"/>
      <c r="V2" s="106"/>
      <c r="W2" s="106"/>
      <c r="X2" s="106"/>
      <c r="Z2" s="106"/>
      <c r="AB2" s="106"/>
      <c r="AC2" s="48"/>
      <c r="AD2" s="106"/>
      <c r="AE2" s="106"/>
      <c r="AF2" s="106"/>
      <c r="AG2" s="106"/>
      <c r="AH2" s="106"/>
      <c r="AI2" s="106"/>
      <c r="AJ2" s="106"/>
      <c r="AK2" s="106"/>
      <c r="AL2" s="106"/>
      <c r="AM2" s="106"/>
      <c r="AN2" s="41"/>
      <c r="AO2" s="41"/>
      <c r="AP2" s="41"/>
      <c r="AQ2" s="41"/>
      <c r="AR2" s="41"/>
      <c r="AS2" s="41"/>
      <c r="AT2" s="47"/>
    </row>
    <row r="3" spans="1:46" x14ac:dyDescent="0.35">
      <c r="A3" s="106"/>
      <c r="B3" s="106" t="s">
        <v>113</v>
      </c>
      <c r="C3" s="106">
        <f>'Configuration Input'!D3</f>
        <v>512</v>
      </c>
      <c r="D3" s="106"/>
      <c r="E3" s="106"/>
      <c r="F3" s="106"/>
      <c r="G3" s="43"/>
      <c r="H3" s="106"/>
      <c r="I3" s="43"/>
      <c r="J3" s="43"/>
      <c r="K3" s="106"/>
      <c r="L3" s="106"/>
      <c r="M3" s="106"/>
      <c r="N3" s="106"/>
      <c r="O3" s="106"/>
      <c r="P3" s="106"/>
      <c r="Q3" s="106"/>
      <c r="R3" s="106"/>
      <c r="S3" s="106"/>
      <c r="T3" s="106"/>
      <c r="U3" s="106"/>
      <c r="V3" s="106"/>
      <c r="W3" s="106"/>
      <c r="X3" s="106"/>
      <c r="Z3" s="106"/>
      <c r="AB3" s="106"/>
      <c r="AC3" s="48"/>
      <c r="AD3" s="106"/>
      <c r="AE3" s="106"/>
      <c r="AF3" s="106"/>
      <c r="AG3" s="106"/>
      <c r="AH3" s="106"/>
      <c r="AI3" s="106"/>
      <c r="AJ3" s="106"/>
      <c r="AK3" s="106"/>
      <c r="AL3" s="106"/>
      <c r="AM3" s="106"/>
      <c r="AN3" s="41"/>
      <c r="AO3" s="41"/>
      <c r="AP3" s="41"/>
      <c r="AQ3" s="41"/>
      <c r="AR3" s="41"/>
      <c r="AS3" s="41"/>
      <c r="AT3" s="47"/>
    </row>
    <row r="4" spans="1:46" x14ac:dyDescent="0.35">
      <c r="A4" s="106"/>
      <c r="B4" s="106" t="s">
        <v>2</v>
      </c>
      <c r="C4" s="106">
        <f>'Configuration Input'!E3</f>
        <v>2048</v>
      </c>
      <c r="D4" s="106"/>
      <c r="E4" s="106"/>
      <c r="F4" s="106"/>
      <c r="G4" s="106"/>
      <c r="H4" s="106"/>
      <c r="I4" s="43"/>
      <c r="J4" s="43"/>
      <c r="K4" s="106"/>
      <c r="L4" s="106"/>
      <c r="M4" s="106"/>
      <c r="N4" s="106"/>
      <c r="O4" s="106"/>
      <c r="P4" s="106"/>
      <c r="Q4" s="106"/>
      <c r="R4" s="106"/>
      <c r="S4" s="106"/>
      <c r="T4" s="106"/>
      <c r="U4" s="106"/>
      <c r="V4" s="106"/>
      <c r="W4" s="106"/>
      <c r="X4" s="106"/>
      <c r="Z4" s="106"/>
      <c r="AB4" s="106"/>
      <c r="AC4" s="48"/>
      <c r="AD4" s="106"/>
      <c r="AE4" s="106"/>
      <c r="AF4" s="106"/>
      <c r="AG4" s="106"/>
      <c r="AH4" s="106"/>
      <c r="AI4" s="106"/>
      <c r="AJ4" s="106"/>
      <c r="AK4" s="106"/>
      <c r="AL4" s="106"/>
      <c r="AM4" s="106"/>
      <c r="AN4" s="41"/>
      <c r="AO4" s="41"/>
      <c r="AP4" s="41"/>
      <c r="AQ4" s="41"/>
      <c r="AR4" s="41"/>
      <c r="AS4" s="41"/>
      <c r="AT4" s="47"/>
    </row>
    <row r="5" spans="1:46" x14ac:dyDescent="0.35">
      <c r="A5" s="106"/>
      <c r="B5" s="106" t="s">
        <v>3</v>
      </c>
      <c r="C5" s="1">
        <f>'Configuration Input'!F3</f>
        <v>1000</v>
      </c>
      <c r="D5" s="1"/>
      <c r="E5" s="106"/>
      <c r="F5" s="106"/>
      <c r="G5" s="106"/>
      <c r="H5" s="106"/>
      <c r="I5" s="106"/>
      <c r="J5" s="106"/>
      <c r="K5" s="106"/>
      <c r="L5" s="106"/>
      <c r="M5" s="106"/>
      <c r="N5" s="106"/>
      <c r="O5" s="106"/>
      <c r="P5" s="106"/>
      <c r="Q5" s="106"/>
      <c r="R5" s="106"/>
      <c r="S5" s="106"/>
      <c r="T5" s="106"/>
      <c r="U5" s="106"/>
      <c r="V5" s="106"/>
      <c r="W5" s="106"/>
      <c r="X5" s="106"/>
      <c r="Z5" s="106"/>
      <c r="AB5" s="106"/>
      <c r="AC5" s="48"/>
      <c r="AD5" s="106"/>
      <c r="AE5" s="106"/>
      <c r="AF5" s="106"/>
      <c r="AG5" s="106"/>
      <c r="AH5" s="106"/>
      <c r="AI5" s="106"/>
      <c r="AJ5" s="106"/>
      <c r="AK5" s="106"/>
      <c r="AL5" s="106"/>
      <c r="AM5" s="106"/>
      <c r="AN5" s="41"/>
      <c r="AO5" s="41"/>
      <c r="AP5" s="41"/>
      <c r="AQ5" s="41"/>
      <c r="AR5" s="41"/>
      <c r="AS5" s="41"/>
      <c r="AT5" s="47"/>
    </row>
    <row r="6" spans="1:46" x14ac:dyDescent="0.35">
      <c r="A6" s="106"/>
      <c r="B6" s="106" t="s">
        <v>114</v>
      </c>
      <c r="C6" s="2">
        <f>'Configuration Input'!G3</f>
        <v>25</v>
      </c>
      <c r="D6" s="2"/>
      <c r="E6" s="106"/>
      <c r="F6" s="106"/>
      <c r="G6" s="106"/>
      <c r="H6" s="106"/>
      <c r="I6" s="106"/>
      <c r="J6" s="106"/>
      <c r="K6" s="106"/>
      <c r="L6" s="106"/>
      <c r="M6" s="106"/>
      <c r="N6" s="106"/>
      <c r="O6" s="106"/>
      <c r="P6" s="106"/>
      <c r="Q6" s="106"/>
      <c r="R6" s="106"/>
      <c r="S6" s="106"/>
      <c r="T6" s="106"/>
      <c r="U6" s="106"/>
      <c r="V6" s="106"/>
      <c r="W6" s="106"/>
      <c r="X6" s="106"/>
      <c r="Z6" s="106"/>
      <c r="AB6" s="106"/>
      <c r="AC6" s="48"/>
      <c r="AD6" s="106"/>
      <c r="AE6" s="106"/>
      <c r="AF6" s="106"/>
      <c r="AG6" s="106"/>
      <c r="AH6" s="106"/>
      <c r="AI6" s="106"/>
      <c r="AJ6" s="106"/>
      <c r="AK6" s="106"/>
      <c r="AL6" s="106"/>
      <c r="AM6" s="106"/>
      <c r="AN6" s="41"/>
      <c r="AO6" s="41"/>
      <c r="AP6" s="41"/>
      <c r="AQ6" s="41"/>
      <c r="AR6" s="41"/>
      <c r="AS6" s="41"/>
      <c r="AT6" s="47"/>
    </row>
    <row r="7" spans="1:46" x14ac:dyDescent="0.35">
      <c r="A7" s="106"/>
      <c r="B7" s="106" t="s">
        <v>115</v>
      </c>
      <c r="C7" s="2">
        <f>'Configuration Input'!H3</f>
        <v>25</v>
      </c>
      <c r="D7" s="2"/>
      <c r="E7" s="106"/>
      <c r="F7" s="106"/>
      <c r="G7" s="106"/>
      <c r="H7" s="106"/>
      <c r="I7" s="106"/>
      <c r="J7" s="106"/>
      <c r="K7" s="106"/>
      <c r="L7" s="106"/>
      <c r="M7" s="106"/>
      <c r="N7" s="106"/>
      <c r="O7" s="106"/>
      <c r="P7" s="106"/>
      <c r="Q7" s="106"/>
      <c r="R7" s="106"/>
      <c r="S7" s="106"/>
      <c r="T7" s="106"/>
      <c r="U7" s="106"/>
      <c r="V7" s="106"/>
      <c r="W7" s="106"/>
      <c r="X7" s="106"/>
      <c r="Z7" s="106"/>
      <c r="AB7" s="106"/>
      <c r="AC7" s="48"/>
      <c r="AD7" s="106"/>
      <c r="AE7" s="106"/>
      <c r="AF7" s="106"/>
      <c r="AG7" s="106"/>
      <c r="AH7" s="106"/>
      <c r="AI7" s="106"/>
      <c r="AJ7" s="106"/>
      <c r="AK7" s="106"/>
      <c r="AL7" s="106"/>
      <c r="AM7" s="106"/>
      <c r="AN7" s="41"/>
      <c r="AO7" s="41"/>
      <c r="AP7" s="41"/>
      <c r="AQ7" s="41"/>
      <c r="AR7" s="41"/>
      <c r="AS7" s="41"/>
      <c r="AT7" s="47"/>
    </row>
    <row r="8" spans="1:46" x14ac:dyDescent="0.35">
      <c r="A8" s="106"/>
      <c r="B8" s="106" t="s">
        <v>104</v>
      </c>
      <c r="C8" s="2">
        <f>'Configuration Input'!I3</f>
        <v>10</v>
      </c>
      <c r="D8" s="2"/>
      <c r="E8" s="106"/>
      <c r="F8" s="106"/>
      <c r="G8" s="106"/>
      <c r="H8" s="106"/>
      <c r="I8" s="106"/>
      <c r="J8" s="106"/>
      <c r="K8" s="106"/>
      <c r="L8" s="106"/>
      <c r="M8" s="106"/>
      <c r="N8" s="106"/>
      <c r="O8" s="106"/>
      <c r="P8" s="106"/>
      <c r="Q8" s="106"/>
      <c r="R8" s="106"/>
      <c r="S8" s="106"/>
      <c r="T8" s="106"/>
      <c r="U8" s="106"/>
      <c r="V8" s="106"/>
      <c r="W8" s="106"/>
      <c r="X8" s="106"/>
      <c r="Z8" s="106"/>
      <c r="AB8" s="106"/>
      <c r="AC8" s="48"/>
      <c r="AD8" s="140" t="s">
        <v>105</v>
      </c>
      <c r="AE8" s="140"/>
      <c r="AF8" s="140"/>
      <c r="AG8" s="140"/>
      <c r="AH8" s="140"/>
      <c r="AI8" s="140"/>
      <c r="AJ8" s="140"/>
      <c r="AK8" s="140"/>
      <c r="AL8" s="140"/>
      <c r="AM8" s="106"/>
      <c r="AN8" s="142"/>
      <c r="AO8" s="142"/>
      <c r="AP8" s="142"/>
      <c r="AQ8" s="142"/>
      <c r="AR8" s="142"/>
      <c r="AS8" s="142"/>
      <c r="AT8" s="143"/>
    </row>
    <row r="9" spans="1:46" x14ac:dyDescent="0.35">
      <c r="A9" s="106"/>
      <c r="B9" s="106" t="s">
        <v>110</v>
      </c>
      <c r="C9" s="106">
        <f>'Configuration Input'!J3</f>
        <v>16</v>
      </c>
      <c r="D9" s="106"/>
      <c r="E9" s="106"/>
      <c r="F9" s="106"/>
      <c r="G9" s="106"/>
      <c r="H9" s="106"/>
      <c r="I9" s="106"/>
      <c r="J9" s="106"/>
      <c r="K9" s="106"/>
      <c r="L9" s="106"/>
      <c r="M9" s="106"/>
      <c r="N9" s="106"/>
      <c r="O9" s="106"/>
      <c r="P9" s="106"/>
      <c r="Q9" s="106"/>
      <c r="R9" s="106"/>
      <c r="S9" s="106"/>
      <c r="T9" s="106"/>
      <c r="U9" s="106"/>
      <c r="V9" s="106"/>
      <c r="W9" s="106"/>
      <c r="X9" s="106"/>
      <c r="Z9" s="106"/>
      <c r="AB9" s="106"/>
      <c r="AC9" s="109"/>
      <c r="AD9" s="108"/>
      <c r="AE9" s="108"/>
      <c r="AF9" s="108"/>
      <c r="AG9" s="108"/>
      <c r="AH9" s="108">
        <v>4096</v>
      </c>
      <c r="AI9" s="108"/>
      <c r="AJ9" s="108"/>
      <c r="AK9" s="108"/>
      <c r="AL9" s="108"/>
      <c r="AM9" s="106"/>
      <c r="AN9" s="113"/>
      <c r="AO9" s="113"/>
      <c r="AP9" s="110"/>
      <c r="AQ9" s="110"/>
      <c r="AR9" s="110"/>
      <c r="AS9" s="110"/>
      <c r="AT9" s="111"/>
    </row>
    <row r="10" spans="1:46" ht="73" thickBot="1" x14ac:dyDescent="0.4">
      <c r="A10" s="3"/>
      <c r="B10" s="4" t="s">
        <v>4</v>
      </c>
      <c r="C10" s="4" t="s">
        <v>5</v>
      </c>
      <c r="D10" s="4" t="s">
        <v>108</v>
      </c>
      <c r="E10" s="4" t="s">
        <v>6</v>
      </c>
      <c r="F10" s="4" t="s">
        <v>7</v>
      </c>
      <c r="G10" s="4" t="s">
        <v>8</v>
      </c>
      <c r="H10" s="4" t="s">
        <v>9</v>
      </c>
      <c r="I10" s="4" t="s">
        <v>10</v>
      </c>
      <c r="J10" s="4" t="s">
        <v>11</v>
      </c>
      <c r="K10" s="4" t="s">
        <v>12</v>
      </c>
      <c r="L10" s="4" t="s">
        <v>88</v>
      </c>
      <c r="M10" s="4" t="s">
        <v>13</v>
      </c>
      <c r="N10" s="4" t="s">
        <v>14</v>
      </c>
      <c r="O10" s="4" t="s">
        <v>15</v>
      </c>
      <c r="P10" s="4" t="s">
        <v>16</v>
      </c>
      <c r="Q10" s="4" t="s">
        <v>17</v>
      </c>
      <c r="R10" s="4" t="s">
        <v>18</v>
      </c>
      <c r="S10" s="4" t="s">
        <v>19</v>
      </c>
      <c r="T10" s="4" t="s">
        <v>20</v>
      </c>
      <c r="U10" s="4" t="s">
        <v>21</v>
      </c>
      <c r="V10" s="4" t="s">
        <v>22</v>
      </c>
      <c r="W10" s="4" t="s">
        <v>91</v>
      </c>
      <c r="X10" s="4" t="s">
        <v>23</v>
      </c>
      <c r="Y10" s="4" t="s">
        <v>198</v>
      </c>
      <c r="Z10" s="4" t="s">
        <v>94</v>
      </c>
      <c r="AA10" s="4" t="s">
        <v>199</v>
      </c>
      <c r="AB10" s="4" t="s">
        <v>24</v>
      </c>
      <c r="AC10" s="91" t="s">
        <v>116</v>
      </c>
      <c r="AD10" s="4" t="s">
        <v>99</v>
      </c>
      <c r="AE10" s="4" t="s">
        <v>100</v>
      </c>
      <c r="AF10" s="4" t="s">
        <v>98</v>
      </c>
      <c r="AG10" s="4" t="s">
        <v>101</v>
      </c>
      <c r="AH10" s="4" t="s">
        <v>102</v>
      </c>
      <c r="AI10" s="4" t="s">
        <v>103</v>
      </c>
      <c r="AJ10" s="5" t="s">
        <v>95</v>
      </c>
      <c r="AK10" s="5" t="s">
        <v>96</v>
      </c>
      <c r="AL10" s="5" t="s">
        <v>92</v>
      </c>
      <c r="AM10" s="4" t="s">
        <v>134</v>
      </c>
      <c r="AN10" s="5" t="s">
        <v>197</v>
      </c>
      <c r="AO10" s="5" t="s">
        <v>99</v>
      </c>
      <c r="AP10" s="5" t="s">
        <v>99</v>
      </c>
      <c r="AQ10" s="5" t="s">
        <v>100</v>
      </c>
      <c r="AR10" s="4" t="s">
        <v>106</v>
      </c>
      <c r="AS10" s="4" t="s">
        <v>107</v>
      </c>
      <c r="AT10" s="96" t="s">
        <v>92</v>
      </c>
    </row>
    <row r="11" spans="1:46" x14ac:dyDescent="0.35">
      <c r="A11" s="7" t="s">
        <v>169</v>
      </c>
      <c r="B11" s="107" t="s">
        <v>170</v>
      </c>
      <c r="C11" s="8" t="s">
        <v>139</v>
      </c>
      <c r="D11" s="8" t="s">
        <v>109</v>
      </c>
      <c r="E11" s="9">
        <v>3</v>
      </c>
      <c r="F11" s="9">
        <v>224</v>
      </c>
      <c r="G11" s="9">
        <v>224</v>
      </c>
      <c r="H11" s="9">
        <v>64</v>
      </c>
      <c r="I11" s="9">
        <v>7</v>
      </c>
      <c r="J11" s="9">
        <v>7</v>
      </c>
      <c r="K11" s="49" t="b">
        <v>1</v>
      </c>
      <c r="L11" s="49">
        <v>2</v>
      </c>
      <c r="M11" s="49">
        <v>2</v>
      </c>
      <c r="N11" s="49">
        <f t="shared" ref="N11:N64" si="0">IF(K11=TRUE,CEILING(F11/L11,1),CEILING((F11-I11)/L11,1)+1)</f>
        <v>112</v>
      </c>
      <c r="O11" s="9">
        <f t="shared" ref="O11:O64" si="1">IF(K11=TRUE,CEILING(G11/M11,1),CEILING((G11-J11)/M11,1)+1)</f>
        <v>112</v>
      </c>
      <c r="P11" s="49" t="b">
        <v>1</v>
      </c>
      <c r="Q11" s="49">
        <v>3</v>
      </c>
      <c r="R11" s="49">
        <v>3</v>
      </c>
      <c r="S11" s="49">
        <v>2</v>
      </c>
      <c r="T11" s="49">
        <v>2</v>
      </c>
      <c r="U11" s="49">
        <f t="shared" ref="U11:V53" si="2">IF($P11,CEILING((N11-Q11)/S11,1)+1,N11)</f>
        <v>56</v>
      </c>
      <c r="V11" s="49">
        <f t="shared" si="2"/>
        <v>56</v>
      </c>
      <c r="W11" s="49">
        <f t="shared" ref="W11:W42" si="3">E11*N11*O11*H11*I11*J11</f>
        <v>118013952</v>
      </c>
      <c r="X11" s="10">
        <f t="shared" ref="X11:X42" si="4">CEILING(E11*L11*M11, 16)*CEILING(F11/L11, 1)*CEILING(G11/M11,1)*$C$1/1024</f>
        <v>196</v>
      </c>
      <c r="Y11" s="10">
        <f>CEILING(E11*L11*M11, 16)*MIN(I11+1, CEILING(F11/L11, 1))*CEILING(G11/M11,1)*$C$1/1024</f>
        <v>14</v>
      </c>
      <c r="Z11" s="10">
        <f t="shared" ref="Z11:Z42" si="5">U11*V11*CEILING(H11, 16)*$C$1/1024</f>
        <v>196</v>
      </c>
      <c r="AA11" s="10">
        <f t="shared" ref="AA11:AA42" si="6">IF((CEILING(E11*L11*M11,16)*CEILING(I11/L11,1)*CEILING(J11/M11,1)*32*$C$2*(1-$F$2)/1024)&gt;=$C$3, $C$3/2, CEILING(E11*L11*M11,16)*CEILING(I11/L11,1)*CEILING(J11/M11,1)*32*$C$2*(1-$F$2)/1024)</f>
        <v>8</v>
      </c>
      <c r="AB11" s="10">
        <f>CEILING(E11*L11*M11,16)*CEILING(I11/L11,1)*CEILING(J11/M11,1)*H11*$C$2*(1-$F$2)/1024</f>
        <v>16</v>
      </c>
      <c r="AC11" s="104">
        <v>1</v>
      </c>
      <c r="AD11" s="55">
        <f>X11+AB11/IF(D11="fc",$C$9,MIN($AC$11:$AC$18))</f>
        <v>212</v>
      </c>
      <c r="AE11" s="56">
        <f t="shared" ref="AE11:AE53" si="7">CEILING(AD11/$C$8*$C$5, 1)</f>
        <v>21200</v>
      </c>
      <c r="AF11" s="55">
        <v>0</v>
      </c>
      <c r="AG11" s="56">
        <f>CEILING(AF11/$C$6*$C$5, 1)</f>
        <v>0</v>
      </c>
      <c r="AH11" s="55">
        <f t="shared" ref="AH11:AH53" si="8">Z11</f>
        <v>196</v>
      </c>
      <c r="AI11" s="56">
        <f>CEILING(AH11/$C$7*$C$5, 1)</f>
        <v>7840</v>
      </c>
      <c r="AJ11" s="57">
        <f t="shared" ref="AJ11:AJ42" si="9">CEILING(E11*L11*M11, 16)*CEILING(IF(K11, F11, F11-I11+1)/L11, 1)*CEILING(IF(K11, G11, G11-J11+1)/M11,1)*CEILING(H11*IF(D11="fc", $C$9, 1), 16)*I11*J11/L11/M11/$C$4/IF(I11=3, IF(J11=3, 2.25, 1), 1)/IF(D11="fc", $C$9, 1)</f>
        <v>76832</v>
      </c>
      <c r="AK11" s="57">
        <f t="shared" ref="AK11:AK64" si="10">MAX(AE11, AG11,AI11,AJ11)</f>
        <v>76832</v>
      </c>
      <c r="AL11" s="57" t="str">
        <f t="shared" ref="AL11:AL64" si="11">IF(AK11=AJ11,"MAC",IF(AK11=AI11,"CVSRAM-W",IF(AK11=AE11,"DRAM","CVSRAM-R")))</f>
        <v>MAC</v>
      </c>
      <c r="AM11" s="10" t="b">
        <f t="shared" ref="AM11:AM42" si="12">IF(I11=3, IF(J11=3, TRUE, FALSE), FALSE)</f>
        <v>0</v>
      </c>
      <c r="AN11" s="44" t="str">
        <f>IF(Y11&lt;AA11, "feature", "weight")</f>
        <v>weight</v>
      </c>
      <c r="AO11" s="44">
        <f t="shared" ref="AO11:AO42" si="13">IF(AN11="weight", IF(AB11&gt;($C$3-Y11), CEILING(AB11/($C$3-Y11), 1)*X11+AB11+Z11, X11+AB11+Z11), IF(X11&gt;($C$3-AA11), CEILING(X11/($C$3-AA11),1)*AB11+X11+Z11, X11+AB11+Z11)) + IF(D11="conv + elwise", Z11, 0)</f>
        <v>408</v>
      </c>
      <c r="AP11" s="44">
        <f t="shared" ref="AP11:AP42" si="14">AB11/IF(D11="fc", $C$9, 1)+Z11*IF(D11="conv + elwise", 2, 1)+X11</f>
        <v>408</v>
      </c>
      <c r="AQ11" s="31">
        <f>CEILING(AO11/$C$8*$C$5, 1)</f>
        <v>40800</v>
      </c>
      <c r="AR11" s="31">
        <f t="shared" ref="AR11:AR42" si="15">CEILING(E11*L11*M11, 16)*CEILING(IF(K11, F11, F11-I11+1)/L11, 1)*CEILING(IF(K11, G11, G11-J11+1)/M11,1)*CEILING(H11*IF(D11="fc", $C$9, 1), 128)*I11*J11/L11/M11/$C$4/IF(I11=3, IF(J11=3, 2.25, 1), 1)/IF(D11="fc", $C$9, 1)</f>
        <v>153664</v>
      </c>
      <c r="AS11" s="31">
        <f t="shared" ref="AS11:AS64" si="16">MAX(AQ11:AR11)</f>
        <v>153664</v>
      </c>
      <c r="AT11" s="97" t="str">
        <f t="shared" ref="AT11:AT64" si="17">IF(AS11=AR11, "MAC", "DRAM")</f>
        <v>MAC</v>
      </c>
    </row>
    <row r="12" spans="1:46" x14ac:dyDescent="0.35">
      <c r="A12" s="7" t="s">
        <v>169</v>
      </c>
      <c r="B12" s="107" t="s">
        <v>170</v>
      </c>
      <c r="C12" s="8" t="s">
        <v>140</v>
      </c>
      <c r="D12" s="8" t="s">
        <v>109</v>
      </c>
      <c r="E12" s="9">
        <v>64</v>
      </c>
      <c r="F12" s="9">
        <v>56</v>
      </c>
      <c r="G12" s="9">
        <v>56</v>
      </c>
      <c r="H12" s="9">
        <v>256</v>
      </c>
      <c r="I12" s="9">
        <v>1</v>
      </c>
      <c r="J12" s="9">
        <v>1</v>
      </c>
      <c r="K12" s="49" t="b">
        <v>0</v>
      </c>
      <c r="L12" s="49">
        <v>1</v>
      </c>
      <c r="M12" s="49">
        <v>1</v>
      </c>
      <c r="N12" s="49">
        <f t="shared" si="0"/>
        <v>56</v>
      </c>
      <c r="O12" s="9">
        <f t="shared" si="1"/>
        <v>56</v>
      </c>
      <c r="P12" s="49" t="b">
        <v>0</v>
      </c>
      <c r="Q12" s="49"/>
      <c r="R12" s="49"/>
      <c r="S12" s="49"/>
      <c r="T12" s="49"/>
      <c r="U12" s="49">
        <f t="shared" si="2"/>
        <v>56</v>
      </c>
      <c r="V12" s="49">
        <f t="shared" si="2"/>
        <v>56</v>
      </c>
      <c r="W12" s="49">
        <f t="shared" si="3"/>
        <v>51380224</v>
      </c>
      <c r="X12" s="10">
        <f t="shared" si="4"/>
        <v>196</v>
      </c>
      <c r="Y12" s="10">
        <f t="shared" ref="Y12:Y43" si="18">CEILING(E12*L12*M12, 16)*MIN(I12, CEILING(F12/L12, 1))*CEILING(G12/M12,1)*$C$1/1024</f>
        <v>3.5</v>
      </c>
      <c r="Z12" s="10">
        <f t="shared" si="5"/>
        <v>784</v>
      </c>
      <c r="AA12" s="10">
        <f t="shared" si="6"/>
        <v>2</v>
      </c>
      <c r="AB12" s="10">
        <f t="shared" ref="AB12:AB43" si="19">CEILING(E12*L12*M12,16)*CEILING(I12/L12,1)*CEILING(J12/M12,1)*H12*$C$2*(1-$F$2)/1024*IF(AM12, 16/9, 1)</f>
        <v>16</v>
      </c>
      <c r="AC12" s="104">
        <v>1</v>
      </c>
      <c r="AD12" s="55">
        <f>AB12/IF(D12="fc",$C$9,MIN($AC$11:$AC$18))</f>
        <v>16</v>
      </c>
      <c r="AE12" s="56">
        <f t="shared" si="7"/>
        <v>1600</v>
      </c>
      <c r="AF12" s="55">
        <f t="shared" ref="AF12:AF43" si="20">X12</f>
        <v>196</v>
      </c>
      <c r="AG12" s="56">
        <f t="shared" ref="AG12:AG64" si="21">CEILING(AF12/$C$6*$C$5, 1)</f>
        <v>7840</v>
      </c>
      <c r="AH12" s="55">
        <f t="shared" si="8"/>
        <v>784</v>
      </c>
      <c r="AI12" s="56">
        <f t="shared" ref="AI12:AI64" si="22">CEILING(AH12/$C$7*$C$5, 1)</f>
        <v>31360</v>
      </c>
      <c r="AJ12" s="57">
        <f t="shared" si="9"/>
        <v>25088</v>
      </c>
      <c r="AK12" s="57">
        <f t="shared" si="10"/>
        <v>31360</v>
      </c>
      <c r="AL12" s="57" t="str">
        <f t="shared" si="11"/>
        <v>CVSRAM-W</v>
      </c>
      <c r="AM12" s="10" t="b">
        <f t="shared" si="12"/>
        <v>0</v>
      </c>
      <c r="AN12" s="44" t="str">
        <f t="shared" ref="AN12:AN43" si="23">IF(X12&lt;AB12, "feature", "weight")</f>
        <v>weight</v>
      </c>
      <c r="AO12" s="44">
        <f t="shared" si="13"/>
        <v>996</v>
      </c>
      <c r="AP12" s="44">
        <f t="shared" si="14"/>
        <v>996</v>
      </c>
      <c r="AQ12" s="31">
        <f t="shared" ref="AQ12:AQ64" si="24">CEILING(AO12/$C$8*$C$5, 1)</f>
        <v>99600</v>
      </c>
      <c r="AR12" s="31">
        <f t="shared" si="15"/>
        <v>25088</v>
      </c>
      <c r="AS12" s="31">
        <f t="shared" si="16"/>
        <v>99600</v>
      </c>
      <c r="AT12" s="97" t="str">
        <f t="shared" si="17"/>
        <v>DRAM</v>
      </c>
    </row>
    <row r="13" spans="1:46" x14ac:dyDescent="0.35">
      <c r="A13" s="7" t="s">
        <v>169</v>
      </c>
      <c r="B13" s="107" t="s">
        <v>170</v>
      </c>
      <c r="C13" s="8" t="s">
        <v>141</v>
      </c>
      <c r="D13" s="8" t="s">
        <v>109</v>
      </c>
      <c r="E13" s="9">
        <v>256</v>
      </c>
      <c r="F13" s="9">
        <v>56</v>
      </c>
      <c r="G13" s="9">
        <v>56</v>
      </c>
      <c r="H13" s="9">
        <v>64</v>
      </c>
      <c r="I13" s="9">
        <v>1</v>
      </c>
      <c r="J13" s="9">
        <v>1</v>
      </c>
      <c r="K13" s="49" t="b">
        <v>0</v>
      </c>
      <c r="L13" s="49">
        <v>1</v>
      </c>
      <c r="M13" s="49">
        <v>1</v>
      </c>
      <c r="N13" s="49">
        <f t="shared" si="0"/>
        <v>56</v>
      </c>
      <c r="O13" s="9">
        <f t="shared" si="1"/>
        <v>56</v>
      </c>
      <c r="P13" s="49" t="b">
        <v>0</v>
      </c>
      <c r="Q13" s="49"/>
      <c r="R13" s="49"/>
      <c r="S13" s="49"/>
      <c r="T13" s="49"/>
      <c r="U13" s="49">
        <f t="shared" si="2"/>
        <v>56</v>
      </c>
      <c r="V13" s="49">
        <f t="shared" si="2"/>
        <v>56</v>
      </c>
      <c r="W13" s="49">
        <f t="shared" si="3"/>
        <v>51380224</v>
      </c>
      <c r="X13" s="10">
        <f t="shared" si="4"/>
        <v>784</v>
      </c>
      <c r="Y13" s="10">
        <f t="shared" si="18"/>
        <v>14</v>
      </c>
      <c r="Z13" s="10">
        <f t="shared" si="5"/>
        <v>196</v>
      </c>
      <c r="AA13" s="10">
        <f t="shared" si="6"/>
        <v>8</v>
      </c>
      <c r="AB13" s="10">
        <f t="shared" si="19"/>
        <v>16</v>
      </c>
      <c r="AC13" s="104">
        <v>1</v>
      </c>
      <c r="AD13" s="55">
        <f>AB13/IF(D13="fc",$C$9,MIN($AC$11:$AC$18))</f>
        <v>16</v>
      </c>
      <c r="AE13" s="56">
        <f t="shared" si="7"/>
        <v>1600</v>
      </c>
      <c r="AF13" s="55">
        <f t="shared" si="20"/>
        <v>784</v>
      </c>
      <c r="AG13" s="56">
        <f t="shared" si="21"/>
        <v>31360</v>
      </c>
      <c r="AH13" s="55">
        <f t="shared" si="8"/>
        <v>196</v>
      </c>
      <c r="AI13" s="56">
        <f t="shared" si="22"/>
        <v>7840</v>
      </c>
      <c r="AJ13" s="57">
        <f t="shared" si="9"/>
        <v>25088</v>
      </c>
      <c r="AK13" s="57">
        <f t="shared" si="10"/>
        <v>31360</v>
      </c>
      <c r="AL13" s="57" t="str">
        <f t="shared" si="11"/>
        <v>CVSRAM-R</v>
      </c>
      <c r="AM13" s="10" t="b">
        <f t="shared" si="12"/>
        <v>0</v>
      </c>
      <c r="AN13" s="44" t="str">
        <f t="shared" si="23"/>
        <v>weight</v>
      </c>
      <c r="AO13" s="44">
        <f t="shared" si="13"/>
        <v>996</v>
      </c>
      <c r="AP13" s="44">
        <f t="shared" si="14"/>
        <v>996</v>
      </c>
      <c r="AQ13" s="31">
        <f t="shared" si="24"/>
        <v>99600</v>
      </c>
      <c r="AR13" s="31">
        <f t="shared" si="15"/>
        <v>50176</v>
      </c>
      <c r="AS13" s="31">
        <f t="shared" si="16"/>
        <v>99600</v>
      </c>
      <c r="AT13" s="97" t="str">
        <f t="shared" si="17"/>
        <v>DRAM</v>
      </c>
    </row>
    <row r="14" spans="1:46" x14ac:dyDescent="0.35">
      <c r="A14" s="7" t="s">
        <v>169</v>
      </c>
      <c r="B14" s="107" t="s">
        <v>170</v>
      </c>
      <c r="C14" s="8" t="s">
        <v>142</v>
      </c>
      <c r="D14" s="8" t="s">
        <v>109</v>
      </c>
      <c r="E14" s="9">
        <v>64</v>
      </c>
      <c r="F14" s="9">
        <v>56</v>
      </c>
      <c r="G14" s="9">
        <v>56</v>
      </c>
      <c r="H14" s="9">
        <v>64</v>
      </c>
      <c r="I14" s="9">
        <v>3</v>
      </c>
      <c r="J14" s="9">
        <v>3</v>
      </c>
      <c r="K14" s="49" t="b">
        <v>1</v>
      </c>
      <c r="L14" s="49">
        <v>1</v>
      </c>
      <c r="M14" s="49">
        <v>1</v>
      </c>
      <c r="N14" s="49">
        <f t="shared" si="0"/>
        <v>56</v>
      </c>
      <c r="O14" s="9">
        <f t="shared" si="1"/>
        <v>56</v>
      </c>
      <c r="P14" s="49" t="b">
        <v>0</v>
      </c>
      <c r="Q14" s="49"/>
      <c r="R14" s="49"/>
      <c r="S14" s="49"/>
      <c r="T14" s="49"/>
      <c r="U14" s="49">
        <f t="shared" si="2"/>
        <v>56</v>
      </c>
      <c r="V14" s="49">
        <f t="shared" si="2"/>
        <v>56</v>
      </c>
      <c r="W14" s="49">
        <f t="shared" si="3"/>
        <v>115605504</v>
      </c>
      <c r="X14" s="10">
        <f t="shared" si="4"/>
        <v>196</v>
      </c>
      <c r="Y14" s="10">
        <f t="shared" si="18"/>
        <v>10.5</v>
      </c>
      <c r="Z14" s="10">
        <f t="shared" si="5"/>
        <v>196</v>
      </c>
      <c r="AA14" s="10">
        <f t="shared" si="6"/>
        <v>18</v>
      </c>
      <c r="AB14" s="10">
        <f t="shared" si="19"/>
        <v>64</v>
      </c>
      <c r="AC14" s="104">
        <v>1</v>
      </c>
      <c r="AD14" s="55">
        <f>AB14/IF(D14="fc",$C$9,MIN($AC$11:$AC$18))</f>
        <v>64</v>
      </c>
      <c r="AE14" s="56">
        <f t="shared" si="7"/>
        <v>6400</v>
      </c>
      <c r="AF14" s="55">
        <f t="shared" si="20"/>
        <v>196</v>
      </c>
      <c r="AG14" s="56">
        <f t="shared" si="21"/>
        <v>7840</v>
      </c>
      <c r="AH14" s="55">
        <f t="shared" si="8"/>
        <v>196</v>
      </c>
      <c r="AI14" s="56">
        <f t="shared" si="22"/>
        <v>7840</v>
      </c>
      <c r="AJ14" s="57">
        <f t="shared" si="9"/>
        <v>25088</v>
      </c>
      <c r="AK14" s="57">
        <f t="shared" si="10"/>
        <v>25088</v>
      </c>
      <c r="AL14" s="57" t="str">
        <f t="shared" si="11"/>
        <v>MAC</v>
      </c>
      <c r="AM14" s="10" t="b">
        <f t="shared" si="12"/>
        <v>1</v>
      </c>
      <c r="AN14" s="44" t="str">
        <f t="shared" si="23"/>
        <v>weight</v>
      </c>
      <c r="AO14" s="44">
        <f t="shared" si="13"/>
        <v>456</v>
      </c>
      <c r="AP14" s="44">
        <f t="shared" si="14"/>
        <v>456</v>
      </c>
      <c r="AQ14" s="31">
        <f t="shared" si="24"/>
        <v>45600</v>
      </c>
      <c r="AR14" s="31">
        <f t="shared" si="15"/>
        <v>50176</v>
      </c>
      <c r="AS14" s="31">
        <f t="shared" si="16"/>
        <v>50176</v>
      </c>
      <c r="AT14" s="97" t="str">
        <f t="shared" si="17"/>
        <v>MAC</v>
      </c>
    </row>
    <row r="15" spans="1:46" x14ac:dyDescent="0.35">
      <c r="A15" s="7" t="s">
        <v>169</v>
      </c>
      <c r="B15" s="107" t="s">
        <v>170</v>
      </c>
      <c r="C15" s="8" t="s">
        <v>143</v>
      </c>
      <c r="D15" s="8" t="s">
        <v>171</v>
      </c>
      <c r="E15" s="9">
        <v>64</v>
      </c>
      <c r="F15" s="9">
        <v>56</v>
      </c>
      <c r="G15" s="9">
        <v>56</v>
      </c>
      <c r="H15" s="9">
        <v>256</v>
      </c>
      <c r="I15" s="9">
        <v>1</v>
      </c>
      <c r="J15" s="9">
        <v>1</v>
      </c>
      <c r="K15" s="49" t="b">
        <v>1</v>
      </c>
      <c r="L15" s="49">
        <v>1</v>
      </c>
      <c r="M15" s="49">
        <v>1</v>
      </c>
      <c r="N15" s="49">
        <f t="shared" si="0"/>
        <v>56</v>
      </c>
      <c r="O15" s="9">
        <f t="shared" si="1"/>
        <v>56</v>
      </c>
      <c r="P15" s="49" t="b">
        <v>0</v>
      </c>
      <c r="Q15" s="49"/>
      <c r="R15" s="49"/>
      <c r="S15" s="49"/>
      <c r="T15" s="49"/>
      <c r="U15" s="49">
        <f t="shared" si="2"/>
        <v>56</v>
      </c>
      <c r="V15" s="49">
        <f t="shared" si="2"/>
        <v>56</v>
      </c>
      <c r="W15" s="49">
        <f t="shared" si="3"/>
        <v>51380224</v>
      </c>
      <c r="X15" s="10">
        <f t="shared" si="4"/>
        <v>196</v>
      </c>
      <c r="Y15" s="10">
        <f t="shared" si="18"/>
        <v>3.5</v>
      </c>
      <c r="Z15" s="10">
        <f t="shared" si="5"/>
        <v>784</v>
      </c>
      <c r="AA15" s="10">
        <f t="shared" si="6"/>
        <v>2</v>
      </c>
      <c r="AB15" s="10">
        <f t="shared" si="19"/>
        <v>16</v>
      </c>
      <c r="AC15" s="104">
        <v>1</v>
      </c>
      <c r="AD15" s="55">
        <f>AB15/IF(D15="fc",$C$9,MIN($AC$11:$AC$18))</f>
        <v>16</v>
      </c>
      <c r="AE15" s="56">
        <f t="shared" si="7"/>
        <v>1600</v>
      </c>
      <c r="AF15" s="55">
        <f t="shared" si="20"/>
        <v>196</v>
      </c>
      <c r="AG15" s="56">
        <f t="shared" si="21"/>
        <v>7840</v>
      </c>
      <c r="AH15" s="55">
        <f t="shared" si="8"/>
        <v>784</v>
      </c>
      <c r="AI15" s="56">
        <f t="shared" si="22"/>
        <v>31360</v>
      </c>
      <c r="AJ15" s="57">
        <f t="shared" si="9"/>
        <v>25088</v>
      </c>
      <c r="AK15" s="57">
        <f t="shared" si="10"/>
        <v>31360</v>
      </c>
      <c r="AL15" s="57" t="str">
        <f t="shared" si="11"/>
        <v>CVSRAM-W</v>
      </c>
      <c r="AM15" s="10" t="b">
        <f t="shared" si="12"/>
        <v>0</v>
      </c>
      <c r="AN15" s="44" t="str">
        <f t="shared" si="23"/>
        <v>weight</v>
      </c>
      <c r="AO15" s="44">
        <f t="shared" si="13"/>
        <v>1780</v>
      </c>
      <c r="AP15" s="44">
        <f t="shared" si="14"/>
        <v>1780</v>
      </c>
      <c r="AQ15" s="31">
        <f t="shared" si="24"/>
        <v>178000</v>
      </c>
      <c r="AR15" s="31">
        <f t="shared" si="15"/>
        <v>25088</v>
      </c>
      <c r="AS15" s="31">
        <f t="shared" si="16"/>
        <v>178000</v>
      </c>
      <c r="AT15" s="97" t="str">
        <f t="shared" si="17"/>
        <v>DRAM</v>
      </c>
    </row>
    <row r="16" spans="1:46" x14ac:dyDescent="0.35">
      <c r="A16" s="7" t="s">
        <v>168</v>
      </c>
      <c r="B16" s="107" t="s">
        <v>170</v>
      </c>
      <c r="C16" s="8" t="s">
        <v>144</v>
      </c>
      <c r="D16" s="8" t="s">
        <v>109</v>
      </c>
      <c r="E16" s="9">
        <v>256</v>
      </c>
      <c r="F16" s="9">
        <v>56</v>
      </c>
      <c r="G16" s="9">
        <v>56</v>
      </c>
      <c r="H16" s="9">
        <v>64</v>
      </c>
      <c r="I16" s="9">
        <v>1</v>
      </c>
      <c r="J16" s="9">
        <v>1</v>
      </c>
      <c r="K16" s="49" t="b">
        <v>1</v>
      </c>
      <c r="L16" s="49">
        <v>1</v>
      </c>
      <c r="M16" s="49">
        <v>1</v>
      </c>
      <c r="N16" s="49">
        <f t="shared" si="0"/>
        <v>56</v>
      </c>
      <c r="O16" s="9">
        <f t="shared" si="1"/>
        <v>56</v>
      </c>
      <c r="P16" s="49" t="b">
        <v>0</v>
      </c>
      <c r="Q16" s="49"/>
      <c r="R16" s="49"/>
      <c r="S16" s="49"/>
      <c r="T16" s="49"/>
      <c r="U16" s="49">
        <f t="shared" si="2"/>
        <v>56</v>
      </c>
      <c r="V16" s="49">
        <f t="shared" si="2"/>
        <v>56</v>
      </c>
      <c r="W16" s="49">
        <f t="shared" si="3"/>
        <v>51380224</v>
      </c>
      <c r="X16" s="10">
        <f t="shared" si="4"/>
        <v>784</v>
      </c>
      <c r="Y16" s="10">
        <f t="shared" si="18"/>
        <v>14</v>
      </c>
      <c r="Z16" s="10">
        <f t="shared" si="5"/>
        <v>196</v>
      </c>
      <c r="AA16" s="10">
        <f t="shared" si="6"/>
        <v>8</v>
      </c>
      <c r="AB16" s="10">
        <f t="shared" si="19"/>
        <v>16</v>
      </c>
      <c r="AC16" s="104">
        <v>1</v>
      </c>
      <c r="AD16" s="55">
        <f>AB16/IF(D16="fc",$C$9,MIN($AC$11:$AC$18))</f>
        <v>16</v>
      </c>
      <c r="AE16" s="56">
        <f t="shared" si="7"/>
        <v>1600</v>
      </c>
      <c r="AF16" s="55">
        <f t="shared" si="20"/>
        <v>784</v>
      </c>
      <c r="AG16" s="56">
        <f t="shared" si="21"/>
        <v>31360</v>
      </c>
      <c r="AH16" s="55">
        <f t="shared" si="8"/>
        <v>196</v>
      </c>
      <c r="AI16" s="56">
        <f t="shared" si="22"/>
        <v>7840</v>
      </c>
      <c r="AJ16" s="57">
        <f t="shared" si="9"/>
        <v>25088</v>
      </c>
      <c r="AK16" s="57">
        <f t="shared" si="10"/>
        <v>31360</v>
      </c>
      <c r="AL16" s="57" t="str">
        <f t="shared" si="11"/>
        <v>CVSRAM-R</v>
      </c>
      <c r="AM16" s="10" t="b">
        <f t="shared" si="12"/>
        <v>0</v>
      </c>
      <c r="AN16" s="44" t="str">
        <f t="shared" si="23"/>
        <v>weight</v>
      </c>
      <c r="AO16" s="44">
        <f t="shared" si="13"/>
        <v>996</v>
      </c>
      <c r="AP16" s="44">
        <f t="shared" si="14"/>
        <v>996</v>
      </c>
      <c r="AQ16" s="31">
        <f t="shared" si="24"/>
        <v>99600</v>
      </c>
      <c r="AR16" s="31">
        <f t="shared" si="15"/>
        <v>50176</v>
      </c>
      <c r="AS16" s="31">
        <f t="shared" si="16"/>
        <v>99600</v>
      </c>
      <c r="AT16" s="97" t="str">
        <f t="shared" si="17"/>
        <v>DRAM</v>
      </c>
    </row>
    <row r="17" spans="1:46" x14ac:dyDescent="0.35">
      <c r="A17" s="7" t="s">
        <v>168</v>
      </c>
      <c r="B17" s="107" t="s">
        <v>170</v>
      </c>
      <c r="C17" s="8" t="s">
        <v>145</v>
      </c>
      <c r="D17" s="8" t="s">
        <v>109</v>
      </c>
      <c r="E17" s="49">
        <v>64</v>
      </c>
      <c r="F17" s="49">
        <v>56</v>
      </c>
      <c r="G17" s="49">
        <v>56</v>
      </c>
      <c r="H17" s="49">
        <v>64</v>
      </c>
      <c r="I17" s="49">
        <v>3</v>
      </c>
      <c r="J17" s="49">
        <v>3</v>
      </c>
      <c r="K17" s="49" t="b">
        <v>1</v>
      </c>
      <c r="L17" s="49">
        <v>1</v>
      </c>
      <c r="M17" s="49">
        <v>1</v>
      </c>
      <c r="N17" s="49">
        <f t="shared" si="0"/>
        <v>56</v>
      </c>
      <c r="O17" s="9">
        <f t="shared" si="1"/>
        <v>56</v>
      </c>
      <c r="P17" s="49" t="b">
        <v>0</v>
      </c>
      <c r="Q17" s="49"/>
      <c r="R17" s="49"/>
      <c r="S17" s="49"/>
      <c r="T17" s="49"/>
      <c r="U17" s="49">
        <f t="shared" si="2"/>
        <v>56</v>
      </c>
      <c r="V17" s="49">
        <f t="shared" si="2"/>
        <v>56</v>
      </c>
      <c r="W17" s="49">
        <f t="shared" si="3"/>
        <v>115605504</v>
      </c>
      <c r="X17" s="10">
        <f t="shared" si="4"/>
        <v>196</v>
      </c>
      <c r="Y17" s="10">
        <f t="shared" si="18"/>
        <v>10.5</v>
      </c>
      <c r="Z17" s="10">
        <f t="shared" si="5"/>
        <v>196</v>
      </c>
      <c r="AA17" s="10">
        <f t="shared" si="6"/>
        <v>18</v>
      </c>
      <c r="AB17" s="139">
        <f t="shared" si="19"/>
        <v>64</v>
      </c>
      <c r="AC17" s="104">
        <v>1</v>
      </c>
      <c r="AD17" s="55">
        <f t="shared" ref="AD17:AD63" si="25">AB17/IF(D17="fc",$C$9,MIN($AC$11:$AC$18))+Z17</f>
        <v>260</v>
      </c>
      <c r="AE17" s="56">
        <f t="shared" si="7"/>
        <v>26000</v>
      </c>
      <c r="AF17" s="55">
        <f t="shared" si="20"/>
        <v>196</v>
      </c>
      <c r="AG17" s="56">
        <f t="shared" si="21"/>
        <v>7840</v>
      </c>
      <c r="AH17" s="55">
        <f t="shared" si="8"/>
        <v>196</v>
      </c>
      <c r="AI17" s="56">
        <f t="shared" si="22"/>
        <v>7840</v>
      </c>
      <c r="AJ17" s="56">
        <f t="shared" si="9"/>
        <v>25088</v>
      </c>
      <c r="AK17" s="56">
        <f t="shared" si="10"/>
        <v>26000</v>
      </c>
      <c r="AL17" s="56" t="str">
        <f t="shared" si="11"/>
        <v>DRAM</v>
      </c>
      <c r="AM17" s="10" t="b">
        <f t="shared" si="12"/>
        <v>1</v>
      </c>
      <c r="AN17" s="44" t="str">
        <f t="shared" si="23"/>
        <v>weight</v>
      </c>
      <c r="AO17" s="44">
        <f t="shared" si="13"/>
        <v>456</v>
      </c>
      <c r="AP17" s="44">
        <f t="shared" si="14"/>
        <v>456</v>
      </c>
      <c r="AQ17" s="31">
        <f t="shared" si="24"/>
        <v>45600</v>
      </c>
      <c r="AR17" s="31">
        <f t="shared" si="15"/>
        <v>50176</v>
      </c>
      <c r="AS17" s="31">
        <f t="shared" si="16"/>
        <v>50176</v>
      </c>
      <c r="AT17" s="97" t="str">
        <f t="shared" si="17"/>
        <v>MAC</v>
      </c>
    </row>
    <row r="18" spans="1:46" x14ac:dyDescent="0.35">
      <c r="A18" s="11" t="s">
        <v>169</v>
      </c>
      <c r="B18" s="107" t="s">
        <v>170</v>
      </c>
      <c r="C18" s="8" t="s">
        <v>146</v>
      </c>
      <c r="D18" s="8" t="s">
        <v>171</v>
      </c>
      <c r="E18" s="49">
        <v>64</v>
      </c>
      <c r="F18" s="49">
        <v>56</v>
      </c>
      <c r="G18" s="49">
        <v>56</v>
      </c>
      <c r="H18" s="49">
        <v>256</v>
      </c>
      <c r="I18" s="49">
        <v>1</v>
      </c>
      <c r="J18" s="49">
        <v>1</v>
      </c>
      <c r="K18" s="49" t="b">
        <v>1</v>
      </c>
      <c r="L18" s="49">
        <v>1</v>
      </c>
      <c r="M18" s="49">
        <v>1</v>
      </c>
      <c r="N18" s="49">
        <f t="shared" si="0"/>
        <v>56</v>
      </c>
      <c r="O18" s="9">
        <f t="shared" si="1"/>
        <v>56</v>
      </c>
      <c r="P18" s="49" t="b">
        <v>0</v>
      </c>
      <c r="Q18" s="49"/>
      <c r="R18" s="49"/>
      <c r="S18" s="49"/>
      <c r="T18" s="49"/>
      <c r="U18" s="49">
        <f t="shared" si="2"/>
        <v>56</v>
      </c>
      <c r="V18" s="49">
        <f t="shared" si="2"/>
        <v>56</v>
      </c>
      <c r="W18" s="49">
        <f t="shared" si="3"/>
        <v>51380224</v>
      </c>
      <c r="X18" s="10">
        <f t="shared" si="4"/>
        <v>196</v>
      </c>
      <c r="Y18" s="10">
        <f t="shared" si="18"/>
        <v>3.5</v>
      </c>
      <c r="Z18" s="10">
        <f t="shared" si="5"/>
        <v>784</v>
      </c>
      <c r="AA18" s="10">
        <f t="shared" si="6"/>
        <v>2</v>
      </c>
      <c r="AB18" s="139">
        <f t="shared" si="19"/>
        <v>16</v>
      </c>
      <c r="AC18" s="105">
        <v>1</v>
      </c>
      <c r="AD18" s="62">
        <f t="shared" si="25"/>
        <v>800</v>
      </c>
      <c r="AE18" s="63">
        <f t="shared" si="7"/>
        <v>80000</v>
      </c>
      <c r="AF18" s="62">
        <f t="shared" si="20"/>
        <v>196</v>
      </c>
      <c r="AG18" s="63">
        <f t="shared" si="21"/>
        <v>7840</v>
      </c>
      <c r="AH18" s="62">
        <f t="shared" si="8"/>
        <v>784</v>
      </c>
      <c r="AI18" s="63">
        <f t="shared" si="22"/>
        <v>31360</v>
      </c>
      <c r="AJ18" s="63">
        <f t="shared" si="9"/>
        <v>25088</v>
      </c>
      <c r="AK18" s="63">
        <f t="shared" si="10"/>
        <v>80000</v>
      </c>
      <c r="AL18" s="63" t="str">
        <f t="shared" si="11"/>
        <v>DRAM</v>
      </c>
      <c r="AM18" s="10" t="b">
        <f t="shared" si="12"/>
        <v>0</v>
      </c>
      <c r="AN18" s="44" t="str">
        <f t="shared" si="23"/>
        <v>weight</v>
      </c>
      <c r="AO18" s="44">
        <f t="shared" si="13"/>
        <v>1780</v>
      </c>
      <c r="AP18" s="44">
        <f t="shared" si="14"/>
        <v>1780</v>
      </c>
      <c r="AQ18" s="31">
        <f t="shared" si="24"/>
        <v>178000</v>
      </c>
      <c r="AR18" s="31">
        <f t="shared" si="15"/>
        <v>25088</v>
      </c>
      <c r="AS18" s="31">
        <f t="shared" si="16"/>
        <v>178000</v>
      </c>
      <c r="AT18" s="97" t="str">
        <f t="shared" si="17"/>
        <v>DRAM</v>
      </c>
    </row>
    <row r="19" spans="1:46" x14ac:dyDescent="0.35">
      <c r="A19" s="11" t="s">
        <v>169</v>
      </c>
      <c r="B19" s="107" t="s">
        <v>170</v>
      </c>
      <c r="C19" s="8" t="s">
        <v>147</v>
      </c>
      <c r="D19" s="8" t="s">
        <v>109</v>
      </c>
      <c r="E19" s="49">
        <v>256</v>
      </c>
      <c r="F19" s="49">
        <v>56</v>
      </c>
      <c r="G19" s="49">
        <v>56</v>
      </c>
      <c r="H19" s="49">
        <v>64</v>
      </c>
      <c r="I19" s="49">
        <v>1</v>
      </c>
      <c r="J19" s="49">
        <v>1</v>
      </c>
      <c r="K19" s="49" t="b">
        <v>1</v>
      </c>
      <c r="L19" s="49">
        <v>1</v>
      </c>
      <c r="M19" s="49">
        <v>1</v>
      </c>
      <c r="N19" s="49">
        <f t="shared" si="0"/>
        <v>56</v>
      </c>
      <c r="O19" s="9">
        <f t="shared" si="1"/>
        <v>56</v>
      </c>
      <c r="P19" s="49" t="b">
        <v>0</v>
      </c>
      <c r="Q19" s="49"/>
      <c r="R19" s="49"/>
      <c r="S19" s="49"/>
      <c r="T19" s="49"/>
      <c r="U19" s="49">
        <f t="shared" si="2"/>
        <v>56</v>
      </c>
      <c r="V19" s="49">
        <f t="shared" si="2"/>
        <v>56</v>
      </c>
      <c r="W19" s="49">
        <f t="shared" si="3"/>
        <v>51380224</v>
      </c>
      <c r="X19" s="10">
        <f t="shared" si="4"/>
        <v>784</v>
      </c>
      <c r="Y19" s="10">
        <f t="shared" si="18"/>
        <v>14</v>
      </c>
      <c r="Z19" s="10">
        <f t="shared" si="5"/>
        <v>196</v>
      </c>
      <c r="AA19" s="10">
        <f t="shared" si="6"/>
        <v>8</v>
      </c>
      <c r="AB19" s="139">
        <f t="shared" si="19"/>
        <v>16</v>
      </c>
      <c r="AC19" s="105">
        <v>1</v>
      </c>
      <c r="AD19" s="62">
        <f t="shared" si="25"/>
        <v>212</v>
      </c>
      <c r="AE19" s="63">
        <f t="shared" si="7"/>
        <v>21200</v>
      </c>
      <c r="AF19" s="62">
        <f t="shared" si="20"/>
        <v>784</v>
      </c>
      <c r="AG19" s="63">
        <f t="shared" si="21"/>
        <v>31360</v>
      </c>
      <c r="AH19" s="62">
        <f t="shared" si="8"/>
        <v>196</v>
      </c>
      <c r="AI19" s="63">
        <f t="shared" si="22"/>
        <v>7840</v>
      </c>
      <c r="AJ19" s="63">
        <f t="shared" si="9"/>
        <v>25088</v>
      </c>
      <c r="AK19" s="63">
        <f t="shared" si="10"/>
        <v>31360</v>
      </c>
      <c r="AL19" s="63" t="str">
        <f t="shared" si="11"/>
        <v>CVSRAM-R</v>
      </c>
      <c r="AM19" s="10" t="b">
        <f t="shared" si="12"/>
        <v>0</v>
      </c>
      <c r="AN19" s="44" t="str">
        <f t="shared" si="23"/>
        <v>weight</v>
      </c>
      <c r="AO19" s="44">
        <f t="shared" si="13"/>
        <v>996</v>
      </c>
      <c r="AP19" s="44">
        <f t="shared" si="14"/>
        <v>996</v>
      </c>
      <c r="AQ19" s="31">
        <f t="shared" si="24"/>
        <v>99600</v>
      </c>
      <c r="AR19" s="31">
        <f t="shared" si="15"/>
        <v>50176</v>
      </c>
      <c r="AS19" s="31">
        <f t="shared" si="16"/>
        <v>99600</v>
      </c>
      <c r="AT19" s="97" t="str">
        <f t="shared" si="17"/>
        <v>DRAM</v>
      </c>
    </row>
    <row r="20" spans="1:46" x14ac:dyDescent="0.35">
      <c r="A20" s="11" t="s">
        <v>169</v>
      </c>
      <c r="B20" s="107" t="s">
        <v>170</v>
      </c>
      <c r="C20" s="8" t="s">
        <v>148</v>
      </c>
      <c r="D20" s="8" t="s">
        <v>109</v>
      </c>
      <c r="E20" s="49">
        <v>64</v>
      </c>
      <c r="F20" s="49">
        <v>56</v>
      </c>
      <c r="G20" s="49">
        <v>56</v>
      </c>
      <c r="H20" s="49">
        <v>64</v>
      </c>
      <c r="I20" s="49">
        <v>3</v>
      </c>
      <c r="J20" s="49">
        <v>3</v>
      </c>
      <c r="K20" s="49" t="b">
        <v>1</v>
      </c>
      <c r="L20" s="49">
        <v>1</v>
      </c>
      <c r="M20" s="49">
        <v>1</v>
      </c>
      <c r="N20" s="49">
        <f t="shared" si="0"/>
        <v>56</v>
      </c>
      <c r="O20" s="9">
        <f t="shared" si="1"/>
        <v>56</v>
      </c>
      <c r="P20" s="49" t="b">
        <v>0</v>
      </c>
      <c r="Q20" s="49"/>
      <c r="R20" s="49"/>
      <c r="S20" s="49"/>
      <c r="T20" s="49"/>
      <c r="U20" s="49">
        <f t="shared" si="2"/>
        <v>56</v>
      </c>
      <c r="V20" s="49">
        <f t="shared" si="2"/>
        <v>56</v>
      </c>
      <c r="W20" s="49">
        <f t="shared" si="3"/>
        <v>115605504</v>
      </c>
      <c r="X20" s="10">
        <f t="shared" si="4"/>
        <v>196</v>
      </c>
      <c r="Y20" s="10">
        <f t="shared" si="18"/>
        <v>10.5</v>
      </c>
      <c r="Z20" s="10">
        <f t="shared" si="5"/>
        <v>196</v>
      </c>
      <c r="AA20" s="10">
        <f t="shared" si="6"/>
        <v>18</v>
      </c>
      <c r="AB20" s="139">
        <f t="shared" si="19"/>
        <v>64</v>
      </c>
      <c r="AC20" s="105">
        <v>1</v>
      </c>
      <c r="AD20" s="62">
        <f t="shared" si="25"/>
        <v>260</v>
      </c>
      <c r="AE20" s="63">
        <f t="shared" si="7"/>
        <v>26000</v>
      </c>
      <c r="AF20" s="62">
        <f t="shared" si="20"/>
        <v>196</v>
      </c>
      <c r="AG20" s="63">
        <f t="shared" si="21"/>
        <v>7840</v>
      </c>
      <c r="AH20" s="62">
        <f t="shared" si="8"/>
        <v>196</v>
      </c>
      <c r="AI20" s="63">
        <f t="shared" si="22"/>
        <v>7840</v>
      </c>
      <c r="AJ20" s="63">
        <f t="shared" si="9"/>
        <v>25088</v>
      </c>
      <c r="AK20" s="63">
        <f t="shared" si="10"/>
        <v>26000</v>
      </c>
      <c r="AL20" s="63" t="str">
        <f t="shared" si="11"/>
        <v>DRAM</v>
      </c>
      <c r="AM20" s="10" t="b">
        <f t="shared" si="12"/>
        <v>1</v>
      </c>
      <c r="AN20" s="44" t="str">
        <f t="shared" si="23"/>
        <v>weight</v>
      </c>
      <c r="AO20" s="44">
        <f t="shared" si="13"/>
        <v>456</v>
      </c>
      <c r="AP20" s="44">
        <f t="shared" si="14"/>
        <v>456</v>
      </c>
      <c r="AQ20" s="31">
        <f t="shared" si="24"/>
        <v>45600</v>
      </c>
      <c r="AR20" s="31">
        <f t="shared" si="15"/>
        <v>50176</v>
      </c>
      <c r="AS20" s="31">
        <f t="shared" si="16"/>
        <v>50176</v>
      </c>
      <c r="AT20" s="97" t="str">
        <f t="shared" si="17"/>
        <v>MAC</v>
      </c>
    </row>
    <row r="21" spans="1:46" x14ac:dyDescent="0.35">
      <c r="A21" s="11" t="s">
        <v>169</v>
      </c>
      <c r="B21" s="107" t="s">
        <v>170</v>
      </c>
      <c r="C21" s="8" t="s">
        <v>149</v>
      </c>
      <c r="D21" s="8" t="s">
        <v>171</v>
      </c>
      <c r="E21" s="49">
        <v>64</v>
      </c>
      <c r="F21" s="49">
        <v>56</v>
      </c>
      <c r="G21" s="49">
        <v>56</v>
      </c>
      <c r="H21" s="49">
        <v>256</v>
      </c>
      <c r="I21" s="49">
        <v>1</v>
      </c>
      <c r="J21" s="49">
        <v>1</v>
      </c>
      <c r="K21" s="49" t="b">
        <v>1</v>
      </c>
      <c r="L21" s="49">
        <v>1</v>
      </c>
      <c r="M21" s="49">
        <v>1</v>
      </c>
      <c r="N21" s="49">
        <f t="shared" si="0"/>
        <v>56</v>
      </c>
      <c r="O21" s="9">
        <f t="shared" si="1"/>
        <v>56</v>
      </c>
      <c r="P21" s="49" t="b">
        <v>0</v>
      </c>
      <c r="Q21" s="49"/>
      <c r="R21" s="49"/>
      <c r="S21" s="49"/>
      <c r="T21" s="49"/>
      <c r="U21" s="49">
        <f t="shared" si="2"/>
        <v>56</v>
      </c>
      <c r="V21" s="49">
        <f t="shared" si="2"/>
        <v>56</v>
      </c>
      <c r="W21" s="49">
        <f t="shared" si="3"/>
        <v>51380224</v>
      </c>
      <c r="X21" s="10">
        <f t="shared" si="4"/>
        <v>196</v>
      </c>
      <c r="Y21" s="10">
        <f t="shared" si="18"/>
        <v>3.5</v>
      </c>
      <c r="Z21" s="10">
        <f t="shared" si="5"/>
        <v>784</v>
      </c>
      <c r="AA21" s="10">
        <f t="shared" si="6"/>
        <v>2</v>
      </c>
      <c r="AB21" s="139">
        <f t="shared" si="19"/>
        <v>16</v>
      </c>
      <c r="AC21" s="105">
        <v>1</v>
      </c>
      <c r="AD21" s="62">
        <f t="shared" si="25"/>
        <v>800</v>
      </c>
      <c r="AE21" s="63">
        <f t="shared" si="7"/>
        <v>80000</v>
      </c>
      <c r="AF21" s="62">
        <f t="shared" si="20"/>
        <v>196</v>
      </c>
      <c r="AG21" s="63">
        <f t="shared" si="21"/>
        <v>7840</v>
      </c>
      <c r="AH21" s="62">
        <f t="shared" si="8"/>
        <v>784</v>
      </c>
      <c r="AI21" s="63">
        <f t="shared" si="22"/>
        <v>31360</v>
      </c>
      <c r="AJ21" s="63">
        <f t="shared" si="9"/>
        <v>25088</v>
      </c>
      <c r="AK21" s="63">
        <f t="shared" si="10"/>
        <v>80000</v>
      </c>
      <c r="AL21" s="63" t="str">
        <f t="shared" si="11"/>
        <v>DRAM</v>
      </c>
      <c r="AM21" s="10" t="b">
        <f t="shared" si="12"/>
        <v>0</v>
      </c>
      <c r="AN21" s="44" t="str">
        <f t="shared" si="23"/>
        <v>weight</v>
      </c>
      <c r="AO21" s="44">
        <f t="shared" si="13"/>
        <v>1780</v>
      </c>
      <c r="AP21" s="44">
        <f t="shared" si="14"/>
        <v>1780</v>
      </c>
      <c r="AQ21" s="31">
        <f t="shared" si="24"/>
        <v>178000</v>
      </c>
      <c r="AR21" s="31">
        <f t="shared" si="15"/>
        <v>25088</v>
      </c>
      <c r="AS21" s="31">
        <f t="shared" si="16"/>
        <v>178000</v>
      </c>
      <c r="AT21" s="97" t="str">
        <f t="shared" si="17"/>
        <v>DRAM</v>
      </c>
    </row>
    <row r="22" spans="1:46" x14ac:dyDescent="0.35">
      <c r="A22" s="11" t="s">
        <v>169</v>
      </c>
      <c r="B22" s="107" t="s">
        <v>170</v>
      </c>
      <c r="C22" s="8" t="s">
        <v>150</v>
      </c>
      <c r="D22" s="8" t="s">
        <v>109</v>
      </c>
      <c r="E22" s="49">
        <v>256</v>
      </c>
      <c r="F22" s="49">
        <v>56</v>
      </c>
      <c r="G22" s="49">
        <v>56</v>
      </c>
      <c r="H22" s="49">
        <v>512</v>
      </c>
      <c r="I22" s="49">
        <v>1</v>
      </c>
      <c r="J22" s="49">
        <v>1</v>
      </c>
      <c r="K22" s="49" t="b">
        <v>1</v>
      </c>
      <c r="L22" s="49">
        <v>2</v>
      </c>
      <c r="M22" s="49">
        <v>2</v>
      </c>
      <c r="N22" s="49">
        <f t="shared" si="0"/>
        <v>28</v>
      </c>
      <c r="O22" s="9">
        <f t="shared" si="1"/>
        <v>28</v>
      </c>
      <c r="P22" s="49" t="b">
        <v>0</v>
      </c>
      <c r="Q22" s="49"/>
      <c r="R22" s="49"/>
      <c r="S22" s="49"/>
      <c r="T22" s="49"/>
      <c r="U22" s="49">
        <f t="shared" si="2"/>
        <v>28</v>
      </c>
      <c r="V22" s="49">
        <f t="shared" si="2"/>
        <v>28</v>
      </c>
      <c r="W22" s="49">
        <f t="shared" si="3"/>
        <v>102760448</v>
      </c>
      <c r="X22" s="10">
        <f t="shared" si="4"/>
        <v>784</v>
      </c>
      <c r="Y22" s="10">
        <f t="shared" si="18"/>
        <v>28</v>
      </c>
      <c r="Z22" s="10">
        <f t="shared" si="5"/>
        <v>392</v>
      </c>
      <c r="AA22" s="10">
        <f t="shared" si="6"/>
        <v>32</v>
      </c>
      <c r="AB22" s="139">
        <f t="shared" si="19"/>
        <v>512</v>
      </c>
      <c r="AC22" s="105">
        <v>1</v>
      </c>
      <c r="AD22" s="62">
        <f t="shared" si="25"/>
        <v>904</v>
      </c>
      <c r="AE22" s="63">
        <f t="shared" si="7"/>
        <v>90400</v>
      </c>
      <c r="AF22" s="62">
        <f t="shared" si="20"/>
        <v>784</v>
      </c>
      <c r="AG22" s="63">
        <f t="shared" si="21"/>
        <v>31360</v>
      </c>
      <c r="AH22" s="62">
        <f t="shared" si="8"/>
        <v>392</v>
      </c>
      <c r="AI22" s="63">
        <f t="shared" si="22"/>
        <v>15680</v>
      </c>
      <c r="AJ22" s="63">
        <f t="shared" si="9"/>
        <v>50176</v>
      </c>
      <c r="AK22" s="63">
        <f t="shared" si="10"/>
        <v>90400</v>
      </c>
      <c r="AL22" s="63" t="str">
        <f t="shared" si="11"/>
        <v>DRAM</v>
      </c>
      <c r="AM22" s="10" t="b">
        <f t="shared" si="12"/>
        <v>0</v>
      </c>
      <c r="AN22" s="44" t="str">
        <f t="shared" si="23"/>
        <v>weight</v>
      </c>
      <c r="AO22" s="44">
        <f t="shared" si="13"/>
        <v>2472</v>
      </c>
      <c r="AP22" s="44">
        <f t="shared" si="14"/>
        <v>1688</v>
      </c>
      <c r="AQ22" s="31">
        <f t="shared" si="24"/>
        <v>247200</v>
      </c>
      <c r="AR22" s="31">
        <f t="shared" si="15"/>
        <v>50176</v>
      </c>
      <c r="AS22" s="31">
        <f t="shared" si="16"/>
        <v>247200</v>
      </c>
      <c r="AT22" s="97" t="str">
        <f t="shared" si="17"/>
        <v>DRAM</v>
      </c>
    </row>
    <row r="23" spans="1:46" x14ac:dyDescent="0.35">
      <c r="A23" s="11" t="s">
        <v>169</v>
      </c>
      <c r="B23" s="107" t="s">
        <v>170</v>
      </c>
      <c r="C23" s="8" t="s">
        <v>152</v>
      </c>
      <c r="D23" s="8" t="s">
        <v>109</v>
      </c>
      <c r="E23" s="49">
        <v>256</v>
      </c>
      <c r="F23" s="49">
        <v>56</v>
      </c>
      <c r="G23" s="49">
        <v>56</v>
      </c>
      <c r="H23" s="49">
        <v>128</v>
      </c>
      <c r="I23" s="49">
        <v>1</v>
      </c>
      <c r="J23" s="49">
        <v>1</v>
      </c>
      <c r="K23" s="49" t="b">
        <v>1</v>
      </c>
      <c r="L23" s="49">
        <v>2</v>
      </c>
      <c r="M23" s="49">
        <v>2</v>
      </c>
      <c r="N23" s="49">
        <f t="shared" si="0"/>
        <v>28</v>
      </c>
      <c r="O23" s="9">
        <f t="shared" si="1"/>
        <v>28</v>
      </c>
      <c r="P23" s="49" t="b">
        <v>0</v>
      </c>
      <c r="Q23" s="49"/>
      <c r="R23" s="49"/>
      <c r="S23" s="49"/>
      <c r="T23" s="49"/>
      <c r="U23" s="49">
        <f t="shared" si="2"/>
        <v>28</v>
      </c>
      <c r="V23" s="49">
        <f t="shared" si="2"/>
        <v>28</v>
      </c>
      <c r="W23" s="49">
        <f t="shared" si="3"/>
        <v>25690112</v>
      </c>
      <c r="X23" s="10">
        <f t="shared" si="4"/>
        <v>784</v>
      </c>
      <c r="Y23" s="10">
        <f t="shared" si="18"/>
        <v>28</v>
      </c>
      <c r="Z23" s="10">
        <f t="shared" si="5"/>
        <v>98</v>
      </c>
      <c r="AA23" s="10">
        <f t="shared" si="6"/>
        <v>32</v>
      </c>
      <c r="AB23" s="139">
        <f t="shared" si="19"/>
        <v>128</v>
      </c>
      <c r="AC23" s="105">
        <v>1</v>
      </c>
      <c r="AD23" s="62">
        <f t="shared" si="25"/>
        <v>226</v>
      </c>
      <c r="AE23" s="63">
        <f t="shared" si="7"/>
        <v>22600</v>
      </c>
      <c r="AF23" s="62">
        <f t="shared" si="20"/>
        <v>784</v>
      </c>
      <c r="AG23" s="63">
        <f t="shared" si="21"/>
        <v>31360</v>
      </c>
      <c r="AH23" s="62">
        <f t="shared" si="8"/>
        <v>98</v>
      </c>
      <c r="AI23" s="63">
        <f t="shared" si="22"/>
        <v>3920</v>
      </c>
      <c r="AJ23" s="63">
        <f t="shared" si="9"/>
        <v>12544</v>
      </c>
      <c r="AK23" s="63">
        <f t="shared" si="10"/>
        <v>31360</v>
      </c>
      <c r="AL23" s="63" t="str">
        <f t="shared" si="11"/>
        <v>CVSRAM-R</v>
      </c>
      <c r="AM23" s="10" t="b">
        <f t="shared" si="12"/>
        <v>0</v>
      </c>
      <c r="AN23" s="44" t="str">
        <f t="shared" si="23"/>
        <v>weight</v>
      </c>
      <c r="AO23" s="44">
        <f t="shared" si="13"/>
        <v>1010</v>
      </c>
      <c r="AP23" s="44">
        <f t="shared" si="14"/>
        <v>1010</v>
      </c>
      <c r="AQ23" s="31">
        <f t="shared" si="24"/>
        <v>101000</v>
      </c>
      <c r="AR23" s="31">
        <f t="shared" si="15"/>
        <v>12544</v>
      </c>
      <c r="AS23" s="31">
        <f t="shared" si="16"/>
        <v>101000</v>
      </c>
      <c r="AT23" s="97" t="str">
        <f t="shared" si="17"/>
        <v>DRAM</v>
      </c>
    </row>
    <row r="24" spans="1:46" x14ac:dyDescent="0.35">
      <c r="A24" s="11" t="s">
        <v>169</v>
      </c>
      <c r="B24" s="107" t="s">
        <v>170</v>
      </c>
      <c r="C24" s="8" t="s">
        <v>153</v>
      </c>
      <c r="D24" s="8" t="s">
        <v>109</v>
      </c>
      <c r="E24" s="49">
        <v>128</v>
      </c>
      <c r="F24" s="49">
        <v>28</v>
      </c>
      <c r="G24" s="49">
        <v>28</v>
      </c>
      <c r="H24" s="49">
        <v>128</v>
      </c>
      <c r="I24" s="49">
        <v>3</v>
      </c>
      <c r="J24" s="49">
        <v>3</v>
      </c>
      <c r="K24" s="49" t="b">
        <v>1</v>
      </c>
      <c r="L24" s="49">
        <v>1</v>
      </c>
      <c r="M24" s="49">
        <v>1</v>
      </c>
      <c r="N24" s="49">
        <f t="shared" si="0"/>
        <v>28</v>
      </c>
      <c r="O24" s="9">
        <f t="shared" si="1"/>
        <v>28</v>
      </c>
      <c r="P24" s="49" t="b">
        <v>0</v>
      </c>
      <c r="Q24" s="49"/>
      <c r="R24" s="49"/>
      <c r="S24" s="49"/>
      <c r="T24" s="49"/>
      <c r="U24" s="49">
        <f t="shared" si="2"/>
        <v>28</v>
      </c>
      <c r="V24" s="49">
        <f t="shared" si="2"/>
        <v>28</v>
      </c>
      <c r="W24" s="49">
        <f t="shared" si="3"/>
        <v>115605504</v>
      </c>
      <c r="X24" s="10">
        <f t="shared" si="4"/>
        <v>98</v>
      </c>
      <c r="Y24" s="10">
        <f t="shared" si="18"/>
        <v>10.5</v>
      </c>
      <c r="Z24" s="10">
        <f t="shared" si="5"/>
        <v>98</v>
      </c>
      <c r="AA24" s="10">
        <f t="shared" si="6"/>
        <v>36</v>
      </c>
      <c r="AB24" s="139">
        <f t="shared" si="19"/>
        <v>256</v>
      </c>
      <c r="AC24" s="105">
        <v>1</v>
      </c>
      <c r="AD24" s="62">
        <f t="shared" si="25"/>
        <v>354</v>
      </c>
      <c r="AE24" s="63">
        <f t="shared" si="7"/>
        <v>35400</v>
      </c>
      <c r="AF24" s="62">
        <f t="shared" si="20"/>
        <v>98</v>
      </c>
      <c r="AG24" s="63">
        <f t="shared" si="21"/>
        <v>3920</v>
      </c>
      <c r="AH24" s="62">
        <f t="shared" si="8"/>
        <v>98</v>
      </c>
      <c r="AI24" s="63">
        <f t="shared" si="22"/>
        <v>3920</v>
      </c>
      <c r="AJ24" s="63">
        <f t="shared" si="9"/>
        <v>25088</v>
      </c>
      <c r="AK24" s="63">
        <f t="shared" si="10"/>
        <v>35400</v>
      </c>
      <c r="AL24" s="63" t="str">
        <f t="shared" si="11"/>
        <v>DRAM</v>
      </c>
      <c r="AM24" s="10" t="b">
        <f t="shared" si="12"/>
        <v>1</v>
      </c>
      <c r="AN24" s="44" t="str">
        <f t="shared" si="23"/>
        <v>feature</v>
      </c>
      <c r="AO24" s="44">
        <f t="shared" si="13"/>
        <v>452</v>
      </c>
      <c r="AP24" s="44">
        <f t="shared" si="14"/>
        <v>452</v>
      </c>
      <c r="AQ24" s="31">
        <f t="shared" si="24"/>
        <v>45200</v>
      </c>
      <c r="AR24" s="31">
        <f t="shared" si="15"/>
        <v>25088</v>
      </c>
      <c r="AS24" s="31">
        <f t="shared" si="16"/>
        <v>45200</v>
      </c>
      <c r="AT24" s="97" t="str">
        <f t="shared" si="17"/>
        <v>DRAM</v>
      </c>
    </row>
    <row r="25" spans="1:46" x14ac:dyDescent="0.35">
      <c r="A25" s="11" t="s">
        <v>169</v>
      </c>
      <c r="B25" s="107" t="s">
        <v>170</v>
      </c>
      <c r="C25" s="8" t="s">
        <v>151</v>
      </c>
      <c r="D25" s="8" t="s">
        <v>171</v>
      </c>
      <c r="E25" s="49">
        <v>128</v>
      </c>
      <c r="F25" s="49">
        <v>28</v>
      </c>
      <c r="G25" s="49">
        <v>28</v>
      </c>
      <c r="H25" s="49">
        <v>512</v>
      </c>
      <c r="I25" s="49">
        <v>1</v>
      </c>
      <c r="J25" s="49">
        <v>1</v>
      </c>
      <c r="K25" s="49" t="b">
        <v>1</v>
      </c>
      <c r="L25" s="49">
        <v>1</v>
      </c>
      <c r="M25" s="49">
        <v>1</v>
      </c>
      <c r="N25" s="49">
        <f t="shared" si="0"/>
        <v>28</v>
      </c>
      <c r="O25" s="9">
        <f t="shared" si="1"/>
        <v>28</v>
      </c>
      <c r="P25" s="49" t="b">
        <v>0</v>
      </c>
      <c r="Q25" s="49"/>
      <c r="R25" s="49"/>
      <c r="S25" s="49"/>
      <c r="T25" s="49"/>
      <c r="U25" s="49">
        <f t="shared" si="2"/>
        <v>28</v>
      </c>
      <c r="V25" s="49">
        <f t="shared" si="2"/>
        <v>28</v>
      </c>
      <c r="W25" s="49">
        <f t="shared" si="3"/>
        <v>51380224</v>
      </c>
      <c r="X25" s="10">
        <f t="shared" si="4"/>
        <v>98</v>
      </c>
      <c r="Y25" s="10">
        <f t="shared" si="18"/>
        <v>3.5</v>
      </c>
      <c r="Z25" s="10">
        <f t="shared" si="5"/>
        <v>392</v>
      </c>
      <c r="AA25" s="10">
        <f t="shared" si="6"/>
        <v>4</v>
      </c>
      <c r="AB25" s="139">
        <f t="shared" si="19"/>
        <v>64</v>
      </c>
      <c r="AC25" s="105">
        <v>1</v>
      </c>
      <c r="AD25" s="62">
        <f t="shared" si="25"/>
        <v>456</v>
      </c>
      <c r="AE25" s="63">
        <f t="shared" si="7"/>
        <v>45600</v>
      </c>
      <c r="AF25" s="62">
        <f t="shared" si="20"/>
        <v>98</v>
      </c>
      <c r="AG25" s="63">
        <f t="shared" si="21"/>
        <v>3920</v>
      </c>
      <c r="AH25" s="62">
        <f t="shared" si="8"/>
        <v>392</v>
      </c>
      <c r="AI25" s="63">
        <f t="shared" si="22"/>
        <v>15680</v>
      </c>
      <c r="AJ25" s="63">
        <f t="shared" si="9"/>
        <v>25088</v>
      </c>
      <c r="AK25" s="63">
        <f t="shared" si="10"/>
        <v>45600</v>
      </c>
      <c r="AL25" s="63" t="str">
        <f t="shared" si="11"/>
        <v>DRAM</v>
      </c>
      <c r="AM25" s="10" t="b">
        <f t="shared" si="12"/>
        <v>0</v>
      </c>
      <c r="AN25" s="44" t="str">
        <f t="shared" si="23"/>
        <v>weight</v>
      </c>
      <c r="AO25" s="44">
        <f t="shared" si="13"/>
        <v>946</v>
      </c>
      <c r="AP25" s="44">
        <f t="shared" si="14"/>
        <v>946</v>
      </c>
      <c r="AQ25" s="31">
        <f t="shared" si="24"/>
        <v>94600</v>
      </c>
      <c r="AR25" s="31">
        <f t="shared" si="15"/>
        <v>25088</v>
      </c>
      <c r="AS25" s="31">
        <f t="shared" si="16"/>
        <v>94600</v>
      </c>
      <c r="AT25" s="97" t="str">
        <f t="shared" si="17"/>
        <v>DRAM</v>
      </c>
    </row>
    <row r="26" spans="1:46" x14ac:dyDescent="0.35">
      <c r="A26" s="11" t="s">
        <v>169</v>
      </c>
      <c r="B26" s="107" t="s">
        <v>170</v>
      </c>
      <c r="C26" s="8" t="s">
        <v>177</v>
      </c>
      <c r="D26" s="8" t="s">
        <v>109</v>
      </c>
      <c r="E26" s="49">
        <v>512</v>
      </c>
      <c r="F26" s="49">
        <v>28</v>
      </c>
      <c r="G26" s="49">
        <v>28</v>
      </c>
      <c r="H26" s="49">
        <v>128</v>
      </c>
      <c r="I26" s="49">
        <v>1</v>
      </c>
      <c r="J26" s="49">
        <v>1</v>
      </c>
      <c r="K26" s="49" t="b">
        <v>1</v>
      </c>
      <c r="L26" s="49">
        <v>1</v>
      </c>
      <c r="M26" s="49">
        <v>1</v>
      </c>
      <c r="N26" s="49">
        <f t="shared" si="0"/>
        <v>28</v>
      </c>
      <c r="O26" s="9">
        <f t="shared" si="1"/>
        <v>28</v>
      </c>
      <c r="P26" s="49" t="b">
        <v>0</v>
      </c>
      <c r="Q26" s="49"/>
      <c r="R26" s="49"/>
      <c r="S26" s="49"/>
      <c r="T26" s="49"/>
      <c r="U26" s="49">
        <f t="shared" si="2"/>
        <v>28</v>
      </c>
      <c r="V26" s="49">
        <f t="shared" si="2"/>
        <v>28</v>
      </c>
      <c r="W26" s="49">
        <f t="shared" si="3"/>
        <v>51380224</v>
      </c>
      <c r="X26" s="10">
        <f t="shared" si="4"/>
        <v>392</v>
      </c>
      <c r="Y26" s="10">
        <f t="shared" si="18"/>
        <v>14</v>
      </c>
      <c r="Z26" s="10">
        <f t="shared" si="5"/>
        <v>98</v>
      </c>
      <c r="AA26" s="10">
        <f t="shared" si="6"/>
        <v>16</v>
      </c>
      <c r="AB26" s="139">
        <f t="shared" si="19"/>
        <v>64</v>
      </c>
      <c r="AC26" s="105">
        <v>1</v>
      </c>
      <c r="AD26" s="62">
        <f t="shared" si="25"/>
        <v>162</v>
      </c>
      <c r="AE26" s="63">
        <f t="shared" si="7"/>
        <v>16200</v>
      </c>
      <c r="AF26" s="62">
        <f t="shared" si="20"/>
        <v>392</v>
      </c>
      <c r="AG26" s="63">
        <f t="shared" si="21"/>
        <v>15680</v>
      </c>
      <c r="AH26" s="62">
        <f t="shared" si="8"/>
        <v>98</v>
      </c>
      <c r="AI26" s="63">
        <f t="shared" si="22"/>
        <v>3920</v>
      </c>
      <c r="AJ26" s="63">
        <f t="shared" si="9"/>
        <v>25088</v>
      </c>
      <c r="AK26" s="63">
        <f t="shared" si="10"/>
        <v>25088</v>
      </c>
      <c r="AL26" s="63" t="str">
        <f t="shared" si="11"/>
        <v>MAC</v>
      </c>
      <c r="AM26" s="10" t="b">
        <f t="shared" si="12"/>
        <v>0</v>
      </c>
      <c r="AN26" s="44" t="str">
        <f t="shared" si="23"/>
        <v>weight</v>
      </c>
      <c r="AO26" s="44">
        <f t="shared" si="13"/>
        <v>554</v>
      </c>
      <c r="AP26" s="44">
        <f t="shared" si="14"/>
        <v>554</v>
      </c>
      <c r="AQ26" s="31">
        <f t="shared" si="24"/>
        <v>55400</v>
      </c>
      <c r="AR26" s="31">
        <f t="shared" si="15"/>
        <v>25088</v>
      </c>
      <c r="AS26" s="31">
        <f t="shared" si="16"/>
        <v>55400</v>
      </c>
      <c r="AT26" s="97" t="str">
        <f t="shared" si="17"/>
        <v>DRAM</v>
      </c>
    </row>
    <row r="27" spans="1:46" x14ac:dyDescent="0.35">
      <c r="A27" s="11" t="s">
        <v>169</v>
      </c>
      <c r="B27" s="107" t="s">
        <v>170</v>
      </c>
      <c r="C27" s="8" t="s">
        <v>176</v>
      </c>
      <c r="D27" s="8" t="s">
        <v>109</v>
      </c>
      <c r="E27" s="49">
        <v>128</v>
      </c>
      <c r="F27" s="49">
        <v>28</v>
      </c>
      <c r="G27" s="49">
        <v>28</v>
      </c>
      <c r="H27" s="49">
        <v>128</v>
      </c>
      <c r="I27" s="49">
        <v>3</v>
      </c>
      <c r="J27" s="49">
        <v>3</v>
      </c>
      <c r="K27" s="49" t="b">
        <v>1</v>
      </c>
      <c r="L27" s="49">
        <v>1</v>
      </c>
      <c r="M27" s="49">
        <v>1</v>
      </c>
      <c r="N27" s="49">
        <f t="shared" si="0"/>
        <v>28</v>
      </c>
      <c r="O27" s="9">
        <f t="shared" si="1"/>
        <v>28</v>
      </c>
      <c r="P27" s="49" t="b">
        <v>0</v>
      </c>
      <c r="Q27" s="49"/>
      <c r="R27" s="49"/>
      <c r="S27" s="49"/>
      <c r="T27" s="49"/>
      <c r="U27" s="49">
        <f t="shared" si="2"/>
        <v>28</v>
      </c>
      <c r="V27" s="49">
        <f t="shared" si="2"/>
        <v>28</v>
      </c>
      <c r="W27" s="49">
        <f t="shared" si="3"/>
        <v>115605504</v>
      </c>
      <c r="X27" s="10">
        <f t="shared" si="4"/>
        <v>98</v>
      </c>
      <c r="Y27" s="10">
        <f t="shared" si="18"/>
        <v>10.5</v>
      </c>
      <c r="Z27" s="10">
        <f t="shared" si="5"/>
        <v>98</v>
      </c>
      <c r="AA27" s="10">
        <f t="shared" si="6"/>
        <v>36</v>
      </c>
      <c r="AB27" s="139">
        <f t="shared" si="19"/>
        <v>256</v>
      </c>
      <c r="AC27" s="105">
        <v>1</v>
      </c>
      <c r="AD27" s="62">
        <f t="shared" si="25"/>
        <v>354</v>
      </c>
      <c r="AE27" s="63">
        <f t="shared" si="7"/>
        <v>35400</v>
      </c>
      <c r="AF27" s="62">
        <f t="shared" si="20"/>
        <v>98</v>
      </c>
      <c r="AG27" s="63">
        <f t="shared" si="21"/>
        <v>3920</v>
      </c>
      <c r="AH27" s="62">
        <f t="shared" si="8"/>
        <v>98</v>
      </c>
      <c r="AI27" s="63">
        <f t="shared" si="22"/>
        <v>3920</v>
      </c>
      <c r="AJ27" s="63">
        <f t="shared" si="9"/>
        <v>25088</v>
      </c>
      <c r="AK27" s="63">
        <f t="shared" si="10"/>
        <v>35400</v>
      </c>
      <c r="AL27" s="63" t="str">
        <f t="shared" si="11"/>
        <v>DRAM</v>
      </c>
      <c r="AM27" s="10" t="b">
        <f t="shared" si="12"/>
        <v>1</v>
      </c>
      <c r="AN27" s="44" t="str">
        <f t="shared" si="23"/>
        <v>feature</v>
      </c>
      <c r="AO27" s="44">
        <f t="shared" si="13"/>
        <v>452</v>
      </c>
      <c r="AP27" s="44">
        <f t="shared" si="14"/>
        <v>452</v>
      </c>
      <c r="AQ27" s="31">
        <f t="shared" si="24"/>
        <v>45200</v>
      </c>
      <c r="AR27" s="31">
        <f t="shared" si="15"/>
        <v>25088</v>
      </c>
      <c r="AS27" s="31">
        <f t="shared" si="16"/>
        <v>45200</v>
      </c>
      <c r="AT27" s="97" t="str">
        <f t="shared" si="17"/>
        <v>DRAM</v>
      </c>
    </row>
    <row r="28" spans="1:46" x14ac:dyDescent="0.35">
      <c r="A28" s="11" t="s">
        <v>169</v>
      </c>
      <c r="B28" s="107" t="s">
        <v>170</v>
      </c>
      <c r="C28" s="8" t="s">
        <v>175</v>
      </c>
      <c r="D28" s="8" t="s">
        <v>171</v>
      </c>
      <c r="E28" s="49">
        <v>128</v>
      </c>
      <c r="F28" s="49">
        <v>28</v>
      </c>
      <c r="G28" s="49">
        <v>28</v>
      </c>
      <c r="H28" s="49">
        <v>512</v>
      </c>
      <c r="I28" s="49">
        <v>1</v>
      </c>
      <c r="J28" s="49">
        <v>1</v>
      </c>
      <c r="K28" s="49" t="b">
        <v>1</v>
      </c>
      <c r="L28" s="49">
        <v>1</v>
      </c>
      <c r="M28" s="49">
        <v>1</v>
      </c>
      <c r="N28" s="49">
        <f t="shared" si="0"/>
        <v>28</v>
      </c>
      <c r="O28" s="9">
        <f t="shared" si="1"/>
        <v>28</v>
      </c>
      <c r="P28" s="49" t="b">
        <v>0</v>
      </c>
      <c r="Q28" s="49"/>
      <c r="R28" s="49"/>
      <c r="S28" s="49"/>
      <c r="T28" s="49"/>
      <c r="U28" s="49">
        <f t="shared" si="2"/>
        <v>28</v>
      </c>
      <c r="V28" s="49">
        <f t="shared" si="2"/>
        <v>28</v>
      </c>
      <c r="W28" s="49">
        <f t="shared" si="3"/>
        <v>51380224</v>
      </c>
      <c r="X28" s="10">
        <f t="shared" si="4"/>
        <v>98</v>
      </c>
      <c r="Y28" s="10">
        <f t="shared" si="18"/>
        <v>3.5</v>
      </c>
      <c r="Z28" s="10">
        <f t="shared" si="5"/>
        <v>392</v>
      </c>
      <c r="AA28" s="10">
        <f t="shared" si="6"/>
        <v>4</v>
      </c>
      <c r="AB28" s="139">
        <f t="shared" si="19"/>
        <v>64</v>
      </c>
      <c r="AC28" s="105">
        <v>1</v>
      </c>
      <c r="AD28" s="62">
        <f t="shared" si="25"/>
        <v>456</v>
      </c>
      <c r="AE28" s="63">
        <f t="shared" si="7"/>
        <v>45600</v>
      </c>
      <c r="AF28" s="62">
        <f t="shared" si="20"/>
        <v>98</v>
      </c>
      <c r="AG28" s="63">
        <f t="shared" si="21"/>
        <v>3920</v>
      </c>
      <c r="AH28" s="62">
        <f t="shared" si="8"/>
        <v>392</v>
      </c>
      <c r="AI28" s="63">
        <f t="shared" si="22"/>
        <v>15680</v>
      </c>
      <c r="AJ28" s="63">
        <f t="shared" si="9"/>
        <v>25088</v>
      </c>
      <c r="AK28" s="63">
        <f t="shared" si="10"/>
        <v>45600</v>
      </c>
      <c r="AL28" s="63" t="str">
        <f t="shared" si="11"/>
        <v>DRAM</v>
      </c>
      <c r="AM28" s="10" t="b">
        <f t="shared" si="12"/>
        <v>0</v>
      </c>
      <c r="AN28" s="44" t="str">
        <f t="shared" si="23"/>
        <v>weight</v>
      </c>
      <c r="AO28" s="44">
        <f t="shared" si="13"/>
        <v>946</v>
      </c>
      <c r="AP28" s="44">
        <f t="shared" si="14"/>
        <v>946</v>
      </c>
      <c r="AQ28" s="31">
        <f t="shared" si="24"/>
        <v>94600</v>
      </c>
      <c r="AR28" s="31">
        <f t="shared" si="15"/>
        <v>25088</v>
      </c>
      <c r="AS28" s="31">
        <f t="shared" si="16"/>
        <v>94600</v>
      </c>
      <c r="AT28" s="97" t="str">
        <f t="shared" si="17"/>
        <v>DRAM</v>
      </c>
    </row>
    <row r="29" spans="1:46" x14ac:dyDescent="0.35">
      <c r="A29" s="11" t="s">
        <v>169</v>
      </c>
      <c r="B29" s="107" t="s">
        <v>170</v>
      </c>
      <c r="C29" s="8" t="s">
        <v>172</v>
      </c>
      <c r="D29" s="8" t="s">
        <v>109</v>
      </c>
      <c r="E29" s="49">
        <v>512</v>
      </c>
      <c r="F29" s="49">
        <v>28</v>
      </c>
      <c r="G29" s="49">
        <v>28</v>
      </c>
      <c r="H29" s="49">
        <v>128</v>
      </c>
      <c r="I29" s="49">
        <v>1</v>
      </c>
      <c r="J29" s="49">
        <v>1</v>
      </c>
      <c r="K29" s="49" t="b">
        <v>1</v>
      </c>
      <c r="L29" s="49">
        <v>1</v>
      </c>
      <c r="M29" s="49">
        <v>1</v>
      </c>
      <c r="N29" s="49">
        <f t="shared" si="0"/>
        <v>28</v>
      </c>
      <c r="O29" s="9">
        <f t="shared" si="1"/>
        <v>28</v>
      </c>
      <c r="P29" s="49" t="b">
        <v>0</v>
      </c>
      <c r="Q29" s="49"/>
      <c r="R29" s="49"/>
      <c r="S29" s="49"/>
      <c r="T29" s="49"/>
      <c r="U29" s="49">
        <f t="shared" si="2"/>
        <v>28</v>
      </c>
      <c r="V29" s="49">
        <f t="shared" si="2"/>
        <v>28</v>
      </c>
      <c r="W29" s="49">
        <f t="shared" si="3"/>
        <v>51380224</v>
      </c>
      <c r="X29" s="10">
        <f t="shared" si="4"/>
        <v>392</v>
      </c>
      <c r="Y29" s="10">
        <f t="shared" si="18"/>
        <v>14</v>
      </c>
      <c r="Z29" s="10">
        <f t="shared" si="5"/>
        <v>98</v>
      </c>
      <c r="AA29" s="10">
        <f t="shared" si="6"/>
        <v>16</v>
      </c>
      <c r="AB29" s="139">
        <f t="shared" si="19"/>
        <v>64</v>
      </c>
      <c r="AC29" s="105">
        <v>1</v>
      </c>
      <c r="AD29" s="62">
        <f t="shared" si="25"/>
        <v>162</v>
      </c>
      <c r="AE29" s="63">
        <f t="shared" si="7"/>
        <v>16200</v>
      </c>
      <c r="AF29" s="62">
        <f t="shared" si="20"/>
        <v>392</v>
      </c>
      <c r="AG29" s="63">
        <f t="shared" si="21"/>
        <v>15680</v>
      </c>
      <c r="AH29" s="62">
        <f t="shared" si="8"/>
        <v>98</v>
      </c>
      <c r="AI29" s="63">
        <f t="shared" si="22"/>
        <v>3920</v>
      </c>
      <c r="AJ29" s="63">
        <f t="shared" si="9"/>
        <v>25088</v>
      </c>
      <c r="AK29" s="63">
        <f t="shared" si="10"/>
        <v>25088</v>
      </c>
      <c r="AL29" s="63" t="str">
        <f t="shared" si="11"/>
        <v>MAC</v>
      </c>
      <c r="AM29" s="10" t="b">
        <f t="shared" si="12"/>
        <v>0</v>
      </c>
      <c r="AN29" s="44" t="str">
        <f t="shared" si="23"/>
        <v>weight</v>
      </c>
      <c r="AO29" s="44">
        <f t="shared" si="13"/>
        <v>554</v>
      </c>
      <c r="AP29" s="44">
        <f t="shared" si="14"/>
        <v>554</v>
      </c>
      <c r="AQ29" s="31">
        <f t="shared" si="24"/>
        <v>55400</v>
      </c>
      <c r="AR29" s="31">
        <f t="shared" si="15"/>
        <v>25088</v>
      </c>
      <c r="AS29" s="31">
        <f t="shared" si="16"/>
        <v>55400</v>
      </c>
      <c r="AT29" s="97" t="str">
        <f t="shared" si="17"/>
        <v>DRAM</v>
      </c>
    </row>
    <row r="30" spans="1:46" x14ac:dyDescent="0.35">
      <c r="A30" s="11" t="s">
        <v>169</v>
      </c>
      <c r="B30" s="107" t="s">
        <v>170</v>
      </c>
      <c r="C30" s="8" t="s">
        <v>173</v>
      </c>
      <c r="D30" s="8" t="s">
        <v>109</v>
      </c>
      <c r="E30" s="49">
        <v>128</v>
      </c>
      <c r="F30" s="49">
        <v>28</v>
      </c>
      <c r="G30" s="49">
        <v>28</v>
      </c>
      <c r="H30" s="49">
        <v>128</v>
      </c>
      <c r="I30" s="49">
        <v>3</v>
      </c>
      <c r="J30" s="49">
        <v>3</v>
      </c>
      <c r="K30" s="49" t="b">
        <v>1</v>
      </c>
      <c r="L30" s="49">
        <v>1</v>
      </c>
      <c r="M30" s="49">
        <v>1</v>
      </c>
      <c r="N30" s="49">
        <f t="shared" si="0"/>
        <v>28</v>
      </c>
      <c r="O30" s="9">
        <f t="shared" si="1"/>
        <v>28</v>
      </c>
      <c r="P30" s="49" t="b">
        <v>0</v>
      </c>
      <c r="Q30" s="49"/>
      <c r="R30" s="49"/>
      <c r="S30" s="49"/>
      <c r="T30" s="49"/>
      <c r="U30" s="49">
        <f t="shared" si="2"/>
        <v>28</v>
      </c>
      <c r="V30" s="49">
        <f t="shared" si="2"/>
        <v>28</v>
      </c>
      <c r="W30" s="49">
        <f t="shared" si="3"/>
        <v>115605504</v>
      </c>
      <c r="X30" s="10">
        <f t="shared" si="4"/>
        <v>98</v>
      </c>
      <c r="Y30" s="10">
        <f t="shared" si="18"/>
        <v>10.5</v>
      </c>
      <c r="Z30" s="10">
        <f t="shared" si="5"/>
        <v>98</v>
      </c>
      <c r="AA30" s="10">
        <f t="shared" si="6"/>
        <v>36</v>
      </c>
      <c r="AB30" s="139">
        <f t="shared" si="19"/>
        <v>256</v>
      </c>
      <c r="AC30" s="105">
        <v>1</v>
      </c>
      <c r="AD30" s="62">
        <f t="shared" si="25"/>
        <v>354</v>
      </c>
      <c r="AE30" s="63">
        <f t="shared" si="7"/>
        <v>35400</v>
      </c>
      <c r="AF30" s="62">
        <f t="shared" si="20"/>
        <v>98</v>
      </c>
      <c r="AG30" s="63">
        <f t="shared" si="21"/>
        <v>3920</v>
      </c>
      <c r="AH30" s="62">
        <f t="shared" si="8"/>
        <v>98</v>
      </c>
      <c r="AI30" s="63">
        <f t="shared" si="22"/>
        <v>3920</v>
      </c>
      <c r="AJ30" s="63">
        <f t="shared" si="9"/>
        <v>25088</v>
      </c>
      <c r="AK30" s="63">
        <f t="shared" si="10"/>
        <v>35400</v>
      </c>
      <c r="AL30" s="63" t="str">
        <f t="shared" si="11"/>
        <v>DRAM</v>
      </c>
      <c r="AM30" s="10" t="b">
        <f t="shared" si="12"/>
        <v>1</v>
      </c>
      <c r="AN30" s="44" t="str">
        <f t="shared" si="23"/>
        <v>feature</v>
      </c>
      <c r="AO30" s="44">
        <f t="shared" si="13"/>
        <v>452</v>
      </c>
      <c r="AP30" s="44">
        <f t="shared" si="14"/>
        <v>452</v>
      </c>
      <c r="AQ30" s="31">
        <f t="shared" si="24"/>
        <v>45200</v>
      </c>
      <c r="AR30" s="31">
        <f t="shared" si="15"/>
        <v>25088</v>
      </c>
      <c r="AS30" s="31">
        <f t="shared" si="16"/>
        <v>45200</v>
      </c>
      <c r="AT30" s="97" t="str">
        <f t="shared" si="17"/>
        <v>DRAM</v>
      </c>
    </row>
    <row r="31" spans="1:46" x14ac:dyDescent="0.35">
      <c r="A31" s="11" t="s">
        <v>169</v>
      </c>
      <c r="B31" s="107" t="s">
        <v>170</v>
      </c>
      <c r="C31" s="8" t="s">
        <v>174</v>
      </c>
      <c r="D31" s="8" t="s">
        <v>171</v>
      </c>
      <c r="E31" s="49">
        <v>128</v>
      </c>
      <c r="F31" s="49">
        <v>28</v>
      </c>
      <c r="G31" s="49">
        <v>28</v>
      </c>
      <c r="H31" s="49">
        <v>512</v>
      </c>
      <c r="I31" s="49">
        <v>1</v>
      </c>
      <c r="J31" s="49">
        <v>1</v>
      </c>
      <c r="K31" s="49" t="b">
        <v>1</v>
      </c>
      <c r="L31" s="49">
        <v>1</v>
      </c>
      <c r="M31" s="49">
        <v>1</v>
      </c>
      <c r="N31" s="49">
        <f t="shared" si="0"/>
        <v>28</v>
      </c>
      <c r="O31" s="9">
        <f t="shared" si="1"/>
        <v>28</v>
      </c>
      <c r="P31" s="49" t="b">
        <v>0</v>
      </c>
      <c r="Q31" s="49"/>
      <c r="R31" s="49"/>
      <c r="S31" s="49"/>
      <c r="T31" s="49"/>
      <c r="U31" s="49">
        <f t="shared" si="2"/>
        <v>28</v>
      </c>
      <c r="V31" s="49">
        <f t="shared" si="2"/>
        <v>28</v>
      </c>
      <c r="W31" s="49">
        <f t="shared" si="3"/>
        <v>51380224</v>
      </c>
      <c r="X31" s="10">
        <f t="shared" si="4"/>
        <v>98</v>
      </c>
      <c r="Y31" s="10">
        <f t="shared" si="18"/>
        <v>3.5</v>
      </c>
      <c r="Z31" s="10">
        <f t="shared" si="5"/>
        <v>392</v>
      </c>
      <c r="AA31" s="10">
        <f t="shared" si="6"/>
        <v>4</v>
      </c>
      <c r="AB31" s="139">
        <f t="shared" si="19"/>
        <v>64</v>
      </c>
      <c r="AC31" s="105">
        <v>1</v>
      </c>
      <c r="AD31" s="62">
        <f t="shared" si="25"/>
        <v>456</v>
      </c>
      <c r="AE31" s="63">
        <f t="shared" si="7"/>
        <v>45600</v>
      </c>
      <c r="AF31" s="62">
        <f t="shared" si="20"/>
        <v>98</v>
      </c>
      <c r="AG31" s="63">
        <f t="shared" si="21"/>
        <v>3920</v>
      </c>
      <c r="AH31" s="62">
        <f t="shared" si="8"/>
        <v>392</v>
      </c>
      <c r="AI31" s="63">
        <f t="shared" si="22"/>
        <v>15680</v>
      </c>
      <c r="AJ31" s="63">
        <f t="shared" si="9"/>
        <v>25088</v>
      </c>
      <c r="AK31" s="63">
        <f t="shared" si="10"/>
        <v>45600</v>
      </c>
      <c r="AL31" s="63" t="str">
        <f t="shared" si="11"/>
        <v>DRAM</v>
      </c>
      <c r="AM31" s="10" t="b">
        <f t="shared" si="12"/>
        <v>0</v>
      </c>
      <c r="AN31" s="44" t="str">
        <f t="shared" si="23"/>
        <v>weight</v>
      </c>
      <c r="AO31" s="44">
        <f t="shared" si="13"/>
        <v>946</v>
      </c>
      <c r="AP31" s="44">
        <f t="shared" si="14"/>
        <v>946</v>
      </c>
      <c r="AQ31" s="31">
        <f t="shared" si="24"/>
        <v>94600</v>
      </c>
      <c r="AR31" s="31">
        <f t="shared" si="15"/>
        <v>25088</v>
      </c>
      <c r="AS31" s="31">
        <f t="shared" si="16"/>
        <v>94600</v>
      </c>
      <c r="AT31" s="97" t="str">
        <f t="shared" si="17"/>
        <v>DRAM</v>
      </c>
    </row>
    <row r="32" spans="1:46" x14ac:dyDescent="0.35">
      <c r="A32" s="11" t="s">
        <v>169</v>
      </c>
      <c r="B32" s="107" t="s">
        <v>170</v>
      </c>
      <c r="C32" s="8" t="s">
        <v>178</v>
      </c>
      <c r="D32" s="8" t="s">
        <v>109</v>
      </c>
      <c r="E32" s="49">
        <v>512</v>
      </c>
      <c r="F32" s="49">
        <v>28</v>
      </c>
      <c r="G32" s="49">
        <v>28</v>
      </c>
      <c r="H32" s="49">
        <v>128</v>
      </c>
      <c r="I32" s="49">
        <v>1</v>
      </c>
      <c r="J32" s="49">
        <v>1</v>
      </c>
      <c r="K32" s="49" t="b">
        <v>1</v>
      </c>
      <c r="L32" s="49">
        <v>1</v>
      </c>
      <c r="M32" s="49">
        <v>1</v>
      </c>
      <c r="N32" s="49">
        <f t="shared" si="0"/>
        <v>28</v>
      </c>
      <c r="O32" s="9">
        <f t="shared" si="1"/>
        <v>28</v>
      </c>
      <c r="P32" s="49" t="b">
        <v>0</v>
      </c>
      <c r="Q32" s="49"/>
      <c r="R32" s="49"/>
      <c r="S32" s="49"/>
      <c r="T32" s="49"/>
      <c r="U32" s="49">
        <f t="shared" si="2"/>
        <v>28</v>
      </c>
      <c r="V32" s="49">
        <f t="shared" si="2"/>
        <v>28</v>
      </c>
      <c r="W32" s="49">
        <f t="shared" si="3"/>
        <v>51380224</v>
      </c>
      <c r="X32" s="10">
        <f t="shared" si="4"/>
        <v>392</v>
      </c>
      <c r="Y32" s="10">
        <f t="shared" si="18"/>
        <v>14</v>
      </c>
      <c r="Z32" s="10">
        <f t="shared" si="5"/>
        <v>98</v>
      </c>
      <c r="AA32" s="10">
        <f t="shared" si="6"/>
        <v>16</v>
      </c>
      <c r="AB32" s="139">
        <f t="shared" si="19"/>
        <v>64</v>
      </c>
      <c r="AC32" s="105">
        <v>1</v>
      </c>
      <c r="AD32" s="62">
        <f t="shared" si="25"/>
        <v>162</v>
      </c>
      <c r="AE32" s="63">
        <f t="shared" si="7"/>
        <v>16200</v>
      </c>
      <c r="AF32" s="62">
        <f t="shared" si="20"/>
        <v>392</v>
      </c>
      <c r="AG32" s="63">
        <f t="shared" si="21"/>
        <v>15680</v>
      </c>
      <c r="AH32" s="62">
        <f t="shared" si="8"/>
        <v>98</v>
      </c>
      <c r="AI32" s="63">
        <f t="shared" si="22"/>
        <v>3920</v>
      </c>
      <c r="AJ32" s="63">
        <f t="shared" si="9"/>
        <v>25088</v>
      </c>
      <c r="AK32" s="63">
        <f t="shared" si="10"/>
        <v>25088</v>
      </c>
      <c r="AL32" s="63" t="str">
        <f t="shared" si="11"/>
        <v>MAC</v>
      </c>
      <c r="AM32" s="10" t="b">
        <f t="shared" si="12"/>
        <v>0</v>
      </c>
      <c r="AN32" s="44" t="str">
        <f t="shared" si="23"/>
        <v>weight</v>
      </c>
      <c r="AO32" s="44">
        <f t="shared" si="13"/>
        <v>554</v>
      </c>
      <c r="AP32" s="44">
        <f t="shared" si="14"/>
        <v>554</v>
      </c>
      <c r="AQ32" s="31">
        <f t="shared" si="24"/>
        <v>55400</v>
      </c>
      <c r="AR32" s="31">
        <f t="shared" si="15"/>
        <v>25088</v>
      </c>
      <c r="AS32" s="31">
        <f t="shared" si="16"/>
        <v>55400</v>
      </c>
      <c r="AT32" s="97" t="str">
        <f t="shared" si="17"/>
        <v>DRAM</v>
      </c>
    </row>
    <row r="33" spans="1:46" x14ac:dyDescent="0.35">
      <c r="A33" s="11" t="s">
        <v>169</v>
      </c>
      <c r="B33" s="107" t="s">
        <v>170</v>
      </c>
      <c r="C33" s="8" t="s">
        <v>179</v>
      </c>
      <c r="D33" s="8" t="s">
        <v>109</v>
      </c>
      <c r="E33" s="49">
        <v>128</v>
      </c>
      <c r="F33" s="49">
        <v>28</v>
      </c>
      <c r="G33" s="49">
        <v>28</v>
      </c>
      <c r="H33" s="49">
        <v>128</v>
      </c>
      <c r="I33" s="49">
        <v>3</v>
      </c>
      <c r="J33" s="49">
        <v>3</v>
      </c>
      <c r="K33" s="49" t="b">
        <v>1</v>
      </c>
      <c r="L33" s="49">
        <v>1</v>
      </c>
      <c r="M33" s="49">
        <v>1</v>
      </c>
      <c r="N33" s="49">
        <f t="shared" si="0"/>
        <v>28</v>
      </c>
      <c r="O33" s="9">
        <f t="shared" si="1"/>
        <v>28</v>
      </c>
      <c r="P33" s="49" t="b">
        <v>0</v>
      </c>
      <c r="Q33" s="49"/>
      <c r="R33" s="49"/>
      <c r="S33" s="49"/>
      <c r="T33" s="49"/>
      <c r="U33" s="49">
        <f t="shared" si="2"/>
        <v>28</v>
      </c>
      <c r="V33" s="49">
        <f t="shared" si="2"/>
        <v>28</v>
      </c>
      <c r="W33" s="49">
        <f t="shared" si="3"/>
        <v>115605504</v>
      </c>
      <c r="X33" s="10">
        <f t="shared" si="4"/>
        <v>98</v>
      </c>
      <c r="Y33" s="10">
        <f t="shared" si="18"/>
        <v>10.5</v>
      </c>
      <c r="Z33" s="10">
        <f t="shared" si="5"/>
        <v>98</v>
      </c>
      <c r="AA33" s="10">
        <f t="shared" si="6"/>
        <v>36</v>
      </c>
      <c r="AB33" s="139">
        <f t="shared" si="19"/>
        <v>256</v>
      </c>
      <c r="AC33" s="105">
        <v>1</v>
      </c>
      <c r="AD33" s="62">
        <f t="shared" si="25"/>
        <v>354</v>
      </c>
      <c r="AE33" s="63">
        <f t="shared" si="7"/>
        <v>35400</v>
      </c>
      <c r="AF33" s="62">
        <f t="shared" si="20"/>
        <v>98</v>
      </c>
      <c r="AG33" s="63">
        <f t="shared" si="21"/>
        <v>3920</v>
      </c>
      <c r="AH33" s="62">
        <f t="shared" si="8"/>
        <v>98</v>
      </c>
      <c r="AI33" s="63">
        <f t="shared" si="22"/>
        <v>3920</v>
      </c>
      <c r="AJ33" s="63">
        <f t="shared" si="9"/>
        <v>25088</v>
      </c>
      <c r="AK33" s="63">
        <f t="shared" si="10"/>
        <v>35400</v>
      </c>
      <c r="AL33" s="63" t="str">
        <f t="shared" si="11"/>
        <v>DRAM</v>
      </c>
      <c r="AM33" s="10" t="b">
        <f t="shared" si="12"/>
        <v>1</v>
      </c>
      <c r="AN33" s="44" t="str">
        <f t="shared" si="23"/>
        <v>feature</v>
      </c>
      <c r="AO33" s="44">
        <f t="shared" si="13"/>
        <v>452</v>
      </c>
      <c r="AP33" s="44">
        <f t="shared" si="14"/>
        <v>452</v>
      </c>
      <c r="AQ33" s="31">
        <f t="shared" si="24"/>
        <v>45200</v>
      </c>
      <c r="AR33" s="31">
        <f t="shared" si="15"/>
        <v>25088</v>
      </c>
      <c r="AS33" s="31">
        <f t="shared" si="16"/>
        <v>45200</v>
      </c>
      <c r="AT33" s="97" t="str">
        <f t="shared" si="17"/>
        <v>DRAM</v>
      </c>
    </row>
    <row r="34" spans="1:46" x14ac:dyDescent="0.35">
      <c r="A34" s="11" t="s">
        <v>169</v>
      </c>
      <c r="B34" s="107" t="s">
        <v>170</v>
      </c>
      <c r="C34" s="8" t="s">
        <v>180</v>
      </c>
      <c r="D34" s="8" t="s">
        <v>171</v>
      </c>
      <c r="E34" s="49">
        <v>128</v>
      </c>
      <c r="F34" s="49">
        <v>28</v>
      </c>
      <c r="G34" s="49">
        <v>28</v>
      </c>
      <c r="H34" s="49">
        <v>512</v>
      </c>
      <c r="I34" s="49">
        <v>1</v>
      </c>
      <c r="J34" s="49">
        <v>1</v>
      </c>
      <c r="K34" s="49" t="b">
        <v>1</v>
      </c>
      <c r="L34" s="49">
        <v>1</v>
      </c>
      <c r="M34" s="49">
        <v>1</v>
      </c>
      <c r="N34" s="49">
        <f t="shared" si="0"/>
        <v>28</v>
      </c>
      <c r="O34" s="9">
        <f t="shared" si="1"/>
        <v>28</v>
      </c>
      <c r="P34" s="49" t="b">
        <v>0</v>
      </c>
      <c r="Q34" s="49"/>
      <c r="R34" s="49"/>
      <c r="S34" s="49"/>
      <c r="T34" s="49"/>
      <c r="U34" s="49">
        <f t="shared" si="2"/>
        <v>28</v>
      </c>
      <c r="V34" s="49">
        <f t="shared" si="2"/>
        <v>28</v>
      </c>
      <c r="W34" s="49">
        <f t="shared" si="3"/>
        <v>51380224</v>
      </c>
      <c r="X34" s="10">
        <f t="shared" si="4"/>
        <v>98</v>
      </c>
      <c r="Y34" s="10">
        <f t="shared" si="18"/>
        <v>3.5</v>
      </c>
      <c r="Z34" s="10">
        <f t="shared" si="5"/>
        <v>392</v>
      </c>
      <c r="AA34" s="10">
        <f t="shared" si="6"/>
        <v>4</v>
      </c>
      <c r="AB34" s="139">
        <f t="shared" si="19"/>
        <v>64</v>
      </c>
      <c r="AC34" s="105">
        <v>1</v>
      </c>
      <c r="AD34" s="62">
        <f t="shared" si="25"/>
        <v>456</v>
      </c>
      <c r="AE34" s="63">
        <f t="shared" si="7"/>
        <v>45600</v>
      </c>
      <c r="AF34" s="62">
        <f t="shared" si="20"/>
        <v>98</v>
      </c>
      <c r="AG34" s="63">
        <f t="shared" si="21"/>
        <v>3920</v>
      </c>
      <c r="AH34" s="62">
        <f t="shared" si="8"/>
        <v>392</v>
      </c>
      <c r="AI34" s="63">
        <f t="shared" si="22"/>
        <v>15680</v>
      </c>
      <c r="AJ34" s="63">
        <f t="shared" si="9"/>
        <v>25088</v>
      </c>
      <c r="AK34" s="63">
        <f t="shared" si="10"/>
        <v>45600</v>
      </c>
      <c r="AL34" s="63" t="str">
        <f t="shared" si="11"/>
        <v>DRAM</v>
      </c>
      <c r="AM34" s="10" t="b">
        <f t="shared" si="12"/>
        <v>0</v>
      </c>
      <c r="AN34" s="44" t="str">
        <f t="shared" si="23"/>
        <v>weight</v>
      </c>
      <c r="AO34" s="44">
        <f t="shared" si="13"/>
        <v>946</v>
      </c>
      <c r="AP34" s="44">
        <f t="shared" si="14"/>
        <v>946</v>
      </c>
      <c r="AQ34" s="31">
        <f t="shared" si="24"/>
        <v>94600</v>
      </c>
      <c r="AR34" s="31">
        <f t="shared" si="15"/>
        <v>25088</v>
      </c>
      <c r="AS34" s="31">
        <f t="shared" si="16"/>
        <v>94600</v>
      </c>
      <c r="AT34" s="97" t="str">
        <f t="shared" si="17"/>
        <v>DRAM</v>
      </c>
    </row>
    <row r="35" spans="1:46" x14ac:dyDescent="0.35">
      <c r="A35" s="11" t="s">
        <v>169</v>
      </c>
      <c r="B35" s="107" t="s">
        <v>170</v>
      </c>
      <c r="C35" s="8" t="s">
        <v>156</v>
      </c>
      <c r="D35" s="8" t="s">
        <v>109</v>
      </c>
      <c r="E35" s="49">
        <v>512</v>
      </c>
      <c r="F35" s="49">
        <v>28</v>
      </c>
      <c r="G35" s="49">
        <v>28</v>
      </c>
      <c r="H35" s="49">
        <v>1024</v>
      </c>
      <c r="I35" s="49">
        <v>1</v>
      </c>
      <c r="J35" s="49">
        <v>1</v>
      </c>
      <c r="K35" s="49" t="b">
        <v>1</v>
      </c>
      <c r="L35" s="49">
        <v>2</v>
      </c>
      <c r="M35" s="49">
        <v>2</v>
      </c>
      <c r="N35" s="49">
        <f t="shared" si="0"/>
        <v>14</v>
      </c>
      <c r="O35" s="9">
        <f t="shared" si="1"/>
        <v>14</v>
      </c>
      <c r="P35" s="49" t="b">
        <v>0</v>
      </c>
      <c r="Q35" s="49"/>
      <c r="R35" s="49"/>
      <c r="S35" s="49"/>
      <c r="T35" s="49"/>
      <c r="U35" s="49">
        <f t="shared" si="2"/>
        <v>14</v>
      </c>
      <c r="V35" s="49">
        <f t="shared" si="2"/>
        <v>14</v>
      </c>
      <c r="W35" s="49">
        <f t="shared" si="3"/>
        <v>102760448</v>
      </c>
      <c r="X35" s="10">
        <f t="shared" si="4"/>
        <v>392</v>
      </c>
      <c r="Y35" s="10">
        <f t="shared" si="18"/>
        <v>28</v>
      </c>
      <c r="Z35" s="10">
        <f t="shared" si="5"/>
        <v>196</v>
      </c>
      <c r="AA35" s="10">
        <f t="shared" si="6"/>
        <v>64</v>
      </c>
      <c r="AB35" s="139">
        <f t="shared" si="19"/>
        <v>2048</v>
      </c>
      <c r="AC35" s="105">
        <v>1</v>
      </c>
      <c r="AD35" s="62">
        <f t="shared" si="25"/>
        <v>2244</v>
      </c>
      <c r="AE35" s="63">
        <f t="shared" si="7"/>
        <v>224400</v>
      </c>
      <c r="AF35" s="62">
        <f t="shared" si="20"/>
        <v>392</v>
      </c>
      <c r="AG35" s="63">
        <f t="shared" si="21"/>
        <v>15680</v>
      </c>
      <c r="AH35" s="62">
        <f t="shared" si="8"/>
        <v>196</v>
      </c>
      <c r="AI35" s="63">
        <f t="shared" si="22"/>
        <v>7840</v>
      </c>
      <c r="AJ35" s="63">
        <f t="shared" si="9"/>
        <v>50176</v>
      </c>
      <c r="AK35" s="63">
        <f t="shared" si="10"/>
        <v>224400</v>
      </c>
      <c r="AL35" s="63" t="str">
        <f t="shared" si="11"/>
        <v>DRAM</v>
      </c>
      <c r="AM35" s="10" t="b">
        <f t="shared" si="12"/>
        <v>0</v>
      </c>
      <c r="AN35" s="44" t="str">
        <f t="shared" si="23"/>
        <v>feature</v>
      </c>
      <c r="AO35" s="44">
        <f t="shared" si="13"/>
        <v>2636</v>
      </c>
      <c r="AP35" s="44">
        <f t="shared" si="14"/>
        <v>2636</v>
      </c>
      <c r="AQ35" s="31">
        <f t="shared" si="24"/>
        <v>263600</v>
      </c>
      <c r="AR35" s="31">
        <f t="shared" si="15"/>
        <v>50176</v>
      </c>
      <c r="AS35" s="31">
        <f t="shared" si="16"/>
        <v>263600</v>
      </c>
      <c r="AT35" s="97" t="str">
        <f t="shared" si="17"/>
        <v>DRAM</v>
      </c>
    </row>
    <row r="36" spans="1:46" x14ac:dyDescent="0.35">
      <c r="A36" s="11" t="s">
        <v>169</v>
      </c>
      <c r="B36" s="107" t="s">
        <v>170</v>
      </c>
      <c r="C36" s="8" t="s">
        <v>154</v>
      </c>
      <c r="D36" s="8" t="s">
        <v>109</v>
      </c>
      <c r="E36" s="49">
        <v>512</v>
      </c>
      <c r="F36" s="49">
        <v>28</v>
      </c>
      <c r="G36" s="49">
        <v>28</v>
      </c>
      <c r="H36" s="49">
        <v>256</v>
      </c>
      <c r="I36" s="49">
        <v>1</v>
      </c>
      <c r="J36" s="49">
        <v>1</v>
      </c>
      <c r="K36" s="49" t="b">
        <v>1</v>
      </c>
      <c r="L36" s="49">
        <v>2</v>
      </c>
      <c r="M36" s="49">
        <v>2</v>
      </c>
      <c r="N36" s="49">
        <f t="shared" si="0"/>
        <v>14</v>
      </c>
      <c r="O36" s="9">
        <f t="shared" si="1"/>
        <v>14</v>
      </c>
      <c r="P36" s="49" t="b">
        <v>0</v>
      </c>
      <c r="Q36" s="49"/>
      <c r="R36" s="49"/>
      <c r="S36" s="49"/>
      <c r="T36" s="49"/>
      <c r="U36" s="49">
        <f t="shared" si="2"/>
        <v>14</v>
      </c>
      <c r="V36" s="49">
        <f t="shared" si="2"/>
        <v>14</v>
      </c>
      <c r="W36" s="49">
        <f t="shared" si="3"/>
        <v>25690112</v>
      </c>
      <c r="X36" s="10">
        <f t="shared" si="4"/>
        <v>392</v>
      </c>
      <c r="Y36" s="10">
        <f t="shared" si="18"/>
        <v>28</v>
      </c>
      <c r="Z36" s="10">
        <f t="shared" si="5"/>
        <v>49</v>
      </c>
      <c r="AA36" s="10">
        <f t="shared" si="6"/>
        <v>64</v>
      </c>
      <c r="AB36" s="139">
        <f t="shared" si="19"/>
        <v>512</v>
      </c>
      <c r="AC36" s="105">
        <v>1</v>
      </c>
      <c r="AD36" s="62">
        <f t="shared" si="25"/>
        <v>561</v>
      </c>
      <c r="AE36" s="63">
        <f t="shared" si="7"/>
        <v>56100</v>
      </c>
      <c r="AF36" s="62">
        <f t="shared" si="20"/>
        <v>392</v>
      </c>
      <c r="AG36" s="63">
        <f t="shared" si="21"/>
        <v>15680</v>
      </c>
      <c r="AH36" s="62">
        <f t="shared" si="8"/>
        <v>49</v>
      </c>
      <c r="AI36" s="63">
        <f t="shared" si="22"/>
        <v>1960</v>
      </c>
      <c r="AJ36" s="63">
        <f t="shared" si="9"/>
        <v>12544</v>
      </c>
      <c r="AK36" s="63">
        <f t="shared" si="10"/>
        <v>56100</v>
      </c>
      <c r="AL36" s="63" t="str">
        <f t="shared" si="11"/>
        <v>DRAM</v>
      </c>
      <c r="AM36" s="10" t="b">
        <f t="shared" si="12"/>
        <v>0</v>
      </c>
      <c r="AN36" s="44" t="str">
        <f t="shared" si="23"/>
        <v>feature</v>
      </c>
      <c r="AO36" s="44">
        <f t="shared" si="13"/>
        <v>953</v>
      </c>
      <c r="AP36" s="44">
        <f t="shared" si="14"/>
        <v>953</v>
      </c>
      <c r="AQ36" s="31">
        <f t="shared" si="24"/>
        <v>95300</v>
      </c>
      <c r="AR36" s="31">
        <f t="shared" si="15"/>
        <v>12544</v>
      </c>
      <c r="AS36" s="31">
        <f t="shared" si="16"/>
        <v>95300</v>
      </c>
      <c r="AT36" s="97" t="str">
        <f t="shared" si="17"/>
        <v>DRAM</v>
      </c>
    </row>
    <row r="37" spans="1:46" x14ac:dyDescent="0.35">
      <c r="A37" s="11" t="s">
        <v>169</v>
      </c>
      <c r="B37" s="107" t="s">
        <v>170</v>
      </c>
      <c r="C37" s="8" t="s">
        <v>157</v>
      </c>
      <c r="D37" s="8" t="s">
        <v>109</v>
      </c>
      <c r="E37" s="49">
        <v>256</v>
      </c>
      <c r="F37" s="49">
        <v>14</v>
      </c>
      <c r="G37" s="49">
        <v>14</v>
      </c>
      <c r="H37" s="49">
        <v>256</v>
      </c>
      <c r="I37" s="49">
        <v>3</v>
      </c>
      <c r="J37" s="49">
        <v>3</v>
      </c>
      <c r="K37" s="49" t="b">
        <v>1</v>
      </c>
      <c r="L37" s="49">
        <v>1</v>
      </c>
      <c r="M37" s="49">
        <v>1</v>
      </c>
      <c r="N37" s="49">
        <f t="shared" si="0"/>
        <v>14</v>
      </c>
      <c r="O37" s="9">
        <f t="shared" si="1"/>
        <v>14</v>
      </c>
      <c r="P37" s="49" t="b">
        <v>0</v>
      </c>
      <c r="Q37" s="49"/>
      <c r="R37" s="49"/>
      <c r="S37" s="49"/>
      <c r="T37" s="49"/>
      <c r="U37" s="49">
        <f t="shared" si="2"/>
        <v>14</v>
      </c>
      <c r="V37" s="49">
        <f t="shared" si="2"/>
        <v>14</v>
      </c>
      <c r="W37" s="49">
        <f t="shared" si="3"/>
        <v>115605504</v>
      </c>
      <c r="X37" s="10">
        <f t="shared" si="4"/>
        <v>49</v>
      </c>
      <c r="Y37" s="10">
        <f t="shared" si="18"/>
        <v>10.5</v>
      </c>
      <c r="Z37" s="10">
        <f t="shared" si="5"/>
        <v>49</v>
      </c>
      <c r="AA37" s="10">
        <f t="shared" si="6"/>
        <v>72</v>
      </c>
      <c r="AB37" s="139">
        <f t="shared" si="19"/>
        <v>1024</v>
      </c>
      <c r="AC37" s="105">
        <v>1</v>
      </c>
      <c r="AD37" s="62">
        <f t="shared" si="25"/>
        <v>1073</v>
      </c>
      <c r="AE37" s="63">
        <f t="shared" si="7"/>
        <v>107300</v>
      </c>
      <c r="AF37" s="62">
        <f t="shared" si="20"/>
        <v>49</v>
      </c>
      <c r="AG37" s="63">
        <f t="shared" si="21"/>
        <v>1960</v>
      </c>
      <c r="AH37" s="62">
        <f t="shared" si="8"/>
        <v>49</v>
      </c>
      <c r="AI37" s="63">
        <f t="shared" si="22"/>
        <v>1960</v>
      </c>
      <c r="AJ37" s="63">
        <f t="shared" si="9"/>
        <v>25088</v>
      </c>
      <c r="AK37" s="63">
        <f t="shared" si="10"/>
        <v>107300</v>
      </c>
      <c r="AL37" s="63" t="str">
        <f t="shared" si="11"/>
        <v>DRAM</v>
      </c>
      <c r="AM37" s="10" t="b">
        <f t="shared" si="12"/>
        <v>1</v>
      </c>
      <c r="AN37" s="44" t="str">
        <f t="shared" si="23"/>
        <v>feature</v>
      </c>
      <c r="AO37" s="44">
        <f t="shared" si="13"/>
        <v>1122</v>
      </c>
      <c r="AP37" s="44">
        <f t="shared" si="14"/>
        <v>1122</v>
      </c>
      <c r="AQ37" s="31">
        <f t="shared" si="24"/>
        <v>112200</v>
      </c>
      <c r="AR37" s="31">
        <f t="shared" si="15"/>
        <v>25088</v>
      </c>
      <c r="AS37" s="31">
        <f t="shared" si="16"/>
        <v>112200</v>
      </c>
      <c r="AT37" s="97" t="str">
        <f t="shared" si="17"/>
        <v>DRAM</v>
      </c>
    </row>
    <row r="38" spans="1:46" x14ac:dyDescent="0.35">
      <c r="A38" s="11" t="s">
        <v>169</v>
      </c>
      <c r="B38" s="107" t="s">
        <v>170</v>
      </c>
      <c r="C38" s="8" t="s">
        <v>155</v>
      </c>
      <c r="D38" s="8" t="s">
        <v>171</v>
      </c>
      <c r="E38" s="49">
        <v>256</v>
      </c>
      <c r="F38" s="49">
        <v>14</v>
      </c>
      <c r="G38" s="49">
        <v>14</v>
      </c>
      <c r="H38" s="49">
        <v>1024</v>
      </c>
      <c r="I38" s="49">
        <v>1</v>
      </c>
      <c r="J38" s="49">
        <v>1</v>
      </c>
      <c r="K38" s="49" t="b">
        <v>1</v>
      </c>
      <c r="L38" s="49">
        <v>1</v>
      </c>
      <c r="M38" s="49">
        <v>1</v>
      </c>
      <c r="N38" s="49">
        <f t="shared" si="0"/>
        <v>14</v>
      </c>
      <c r="O38" s="9">
        <f t="shared" si="1"/>
        <v>14</v>
      </c>
      <c r="P38" s="49" t="b">
        <v>0</v>
      </c>
      <c r="Q38" s="49"/>
      <c r="R38" s="49"/>
      <c r="S38" s="49"/>
      <c r="T38" s="49"/>
      <c r="U38" s="49">
        <f t="shared" si="2"/>
        <v>14</v>
      </c>
      <c r="V38" s="49">
        <f t="shared" si="2"/>
        <v>14</v>
      </c>
      <c r="W38" s="49">
        <f t="shared" si="3"/>
        <v>51380224</v>
      </c>
      <c r="X38" s="10">
        <f t="shared" si="4"/>
        <v>49</v>
      </c>
      <c r="Y38" s="10">
        <f t="shared" si="18"/>
        <v>3.5</v>
      </c>
      <c r="Z38" s="10">
        <f t="shared" si="5"/>
        <v>196</v>
      </c>
      <c r="AA38" s="10">
        <f t="shared" si="6"/>
        <v>8</v>
      </c>
      <c r="AB38" s="139">
        <f t="shared" si="19"/>
        <v>256</v>
      </c>
      <c r="AC38" s="105">
        <v>1</v>
      </c>
      <c r="AD38" s="62">
        <f t="shared" si="25"/>
        <v>452</v>
      </c>
      <c r="AE38" s="63">
        <f t="shared" si="7"/>
        <v>45200</v>
      </c>
      <c r="AF38" s="62">
        <f t="shared" si="20"/>
        <v>49</v>
      </c>
      <c r="AG38" s="63">
        <f t="shared" si="21"/>
        <v>1960</v>
      </c>
      <c r="AH38" s="62">
        <f t="shared" si="8"/>
        <v>196</v>
      </c>
      <c r="AI38" s="63">
        <f t="shared" si="22"/>
        <v>7840</v>
      </c>
      <c r="AJ38" s="63">
        <f t="shared" si="9"/>
        <v>25088</v>
      </c>
      <c r="AK38" s="63">
        <f t="shared" si="10"/>
        <v>45200</v>
      </c>
      <c r="AL38" s="63" t="str">
        <f t="shared" si="11"/>
        <v>DRAM</v>
      </c>
      <c r="AM38" s="10" t="b">
        <f t="shared" si="12"/>
        <v>0</v>
      </c>
      <c r="AN38" s="44" t="str">
        <f t="shared" si="23"/>
        <v>feature</v>
      </c>
      <c r="AO38" s="44">
        <f t="shared" si="13"/>
        <v>697</v>
      </c>
      <c r="AP38" s="44">
        <f t="shared" si="14"/>
        <v>697</v>
      </c>
      <c r="AQ38" s="31">
        <f t="shared" si="24"/>
        <v>69700</v>
      </c>
      <c r="AR38" s="31">
        <f t="shared" si="15"/>
        <v>25088</v>
      </c>
      <c r="AS38" s="31">
        <f t="shared" si="16"/>
        <v>69700</v>
      </c>
      <c r="AT38" s="97" t="str">
        <f t="shared" si="17"/>
        <v>DRAM</v>
      </c>
    </row>
    <row r="39" spans="1:46" x14ac:dyDescent="0.35">
      <c r="A39" s="11" t="s">
        <v>169</v>
      </c>
      <c r="B39" s="107" t="s">
        <v>170</v>
      </c>
      <c r="C39" s="8" t="s">
        <v>181</v>
      </c>
      <c r="D39" s="8" t="s">
        <v>109</v>
      </c>
      <c r="E39" s="49">
        <v>1024</v>
      </c>
      <c r="F39" s="49">
        <v>14</v>
      </c>
      <c r="G39" s="49">
        <v>14</v>
      </c>
      <c r="H39" s="49">
        <v>256</v>
      </c>
      <c r="I39" s="49">
        <v>1</v>
      </c>
      <c r="J39" s="49">
        <v>1</v>
      </c>
      <c r="K39" s="49" t="b">
        <v>1</v>
      </c>
      <c r="L39" s="49">
        <v>1</v>
      </c>
      <c r="M39" s="49">
        <v>1</v>
      </c>
      <c r="N39" s="49">
        <f t="shared" si="0"/>
        <v>14</v>
      </c>
      <c r="O39" s="9">
        <f t="shared" si="1"/>
        <v>14</v>
      </c>
      <c r="P39" s="49" t="b">
        <v>0</v>
      </c>
      <c r="Q39" s="49"/>
      <c r="R39" s="49"/>
      <c r="S39" s="49"/>
      <c r="T39" s="49"/>
      <c r="U39" s="49">
        <f t="shared" si="2"/>
        <v>14</v>
      </c>
      <c r="V39" s="49">
        <f t="shared" si="2"/>
        <v>14</v>
      </c>
      <c r="W39" s="49">
        <f t="shared" si="3"/>
        <v>51380224</v>
      </c>
      <c r="X39" s="10">
        <f t="shared" si="4"/>
        <v>196</v>
      </c>
      <c r="Y39" s="10">
        <f t="shared" si="18"/>
        <v>14</v>
      </c>
      <c r="Z39" s="10">
        <f t="shared" si="5"/>
        <v>49</v>
      </c>
      <c r="AA39" s="10">
        <f t="shared" si="6"/>
        <v>32</v>
      </c>
      <c r="AB39" s="139">
        <f t="shared" si="19"/>
        <v>256</v>
      </c>
      <c r="AC39" s="105">
        <v>1</v>
      </c>
      <c r="AD39" s="62">
        <f t="shared" si="25"/>
        <v>305</v>
      </c>
      <c r="AE39" s="63">
        <f t="shared" si="7"/>
        <v>30500</v>
      </c>
      <c r="AF39" s="62">
        <f t="shared" si="20"/>
        <v>196</v>
      </c>
      <c r="AG39" s="63">
        <f t="shared" si="21"/>
        <v>7840</v>
      </c>
      <c r="AH39" s="62">
        <f t="shared" si="8"/>
        <v>49</v>
      </c>
      <c r="AI39" s="63">
        <f t="shared" si="22"/>
        <v>1960</v>
      </c>
      <c r="AJ39" s="63">
        <f t="shared" si="9"/>
        <v>25088</v>
      </c>
      <c r="AK39" s="63">
        <f t="shared" si="10"/>
        <v>30500</v>
      </c>
      <c r="AL39" s="63" t="str">
        <f t="shared" si="11"/>
        <v>DRAM</v>
      </c>
      <c r="AM39" s="10" t="b">
        <f t="shared" si="12"/>
        <v>0</v>
      </c>
      <c r="AN39" s="44" t="str">
        <f t="shared" si="23"/>
        <v>feature</v>
      </c>
      <c r="AO39" s="44">
        <f t="shared" si="13"/>
        <v>501</v>
      </c>
      <c r="AP39" s="44">
        <f t="shared" si="14"/>
        <v>501</v>
      </c>
      <c r="AQ39" s="31">
        <f t="shared" si="24"/>
        <v>50100</v>
      </c>
      <c r="AR39" s="31">
        <f t="shared" si="15"/>
        <v>25088</v>
      </c>
      <c r="AS39" s="31">
        <f t="shared" si="16"/>
        <v>50100</v>
      </c>
      <c r="AT39" s="97" t="str">
        <f t="shared" si="17"/>
        <v>DRAM</v>
      </c>
    </row>
    <row r="40" spans="1:46" x14ac:dyDescent="0.35">
      <c r="A40" s="11" t="s">
        <v>169</v>
      </c>
      <c r="B40" s="107" t="s">
        <v>170</v>
      </c>
      <c r="C40" s="8" t="s">
        <v>182</v>
      </c>
      <c r="D40" s="8" t="s">
        <v>109</v>
      </c>
      <c r="E40" s="49">
        <v>256</v>
      </c>
      <c r="F40" s="49">
        <v>14</v>
      </c>
      <c r="G40" s="49">
        <v>14</v>
      </c>
      <c r="H40" s="49">
        <v>256</v>
      </c>
      <c r="I40" s="49">
        <v>3</v>
      </c>
      <c r="J40" s="49">
        <v>3</v>
      </c>
      <c r="K40" s="49" t="b">
        <v>1</v>
      </c>
      <c r="L40" s="49">
        <v>1</v>
      </c>
      <c r="M40" s="49">
        <v>1</v>
      </c>
      <c r="N40" s="49">
        <f t="shared" si="0"/>
        <v>14</v>
      </c>
      <c r="O40" s="9">
        <f t="shared" si="1"/>
        <v>14</v>
      </c>
      <c r="P40" s="49" t="b">
        <v>0</v>
      </c>
      <c r="Q40" s="49"/>
      <c r="R40" s="49"/>
      <c r="S40" s="49"/>
      <c r="T40" s="49"/>
      <c r="U40" s="49">
        <f t="shared" si="2"/>
        <v>14</v>
      </c>
      <c r="V40" s="49">
        <f t="shared" si="2"/>
        <v>14</v>
      </c>
      <c r="W40" s="49">
        <f t="shared" si="3"/>
        <v>115605504</v>
      </c>
      <c r="X40" s="10">
        <f t="shared" si="4"/>
        <v>49</v>
      </c>
      <c r="Y40" s="10">
        <f t="shared" si="18"/>
        <v>10.5</v>
      </c>
      <c r="Z40" s="10">
        <f t="shared" si="5"/>
        <v>49</v>
      </c>
      <c r="AA40" s="10">
        <f t="shared" si="6"/>
        <v>72</v>
      </c>
      <c r="AB40" s="139">
        <f t="shared" si="19"/>
        <v>1024</v>
      </c>
      <c r="AC40" s="105">
        <v>1</v>
      </c>
      <c r="AD40" s="62">
        <f t="shared" si="25"/>
        <v>1073</v>
      </c>
      <c r="AE40" s="63">
        <f t="shared" si="7"/>
        <v>107300</v>
      </c>
      <c r="AF40" s="62">
        <f t="shared" si="20"/>
        <v>49</v>
      </c>
      <c r="AG40" s="63">
        <f t="shared" si="21"/>
        <v>1960</v>
      </c>
      <c r="AH40" s="62">
        <f t="shared" si="8"/>
        <v>49</v>
      </c>
      <c r="AI40" s="63">
        <f t="shared" si="22"/>
        <v>1960</v>
      </c>
      <c r="AJ40" s="63">
        <f t="shared" si="9"/>
        <v>25088</v>
      </c>
      <c r="AK40" s="63">
        <f t="shared" si="10"/>
        <v>107300</v>
      </c>
      <c r="AL40" s="63" t="str">
        <f t="shared" si="11"/>
        <v>DRAM</v>
      </c>
      <c r="AM40" s="10" t="b">
        <f t="shared" si="12"/>
        <v>1</v>
      </c>
      <c r="AN40" s="44" t="str">
        <f t="shared" si="23"/>
        <v>feature</v>
      </c>
      <c r="AO40" s="44">
        <f t="shared" si="13"/>
        <v>1122</v>
      </c>
      <c r="AP40" s="44">
        <f t="shared" si="14"/>
        <v>1122</v>
      </c>
      <c r="AQ40" s="31">
        <f t="shared" si="24"/>
        <v>112200</v>
      </c>
      <c r="AR40" s="31">
        <f t="shared" si="15"/>
        <v>25088</v>
      </c>
      <c r="AS40" s="31">
        <f t="shared" si="16"/>
        <v>112200</v>
      </c>
      <c r="AT40" s="97" t="str">
        <f t="shared" si="17"/>
        <v>DRAM</v>
      </c>
    </row>
    <row r="41" spans="1:46" x14ac:dyDescent="0.35">
      <c r="A41" s="11" t="s">
        <v>169</v>
      </c>
      <c r="B41" s="107" t="s">
        <v>170</v>
      </c>
      <c r="C41" s="8" t="s">
        <v>183</v>
      </c>
      <c r="D41" s="8" t="s">
        <v>171</v>
      </c>
      <c r="E41" s="49">
        <v>256</v>
      </c>
      <c r="F41" s="49">
        <v>14</v>
      </c>
      <c r="G41" s="49">
        <v>14</v>
      </c>
      <c r="H41" s="49">
        <v>1024</v>
      </c>
      <c r="I41" s="49">
        <v>1</v>
      </c>
      <c r="J41" s="49">
        <v>1</v>
      </c>
      <c r="K41" s="49" t="b">
        <v>1</v>
      </c>
      <c r="L41" s="49">
        <v>1</v>
      </c>
      <c r="M41" s="49">
        <v>1</v>
      </c>
      <c r="N41" s="49">
        <f t="shared" si="0"/>
        <v>14</v>
      </c>
      <c r="O41" s="9">
        <f t="shared" si="1"/>
        <v>14</v>
      </c>
      <c r="P41" s="49" t="b">
        <v>0</v>
      </c>
      <c r="Q41" s="49"/>
      <c r="R41" s="49"/>
      <c r="S41" s="49"/>
      <c r="T41" s="49"/>
      <c r="U41" s="49">
        <f t="shared" si="2"/>
        <v>14</v>
      </c>
      <c r="V41" s="49">
        <f t="shared" si="2"/>
        <v>14</v>
      </c>
      <c r="W41" s="49">
        <f t="shared" si="3"/>
        <v>51380224</v>
      </c>
      <c r="X41" s="10">
        <f t="shared" si="4"/>
        <v>49</v>
      </c>
      <c r="Y41" s="10">
        <f t="shared" si="18"/>
        <v>3.5</v>
      </c>
      <c r="Z41" s="10">
        <f t="shared" si="5"/>
        <v>196</v>
      </c>
      <c r="AA41" s="10">
        <f t="shared" si="6"/>
        <v>8</v>
      </c>
      <c r="AB41" s="139">
        <f t="shared" si="19"/>
        <v>256</v>
      </c>
      <c r="AC41" s="105">
        <v>1</v>
      </c>
      <c r="AD41" s="62">
        <f t="shared" si="25"/>
        <v>452</v>
      </c>
      <c r="AE41" s="63">
        <f t="shared" si="7"/>
        <v>45200</v>
      </c>
      <c r="AF41" s="62">
        <f t="shared" si="20"/>
        <v>49</v>
      </c>
      <c r="AG41" s="63">
        <f t="shared" si="21"/>
        <v>1960</v>
      </c>
      <c r="AH41" s="62">
        <f t="shared" si="8"/>
        <v>196</v>
      </c>
      <c r="AI41" s="63">
        <f t="shared" si="22"/>
        <v>7840</v>
      </c>
      <c r="AJ41" s="63">
        <f t="shared" si="9"/>
        <v>25088</v>
      </c>
      <c r="AK41" s="63">
        <f t="shared" si="10"/>
        <v>45200</v>
      </c>
      <c r="AL41" s="63" t="str">
        <f t="shared" si="11"/>
        <v>DRAM</v>
      </c>
      <c r="AM41" s="10" t="b">
        <f t="shared" si="12"/>
        <v>0</v>
      </c>
      <c r="AN41" s="44" t="str">
        <f t="shared" si="23"/>
        <v>feature</v>
      </c>
      <c r="AO41" s="44">
        <f t="shared" si="13"/>
        <v>697</v>
      </c>
      <c r="AP41" s="44">
        <f t="shared" si="14"/>
        <v>697</v>
      </c>
      <c r="AQ41" s="31">
        <f t="shared" si="24"/>
        <v>69700</v>
      </c>
      <c r="AR41" s="31">
        <f t="shared" si="15"/>
        <v>25088</v>
      </c>
      <c r="AS41" s="31">
        <f t="shared" si="16"/>
        <v>69700</v>
      </c>
      <c r="AT41" s="97" t="str">
        <f t="shared" si="17"/>
        <v>DRAM</v>
      </c>
    </row>
    <row r="42" spans="1:46" x14ac:dyDescent="0.35">
      <c r="A42" s="11" t="s">
        <v>169</v>
      </c>
      <c r="B42" s="107" t="s">
        <v>170</v>
      </c>
      <c r="C42" s="8" t="s">
        <v>184</v>
      </c>
      <c r="D42" s="8" t="s">
        <v>109</v>
      </c>
      <c r="E42" s="49">
        <v>1024</v>
      </c>
      <c r="F42" s="49">
        <v>14</v>
      </c>
      <c r="G42" s="49">
        <v>14</v>
      </c>
      <c r="H42" s="49">
        <v>256</v>
      </c>
      <c r="I42" s="49">
        <v>1</v>
      </c>
      <c r="J42" s="49">
        <v>1</v>
      </c>
      <c r="K42" s="49" t="b">
        <v>1</v>
      </c>
      <c r="L42" s="49">
        <v>1</v>
      </c>
      <c r="M42" s="49">
        <v>1</v>
      </c>
      <c r="N42" s="49">
        <f t="shared" si="0"/>
        <v>14</v>
      </c>
      <c r="O42" s="9">
        <f t="shared" si="1"/>
        <v>14</v>
      </c>
      <c r="P42" s="49" t="b">
        <v>0</v>
      </c>
      <c r="Q42" s="49"/>
      <c r="R42" s="49"/>
      <c r="S42" s="49"/>
      <c r="T42" s="49"/>
      <c r="U42" s="49">
        <f t="shared" si="2"/>
        <v>14</v>
      </c>
      <c r="V42" s="49">
        <f t="shared" si="2"/>
        <v>14</v>
      </c>
      <c r="W42" s="49">
        <f t="shared" si="3"/>
        <v>51380224</v>
      </c>
      <c r="X42" s="10">
        <f t="shared" si="4"/>
        <v>196</v>
      </c>
      <c r="Y42" s="10">
        <f t="shared" si="18"/>
        <v>14</v>
      </c>
      <c r="Z42" s="10">
        <f t="shared" si="5"/>
        <v>49</v>
      </c>
      <c r="AA42" s="10">
        <f t="shared" si="6"/>
        <v>32</v>
      </c>
      <c r="AB42" s="139">
        <f t="shared" si="19"/>
        <v>256</v>
      </c>
      <c r="AC42" s="105">
        <v>1</v>
      </c>
      <c r="AD42" s="62">
        <f t="shared" si="25"/>
        <v>305</v>
      </c>
      <c r="AE42" s="63">
        <f t="shared" si="7"/>
        <v>30500</v>
      </c>
      <c r="AF42" s="62">
        <f t="shared" si="20"/>
        <v>196</v>
      </c>
      <c r="AG42" s="63">
        <f t="shared" si="21"/>
        <v>7840</v>
      </c>
      <c r="AH42" s="62">
        <f t="shared" si="8"/>
        <v>49</v>
      </c>
      <c r="AI42" s="63">
        <f t="shared" si="22"/>
        <v>1960</v>
      </c>
      <c r="AJ42" s="63">
        <f t="shared" si="9"/>
        <v>25088</v>
      </c>
      <c r="AK42" s="63">
        <f t="shared" si="10"/>
        <v>30500</v>
      </c>
      <c r="AL42" s="63" t="str">
        <f t="shared" si="11"/>
        <v>DRAM</v>
      </c>
      <c r="AM42" s="10" t="b">
        <f t="shared" si="12"/>
        <v>0</v>
      </c>
      <c r="AN42" s="44" t="str">
        <f t="shared" si="23"/>
        <v>feature</v>
      </c>
      <c r="AO42" s="44">
        <f t="shared" si="13"/>
        <v>501</v>
      </c>
      <c r="AP42" s="44">
        <f t="shared" si="14"/>
        <v>501</v>
      </c>
      <c r="AQ42" s="31">
        <f t="shared" si="24"/>
        <v>50100</v>
      </c>
      <c r="AR42" s="31">
        <f t="shared" si="15"/>
        <v>25088</v>
      </c>
      <c r="AS42" s="31">
        <f t="shared" si="16"/>
        <v>50100</v>
      </c>
      <c r="AT42" s="97" t="str">
        <f t="shared" si="17"/>
        <v>DRAM</v>
      </c>
    </row>
    <row r="43" spans="1:46" x14ac:dyDescent="0.35">
      <c r="A43" s="11" t="s">
        <v>169</v>
      </c>
      <c r="B43" s="107" t="s">
        <v>170</v>
      </c>
      <c r="C43" s="8" t="s">
        <v>185</v>
      </c>
      <c r="D43" s="8" t="s">
        <v>109</v>
      </c>
      <c r="E43" s="49">
        <v>256</v>
      </c>
      <c r="F43" s="49">
        <v>14</v>
      </c>
      <c r="G43" s="49">
        <v>14</v>
      </c>
      <c r="H43" s="49">
        <v>256</v>
      </c>
      <c r="I43" s="49">
        <v>3</v>
      </c>
      <c r="J43" s="49">
        <v>3</v>
      </c>
      <c r="K43" s="49" t="b">
        <v>1</v>
      </c>
      <c r="L43" s="49">
        <v>1</v>
      </c>
      <c r="M43" s="49">
        <v>1</v>
      </c>
      <c r="N43" s="49">
        <f t="shared" si="0"/>
        <v>14</v>
      </c>
      <c r="O43" s="9">
        <f t="shared" si="1"/>
        <v>14</v>
      </c>
      <c r="P43" s="49" t="b">
        <v>0</v>
      </c>
      <c r="Q43" s="49"/>
      <c r="R43" s="49"/>
      <c r="S43" s="49"/>
      <c r="T43" s="49"/>
      <c r="U43" s="49">
        <f t="shared" si="2"/>
        <v>14</v>
      </c>
      <c r="V43" s="49">
        <f t="shared" si="2"/>
        <v>14</v>
      </c>
      <c r="W43" s="49">
        <f t="shared" ref="W43:W64" si="26">E43*N43*O43*H43*I43*J43</f>
        <v>115605504</v>
      </c>
      <c r="X43" s="10">
        <f t="shared" ref="X43:X64" si="27">CEILING(E43*L43*M43, 16)*CEILING(F43/L43, 1)*CEILING(G43/M43,1)*$C$1/1024</f>
        <v>49</v>
      </c>
      <c r="Y43" s="10">
        <f t="shared" si="18"/>
        <v>10.5</v>
      </c>
      <c r="Z43" s="10">
        <f t="shared" ref="Z43:Z64" si="28">U43*V43*CEILING(H43, 16)*$C$1/1024</f>
        <v>49</v>
      </c>
      <c r="AA43" s="10">
        <f t="shared" ref="AA43:AA64" si="29">IF((CEILING(E43*L43*M43,16)*CEILING(I43/L43,1)*CEILING(J43/M43,1)*32*$C$2*(1-$F$2)/1024)&gt;=$C$3, $C$3/2, CEILING(E43*L43*M43,16)*CEILING(I43/L43,1)*CEILING(J43/M43,1)*32*$C$2*(1-$F$2)/1024)</f>
        <v>72</v>
      </c>
      <c r="AB43" s="139">
        <f t="shared" si="19"/>
        <v>1024</v>
      </c>
      <c r="AC43" s="105">
        <v>1</v>
      </c>
      <c r="AD43" s="62">
        <f t="shared" si="25"/>
        <v>1073</v>
      </c>
      <c r="AE43" s="63">
        <f t="shared" si="7"/>
        <v>107300</v>
      </c>
      <c r="AF43" s="62">
        <f t="shared" si="20"/>
        <v>49</v>
      </c>
      <c r="AG43" s="63">
        <f t="shared" si="21"/>
        <v>1960</v>
      </c>
      <c r="AH43" s="62">
        <f t="shared" si="8"/>
        <v>49</v>
      </c>
      <c r="AI43" s="63">
        <f t="shared" si="22"/>
        <v>1960</v>
      </c>
      <c r="AJ43" s="63">
        <f t="shared" ref="AJ43:AJ64" si="30">CEILING(E43*L43*M43, 16)*CEILING(IF(K43, F43, F43-I43+1)/L43, 1)*CEILING(IF(K43, G43, G43-J43+1)/M43,1)*CEILING(H43*IF(D43="fc", $C$9, 1), 16)*I43*J43/L43/M43/$C$4/IF(I43=3, IF(J43=3, 2.25, 1), 1)/IF(D43="fc", $C$9, 1)</f>
        <v>25088</v>
      </c>
      <c r="AK43" s="63">
        <f t="shared" si="10"/>
        <v>107300</v>
      </c>
      <c r="AL43" s="63" t="str">
        <f t="shared" si="11"/>
        <v>DRAM</v>
      </c>
      <c r="AM43" s="10" t="b">
        <f t="shared" ref="AM43:AM64" si="31">IF(I43=3, IF(J43=3, TRUE, FALSE), FALSE)</f>
        <v>1</v>
      </c>
      <c r="AN43" s="44" t="str">
        <f t="shared" si="23"/>
        <v>feature</v>
      </c>
      <c r="AO43" s="44">
        <f t="shared" ref="AO43:AO74" si="32">IF(AN43="weight", IF(AB43&gt;($C$3-Y43), CEILING(AB43/($C$3-Y43), 1)*X43+AB43+Z43, X43+AB43+Z43), IF(X43&gt;($C$3-AA43), CEILING(X43/($C$3-AA43),1)*AB43+X43+Z43, X43+AB43+Z43)) + IF(D43="conv + elwise", Z43, 0)</f>
        <v>1122</v>
      </c>
      <c r="AP43" s="44">
        <f t="shared" ref="AP43:AP64" si="33">AB43/IF(D43="fc", $C$9, 1)+Z43*IF(D43="conv + elwise", 2, 1)+X43</f>
        <v>1122</v>
      </c>
      <c r="AQ43" s="31">
        <f t="shared" si="24"/>
        <v>112200</v>
      </c>
      <c r="AR43" s="31">
        <f t="shared" ref="AR43:AR64" si="34">CEILING(E43*L43*M43, 16)*CEILING(IF(K43, F43, F43-I43+1)/L43, 1)*CEILING(IF(K43, G43, G43-J43+1)/M43,1)*CEILING(H43*IF(D43="fc", $C$9, 1), 128)*I43*J43/L43/M43/$C$4/IF(I43=3, IF(J43=3, 2.25, 1), 1)/IF(D43="fc", $C$9, 1)</f>
        <v>25088</v>
      </c>
      <c r="AS43" s="31">
        <f t="shared" si="16"/>
        <v>112200</v>
      </c>
      <c r="AT43" s="97" t="str">
        <f t="shared" si="17"/>
        <v>DRAM</v>
      </c>
    </row>
    <row r="44" spans="1:46" x14ac:dyDescent="0.35">
      <c r="A44" s="11" t="s">
        <v>169</v>
      </c>
      <c r="B44" s="107" t="s">
        <v>170</v>
      </c>
      <c r="C44" s="8" t="s">
        <v>186</v>
      </c>
      <c r="D44" s="8" t="s">
        <v>171</v>
      </c>
      <c r="E44" s="49">
        <v>256</v>
      </c>
      <c r="F44" s="49">
        <v>14</v>
      </c>
      <c r="G44" s="49">
        <v>14</v>
      </c>
      <c r="H44" s="49">
        <v>1024</v>
      </c>
      <c r="I44" s="49">
        <v>1</v>
      </c>
      <c r="J44" s="49">
        <v>1</v>
      </c>
      <c r="K44" s="49" t="b">
        <v>1</v>
      </c>
      <c r="L44" s="49">
        <v>1</v>
      </c>
      <c r="M44" s="49">
        <v>1</v>
      </c>
      <c r="N44" s="49">
        <f t="shared" si="0"/>
        <v>14</v>
      </c>
      <c r="O44" s="9">
        <f t="shared" si="1"/>
        <v>14</v>
      </c>
      <c r="P44" s="49" t="b">
        <v>0</v>
      </c>
      <c r="Q44" s="49"/>
      <c r="R44" s="49"/>
      <c r="S44" s="49"/>
      <c r="T44" s="49"/>
      <c r="U44" s="49">
        <f t="shared" si="2"/>
        <v>14</v>
      </c>
      <c r="V44" s="49">
        <f t="shared" si="2"/>
        <v>14</v>
      </c>
      <c r="W44" s="49">
        <f t="shared" si="26"/>
        <v>51380224</v>
      </c>
      <c r="X44" s="10">
        <f t="shared" si="27"/>
        <v>49</v>
      </c>
      <c r="Y44" s="10">
        <f t="shared" ref="Y44:Y64" si="35">CEILING(E44*L44*M44, 16)*MIN(I44, CEILING(F44/L44, 1))*CEILING(G44/M44,1)*$C$1/1024</f>
        <v>3.5</v>
      </c>
      <c r="Z44" s="10">
        <f t="shared" si="28"/>
        <v>196</v>
      </c>
      <c r="AA44" s="10">
        <f t="shared" si="29"/>
        <v>8</v>
      </c>
      <c r="AB44" s="139">
        <f t="shared" ref="AB44:AB64" si="36">CEILING(E44*L44*M44,16)*CEILING(I44/L44,1)*CEILING(J44/M44,1)*H44*$C$2*(1-$F$2)/1024*IF(AM44, 16/9, 1)</f>
        <v>256</v>
      </c>
      <c r="AC44" s="105">
        <v>1</v>
      </c>
      <c r="AD44" s="62">
        <f t="shared" si="25"/>
        <v>452</v>
      </c>
      <c r="AE44" s="63">
        <f t="shared" si="7"/>
        <v>45200</v>
      </c>
      <c r="AF44" s="62">
        <f t="shared" ref="AF44:AF64" si="37">X44</f>
        <v>49</v>
      </c>
      <c r="AG44" s="63">
        <f t="shared" si="21"/>
        <v>1960</v>
      </c>
      <c r="AH44" s="62">
        <f t="shared" si="8"/>
        <v>196</v>
      </c>
      <c r="AI44" s="63">
        <f t="shared" si="22"/>
        <v>7840</v>
      </c>
      <c r="AJ44" s="63">
        <f t="shared" si="30"/>
        <v>25088</v>
      </c>
      <c r="AK44" s="63">
        <f t="shared" si="10"/>
        <v>45200</v>
      </c>
      <c r="AL44" s="63" t="str">
        <f t="shared" si="11"/>
        <v>DRAM</v>
      </c>
      <c r="AM44" s="10" t="b">
        <f t="shared" si="31"/>
        <v>0</v>
      </c>
      <c r="AN44" s="44" t="str">
        <f t="shared" ref="AN44:AN64" si="38">IF(X44&lt;AB44, "feature", "weight")</f>
        <v>feature</v>
      </c>
      <c r="AO44" s="44">
        <f t="shared" si="32"/>
        <v>697</v>
      </c>
      <c r="AP44" s="44">
        <f t="shared" si="33"/>
        <v>697</v>
      </c>
      <c r="AQ44" s="31">
        <f t="shared" si="24"/>
        <v>69700</v>
      </c>
      <c r="AR44" s="31">
        <f t="shared" si="34"/>
        <v>25088</v>
      </c>
      <c r="AS44" s="31">
        <f t="shared" si="16"/>
        <v>69700</v>
      </c>
      <c r="AT44" s="97" t="str">
        <f t="shared" si="17"/>
        <v>DRAM</v>
      </c>
    </row>
    <row r="45" spans="1:46" x14ac:dyDescent="0.35">
      <c r="A45" s="11" t="s">
        <v>169</v>
      </c>
      <c r="B45" s="107" t="s">
        <v>170</v>
      </c>
      <c r="C45" s="8" t="s">
        <v>187</v>
      </c>
      <c r="D45" s="8" t="s">
        <v>109</v>
      </c>
      <c r="E45" s="49">
        <v>1024</v>
      </c>
      <c r="F45" s="49">
        <v>14</v>
      </c>
      <c r="G45" s="49">
        <v>14</v>
      </c>
      <c r="H45" s="49">
        <v>256</v>
      </c>
      <c r="I45" s="49">
        <v>1</v>
      </c>
      <c r="J45" s="49">
        <v>1</v>
      </c>
      <c r="K45" s="49" t="b">
        <v>1</v>
      </c>
      <c r="L45" s="49">
        <v>1</v>
      </c>
      <c r="M45" s="49">
        <v>1</v>
      </c>
      <c r="N45" s="49">
        <f t="shared" si="0"/>
        <v>14</v>
      </c>
      <c r="O45" s="9">
        <f t="shared" si="1"/>
        <v>14</v>
      </c>
      <c r="P45" s="49" t="b">
        <v>0</v>
      </c>
      <c r="Q45" s="49"/>
      <c r="R45" s="49"/>
      <c r="S45" s="49"/>
      <c r="T45" s="49"/>
      <c r="U45" s="49">
        <f t="shared" si="2"/>
        <v>14</v>
      </c>
      <c r="V45" s="49">
        <f t="shared" si="2"/>
        <v>14</v>
      </c>
      <c r="W45" s="49">
        <f t="shared" si="26"/>
        <v>51380224</v>
      </c>
      <c r="X45" s="10">
        <f t="shared" si="27"/>
        <v>196</v>
      </c>
      <c r="Y45" s="10">
        <f t="shared" si="35"/>
        <v>14</v>
      </c>
      <c r="Z45" s="10">
        <f t="shared" si="28"/>
        <v>49</v>
      </c>
      <c r="AA45" s="10">
        <f t="shared" si="29"/>
        <v>32</v>
      </c>
      <c r="AB45" s="139">
        <f t="shared" si="36"/>
        <v>256</v>
      </c>
      <c r="AC45" s="105">
        <v>1</v>
      </c>
      <c r="AD45" s="62">
        <f t="shared" si="25"/>
        <v>305</v>
      </c>
      <c r="AE45" s="63">
        <f t="shared" si="7"/>
        <v>30500</v>
      </c>
      <c r="AF45" s="62">
        <f t="shared" si="37"/>
        <v>196</v>
      </c>
      <c r="AG45" s="63">
        <f t="shared" si="21"/>
        <v>7840</v>
      </c>
      <c r="AH45" s="62">
        <f t="shared" si="8"/>
        <v>49</v>
      </c>
      <c r="AI45" s="63">
        <f t="shared" si="22"/>
        <v>1960</v>
      </c>
      <c r="AJ45" s="63">
        <f t="shared" si="30"/>
        <v>25088</v>
      </c>
      <c r="AK45" s="63">
        <f t="shared" si="10"/>
        <v>30500</v>
      </c>
      <c r="AL45" s="63" t="str">
        <f t="shared" si="11"/>
        <v>DRAM</v>
      </c>
      <c r="AM45" s="10" t="b">
        <f t="shared" si="31"/>
        <v>0</v>
      </c>
      <c r="AN45" s="44" t="str">
        <f t="shared" si="38"/>
        <v>feature</v>
      </c>
      <c r="AO45" s="44">
        <f t="shared" si="32"/>
        <v>501</v>
      </c>
      <c r="AP45" s="44">
        <f t="shared" si="33"/>
        <v>501</v>
      </c>
      <c r="AQ45" s="31">
        <f t="shared" si="24"/>
        <v>50100</v>
      </c>
      <c r="AR45" s="31">
        <f t="shared" si="34"/>
        <v>25088</v>
      </c>
      <c r="AS45" s="31">
        <f t="shared" si="16"/>
        <v>50100</v>
      </c>
      <c r="AT45" s="97" t="str">
        <f t="shared" si="17"/>
        <v>DRAM</v>
      </c>
    </row>
    <row r="46" spans="1:46" x14ac:dyDescent="0.35">
      <c r="A46" s="11" t="s">
        <v>169</v>
      </c>
      <c r="B46" s="107" t="s">
        <v>170</v>
      </c>
      <c r="C46" s="8" t="s">
        <v>188</v>
      </c>
      <c r="D46" s="8" t="s">
        <v>109</v>
      </c>
      <c r="E46" s="49">
        <v>256</v>
      </c>
      <c r="F46" s="49">
        <v>14</v>
      </c>
      <c r="G46" s="49">
        <v>14</v>
      </c>
      <c r="H46" s="49">
        <v>256</v>
      </c>
      <c r="I46" s="49">
        <v>3</v>
      </c>
      <c r="J46" s="49">
        <v>3</v>
      </c>
      <c r="K46" s="49" t="b">
        <v>1</v>
      </c>
      <c r="L46" s="49">
        <v>1</v>
      </c>
      <c r="M46" s="49">
        <v>1</v>
      </c>
      <c r="N46" s="49">
        <f t="shared" si="0"/>
        <v>14</v>
      </c>
      <c r="O46" s="9">
        <f t="shared" si="1"/>
        <v>14</v>
      </c>
      <c r="P46" s="49" t="b">
        <v>0</v>
      </c>
      <c r="Q46" s="49"/>
      <c r="R46" s="49"/>
      <c r="S46" s="49"/>
      <c r="T46" s="49"/>
      <c r="U46" s="49">
        <f t="shared" si="2"/>
        <v>14</v>
      </c>
      <c r="V46" s="49">
        <f t="shared" si="2"/>
        <v>14</v>
      </c>
      <c r="W46" s="49">
        <f t="shared" si="26"/>
        <v>115605504</v>
      </c>
      <c r="X46" s="10">
        <f t="shared" si="27"/>
        <v>49</v>
      </c>
      <c r="Y46" s="10">
        <f t="shared" si="35"/>
        <v>10.5</v>
      </c>
      <c r="Z46" s="10">
        <f t="shared" si="28"/>
        <v>49</v>
      </c>
      <c r="AA46" s="10">
        <f t="shared" si="29"/>
        <v>72</v>
      </c>
      <c r="AB46" s="139">
        <f t="shared" si="36"/>
        <v>1024</v>
      </c>
      <c r="AC46" s="105">
        <v>1</v>
      </c>
      <c r="AD46" s="62">
        <f t="shared" si="25"/>
        <v>1073</v>
      </c>
      <c r="AE46" s="63">
        <f t="shared" si="7"/>
        <v>107300</v>
      </c>
      <c r="AF46" s="62">
        <f t="shared" si="37"/>
        <v>49</v>
      </c>
      <c r="AG46" s="63">
        <f t="shared" si="21"/>
        <v>1960</v>
      </c>
      <c r="AH46" s="62">
        <f t="shared" si="8"/>
        <v>49</v>
      </c>
      <c r="AI46" s="63">
        <f t="shared" si="22"/>
        <v>1960</v>
      </c>
      <c r="AJ46" s="63">
        <f t="shared" si="30"/>
        <v>25088</v>
      </c>
      <c r="AK46" s="63">
        <f t="shared" si="10"/>
        <v>107300</v>
      </c>
      <c r="AL46" s="63" t="str">
        <f t="shared" si="11"/>
        <v>DRAM</v>
      </c>
      <c r="AM46" s="10" t="b">
        <f t="shared" si="31"/>
        <v>1</v>
      </c>
      <c r="AN46" s="44" t="str">
        <f t="shared" si="38"/>
        <v>feature</v>
      </c>
      <c r="AO46" s="44">
        <f t="shared" si="32"/>
        <v>1122</v>
      </c>
      <c r="AP46" s="44">
        <f t="shared" si="33"/>
        <v>1122</v>
      </c>
      <c r="AQ46" s="31">
        <f t="shared" si="24"/>
        <v>112200</v>
      </c>
      <c r="AR46" s="31">
        <f t="shared" si="34"/>
        <v>25088</v>
      </c>
      <c r="AS46" s="31">
        <f t="shared" si="16"/>
        <v>112200</v>
      </c>
      <c r="AT46" s="97" t="str">
        <f t="shared" si="17"/>
        <v>DRAM</v>
      </c>
    </row>
    <row r="47" spans="1:46" x14ac:dyDescent="0.35">
      <c r="A47" s="11" t="s">
        <v>169</v>
      </c>
      <c r="B47" s="107" t="s">
        <v>170</v>
      </c>
      <c r="C47" s="8" t="s">
        <v>189</v>
      </c>
      <c r="D47" s="8" t="s">
        <v>171</v>
      </c>
      <c r="E47" s="49">
        <v>256</v>
      </c>
      <c r="F47" s="49">
        <v>14</v>
      </c>
      <c r="G47" s="49">
        <v>14</v>
      </c>
      <c r="H47" s="49">
        <v>1024</v>
      </c>
      <c r="I47" s="49">
        <v>1</v>
      </c>
      <c r="J47" s="49">
        <v>1</v>
      </c>
      <c r="K47" s="49" t="b">
        <v>1</v>
      </c>
      <c r="L47" s="49">
        <v>1</v>
      </c>
      <c r="M47" s="49">
        <v>1</v>
      </c>
      <c r="N47" s="49">
        <f t="shared" si="0"/>
        <v>14</v>
      </c>
      <c r="O47" s="9">
        <f t="shared" si="1"/>
        <v>14</v>
      </c>
      <c r="P47" s="49" t="b">
        <v>0</v>
      </c>
      <c r="Q47" s="49"/>
      <c r="R47" s="49"/>
      <c r="S47" s="49"/>
      <c r="T47" s="49"/>
      <c r="U47" s="49">
        <f t="shared" si="2"/>
        <v>14</v>
      </c>
      <c r="V47" s="49">
        <f t="shared" si="2"/>
        <v>14</v>
      </c>
      <c r="W47" s="49">
        <f t="shared" si="26"/>
        <v>51380224</v>
      </c>
      <c r="X47" s="10">
        <f t="shared" si="27"/>
        <v>49</v>
      </c>
      <c r="Y47" s="10">
        <f t="shared" si="35"/>
        <v>3.5</v>
      </c>
      <c r="Z47" s="10">
        <f t="shared" si="28"/>
        <v>196</v>
      </c>
      <c r="AA47" s="10">
        <f t="shared" si="29"/>
        <v>8</v>
      </c>
      <c r="AB47" s="139">
        <f t="shared" si="36"/>
        <v>256</v>
      </c>
      <c r="AC47" s="105">
        <v>1</v>
      </c>
      <c r="AD47" s="62">
        <f t="shared" si="25"/>
        <v>452</v>
      </c>
      <c r="AE47" s="63">
        <f t="shared" si="7"/>
        <v>45200</v>
      </c>
      <c r="AF47" s="62">
        <f t="shared" si="37"/>
        <v>49</v>
      </c>
      <c r="AG47" s="63">
        <f t="shared" si="21"/>
        <v>1960</v>
      </c>
      <c r="AH47" s="62">
        <f t="shared" si="8"/>
        <v>196</v>
      </c>
      <c r="AI47" s="63">
        <f t="shared" si="22"/>
        <v>7840</v>
      </c>
      <c r="AJ47" s="63">
        <f t="shared" si="30"/>
        <v>25088</v>
      </c>
      <c r="AK47" s="63">
        <f t="shared" si="10"/>
        <v>45200</v>
      </c>
      <c r="AL47" s="63" t="str">
        <f t="shared" si="11"/>
        <v>DRAM</v>
      </c>
      <c r="AM47" s="10" t="b">
        <f t="shared" si="31"/>
        <v>0</v>
      </c>
      <c r="AN47" s="44" t="str">
        <f t="shared" si="38"/>
        <v>feature</v>
      </c>
      <c r="AO47" s="44">
        <f t="shared" si="32"/>
        <v>697</v>
      </c>
      <c r="AP47" s="44">
        <f t="shared" si="33"/>
        <v>697</v>
      </c>
      <c r="AQ47" s="31">
        <f t="shared" si="24"/>
        <v>69700</v>
      </c>
      <c r="AR47" s="31">
        <f t="shared" si="34"/>
        <v>25088</v>
      </c>
      <c r="AS47" s="31">
        <f t="shared" si="16"/>
        <v>69700</v>
      </c>
      <c r="AT47" s="97" t="str">
        <f t="shared" si="17"/>
        <v>DRAM</v>
      </c>
    </row>
    <row r="48" spans="1:46" x14ac:dyDescent="0.35">
      <c r="A48" s="11" t="s">
        <v>169</v>
      </c>
      <c r="B48" s="107" t="s">
        <v>170</v>
      </c>
      <c r="C48" s="8" t="s">
        <v>190</v>
      </c>
      <c r="D48" s="8" t="s">
        <v>109</v>
      </c>
      <c r="E48" s="49">
        <v>1024</v>
      </c>
      <c r="F48" s="49">
        <v>14</v>
      </c>
      <c r="G48" s="49">
        <v>14</v>
      </c>
      <c r="H48" s="49">
        <v>256</v>
      </c>
      <c r="I48" s="49">
        <v>1</v>
      </c>
      <c r="J48" s="49">
        <v>1</v>
      </c>
      <c r="K48" s="49" t="b">
        <v>1</v>
      </c>
      <c r="L48" s="49">
        <v>1</v>
      </c>
      <c r="M48" s="49">
        <v>1</v>
      </c>
      <c r="N48" s="49">
        <f t="shared" si="0"/>
        <v>14</v>
      </c>
      <c r="O48" s="9">
        <f t="shared" si="1"/>
        <v>14</v>
      </c>
      <c r="P48" s="49" t="b">
        <v>0</v>
      </c>
      <c r="Q48" s="49"/>
      <c r="R48" s="49"/>
      <c r="S48" s="49"/>
      <c r="T48" s="49"/>
      <c r="U48" s="49">
        <f t="shared" si="2"/>
        <v>14</v>
      </c>
      <c r="V48" s="49">
        <f t="shared" si="2"/>
        <v>14</v>
      </c>
      <c r="W48" s="49">
        <f t="shared" si="26"/>
        <v>51380224</v>
      </c>
      <c r="X48" s="10">
        <f t="shared" si="27"/>
        <v>196</v>
      </c>
      <c r="Y48" s="10">
        <f t="shared" si="35"/>
        <v>14</v>
      </c>
      <c r="Z48" s="10">
        <f t="shared" si="28"/>
        <v>49</v>
      </c>
      <c r="AA48" s="10">
        <f t="shared" si="29"/>
        <v>32</v>
      </c>
      <c r="AB48" s="139">
        <f t="shared" si="36"/>
        <v>256</v>
      </c>
      <c r="AC48" s="105">
        <v>1</v>
      </c>
      <c r="AD48" s="62">
        <f t="shared" si="25"/>
        <v>305</v>
      </c>
      <c r="AE48" s="63">
        <f t="shared" si="7"/>
        <v>30500</v>
      </c>
      <c r="AF48" s="62">
        <f t="shared" si="37"/>
        <v>196</v>
      </c>
      <c r="AG48" s="63">
        <f t="shared" si="21"/>
        <v>7840</v>
      </c>
      <c r="AH48" s="62">
        <f t="shared" si="8"/>
        <v>49</v>
      </c>
      <c r="AI48" s="63">
        <f t="shared" si="22"/>
        <v>1960</v>
      </c>
      <c r="AJ48" s="63">
        <f t="shared" si="30"/>
        <v>25088</v>
      </c>
      <c r="AK48" s="63">
        <f t="shared" si="10"/>
        <v>30500</v>
      </c>
      <c r="AL48" s="63" t="str">
        <f t="shared" si="11"/>
        <v>DRAM</v>
      </c>
      <c r="AM48" s="10" t="b">
        <f t="shared" si="31"/>
        <v>0</v>
      </c>
      <c r="AN48" s="44" t="str">
        <f t="shared" si="38"/>
        <v>feature</v>
      </c>
      <c r="AO48" s="44">
        <f t="shared" si="32"/>
        <v>501</v>
      </c>
      <c r="AP48" s="44">
        <f t="shared" si="33"/>
        <v>501</v>
      </c>
      <c r="AQ48" s="31">
        <f t="shared" si="24"/>
        <v>50100</v>
      </c>
      <c r="AR48" s="31">
        <f t="shared" si="34"/>
        <v>25088</v>
      </c>
      <c r="AS48" s="31">
        <f t="shared" si="16"/>
        <v>50100</v>
      </c>
      <c r="AT48" s="97" t="str">
        <f t="shared" si="17"/>
        <v>DRAM</v>
      </c>
    </row>
    <row r="49" spans="1:46" x14ac:dyDescent="0.35">
      <c r="A49" s="11" t="s">
        <v>169</v>
      </c>
      <c r="B49" s="107" t="s">
        <v>170</v>
      </c>
      <c r="C49" s="8" t="s">
        <v>191</v>
      </c>
      <c r="D49" s="8" t="s">
        <v>109</v>
      </c>
      <c r="E49" s="49">
        <v>256</v>
      </c>
      <c r="F49" s="49">
        <v>14</v>
      </c>
      <c r="G49" s="49">
        <v>14</v>
      </c>
      <c r="H49" s="49">
        <v>256</v>
      </c>
      <c r="I49" s="49">
        <v>3</v>
      </c>
      <c r="J49" s="49">
        <v>3</v>
      </c>
      <c r="K49" s="49" t="b">
        <v>1</v>
      </c>
      <c r="L49" s="49">
        <v>1</v>
      </c>
      <c r="M49" s="49">
        <v>1</v>
      </c>
      <c r="N49" s="49">
        <f t="shared" si="0"/>
        <v>14</v>
      </c>
      <c r="O49" s="9">
        <f t="shared" si="1"/>
        <v>14</v>
      </c>
      <c r="P49" s="49" t="b">
        <v>0</v>
      </c>
      <c r="Q49" s="49"/>
      <c r="R49" s="49"/>
      <c r="S49" s="49"/>
      <c r="T49" s="49"/>
      <c r="U49" s="49">
        <f t="shared" si="2"/>
        <v>14</v>
      </c>
      <c r="V49" s="49">
        <f t="shared" si="2"/>
        <v>14</v>
      </c>
      <c r="W49" s="49">
        <f t="shared" si="26"/>
        <v>115605504</v>
      </c>
      <c r="X49" s="10">
        <f t="shared" si="27"/>
        <v>49</v>
      </c>
      <c r="Y49" s="10">
        <f t="shared" si="35"/>
        <v>10.5</v>
      </c>
      <c r="Z49" s="10">
        <f t="shared" si="28"/>
        <v>49</v>
      </c>
      <c r="AA49" s="10">
        <f t="shared" si="29"/>
        <v>72</v>
      </c>
      <c r="AB49" s="139">
        <f t="shared" si="36"/>
        <v>1024</v>
      </c>
      <c r="AC49" s="105">
        <v>1</v>
      </c>
      <c r="AD49" s="62">
        <f t="shared" si="25"/>
        <v>1073</v>
      </c>
      <c r="AE49" s="63">
        <f t="shared" si="7"/>
        <v>107300</v>
      </c>
      <c r="AF49" s="62">
        <f t="shared" si="37"/>
        <v>49</v>
      </c>
      <c r="AG49" s="63">
        <f t="shared" si="21"/>
        <v>1960</v>
      </c>
      <c r="AH49" s="62">
        <f t="shared" si="8"/>
        <v>49</v>
      </c>
      <c r="AI49" s="63">
        <f t="shared" si="22"/>
        <v>1960</v>
      </c>
      <c r="AJ49" s="63">
        <f t="shared" si="30"/>
        <v>25088</v>
      </c>
      <c r="AK49" s="63">
        <f t="shared" si="10"/>
        <v>107300</v>
      </c>
      <c r="AL49" s="63" t="str">
        <f t="shared" si="11"/>
        <v>DRAM</v>
      </c>
      <c r="AM49" s="10" t="b">
        <f t="shared" si="31"/>
        <v>1</v>
      </c>
      <c r="AN49" s="44" t="str">
        <f t="shared" si="38"/>
        <v>feature</v>
      </c>
      <c r="AO49" s="44">
        <f t="shared" si="32"/>
        <v>1122</v>
      </c>
      <c r="AP49" s="44">
        <f t="shared" si="33"/>
        <v>1122</v>
      </c>
      <c r="AQ49" s="31">
        <f t="shared" si="24"/>
        <v>112200</v>
      </c>
      <c r="AR49" s="31">
        <f t="shared" si="34"/>
        <v>25088</v>
      </c>
      <c r="AS49" s="31">
        <f t="shared" si="16"/>
        <v>112200</v>
      </c>
      <c r="AT49" s="97" t="str">
        <f t="shared" si="17"/>
        <v>DRAM</v>
      </c>
    </row>
    <row r="50" spans="1:46" x14ac:dyDescent="0.35">
      <c r="A50" s="11" t="s">
        <v>169</v>
      </c>
      <c r="B50" s="107" t="s">
        <v>170</v>
      </c>
      <c r="C50" s="8" t="s">
        <v>192</v>
      </c>
      <c r="D50" s="8" t="s">
        <v>171</v>
      </c>
      <c r="E50" s="49">
        <v>256</v>
      </c>
      <c r="F50" s="49">
        <v>14</v>
      </c>
      <c r="G50" s="49">
        <v>14</v>
      </c>
      <c r="H50" s="49">
        <v>1024</v>
      </c>
      <c r="I50" s="49">
        <v>1</v>
      </c>
      <c r="J50" s="49">
        <v>1</v>
      </c>
      <c r="K50" s="49" t="b">
        <v>1</v>
      </c>
      <c r="L50" s="49">
        <v>1</v>
      </c>
      <c r="M50" s="49">
        <v>1</v>
      </c>
      <c r="N50" s="49">
        <f t="shared" si="0"/>
        <v>14</v>
      </c>
      <c r="O50" s="9">
        <f t="shared" si="1"/>
        <v>14</v>
      </c>
      <c r="P50" s="49" t="b">
        <v>0</v>
      </c>
      <c r="Q50" s="49"/>
      <c r="R50" s="49"/>
      <c r="S50" s="49"/>
      <c r="T50" s="49"/>
      <c r="U50" s="49">
        <f t="shared" si="2"/>
        <v>14</v>
      </c>
      <c r="V50" s="49">
        <f t="shared" si="2"/>
        <v>14</v>
      </c>
      <c r="W50" s="49">
        <f t="shared" si="26"/>
        <v>51380224</v>
      </c>
      <c r="X50" s="10">
        <f t="shared" si="27"/>
        <v>49</v>
      </c>
      <c r="Y50" s="10">
        <f t="shared" si="35"/>
        <v>3.5</v>
      </c>
      <c r="Z50" s="10">
        <f t="shared" si="28"/>
        <v>196</v>
      </c>
      <c r="AA50" s="10">
        <f t="shared" si="29"/>
        <v>8</v>
      </c>
      <c r="AB50" s="139">
        <f t="shared" si="36"/>
        <v>256</v>
      </c>
      <c r="AC50" s="105">
        <v>1</v>
      </c>
      <c r="AD50" s="62">
        <f t="shared" si="25"/>
        <v>452</v>
      </c>
      <c r="AE50" s="63">
        <f t="shared" si="7"/>
        <v>45200</v>
      </c>
      <c r="AF50" s="62">
        <f t="shared" si="37"/>
        <v>49</v>
      </c>
      <c r="AG50" s="63">
        <f t="shared" si="21"/>
        <v>1960</v>
      </c>
      <c r="AH50" s="62">
        <f t="shared" si="8"/>
        <v>196</v>
      </c>
      <c r="AI50" s="63">
        <f t="shared" si="22"/>
        <v>7840</v>
      </c>
      <c r="AJ50" s="63">
        <f t="shared" si="30"/>
        <v>25088</v>
      </c>
      <c r="AK50" s="63">
        <f t="shared" si="10"/>
        <v>45200</v>
      </c>
      <c r="AL50" s="63" t="str">
        <f t="shared" si="11"/>
        <v>DRAM</v>
      </c>
      <c r="AM50" s="10" t="b">
        <f t="shared" si="31"/>
        <v>0</v>
      </c>
      <c r="AN50" s="44" t="str">
        <f t="shared" si="38"/>
        <v>feature</v>
      </c>
      <c r="AO50" s="44">
        <f t="shared" si="32"/>
        <v>697</v>
      </c>
      <c r="AP50" s="44">
        <f t="shared" si="33"/>
        <v>697</v>
      </c>
      <c r="AQ50" s="31">
        <f t="shared" si="24"/>
        <v>69700</v>
      </c>
      <c r="AR50" s="31">
        <f t="shared" si="34"/>
        <v>25088</v>
      </c>
      <c r="AS50" s="31">
        <f t="shared" si="16"/>
        <v>69700</v>
      </c>
      <c r="AT50" s="97" t="str">
        <f t="shared" si="17"/>
        <v>DRAM</v>
      </c>
    </row>
    <row r="51" spans="1:46" x14ac:dyDescent="0.35">
      <c r="A51" s="11" t="s">
        <v>169</v>
      </c>
      <c r="B51" s="107" t="s">
        <v>170</v>
      </c>
      <c r="C51" s="8" t="s">
        <v>193</v>
      </c>
      <c r="D51" s="8" t="s">
        <v>109</v>
      </c>
      <c r="E51" s="49">
        <v>1024</v>
      </c>
      <c r="F51" s="49">
        <v>14</v>
      </c>
      <c r="G51" s="49">
        <v>14</v>
      </c>
      <c r="H51" s="49">
        <v>256</v>
      </c>
      <c r="I51" s="49">
        <v>1</v>
      </c>
      <c r="J51" s="49">
        <v>1</v>
      </c>
      <c r="K51" s="49" t="b">
        <v>1</v>
      </c>
      <c r="L51" s="49">
        <v>1</v>
      </c>
      <c r="M51" s="49">
        <v>1</v>
      </c>
      <c r="N51" s="49">
        <f t="shared" si="0"/>
        <v>14</v>
      </c>
      <c r="O51" s="9">
        <f t="shared" si="1"/>
        <v>14</v>
      </c>
      <c r="P51" s="49" t="b">
        <v>0</v>
      </c>
      <c r="Q51" s="49"/>
      <c r="R51" s="49"/>
      <c r="S51" s="49"/>
      <c r="T51" s="49"/>
      <c r="U51" s="49">
        <f t="shared" si="2"/>
        <v>14</v>
      </c>
      <c r="V51" s="49">
        <f t="shared" si="2"/>
        <v>14</v>
      </c>
      <c r="W51" s="49">
        <f t="shared" si="26"/>
        <v>51380224</v>
      </c>
      <c r="X51" s="10">
        <f t="shared" si="27"/>
        <v>196</v>
      </c>
      <c r="Y51" s="10">
        <f t="shared" si="35"/>
        <v>14</v>
      </c>
      <c r="Z51" s="10">
        <f t="shared" si="28"/>
        <v>49</v>
      </c>
      <c r="AA51" s="10">
        <f t="shared" si="29"/>
        <v>32</v>
      </c>
      <c r="AB51" s="139">
        <f t="shared" si="36"/>
        <v>256</v>
      </c>
      <c r="AC51" s="105">
        <v>1</v>
      </c>
      <c r="AD51" s="62">
        <f t="shared" si="25"/>
        <v>305</v>
      </c>
      <c r="AE51" s="63">
        <f t="shared" si="7"/>
        <v>30500</v>
      </c>
      <c r="AF51" s="62">
        <f t="shared" si="37"/>
        <v>196</v>
      </c>
      <c r="AG51" s="63">
        <f t="shared" si="21"/>
        <v>7840</v>
      </c>
      <c r="AH51" s="62">
        <f t="shared" si="8"/>
        <v>49</v>
      </c>
      <c r="AI51" s="63">
        <f t="shared" si="22"/>
        <v>1960</v>
      </c>
      <c r="AJ51" s="63">
        <f t="shared" si="30"/>
        <v>25088</v>
      </c>
      <c r="AK51" s="63">
        <f t="shared" si="10"/>
        <v>30500</v>
      </c>
      <c r="AL51" s="63" t="str">
        <f t="shared" si="11"/>
        <v>DRAM</v>
      </c>
      <c r="AM51" s="10" t="b">
        <f t="shared" si="31"/>
        <v>0</v>
      </c>
      <c r="AN51" s="44" t="str">
        <f t="shared" si="38"/>
        <v>feature</v>
      </c>
      <c r="AO51" s="44">
        <f t="shared" si="32"/>
        <v>501</v>
      </c>
      <c r="AP51" s="44">
        <f t="shared" si="33"/>
        <v>501</v>
      </c>
      <c r="AQ51" s="31">
        <f t="shared" si="24"/>
        <v>50100</v>
      </c>
      <c r="AR51" s="31">
        <f t="shared" si="34"/>
        <v>25088</v>
      </c>
      <c r="AS51" s="31">
        <f t="shared" si="16"/>
        <v>50100</v>
      </c>
      <c r="AT51" s="97" t="str">
        <f t="shared" si="17"/>
        <v>DRAM</v>
      </c>
    </row>
    <row r="52" spans="1:46" x14ac:dyDescent="0.35">
      <c r="A52" s="11" t="s">
        <v>169</v>
      </c>
      <c r="B52" s="107" t="s">
        <v>170</v>
      </c>
      <c r="C52" s="8" t="s">
        <v>194</v>
      </c>
      <c r="D52" s="8" t="s">
        <v>109</v>
      </c>
      <c r="E52" s="49">
        <v>256</v>
      </c>
      <c r="F52" s="49">
        <v>14</v>
      </c>
      <c r="G52" s="49">
        <v>14</v>
      </c>
      <c r="H52" s="49">
        <v>256</v>
      </c>
      <c r="I52" s="49">
        <v>3</v>
      </c>
      <c r="J52" s="49">
        <v>3</v>
      </c>
      <c r="K52" s="49" t="b">
        <v>1</v>
      </c>
      <c r="L52" s="49">
        <v>1</v>
      </c>
      <c r="M52" s="49">
        <v>1</v>
      </c>
      <c r="N52" s="49">
        <f t="shared" si="0"/>
        <v>14</v>
      </c>
      <c r="O52" s="9">
        <f t="shared" si="1"/>
        <v>14</v>
      </c>
      <c r="P52" s="49" t="b">
        <v>0</v>
      </c>
      <c r="Q52" s="49"/>
      <c r="R52" s="49"/>
      <c r="S52" s="49"/>
      <c r="T52" s="49"/>
      <c r="U52" s="49">
        <f t="shared" si="2"/>
        <v>14</v>
      </c>
      <c r="V52" s="49">
        <f t="shared" si="2"/>
        <v>14</v>
      </c>
      <c r="W52" s="49">
        <f t="shared" si="26"/>
        <v>115605504</v>
      </c>
      <c r="X52" s="10">
        <f t="shared" si="27"/>
        <v>49</v>
      </c>
      <c r="Y52" s="10">
        <f t="shared" si="35"/>
        <v>10.5</v>
      </c>
      <c r="Z52" s="10">
        <f t="shared" si="28"/>
        <v>49</v>
      </c>
      <c r="AA52" s="10">
        <f t="shared" si="29"/>
        <v>72</v>
      </c>
      <c r="AB52" s="139">
        <f t="shared" si="36"/>
        <v>1024</v>
      </c>
      <c r="AC52" s="105">
        <v>1</v>
      </c>
      <c r="AD52" s="62">
        <f t="shared" si="25"/>
        <v>1073</v>
      </c>
      <c r="AE52" s="63">
        <f t="shared" si="7"/>
        <v>107300</v>
      </c>
      <c r="AF52" s="62">
        <f t="shared" si="37"/>
        <v>49</v>
      </c>
      <c r="AG52" s="63">
        <f t="shared" si="21"/>
        <v>1960</v>
      </c>
      <c r="AH52" s="62">
        <f t="shared" si="8"/>
        <v>49</v>
      </c>
      <c r="AI52" s="63">
        <f t="shared" si="22"/>
        <v>1960</v>
      </c>
      <c r="AJ52" s="63">
        <f t="shared" si="30"/>
        <v>25088</v>
      </c>
      <c r="AK52" s="63">
        <f t="shared" si="10"/>
        <v>107300</v>
      </c>
      <c r="AL52" s="63" t="str">
        <f t="shared" si="11"/>
        <v>DRAM</v>
      </c>
      <c r="AM52" s="10" t="b">
        <f t="shared" si="31"/>
        <v>1</v>
      </c>
      <c r="AN52" s="44" t="str">
        <f t="shared" si="38"/>
        <v>feature</v>
      </c>
      <c r="AO52" s="44">
        <f t="shared" si="32"/>
        <v>1122</v>
      </c>
      <c r="AP52" s="44">
        <f t="shared" si="33"/>
        <v>1122</v>
      </c>
      <c r="AQ52" s="31">
        <f t="shared" si="24"/>
        <v>112200</v>
      </c>
      <c r="AR52" s="31">
        <f t="shared" si="34"/>
        <v>25088</v>
      </c>
      <c r="AS52" s="31">
        <f t="shared" si="16"/>
        <v>112200</v>
      </c>
      <c r="AT52" s="97" t="str">
        <f t="shared" si="17"/>
        <v>DRAM</v>
      </c>
    </row>
    <row r="53" spans="1:46" x14ac:dyDescent="0.35">
      <c r="A53" s="11" t="s">
        <v>169</v>
      </c>
      <c r="B53" s="107" t="s">
        <v>170</v>
      </c>
      <c r="C53" s="8" t="s">
        <v>195</v>
      </c>
      <c r="D53" s="8" t="s">
        <v>171</v>
      </c>
      <c r="E53" s="49">
        <v>256</v>
      </c>
      <c r="F53" s="49">
        <v>14</v>
      </c>
      <c r="G53" s="49">
        <v>14</v>
      </c>
      <c r="H53" s="49">
        <v>1024</v>
      </c>
      <c r="I53" s="49">
        <v>1</v>
      </c>
      <c r="J53" s="49">
        <v>1</v>
      </c>
      <c r="K53" s="49" t="b">
        <v>1</v>
      </c>
      <c r="L53" s="49">
        <v>1</v>
      </c>
      <c r="M53" s="49">
        <v>1</v>
      </c>
      <c r="N53" s="49">
        <f t="shared" si="0"/>
        <v>14</v>
      </c>
      <c r="O53" s="9">
        <f t="shared" si="1"/>
        <v>14</v>
      </c>
      <c r="P53" s="49" t="b">
        <v>0</v>
      </c>
      <c r="Q53" s="49"/>
      <c r="R53" s="49"/>
      <c r="S53" s="49"/>
      <c r="T53" s="49"/>
      <c r="U53" s="49">
        <f t="shared" si="2"/>
        <v>14</v>
      </c>
      <c r="V53" s="49">
        <f t="shared" si="2"/>
        <v>14</v>
      </c>
      <c r="W53" s="49">
        <f t="shared" si="26"/>
        <v>51380224</v>
      </c>
      <c r="X53" s="10">
        <f t="shared" si="27"/>
        <v>49</v>
      </c>
      <c r="Y53" s="10">
        <f t="shared" si="35"/>
        <v>3.5</v>
      </c>
      <c r="Z53" s="10">
        <f t="shared" si="28"/>
        <v>196</v>
      </c>
      <c r="AA53" s="10">
        <f t="shared" si="29"/>
        <v>8</v>
      </c>
      <c r="AB53" s="139">
        <f t="shared" si="36"/>
        <v>256</v>
      </c>
      <c r="AC53" s="105">
        <v>1</v>
      </c>
      <c r="AD53" s="62">
        <f t="shared" si="25"/>
        <v>452</v>
      </c>
      <c r="AE53" s="63">
        <f t="shared" si="7"/>
        <v>45200</v>
      </c>
      <c r="AF53" s="62">
        <f t="shared" si="37"/>
        <v>49</v>
      </c>
      <c r="AG53" s="63">
        <f t="shared" si="21"/>
        <v>1960</v>
      </c>
      <c r="AH53" s="62">
        <f t="shared" si="8"/>
        <v>196</v>
      </c>
      <c r="AI53" s="63">
        <f t="shared" si="22"/>
        <v>7840</v>
      </c>
      <c r="AJ53" s="63">
        <f t="shared" si="30"/>
        <v>25088</v>
      </c>
      <c r="AK53" s="63">
        <f t="shared" si="10"/>
        <v>45200</v>
      </c>
      <c r="AL53" s="63" t="str">
        <f t="shared" si="11"/>
        <v>DRAM</v>
      </c>
      <c r="AM53" s="10" t="b">
        <f t="shared" si="31"/>
        <v>0</v>
      </c>
      <c r="AN53" s="44" t="str">
        <f t="shared" si="38"/>
        <v>feature</v>
      </c>
      <c r="AO53" s="44">
        <f t="shared" si="32"/>
        <v>697</v>
      </c>
      <c r="AP53" s="44">
        <f t="shared" si="33"/>
        <v>697</v>
      </c>
      <c r="AQ53" s="31">
        <f t="shared" si="24"/>
        <v>69700</v>
      </c>
      <c r="AR53" s="31">
        <f t="shared" si="34"/>
        <v>25088</v>
      </c>
      <c r="AS53" s="31">
        <f t="shared" si="16"/>
        <v>69700</v>
      </c>
      <c r="AT53" s="97" t="str">
        <f t="shared" si="17"/>
        <v>DRAM</v>
      </c>
    </row>
    <row r="54" spans="1:46" x14ac:dyDescent="0.35">
      <c r="A54" s="11" t="s">
        <v>169</v>
      </c>
      <c r="B54" s="107" t="s">
        <v>170</v>
      </c>
      <c r="C54" s="8" t="s">
        <v>158</v>
      </c>
      <c r="D54" s="8" t="s">
        <v>109</v>
      </c>
      <c r="E54" s="49">
        <v>1024</v>
      </c>
      <c r="F54" s="49">
        <v>14</v>
      </c>
      <c r="G54" s="49">
        <v>14</v>
      </c>
      <c r="H54" s="49">
        <v>2048</v>
      </c>
      <c r="I54" s="49">
        <v>1</v>
      </c>
      <c r="J54" s="49">
        <v>1</v>
      </c>
      <c r="K54" s="49" t="b">
        <v>1</v>
      </c>
      <c r="L54" s="49">
        <v>2</v>
      </c>
      <c r="M54" s="49">
        <v>2</v>
      </c>
      <c r="N54" s="49">
        <f t="shared" si="0"/>
        <v>7</v>
      </c>
      <c r="O54" s="9">
        <f t="shared" si="1"/>
        <v>7</v>
      </c>
      <c r="P54" s="49" t="b">
        <v>0</v>
      </c>
      <c r="Q54" s="49"/>
      <c r="R54" s="49"/>
      <c r="S54" s="49"/>
      <c r="T54" s="49"/>
      <c r="U54" s="49">
        <f t="shared" ref="U54:V64" si="39">IF($P54,CEILING((N54-Q54)/S54,1)+1,N54)</f>
        <v>7</v>
      </c>
      <c r="V54" s="49">
        <f t="shared" ref="V54:V63" si="40">IF($P54,CEILING((O54-R54)/T54,1)+1,O54)</f>
        <v>7</v>
      </c>
      <c r="W54" s="49">
        <f t="shared" si="26"/>
        <v>102760448</v>
      </c>
      <c r="X54" s="10">
        <f t="shared" si="27"/>
        <v>196</v>
      </c>
      <c r="Y54" s="10">
        <f t="shared" si="35"/>
        <v>28</v>
      </c>
      <c r="Z54" s="10">
        <f t="shared" si="28"/>
        <v>98</v>
      </c>
      <c r="AA54" s="10">
        <f t="shared" si="29"/>
        <v>128</v>
      </c>
      <c r="AB54" s="139">
        <f t="shared" si="36"/>
        <v>8192</v>
      </c>
      <c r="AC54" s="105">
        <v>1</v>
      </c>
      <c r="AD54" s="62">
        <f t="shared" si="25"/>
        <v>8290</v>
      </c>
      <c r="AE54" s="63">
        <f t="shared" ref="AE54:AE64" si="41">CEILING(AD54/$C$8*$C$5, 1)</f>
        <v>829000</v>
      </c>
      <c r="AF54" s="62">
        <f t="shared" si="37"/>
        <v>196</v>
      </c>
      <c r="AG54" s="63">
        <f t="shared" si="21"/>
        <v>7840</v>
      </c>
      <c r="AH54" s="62">
        <f t="shared" ref="AH54:AH64" si="42">Z54</f>
        <v>98</v>
      </c>
      <c r="AI54" s="63">
        <f t="shared" si="22"/>
        <v>3920</v>
      </c>
      <c r="AJ54" s="63">
        <f t="shared" si="30"/>
        <v>50176</v>
      </c>
      <c r="AK54" s="63">
        <f t="shared" si="10"/>
        <v>829000</v>
      </c>
      <c r="AL54" s="63" t="str">
        <f t="shared" si="11"/>
        <v>DRAM</v>
      </c>
      <c r="AM54" s="10" t="b">
        <f t="shared" si="31"/>
        <v>0</v>
      </c>
      <c r="AN54" s="44" t="str">
        <f t="shared" si="38"/>
        <v>feature</v>
      </c>
      <c r="AO54" s="44">
        <f t="shared" si="32"/>
        <v>8486</v>
      </c>
      <c r="AP54" s="44">
        <f t="shared" si="33"/>
        <v>8486</v>
      </c>
      <c r="AQ54" s="31">
        <f t="shared" si="24"/>
        <v>848600</v>
      </c>
      <c r="AR54" s="31">
        <f t="shared" si="34"/>
        <v>50176</v>
      </c>
      <c r="AS54" s="31">
        <f t="shared" si="16"/>
        <v>848600</v>
      </c>
      <c r="AT54" s="97" t="str">
        <f t="shared" si="17"/>
        <v>DRAM</v>
      </c>
    </row>
    <row r="55" spans="1:46" x14ac:dyDescent="0.35">
      <c r="A55" s="11" t="s">
        <v>169</v>
      </c>
      <c r="B55" s="107" t="s">
        <v>170</v>
      </c>
      <c r="C55" s="8" t="s">
        <v>159</v>
      </c>
      <c r="D55" s="8" t="s">
        <v>109</v>
      </c>
      <c r="E55" s="49">
        <v>1024</v>
      </c>
      <c r="F55" s="49">
        <v>14</v>
      </c>
      <c r="G55" s="49">
        <v>14</v>
      </c>
      <c r="H55" s="49">
        <v>512</v>
      </c>
      <c r="I55" s="49">
        <v>1</v>
      </c>
      <c r="J55" s="49">
        <v>1</v>
      </c>
      <c r="K55" s="49" t="b">
        <v>1</v>
      </c>
      <c r="L55" s="49">
        <v>2</v>
      </c>
      <c r="M55" s="49">
        <v>2</v>
      </c>
      <c r="N55" s="49">
        <f t="shared" si="0"/>
        <v>7</v>
      </c>
      <c r="O55" s="9">
        <f t="shared" si="1"/>
        <v>7</v>
      </c>
      <c r="P55" s="49" t="b">
        <v>0</v>
      </c>
      <c r="Q55" s="49"/>
      <c r="R55" s="49"/>
      <c r="S55" s="49"/>
      <c r="T55" s="49"/>
      <c r="U55" s="49">
        <f t="shared" si="39"/>
        <v>7</v>
      </c>
      <c r="V55" s="49">
        <f t="shared" si="40"/>
        <v>7</v>
      </c>
      <c r="W55" s="49">
        <f t="shared" si="26"/>
        <v>25690112</v>
      </c>
      <c r="X55" s="10">
        <f t="shared" si="27"/>
        <v>196</v>
      </c>
      <c r="Y55" s="10">
        <f t="shared" si="35"/>
        <v>28</v>
      </c>
      <c r="Z55" s="10">
        <f t="shared" si="28"/>
        <v>24.5</v>
      </c>
      <c r="AA55" s="10">
        <f t="shared" si="29"/>
        <v>128</v>
      </c>
      <c r="AB55" s="139">
        <f t="shared" si="36"/>
        <v>2048</v>
      </c>
      <c r="AC55" s="105">
        <v>1</v>
      </c>
      <c r="AD55" s="62">
        <f t="shared" si="25"/>
        <v>2072.5</v>
      </c>
      <c r="AE55" s="63">
        <f t="shared" si="41"/>
        <v>207250</v>
      </c>
      <c r="AF55" s="62">
        <f t="shared" si="37"/>
        <v>196</v>
      </c>
      <c r="AG55" s="63">
        <f t="shared" si="21"/>
        <v>7840</v>
      </c>
      <c r="AH55" s="62">
        <f t="shared" si="42"/>
        <v>24.5</v>
      </c>
      <c r="AI55" s="63">
        <f t="shared" si="22"/>
        <v>980</v>
      </c>
      <c r="AJ55" s="63">
        <f t="shared" si="30"/>
        <v>12544</v>
      </c>
      <c r="AK55" s="63">
        <f t="shared" si="10"/>
        <v>207250</v>
      </c>
      <c r="AL55" s="63" t="str">
        <f t="shared" si="11"/>
        <v>DRAM</v>
      </c>
      <c r="AM55" s="10" t="b">
        <f t="shared" si="31"/>
        <v>0</v>
      </c>
      <c r="AN55" s="44" t="str">
        <f t="shared" si="38"/>
        <v>feature</v>
      </c>
      <c r="AO55" s="44">
        <f t="shared" si="32"/>
        <v>2268.5</v>
      </c>
      <c r="AP55" s="44">
        <f t="shared" si="33"/>
        <v>2268.5</v>
      </c>
      <c r="AQ55" s="31">
        <f t="shared" si="24"/>
        <v>226850</v>
      </c>
      <c r="AR55" s="31">
        <f t="shared" si="34"/>
        <v>12544</v>
      </c>
      <c r="AS55" s="31">
        <f t="shared" si="16"/>
        <v>226850</v>
      </c>
      <c r="AT55" s="97" t="str">
        <f t="shared" si="17"/>
        <v>DRAM</v>
      </c>
    </row>
    <row r="56" spans="1:46" x14ac:dyDescent="0.35">
      <c r="A56" s="11" t="s">
        <v>169</v>
      </c>
      <c r="B56" s="107" t="s">
        <v>170</v>
      </c>
      <c r="C56" s="8" t="s">
        <v>160</v>
      </c>
      <c r="D56" s="8" t="s">
        <v>109</v>
      </c>
      <c r="E56" s="49">
        <v>512</v>
      </c>
      <c r="F56" s="49">
        <v>7</v>
      </c>
      <c r="G56" s="49">
        <v>7</v>
      </c>
      <c r="H56" s="49">
        <v>512</v>
      </c>
      <c r="I56" s="49">
        <v>3</v>
      </c>
      <c r="J56" s="49">
        <v>3</v>
      </c>
      <c r="K56" s="49" t="b">
        <v>1</v>
      </c>
      <c r="L56" s="49">
        <v>1</v>
      </c>
      <c r="M56" s="49">
        <v>1</v>
      </c>
      <c r="N56" s="49">
        <f t="shared" si="0"/>
        <v>7</v>
      </c>
      <c r="O56" s="9">
        <f t="shared" si="1"/>
        <v>7</v>
      </c>
      <c r="P56" s="49" t="b">
        <v>0</v>
      </c>
      <c r="Q56" s="49"/>
      <c r="R56" s="49"/>
      <c r="S56" s="49"/>
      <c r="T56" s="49"/>
      <c r="U56" s="49">
        <f t="shared" si="39"/>
        <v>7</v>
      </c>
      <c r="V56" s="49">
        <f t="shared" si="40"/>
        <v>7</v>
      </c>
      <c r="W56" s="49">
        <f t="shared" si="26"/>
        <v>115605504</v>
      </c>
      <c r="X56" s="10">
        <f t="shared" si="27"/>
        <v>24.5</v>
      </c>
      <c r="Y56" s="10">
        <f t="shared" si="35"/>
        <v>10.5</v>
      </c>
      <c r="Z56" s="10">
        <f t="shared" si="28"/>
        <v>24.5</v>
      </c>
      <c r="AA56" s="10">
        <f t="shared" si="29"/>
        <v>144</v>
      </c>
      <c r="AB56" s="139">
        <f t="shared" si="36"/>
        <v>4096</v>
      </c>
      <c r="AC56" s="105">
        <v>1</v>
      </c>
      <c r="AD56" s="62">
        <f t="shared" si="25"/>
        <v>4120.5</v>
      </c>
      <c r="AE56" s="63">
        <f t="shared" si="41"/>
        <v>412050</v>
      </c>
      <c r="AF56" s="62">
        <f t="shared" si="37"/>
        <v>24.5</v>
      </c>
      <c r="AG56" s="63">
        <f t="shared" si="21"/>
        <v>980</v>
      </c>
      <c r="AH56" s="62">
        <f t="shared" si="42"/>
        <v>24.5</v>
      </c>
      <c r="AI56" s="63">
        <f t="shared" si="22"/>
        <v>980</v>
      </c>
      <c r="AJ56" s="63">
        <f t="shared" si="30"/>
        <v>25088</v>
      </c>
      <c r="AK56" s="63">
        <f t="shared" si="10"/>
        <v>412050</v>
      </c>
      <c r="AL56" s="63" t="str">
        <f t="shared" si="11"/>
        <v>DRAM</v>
      </c>
      <c r="AM56" s="10" t="b">
        <f t="shared" si="31"/>
        <v>1</v>
      </c>
      <c r="AN56" s="44" t="str">
        <f t="shared" si="38"/>
        <v>feature</v>
      </c>
      <c r="AO56" s="44">
        <f t="shared" si="32"/>
        <v>4145</v>
      </c>
      <c r="AP56" s="44">
        <f t="shared" si="33"/>
        <v>4145</v>
      </c>
      <c r="AQ56" s="31">
        <f t="shared" si="24"/>
        <v>414500</v>
      </c>
      <c r="AR56" s="31">
        <f t="shared" si="34"/>
        <v>25088</v>
      </c>
      <c r="AS56" s="31">
        <f t="shared" si="16"/>
        <v>414500</v>
      </c>
      <c r="AT56" s="97" t="str">
        <f t="shared" si="17"/>
        <v>DRAM</v>
      </c>
    </row>
    <row r="57" spans="1:46" x14ac:dyDescent="0.35">
      <c r="A57" s="11" t="s">
        <v>169</v>
      </c>
      <c r="B57" s="107" t="s">
        <v>170</v>
      </c>
      <c r="C57" s="8" t="s">
        <v>161</v>
      </c>
      <c r="D57" s="8" t="s">
        <v>171</v>
      </c>
      <c r="E57" s="49">
        <v>512</v>
      </c>
      <c r="F57" s="49">
        <v>7</v>
      </c>
      <c r="G57" s="49">
        <v>7</v>
      </c>
      <c r="H57" s="49">
        <v>2048</v>
      </c>
      <c r="I57" s="49">
        <v>1</v>
      </c>
      <c r="J57" s="49">
        <v>1</v>
      </c>
      <c r="K57" s="49" t="b">
        <v>1</v>
      </c>
      <c r="L57" s="49">
        <v>1</v>
      </c>
      <c r="M57" s="49">
        <v>1</v>
      </c>
      <c r="N57" s="49">
        <f t="shared" si="0"/>
        <v>7</v>
      </c>
      <c r="O57" s="9">
        <f t="shared" si="1"/>
        <v>7</v>
      </c>
      <c r="P57" s="49" t="b">
        <v>0</v>
      </c>
      <c r="Q57" s="49"/>
      <c r="R57" s="49"/>
      <c r="S57" s="49"/>
      <c r="T57" s="49"/>
      <c r="U57" s="49">
        <f t="shared" si="39"/>
        <v>7</v>
      </c>
      <c r="V57" s="49">
        <f t="shared" si="40"/>
        <v>7</v>
      </c>
      <c r="W57" s="49">
        <f t="shared" si="26"/>
        <v>51380224</v>
      </c>
      <c r="X57" s="10">
        <f t="shared" si="27"/>
        <v>24.5</v>
      </c>
      <c r="Y57" s="10">
        <f t="shared" si="35"/>
        <v>3.5</v>
      </c>
      <c r="Z57" s="10">
        <f t="shared" si="28"/>
        <v>98</v>
      </c>
      <c r="AA57" s="10">
        <f t="shared" si="29"/>
        <v>16</v>
      </c>
      <c r="AB57" s="139">
        <f t="shared" si="36"/>
        <v>1024</v>
      </c>
      <c r="AC57" s="105">
        <v>1</v>
      </c>
      <c r="AD57" s="62">
        <f t="shared" si="25"/>
        <v>1122</v>
      </c>
      <c r="AE57" s="63">
        <f t="shared" si="41"/>
        <v>112200</v>
      </c>
      <c r="AF57" s="62">
        <f t="shared" si="37"/>
        <v>24.5</v>
      </c>
      <c r="AG57" s="63">
        <f t="shared" si="21"/>
        <v>980</v>
      </c>
      <c r="AH57" s="62">
        <f t="shared" si="42"/>
        <v>98</v>
      </c>
      <c r="AI57" s="63">
        <f t="shared" si="22"/>
        <v>3920</v>
      </c>
      <c r="AJ57" s="63">
        <f t="shared" si="30"/>
        <v>25088</v>
      </c>
      <c r="AK57" s="63">
        <f t="shared" si="10"/>
        <v>112200</v>
      </c>
      <c r="AL57" s="63" t="str">
        <f t="shared" si="11"/>
        <v>DRAM</v>
      </c>
      <c r="AM57" s="10" t="b">
        <f t="shared" si="31"/>
        <v>0</v>
      </c>
      <c r="AN57" s="44" t="str">
        <f t="shared" si="38"/>
        <v>feature</v>
      </c>
      <c r="AO57" s="44">
        <f t="shared" si="32"/>
        <v>1244.5</v>
      </c>
      <c r="AP57" s="44">
        <f t="shared" si="33"/>
        <v>1244.5</v>
      </c>
      <c r="AQ57" s="31">
        <f t="shared" si="24"/>
        <v>124450</v>
      </c>
      <c r="AR57" s="31">
        <f t="shared" si="34"/>
        <v>25088</v>
      </c>
      <c r="AS57" s="31">
        <f t="shared" si="16"/>
        <v>124450</v>
      </c>
      <c r="AT57" s="97" t="str">
        <f t="shared" si="17"/>
        <v>DRAM</v>
      </c>
    </row>
    <row r="58" spans="1:46" x14ac:dyDescent="0.35">
      <c r="A58" s="11" t="s">
        <v>169</v>
      </c>
      <c r="B58" s="107" t="s">
        <v>170</v>
      </c>
      <c r="C58" s="8" t="s">
        <v>162</v>
      </c>
      <c r="D58" s="8" t="s">
        <v>109</v>
      </c>
      <c r="E58" s="49">
        <v>2048</v>
      </c>
      <c r="F58" s="49">
        <v>7</v>
      </c>
      <c r="G58" s="49">
        <v>7</v>
      </c>
      <c r="H58" s="49">
        <v>512</v>
      </c>
      <c r="I58" s="49">
        <v>1</v>
      </c>
      <c r="J58" s="49">
        <v>1</v>
      </c>
      <c r="K58" s="49" t="b">
        <v>1</v>
      </c>
      <c r="L58" s="49">
        <v>1</v>
      </c>
      <c r="M58" s="49">
        <v>1</v>
      </c>
      <c r="N58" s="49">
        <f t="shared" si="0"/>
        <v>7</v>
      </c>
      <c r="O58" s="9">
        <f t="shared" si="1"/>
        <v>7</v>
      </c>
      <c r="P58" s="49" t="b">
        <v>0</v>
      </c>
      <c r="Q58" s="49"/>
      <c r="R58" s="49"/>
      <c r="S58" s="49"/>
      <c r="T58" s="49"/>
      <c r="U58" s="49">
        <f t="shared" si="39"/>
        <v>7</v>
      </c>
      <c r="V58" s="49">
        <f t="shared" si="40"/>
        <v>7</v>
      </c>
      <c r="W58" s="49">
        <f t="shared" si="26"/>
        <v>51380224</v>
      </c>
      <c r="X58" s="10">
        <f t="shared" si="27"/>
        <v>98</v>
      </c>
      <c r="Y58" s="10">
        <f t="shared" si="35"/>
        <v>14</v>
      </c>
      <c r="Z58" s="10">
        <f t="shared" si="28"/>
        <v>24.5</v>
      </c>
      <c r="AA58" s="10">
        <f t="shared" si="29"/>
        <v>64</v>
      </c>
      <c r="AB58" s="139">
        <f t="shared" si="36"/>
        <v>1024</v>
      </c>
      <c r="AC58" s="105">
        <v>1</v>
      </c>
      <c r="AD58" s="62">
        <f t="shared" si="25"/>
        <v>1048.5</v>
      </c>
      <c r="AE58" s="63">
        <f t="shared" si="41"/>
        <v>104850</v>
      </c>
      <c r="AF58" s="62">
        <f t="shared" si="37"/>
        <v>98</v>
      </c>
      <c r="AG58" s="63">
        <f t="shared" si="21"/>
        <v>3920</v>
      </c>
      <c r="AH58" s="62">
        <f t="shared" si="42"/>
        <v>24.5</v>
      </c>
      <c r="AI58" s="63">
        <f t="shared" si="22"/>
        <v>980</v>
      </c>
      <c r="AJ58" s="63">
        <f t="shared" si="30"/>
        <v>25088</v>
      </c>
      <c r="AK58" s="63">
        <f t="shared" si="10"/>
        <v>104850</v>
      </c>
      <c r="AL58" s="63" t="str">
        <f t="shared" si="11"/>
        <v>DRAM</v>
      </c>
      <c r="AM58" s="10" t="b">
        <f t="shared" si="31"/>
        <v>0</v>
      </c>
      <c r="AN58" s="44" t="str">
        <f t="shared" si="38"/>
        <v>feature</v>
      </c>
      <c r="AO58" s="44">
        <f t="shared" si="32"/>
        <v>1146.5</v>
      </c>
      <c r="AP58" s="44">
        <f t="shared" si="33"/>
        <v>1146.5</v>
      </c>
      <c r="AQ58" s="31">
        <f t="shared" si="24"/>
        <v>114650</v>
      </c>
      <c r="AR58" s="31">
        <f t="shared" si="34"/>
        <v>25088</v>
      </c>
      <c r="AS58" s="31">
        <f t="shared" si="16"/>
        <v>114650</v>
      </c>
      <c r="AT58" s="97" t="str">
        <f t="shared" si="17"/>
        <v>DRAM</v>
      </c>
    </row>
    <row r="59" spans="1:46" x14ac:dyDescent="0.35">
      <c r="A59" s="11" t="s">
        <v>169</v>
      </c>
      <c r="B59" s="107" t="s">
        <v>170</v>
      </c>
      <c r="C59" s="8" t="s">
        <v>163</v>
      </c>
      <c r="D59" s="8" t="s">
        <v>109</v>
      </c>
      <c r="E59" s="49">
        <v>512</v>
      </c>
      <c r="F59" s="49">
        <v>7</v>
      </c>
      <c r="G59" s="49">
        <v>7</v>
      </c>
      <c r="H59" s="49">
        <v>512</v>
      </c>
      <c r="I59" s="49">
        <v>3</v>
      </c>
      <c r="J59" s="49">
        <v>3</v>
      </c>
      <c r="K59" s="49" t="b">
        <v>1</v>
      </c>
      <c r="L59" s="49">
        <v>1</v>
      </c>
      <c r="M59" s="49">
        <v>1</v>
      </c>
      <c r="N59" s="49">
        <f t="shared" si="0"/>
        <v>7</v>
      </c>
      <c r="O59" s="9">
        <f t="shared" si="1"/>
        <v>7</v>
      </c>
      <c r="P59" s="49" t="b">
        <v>0</v>
      </c>
      <c r="Q59" s="49"/>
      <c r="R59" s="49"/>
      <c r="S59" s="49"/>
      <c r="T59" s="49"/>
      <c r="U59" s="49">
        <f t="shared" si="39"/>
        <v>7</v>
      </c>
      <c r="V59" s="49">
        <f t="shared" si="40"/>
        <v>7</v>
      </c>
      <c r="W59" s="49">
        <f t="shared" si="26"/>
        <v>115605504</v>
      </c>
      <c r="X59" s="10">
        <f t="shared" si="27"/>
        <v>24.5</v>
      </c>
      <c r="Y59" s="10">
        <f t="shared" si="35"/>
        <v>10.5</v>
      </c>
      <c r="Z59" s="10">
        <f t="shared" si="28"/>
        <v>24.5</v>
      </c>
      <c r="AA59" s="10">
        <f t="shared" si="29"/>
        <v>144</v>
      </c>
      <c r="AB59" s="139">
        <f t="shared" si="36"/>
        <v>4096</v>
      </c>
      <c r="AC59" s="105">
        <v>1</v>
      </c>
      <c r="AD59" s="62">
        <f t="shared" si="25"/>
        <v>4120.5</v>
      </c>
      <c r="AE59" s="63">
        <f t="shared" si="41"/>
        <v>412050</v>
      </c>
      <c r="AF59" s="62">
        <f t="shared" si="37"/>
        <v>24.5</v>
      </c>
      <c r="AG59" s="63">
        <f t="shared" si="21"/>
        <v>980</v>
      </c>
      <c r="AH59" s="62">
        <f t="shared" si="42"/>
        <v>24.5</v>
      </c>
      <c r="AI59" s="63">
        <f t="shared" si="22"/>
        <v>980</v>
      </c>
      <c r="AJ59" s="63">
        <f t="shared" si="30"/>
        <v>25088</v>
      </c>
      <c r="AK59" s="63">
        <f t="shared" si="10"/>
        <v>412050</v>
      </c>
      <c r="AL59" s="63" t="str">
        <f t="shared" si="11"/>
        <v>DRAM</v>
      </c>
      <c r="AM59" s="10" t="b">
        <f t="shared" si="31"/>
        <v>1</v>
      </c>
      <c r="AN59" s="44" t="str">
        <f t="shared" si="38"/>
        <v>feature</v>
      </c>
      <c r="AO59" s="44">
        <f t="shared" si="32"/>
        <v>4145</v>
      </c>
      <c r="AP59" s="44">
        <f t="shared" si="33"/>
        <v>4145</v>
      </c>
      <c r="AQ59" s="31">
        <f t="shared" si="24"/>
        <v>414500</v>
      </c>
      <c r="AR59" s="31">
        <f t="shared" si="34"/>
        <v>25088</v>
      </c>
      <c r="AS59" s="31">
        <f t="shared" si="16"/>
        <v>414500</v>
      </c>
      <c r="AT59" s="97" t="str">
        <f t="shared" si="17"/>
        <v>DRAM</v>
      </c>
    </row>
    <row r="60" spans="1:46" x14ac:dyDescent="0.35">
      <c r="A60" s="11" t="s">
        <v>169</v>
      </c>
      <c r="B60" s="107" t="s">
        <v>170</v>
      </c>
      <c r="C60" s="8" t="s">
        <v>164</v>
      </c>
      <c r="D60" s="8" t="s">
        <v>171</v>
      </c>
      <c r="E60" s="49">
        <v>512</v>
      </c>
      <c r="F60" s="49">
        <v>7</v>
      </c>
      <c r="G60" s="49">
        <v>7</v>
      </c>
      <c r="H60" s="49">
        <v>2048</v>
      </c>
      <c r="I60" s="49">
        <v>1</v>
      </c>
      <c r="J60" s="49">
        <v>1</v>
      </c>
      <c r="K60" s="49" t="b">
        <v>1</v>
      </c>
      <c r="L60" s="49">
        <v>1</v>
      </c>
      <c r="M60" s="49">
        <v>1</v>
      </c>
      <c r="N60" s="49">
        <f t="shared" si="0"/>
        <v>7</v>
      </c>
      <c r="O60" s="9">
        <f t="shared" si="1"/>
        <v>7</v>
      </c>
      <c r="P60" s="49" t="b">
        <v>0</v>
      </c>
      <c r="Q60" s="49"/>
      <c r="R60" s="49"/>
      <c r="S60" s="49"/>
      <c r="T60" s="49"/>
      <c r="U60" s="49">
        <f t="shared" si="39"/>
        <v>7</v>
      </c>
      <c r="V60" s="49">
        <f t="shared" si="40"/>
        <v>7</v>
      </c>
      <c r="W60" s="49">
        <f t="shared" si="26"/>
        <v>51380224</v>
      </c>
      <c r="X60" s="10">
        <f t="shared" si="27"/>
        <v>24.5</v>
      </c>
      <c r="Y60" s="10">
        <f t="shared" si="35"/>
        <v>3.5</v>
      </c>
      <c r="Z60" s="10">
        <f t="shared" si="28"/>
        <v>98</v>
      </c>
      <c r="AA60" s="10">
        <f t="shared" si="29"/>
        <v>16</v>
      </c>
      <c r="AB60" s="139">
        <f t="shared" si="36"/>
        <v>1024</v>
      </c>
      <c r="AC60" s="105">
        <v>1</v>
      </c>
      <c r="AD60" s="62">
        <f t="shared" si="25"/>
        <v>1122</v>
      </c>
      <c r="AE60" s="63">
        <f t="shared" si="41"/>
        <v>112200</v>
      </c>
      <c r="AF60" s="62">
        <f t="shared" si="37"/>
        <v>24.5</v>
      </c>
      <c r="AG60" s="63">
        <f t="shared" si="21"/>
        <v>980</v>
      </c>
      <c r="AH60" s="62">
        <f t="shared" si="42"/>
        <v>98</v>
      </c>
      <c r="AI60" s="63">
        <f t="shared" si="22"/>
        <v>3920</v>
      </c>
      <c r="AJ60" s="63">
        <f t="shared" si="30"/>
        <v>25088</v>
      </c>
      <c r="AK60" s="63">
        <f t="shared" si="10"/>
        <v>112200</v>
      </c>
      <c r="AL60" s="63" t="str">
        <f t="shared" si="11"/>
        <v>DRAM</v>
      </c>
      <c r="AM60" s="10" t="b">
        <f t="shared" si="31"/>
        <v>0</v>
      </c>
      <c r="AN60" s="44" t="str">
        <f t="shared" si="38"/>
        <v>feature</v>
      </c>
      <c r="AO60" s="44">
        <f t="shared" si="32"/>
        <v>1244.5</v>
      </c>
      <c r="AP60" s="44">
        <f t="shared" si="33"/>
        <v>1244.5</v>
      </c>
      <c r="AQ60" s="31">
        <f t="shared" si="24"/>
        <v>124450</v>
      </c>
      <c r="AR60" s="31">
        <f t="shared" si="34"/>
        <v>25088</v>
      </c>
      <c r="AS60" s="31">
        <f t="shared" si="16"/>
        <v>124450</v>
      </c>
      <c r="AT60" s="97" t="str">
        <f t="shared" si="17"/>
        <v>DRAM</v>
      </c>
    </row>
    <row r="61" spans="1:46" x14ac:dyDescent="0.35">
      <c r="A61" s="11"/>
      <c r="B61" s="107" t="s">
        <v>170</v>
      </c>
      <c r="C61" s="8" t="s">
        <v>165</v>
      </c>
      <c r="D61" s="8" t="s">
        <v>109</v>
      </c>
      <c r="E61" s="49">
        <v>2048</v>
      </c>
      <c r="F61" s="49">
        <v>7</v>
      </c>
      <c r="G61" s="49">
        <v>7</v>
      </c>
      <c r="H61" s="49">
        <v>512</v>
      </c>
      <c r="I61" s="49">
        <v>1</v>
      </c>
      <c r="J61" s="49">
        <v>1</v>
      </c>
      <c r="K61" s="49" t="b">
        <v>1</v>
      </c>
      <c r="L61" s="49">
        <v>1</v>
      </c>
      <c r="M61" s="49">
        <v>1</v>
      </c>
      <c r="N61" s="49">
        <f t="shared" si="0"/>
        <v>7</v>
      </c>
      <c r="O61" s="9">
        <f t="shared" si="1"/>
        <v>7</v>
      </c>
      <c r="P61" s="49" t="b">
        <v>0</v>
      </c>
      <c r="Q61" s="49"/>
      <c r="R61" s="49"/>
      <c r="S61" s="49"/>
      <c r="T61" s="49"/>
      <c r="U61" s="49">
        <f t="shared" si="39"/>
        <v>7</v>
      </c>
      <c r="V61" s="49">
        <f t="shared" si="40"/>
        <v>7</v>
      </c>
      <c r="W61" s="49">
        <f t="shared" si="26"/>
        <v>51380224</v>
      </c>
      <c r="X61" s="10">
        <f t="shared" si="27"/>
        <v>98</v>
      </c>
      <c r="Y61" s="10">
        <f t="shared" si="35"/>
        <v>14</v>
      </c>
      <c r="Z61" s="10">
        <f t="shared" si="28"/>
        <v>24.5</v>
      </c>
      <c r="AA61" s="10">
        <f t="shared" si="29"/>
        <v>64</v>
      </c>
      <c r="AB61" s="139">
        <f t="shared" si="36"/>
        <v>1024</v>
      </c>
      <c r="AC61" s="105">
        <v>1</v>
      </c>
      <c r="AD61" s="62">
        <f t="shared" si="25"/>
        <v>1048.5</v>
      </c>
      <c r="AE61" s="63">
        <f t="shared" si="41"/>
        <v>104850</v>
      </c>
      <c r="AF61" s="62">
        <f t="shared" si="37"/>
        <v>98</v>
      </c>
      <c r="AG61" s="63">
        <f t="shared" si="21"/>
        <v>3920</v>
      </c>
      <c r="AH61" s="62">
        <f t="shared" si="42"/>
        <v>24.5</v>
      </c>
      <c r="AI61" s="63">
        <f t="shared" si="22"/>
        <v>980</v>
      </c>
      <c r="AJ61" s="63">
        <f t="shared" si="30"/>
        <v>25088</v>
      </c>
      <c r="AK61" s="63">
        <f t="shared" si="10"/>
        <v>104850</v>
      </c>
      <c r="AL61" s="63" t="str">
        <f t="shared" si="11"/>
        <v>DRAM</v>
      </c>
      <c r="AM61" s="10" t="b">
        <f t="shared" si="31"/>
        <v>0</v>
      </c>
      <c r="AN61" s="44" t="str">
        <f t="shared" si="38"/>
        <v>feature</v>
      </c>
      <c r="AO61" s="44">
        <f t="shared" si="32"/>
        <v>1146.5</v>
      </c>
      <c r="AP61" s="44">
        <f t="shared" si="33"/>
        <v>1146.5</v>
      </c>
      <c r="AQ61" s="31">
        <f t="shared" si="24"/>
        <v>114650</v>
      </c>
      <c r="AR61" s="31">
        <f t="shared" si="34"/>
        <v>25088</v>
      </c>
      <c r="AS61" s="31">
        <f t="shared" si="16"/>
        <v>114650</v>
      </c>
      <c r="AT61" s="97" t="str">
        <f t="shared" si="17"/>
        <v>DRAM</v>
      </c>
    </row>
    <row r="62" spans="1:46" x14ac:dyDescent="0.35">
      <c r="A62" s="11"/>
      <c r="B62" s="107" t="s">
        <v>170</v>
      </c>
      <c r="C62" s="8" t="s">
        <v>166</v>
      </c>
      <c r="D62" s="8" t="s">
        <v>109</v>
      </c>
      <c r="E62" s="49">
        <v>512</v>
      </c>
      <c r="F62" s="49">
        <v>7</v>
      </c>
      <c r="G62" s="49">
        <v>7</v>
      </c>
      <c r="H62" s="49">
        <v>512</v>
      </c>
      <c r="I62" s="49">
        <v>3</v>
      </c>
      <c r="J62" s="49">
        <v>3</v>
      </c>
      <c r="K62" s="49" t="b">
        <v>1</v>
      </c>
      <c r="L62" s="49">
        <v>1</v>
      </c>
      <c r="M62" s="49">
        <v>1</v>
      </c>
      <c r="N62" s="49">
        <f t="shared" si="0"/>
        <v>7</v>
      </c>
      <c r="O62" s="9">
        <f t="shared" si="1"/>
        <v>7</v>
      </c>
      <c r="P62" s="49" t="b">
        <v>0</v>
      </c>
      <c r="Q62" s="49"/>
      <c r="R62" s="49"/>
      <c r="S62" s="49"/>
      <c r="T62" s="49"/>
      <c r="U62" s="49">
        <f t="shared" si="39"/>
        <v>7</v>
      </c>
      <c r="V62" s="49">
        <f t="shared" si="40"/>
        <v>7</v>
      </c>
      <c r="W62" s="49">
        <f t="shared" si="26"/>
        <v>115605504</v>
      </c>
      <c r="X62" s="10">
        <f t="shared" si="27"/>
        <v>24.5</v>
      </c>
      <c r="Y62" s="10">
        <f t="shared" si="35"/>
        <v>10.5</v>
      </c>
      <c r="Z62" s="10">
        <f t="shared" si="28"/>
        <v>24.5</v>
      </c>
      <c r="AA62" s="10">
        <f t="shared" si="29"/>
        <v>144</v>
      </c>
      <c r="AB62" s="139">
        <f t="shared" si="36"/>
        <v>4096</v>
      </c>
      <c r="AC62" s="105">
        <v>1</v>
      </c>
      <c r="AD62" s="62">
        <f t="shared" si="25"/>
        <v>4120.5</v>
      </c>
      <c r="AE62" s="63">
        <f t="shared" si="41"/>
        <v>412050</v>
      </c>
      <c r="AF62" s="62">
        <f t="shared" si="37"/>
        <v>24.5</v>
      </c>
      <c r="AG62" s="63">
        <f t="shared" si="21"/>
        <v>980</v>
      </c>
      <c r="AH62" s="62">
        <f t="shared" si="42"/>
        <v>24.5</v>
      </c>
      <c r="AI62" s="63">
        <f t="shared" si="22"/>
        <v>980</v>
      </c>
      <c r="AJ62" s="63">
        <f t="shared" si="30"/>
        <v>25088</v>
      </c>
      <c r="AK62" s="63">
        <f t="shared" si="10"/>
        <v>412050</v>
      </c>
      <c r="AL62" s="63" t="str">
        <f t="shared" si="11"/>
        <v>DRAM</v>
      </c>
      <c r="AM62" s="10" t="b">
        <f t="shared" si="31"/>
        <v>1</v>
      </c>
      <c r="AN62" s="44" t="str">
        <f t="shared" si="38"/>
        <v>feature</v>
      </c>
      <c r="AO62" s="44">
        <f t="shared" si="32"/>
        <v>4145</v>
      </c>
      <c r="AP62" s="44">
        <f t="shared" si="33"/>
        <v>4145</v>
      </c>
      <c r="AQ62" s="31">
        <f t="shared" si="24"/>
        <v>414500</v>
      </c>
      <c r="AR62" s="31">
        <f t="shared" si="34"/>
        <v>25088</v>
      </c>
      <c r="AS62" s="31">
        <f t="shared" si="16"/>
        <v>414500</v>
      </c>
      <c r="AT62" s="97" t="str">
        <f t="shared" si="17"/>
        <v>DRAM</v>
      </c>
    </row>
    <row r="63" spans="1:46" x14ac:dyDescent="0.35">
      <c r="A63" s="11"/>
      <c r="B63" s="107" t="s">
        <v>170</v>
      </c>
      <c r="C63" s="8" t="s">
        <v>196</v>
      </c>
      <c r="D63" s="8" t="s">
        <v>171</v>
      </c>
      <c r="E63" s="49">
        <v>512</v>
      </c>
      <c r="F63" s="49">
        <v>7</v>
      </c>
      <c r="G63" s="49">
        <v>7</v>
      </c>
      <c r="H63" s="49">
        <v>2048</v>
      </c>
      <c r="I63" s="49">
        <v>1</v>
      </c>
      <c r="J63" s="49">
        <v>1</v>
      </c>
      <c r="K63" s="49" t="b">
        <v>1</v>
      </c>
      <c r="L63" s="49">
        <v>1</v>
      </c>
      <c r="M63" s="49">
        <v>1</v>
      </c>
      <c r="N63" s="49">
        <f t="shared" si="0"/>
        <v>7</v>
      </c>
      <c r="O63" s="9">
        <f t="shared" si="1"/>
        <v>7</v>
      </c>
      <c r="P63" s="49" t="b">
        <v>1</v>
      </c>
      <c r="Q63" s="49">
        <v>7</v>
      </c>
      <c r="R63" s="49">
        <v>7</v>
      </c>
      <c r="S63" s="49">
        <v>7</v>
      </c>
      <c r="T63" s="49">
        <v>7</v>
      </c>
      <c r="U63" s="49">
        <f t="shared" si="39"/>
        <v>1</v>
      </c>
      <c r="V63" s="49">
        <f t="shared" si="40"/>
        <v>1</v>
      </c>
      <c r="W63" s="49">
        <f t="shared" si="26"/>
        <v>51380224</v>
      </c>
      <c r="X63" s="10">
        <f t="shared" si="27"/>
        <v>24.5</v>
      </c>
      <c r="Y63" s="10">
        <f t="shared" si="35"/>
        <v>3.5</v>
      </c>
      <c r="Z63" s="10">
        <f t="shared" si="28"/>
        <v>2</v>
      </c>
      <c r="AA63" s="10">
        <f t="shared" si="29"/>
        <v>16</v>
      </c>
      <c r="AB63" s="139">
        <f t="shared" si="36"/>
        <v>1024</v>
      </c>
      <c r="AC63" s="105">
        <v>1</v>
      </c>
      <c r="AD63" s="62">
        <f t="shared" si="25"/>
        <v>1026</v>
      </c>
      <c r="AE63" s="63">
        <f t="shared" si="41"/>
        <v>102600</v>
      </c>
      <c r="AF63" s="62">
        <f t="shared" si="37"/>
        <v>24.5</v>
      </c>
      <c r="AG63" s="63">
        <f t="shared" si="21"/>
        <v>980</v>
      </c>
      <c r="AH63" s="62">
        <f t="shared" si="42"/>
        <v>2</v>
      </c>
      <c r="AI63" s="63">
        <f t="shared" si="22"/>
        <v>80</v>
      </c>
      <c r="AJ63" s="63">
        <f t="shared" si="30"/>
        <v>25088</v>
      </c>
      <c r="AK63" s="63">
        <f t="shared" si="10"/>
        <v>102600</v>
      </c>
      <c r="AL63" s="63" t="str">
        <f t="shared" si="11"/>
        <v>DRAM</v>
      </c>
      <c r="AM63" s="10" t="b">
        <f t="shared" si="31"/>
        <v>0</v>
      </c>
      <c r="AN63" s="44" t="str">
        <f t="shared" si="38"/>
        <v>feature</v>
      </c>
      <c r="AO63" s="44">
        <f t="shared" si="32"/>
        <v>1052.5</v>
      </c>
      <c r="AP63" s="44">
        <f t="shared" si="33"/>
        <v>1052.5</v>
      </c>
      <c r="AQ63" s="31">
        <f t="shared" si="24"/>
        <v>105250</v>
      </c>
      <c r="AR63" s="31">
        <f t="shared" si="34"/>
        <v>25088</v>
      </c>
      <c r="AS63" s="31">
        <f t="shared" si="16"/>
        <v>105250</v>
      </c>
      <c r="AT63" s="97" t="str">
        <f t="shared" si="17"/>
        <v>DRAM</v>
      </c>
    </row>
    <row r="64" spans="1:46" x14ac:dyDescent="0.35">
      <c r="A64" s="7"/>
      <c r="B64" s="107" t="s">
        <v>170</v>
      </c>
      <c r="C64" s="17" t="s">
        <v>167</v>
      </c>
      <c r="D64" s="17" t="s">
        <v>86</v>
      </c>
      <c r="E64" s="18">
        <v>2048</v>
      </c>
      <c r="F64" s="18">
        <v>1</v>
      </c>
      <c r="G64" s="18">
        <v>1</v>
      </c>
      <c r="H64" s="18">
        <v>1000</v>
      </c>
      <c r="I64" s="18">
        <v>1</v>
      </c>
      <c r="J64" s="18">
        <v>1</v>
      </c>
      <c r="K64" s="18" t="b">
        <v>0</v>
      </c>
      <c r="L64" s="18">
        <v>1</v>
      </c>
      <c r="M64" s="18">
        <v>1</v>
      </c>
      <c r="N64" s="18">
        <f t="shared" si="0"/>
        <v>1</v>
      </c>
      <c r="O64" s="18">
        <f t="shared" si="1"/>
        <v>1</v>
      </c>
      <c r="P64" s="18" t="b">
        <v>0</v>
      </c>
      <c r="Q64" s="18"/>
      <c r="R64" s="18"/>
      <c r="S64" s="18"/>
      <c r="T64" s="18"/>
      <c r="U64" s="18">
        <f t="shared" si="39"/>
        <v>1</v>
      </c>
      <c r="V64" s="18">
        <f t="shared" si="39"/>
        <v>1</v>
      </c>
      <c r="W64" s="18">
        <f t="shared" si="26"/>
        <v>2048000</v>
      </c>
      <c r="X64" s="19">
        <f t="shared" si="27"/>
        <v>2</v>
      </c>
      <c r="Y64" s="19">
        <f t="shared" si="35"/>
        <v>2</v>
      </c>
      <c r="Z64" s="19">
        <f t="shared" si="28"/>
        <v>0.984375</v>
      </c>
      <c r="AA64" s="19">
        <f t="shared" si="29"/>
        <v>64</v>
      </c>
      <c r="AB64" s="19">
        <f t="shared" si="36"/>
        <v>2000</v>
      </c>
      <c r="AC64" s="104"/>
      <c r="AD64" s="55">
        <f>X64+AB64/IF(D64="fc",$C$9,MIN($AC$11:$AC$18))</f>
        <v>127</v>
      </c>
      <c r="AE64" s="56">
        <f t="shared" si="41"/>
        <v>12700</v>
      </c>
      <c r="AF64" s="55">
        <f t="shared" si="37"/>
        <v>2</v>
      </c>
      <c r="AG64" s="56">
        <f t="shared" si="21"/>
        <v>80</v>
      </c>
      <c r="AH64" s="55">
        <f t="shared" si="42"/>
        <v>0.984375</v>
      </c>
      <c r="AI64" s="56">
        <f t="shared" si="22"/>
        <v>40</v>
      </c>
      <c r="AJ64" s="57">
        <f t="shared" si="30"/>
        <v>1000</v>
      </c>
      <c r="AK64" s="57">
        <f t="shared" si="10"/>
        <v>12700</v>
      </c>
      <c r="AL64" s="57" t="str">
        <f t="shared" si="11"/>
        <v>DRAM</v>
      </c>
      <c r="AM64" s="19" t="b">
        <f t="shared" si="31"/>
        <v>0</v>
      </c>
      <c r="AN64" s="44" t="str">
        <f t="shared" si="38"/>
        <v>feature</v>
      </c>
      <c r="AO64" s="44">
        <f t="shared" si="32"/>
        <v>2002.984375</v>
      </c>
      <c r="AP64" s="44">
        <f t="shared" si="33"/>
        <v>127.984375</v>
      </c>
      <c r="AQ64" s="31">
        <f t="shared" si="24"/>
        <v>200299</v>
      </c>
      <c r="AR64" s="31">
        <f t="shared" si="34"/>
        <v>1000</v>
      </c>
      <c r="AS64" s="31">
        <f t="shared" si="16"/>
        <v>200299</v>
      </c>
      <c r="AT64" s="97" t="str">
        <f t="shared" si="17"/>
        <v>DRAM</v>
      </c>
    </row>
    <row r="65" spans="1:46" x14ac:dyDescent="0.35">
      <c r="A65" s="16"/>
      <c r="B65" s="107" t="s">
        <v>170</v>
      </c>
      <c r="C65" s="27"/>
      <c r="D65" s="27"/>
      <c r="E65" s="28"/>
      <c r="F65" s="28"/>
      <c r="G65" s="28"/>
      <c r="H65" s="28"/>
      <c r="I65" s="28"/>
      <c r="J65" s="28"/>
      <c r="K65" s="28"/>
      <c r="L65" s="28"/>
      <c r="M65" s="28"/>
      <c r="N65" s="28"/>
      <c r="O65" s="28"/>
      <c r="P65" s="28"/>
      <c r="Q65" s="28"/>
      <c r="R65" s="28"/>
      <c r="S65" s="28"/>
      <c r="T65" s="28"/>
      <c r="U65" s="28"/>
      <c r="V65" s="28"/>
      <c r="W65" s="28"/>
      <c r="X65" s="28"/>
      <c r="Y65" s="28"/>
      <c r="Z65" s="28"/>
      <c r="AA65" s="28"/>
      <c r="AB65" s="28"/>
      <c r="AC65" s="92"/>
      <c r="AD65" s="28"/>
      <c r="AE65" s="28"/>
      <c r="AF65" s="28"/>
      <c r="AG65" s="28"/>
      <c r="AH65" s="28"/>
      <c r="AI65" s="28"/>
      <c r="AJ65" s="29" t="s">
        <v>131</v>
      </c>
      <c r="AK65" s="85">
        <f>SUM(AK11:AK64)</f>
        <v>5161544</v>
      </c>
      <c r="AL65" s="85"/>
      <c r="AM65" s="28"/>
      <c r="AN65" s="85"/>
      <c r="AO65" s="85"/>
      <c r="AP65" s="85"/>
      <c r="AQ65" s="85"/>
      <c r="AR65" s="85" t="s">
        <v>131</v>
      </c>
      <c r="AS65" s="85">
        <f>SUM(AS11:AS64)</f>
        <v>7113691</v>
      </c>
      <c r="AT65" s="99"/>
    </row>
    <row r="66" spans="1:46" x14ac:dyDescent="0.35">
      <c r="A66" s="16"/>
      <c r="B66" s="107" t="s">
        <v>170</v>
      </c>
      <c r="C66" s="27" t="s">
        <v>28</v>
      </c>
      <c r="D66" s="27"/>
      <c r="E66" s="28"/>
      <c r="F66" s="28"/>
      <c r="G66" s="28"/>
      <c r="H66" s="28"/>
      <c r="I66" s="28"/>
      <c r="J66" s="28"/>
      <c r="K66" s="28"/>
      <c r="L66" s="28"/>
      <c r="M66" s="28"/>
      <c r="N66" s="28"/>
      <c r="O66" s="28"/>
      <c r="P66" s="28"/>
      <c r="Q66" s="28"/>
      <c r="R66" s="28"/>
      <c r="S66" s="28"/>
      <c r="T66" s="28"/>
      <c r="U66" s="28"/>
      <c r="V66" s="28"/>
      <c r="W66" s="28"/>
      <c r="X66" s="28"/>
      <c r="Y66" s="28"/>
      <c r="Z66" s="28"/>
      <c r="AA66" s="28"/>
      <c r="AB66" s="28"/>
      <c r="AC66" s="92"/>
      <c r="AD66" s="28"/>
      <c r="AE66" s="28"/>
      <c r="AF66" s="28"/>
      <c r="AG66" s="28"/>
      <c r="AH66" s="28"/>
      <c r="AI66" s="28"/>
      <c r="AJ66" s="29" t="s">
        <v>130</v>
      </c>
      <c r="AK66" s="30">
        <f>AK65/1000/$C$5</f>
        <v>5.1615440000000001</v>
      </c>
      <c r="AL66" s="30" t="s">
        <v>93</v>
      </c>
      <c r="AM66" s="28"/>
      <c r="AN66" s="30"/>
      <c r="AO66" s="30"/>
      <c r="AP66" s="30"/>
      <c r="AQ66" s="30"/>
      <c r="AR66" s="30" t="s">
        <v>130</v>
      </c>
      <c r="AS66" s="86">
        <f>AS65/1000/$C$5</f>
        <v>7.1136910000000002</v>
      </c>
      <c r="AT66" s="99" t="s">
        <v>93</v>
      </c>
    </row>
    <row r="67" spans="1:46" ht="15" thickBot="1" x14ac:dyDescent="0.4">
      <c r="A67" s="64"/>
      <c r="B67" s="114" t="s">
        <v>170</v>
      </c>
      <c r="C67" s="65"/>
      <c r="D67" s="65"/>
      <c r="E67" s="66"/>
      <c r="F67" s="66"/>
      <c r="G67" s="66"/>
      <c r="H67" s="66"/>
      <c r="I67" s="66"/>
      <c r="J67" s="66"/>
      <c r="K67" s="66"/>
      <c r="L67" s="66"/>
      <c r="M67" s="66"/>
      <c r="N67" s="66"/>
      <c r="O67" s="66"/>
      <c r="P67" s="66"/>
      <c r="Q67" s="66"/>
      <c r="R67" s="66"/>
      <c r="S67" s="66"/>
      <c r="T67" s="66"/>
      <c r="U67" s="66"/>
      <c r="V67" s="66"/>
      <c r="W67" s="66"/>
      <c r="X67" s="66"/>
      <c r="Y67" s="66"/>
      <c r="Z67" s="66"/>
      <c r="AA67" s="66"/>
      <c r="AB67" s="66"/>
      <c r="AC67" s="93"/>
      <c r="AD67" s="66"/>
      <c r="AE67" s="66"/>
      <c r="AF67" s="66"/>
      <c r="AG67" s="66"/>
      <c r="AH67" s="66"/>
      <c r="AI67" s="66"/>
      <c r="AJ67" s="67" t="s">
        <v>89</v>
      </c>
      <c r="AK67" s="67">
        <f>1000/AK66</f>
        <v>193.74047765552322</v>
      </c>
      <c r="AL67" s="67" t="s">
        <v>89</v>
      </c>
      <c r="AM67" s="66"/>
      <c r="AN67" s="67"/>
      <c r="AO67" s="67"/>
      <c r="AP67" s="67"/>
      <c r="AQ67" s="67"/>
      <c r="AR67" s="67" t="s">
        <v>89</v>
      </c>
      <c r="AS67" s="67">
        <f>1000/AS66</f>
        <v>140.57400019202407</v>
      </c>
      <c r="AT67" s="100" t="s">
        <v>89</v>
      </c>
    </row>
    <row r="68" spans="1:46" x14ac:dyDescent="0.35">
      <c r="A68" s="7"/>
      <c r="B68" s="72"/>
      <c r="C68" s="73"/>
      <c r="D68" s="73"/>
      <c r="E68" s="54"/>
      <c r="F68" s="54"/>
      <c r="G68" s="54"/>
      <c r="H68" s="54"/>
      <c r="I68" s="54"/>
      <c r="J68" s="54"/>
      <c r="K68" s="54"/>
      <c r="L68" s="54"/>
      <c r="M68" s="54"/>
      <c r="N68" s="54"/>
      <c r="O68" s="54"/>
      <c r="P68" s="54"/>
      <c r="Q68" s="54"/>
      <c r="R68" s="54"/>
      <c r="S68" s="54"/>
      <c r="T68" s="54"/>
      <c r="U68" s="54"/>
      <c r="V68" s="54"/>
      <c r="W68" s="54"/>
      <c r="X68" s="54"/>
      <c r="Y68" s="54"/>
      <c r="Z68" s="54"/>
      <c r="AA68" s="54"/>
      <c r="AB68" s="54"/>
      <c r="AC68" s="94"/>
      <c r="AD68" s="54"/>
      <c r="AE68" s="54"/>
      <c r="AF68" s="54"/>
      <c r="AG68" s="54"/>
      <c r="AH68" s="54"/>
      <c r="AI68" s="54"/>
      <c r="AJ68" s="30" t="s">
        <v>132</v>
      </c>
      <c r="AK68" s="43">
        <f>SUM(AJ11:AJ64)/SUM(AK11:AK64)</f>
        <v>0.27511922788994919</v>
      </c>
      <c r="AL68" s="106"/>
      <c r="AM68" s="54"/>
      <c r="AN68" s="41"/>
      <c r="AO68" s="41"/>
      <c r="AP68" s="41"/>
      <c r="AQ68" s="41"/>
      <c r="AR68" s="30" t="s">
        <v>132</v>
      </c>
      <c r="AS68" s="88">
        <f>SUM(AR11:AR64)/SUM(AS11:AS64)</f>
        <v>0.23158160791634047</v>
      </c>
      <c r="AT68" s="101"/>
    </row>
    <row r="69" spans="1:46" x14ac:dyDescent="0.3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8"/>
      <c r="AD69" s="41"/>
      <c r="AE69" s="41"/>
      <c r="AF69" s="41"/>
      <c r="AG69" s="41"/>
      <c r="AH69" s="41"/>
      <c r="AI69" s="41"/>
      <c r="AJ69" s="30" t="s">
        <v>133</v>
      </c>
      <c r="AK69" s="88">
        <f>SUM(W11:W64)/C4/AK65</f>
        <v>0.36860908286357724</v>
      </c>
      <c r="AL69" s="41"/>
      <c r="AM69" s="41"/>
      <c r="AN69" s="41"/>
      <c r="AO69" s="41"/>
      <c r="AP69" s="41"/>
      <c r="AQ69" s="41"/>
      <c r="AR69" s="30" t="s">
        <v>133</v>
      </c>
      <c r="AS69" s="88">
        <f>SUM($W11:$W64)/$C$4/AS65</f>
        <v>0.26745496817334347</v>
      </c>
      <c r="AT69" s="47"/>
    </row>
  </sheetData>
  <mergeCells count="2">
    <mergeCell ref="AD8:AL8"/>
    <mergeCell ref="AN8:AT8"/>
  </mergeCells>
  <dataValidations disablePrompts="1" count="1">
    <dataValidation type="list" allowBlank="1" showInputMessage="1" showErrorMessage="1" sqref="P11:P63 K11:K64">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8" sqref="E18"/>
    </sheetView>
  </sheetViews>
  <sheetFormatPr defaultRowHeight="14.5" x14ac:dyDescent="0.35"/>
  <sheetData>
    <row r="1" spans="1:5" ht="72.5" x14ac:dyDescent="0.35">
      <c r="A1" s="124" t="s">
        <v>204</v>
      </c>
      <c r="B1" s="124" t="s">
        <v>205</v>
      </c>
      <c r="C1" s="124" t="s">
        <v>206</v>
      </c>
      <c r="D1" s="124" t="s">
        <v>208</v>
      </c>
      <c r="E1" s="124" t="s">
        <v>211</v>
      </c>
    </row>
    <row r="2" spans="1:5" x14ac:dyDescent="0.35">
      <c r="A2">
        <v>1</v>
      </c>
      <c r="B2">
        <v>1</v>
      </c>
      <c r="C2">
        <v>512</v>
      </c>
      <c r="D2">
        <v>2048</v>
      </c>
      <c r="E2">
        <v>1</v>
      </c>
    </row>
    <row r="3" spans="1:5" x14ac:dyDescent="0.35">
      <c r="A3">
        <v>2</v>
      </c>
      <c r="B3">
        <v>2</v>
      </c>
      <c r="C3">
        <v>256</v>
      </c>
      <c r="D3">
        <v>1024</v>
      </c>
      <c r="E3">
        <v>2</v>
      </c>
    </row>
    <row r="4" spans="1:5" x14ac:dyDescent="0.35">
      <c r="C4">
        <v>128</v>
      </c>
      <c r="D4">
        <v>512</v>
      </c>
      <c r="E4">
        <v>3</v>
      </c>
    </row>
    <row r="5" spans="1:5" x14ac:dyDescent="0.35">
      <c r="C5">
        <v>64</v>
      </c>
      <c r="D5">
        <v>256</v>
      </c>
      <c r="E5">
        <v>4</v>
      </c>
    </row>
    <row r="6" spans="1:5" x14ac:dyDescent="0.35">
      <c r="C6">
        <v>32</v>
      </c>
      <c r="D6">
        <v>128</v>
      </c>
      <c r="E6">
        <v>5</v>
      </c>
    </row>
    <row r="7" spans="1:5" x14ac:dyDescent="0.35">
      <c r="D7">
        <v>64</v>
      </c>
      <c r="E7">
        <v>6</v>
      </c>
    </row>
    <row r="8" spans="1:5" x14ac:dyDescent="0.35">
      <c r="D8">
        <v>32</v>
      </c>
      <c r="E8">
        <v>7</v>
      </c>
    </row>
    <row r="9" spans="1:5" x14ac:dyDescent="0.35">
      <c r="E9">
        <v>8</v>
      </c>
    </row>
    <row r="10" spans="1:5" x14ac:dyDescent="0.35">
      <c r="E10">
        <v>9</v>
      </c>
    </row>
    <row r="11" spans="1:5" x14ac:dyDescent="0.35">
      <c r="E11">
        <v>10</v>
      </c>
    </row>
    <row r="12" spans="1:5" x14ac:dyDescent="0.35">
      <c r="E12">
        <v>11</v>
      </c>
    </row>
    <row r="13" spans="1:5" x14ac:dyDescent="0.35">
      <c r="E13">
        <v>12</v>
      </c>
    </row>
    <row r="14" spans="1:5" x14ac:dyDescent="0.35">
      <c r="E14">
        <v>13</v>
      </c>
    </row>
    <row r="15" spans="1:5" x14ac:dyDescent="0.35">
      <c r="E15">
        <v>14</v>
      </c>
    </row>
    <row r="16" spans="1:5" x14ac:dyDescent="0.35">
      <c r="E16">
        <v>15</v>
      </c>
    </row>
    <row r="17" spans="5:5" x14ac:dyDescent="0.35">
      <c r="E17">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Configuration Input</vt:lpstr>
      <vt:lpstr>Performance Summary</vt:lpstr>
      <vt:lpstr>AlexNet</vt:lpstr>
      <vt:lpstr>GoogLeNet</vt:lpstr>
      <vt:lpstr>ResNet50</vt:lpstr>
      <vt:lpstr>DataSheet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2017-09-23T22:19:02Z</dcterms:modified>
</cp:coreProperties>
</file>