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qiyi\git\hply\02_客户资料\事业项目部导入表\"/>
    </mc:Choice>
  </mc:AlternateContent>
  <bookViews>
    <workbookView xWindow="0" yWindow="0" windowWidth="14340" windowHeight="13620"/>
  </bookViews>
  <sheets>
    <sheet name="校对" sheetId="7" r:id="rId1"/>
    <sheet name="导出" sheetId="4" r:id="rId2"/>
    <sheet name="计算" sheetId="5" r:id="rId3"/>
    <sheet name="全部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" i="5" l="1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8" i="7" s="1"/>
  <c r="AH119" i="5"/>
  <c r="AH120" i="5"/>
  <c r="AH121" i="5"/>
  <c r="AH122" i="5"/>
  <c r="AH122" i="7" s="1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4" i="7" s="1"/>
  <c r="AH135" i="5"/>
  <c r="AH136" i="5"/>
  <c r="AH137" i="5"/>
  <c r="AH138" i="5"/>
  <c r="AH138" i="7" s="1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0" i="7" s="1"/>
  <c r="AH151" i="5"/>
  <c r="AH152" i="5"/>
  <c r="AH153" i="5"/>
  <c r="AH154" i="5"/>
  <c r="AH154" i="7" s="1"/>
  <c r="AH155" i="5"/>
  <c r="AH156" i="5"/>
  <c r="AH157" i="5"/>
  <c r="AH158" i="5"/>
  <c r="AH159" i="5"/>
  <c r="AH159" i="7" s="1"/>
  <c r="AH160" i="5"/>
  <c r="AH161" i="5"/>
  <c r="AH162" i="5"/>
  <c r="AH163" i="5"/>
  <c r="AH164" i="5"/>
  <c r="AH165" i="5"/>
  <c r="AH166" i="5"/>
  <c r="AH166" i="7" s="1"/>
  <c r="AH167" i="5"/>
  <c r="AH167" i="7" s="1"/>
  <c r="AH168" i="5"/>
  <c r="AH169" i="5"/>
  <c r="AH170" i="5"/>
  <c r="AH171" i="5"/>
  <c r="AH171" i="7" s="1"/>
  <c r="AH172" i="5"/>
  <c r="AH173" i="5"/>
  <c r="AH174" i="5"/>
  <c r="AH174" i="7" s="1"/>
  <c r="AH175" i="5"/>
  <c r="AH176" i="5"/>
  <c r="AH177" i="5"/>
  <c r="AH178" i="5"/>
  <c r="AH179" i="5"/>
  <c r="AH179" i="7" s="1"/>
  <c r="AH180" i="5"/>
  <c r="AH181" i="5"/>
  <c r="AH182" i="5"/>
  <c r="AH182" i="7" s="1"/>
  <c r="AH183" i="5"/>
  <c r="AH183" i="7" s="1"/>
  <c r="AH184" i="5"/>
  <c r="AH185" i="5"/>
  <c r="AH186" i="5"/>
  <c r="AH187" i="5"/>
  <c r="AH187" i="7" s="1"/>
  <c r="AH188" i="5"/>
  <c r="AH189" i="5"/>
  <c r="AH190" i="5"/>
  <c r="AH190" i="7" s="1"/>
  <c r="AH191" i="5"/>
  <c r="AH191" i="7" s="1"/>
  <c r="AH192" i="5"/>
  <c r="AH193" i="5"/>
  <c r="AH194" i="5"/>
  <c r="AH195" i="5"/>
  <c r="AH196" i="5"/>
  <c r="AH197" i="5"/>
  <c r="AH198" i="5"/>
  <c r="AH198" i="7" s="1"/>
  <c r="AH199" i="5"/>
  <c r="AH199" i="7" s="1"/>
  <c r="AH200" i="5"/>
  <c r="AH201" i="5"/>
  <c r="AH202" i="5"/>
  <c r="AH203" i="5"/>
  <c r="AH203" i="7" s="1"/>
  <c r="AH204" i="5"/>
  <c r="AH205" i="5"/>
  <c r="AH206" i="5"/>
  <c r="AH207" i="5"/>
  <c r="AH208" i="5"/>
  <c r="AH209" i="5"/>
  <c r="AH209" i="7" s="1"/>
  <c r="AH210" i="5"/>
  <c r="AH210" i="7" s="1"/>
  <c r="AH211" i="5"/>
  <c r="AH211" i="7" s="1"/>
  <c r="AH212" i="5"/>
  <c r="AH213" i="5"/>
  <c r="AH214" i="5"/>
  <c r="AH214" i="7" s="1"/>
  <c r="AH215" i="5"/>
  <c r="AH215" i="7" s="1"/>
  <c r="AH2" i="5"/>
  <c r="AH2" i="7" s="1"/>
  <c r="AH143" i="7"/>
  <c r="AH163" i="7"/>
  <c r="AH195" i="7"/>
  <c r="AH206" i="7"/>
  <c r="AH207" i="7"/>
  <c r="AH70" i="7"/>
  <c r="AH74" i="7"/>
  <c r="AH78" i="7"/>
  <c r="AH82" i="7"/>
  <c r="AH86" i="7"/>
  <c r="AH90" i="7"/>
  <c r="AH94" i="7"/>
  <c r="AH98" i="7"/>
  <c r="AH102" i="7"/>
  <c r="AH106" i="7"/>
  <c r="AH110" i="7"/>
  <c r="AH114" i="7"/>
  <c r="AH126" i="7"/>
  <c r="AH130" i="7"/>
  <c r="AH142" i="7"/>
  <c r="AH146" i="7"/>
  <c r="AH158" i="7"/>
  <c r="AH162" i="7"/>
  <c r="AH164" i="7"/>
  <c r="AH168" i="7"/>
  <c r="AH170" i="7"/>
  <c r="AH172" i="7"/>
  <c r="AH176" i="7"/>
  <c r="AH178" i="7"/>
  <c r="AH180" i="7"/>
  <c r="AH184" i="7"/>
  <c r="AH186" i="7"/>
  <c r="AH188" i="7"/>
  <c r="AH192" i="7"/>
  <c r="AH194" i="7"/>
  <c r="AH196" i="7"/>
  <c r="AH200" i="7"/>
  <c r="AH202" i="7"/>
  <c r="AH204" i="7"/>
  <c r="AH208" i="7"/>
  <c r="AH212" i="7"/>
  <c r="AG215" i="7"/>
  <c r="AF215" i="7"/>
  <c r="AE215" i="7"/>
  <c r="AD215" i="7"/>
  <c r="AC215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O215" i="7"/>
  <c r="N215" i="7"/>
  <c r="M215" i="7"/>
  <c r="L215" i="7"/>
  <c r="K215" i="7"/>
  <c r="J215" i="7"/>
  <c r="I215" i="7"/>
  <c r="AG214" i="7"/>
  <c r="AF214" i="7"/>
  <c r="AE214" i="7"/>
  <c r="AD214" i="7"/>
  <c r="AC214" i="7"/>
  <c r="AB214" i="7"/>
  <c r="AA214" i="7"/>
  <c r="Z214" i="7"/>
  <c r="Y214" i="7"/>
  <c r="X214" i="7"/>
  <c r="W214" i="7"/>
  <c r="V214" i="7"/>
  <c r="U214" i="7"/>
  <c r="T214" i="7"/>
  <c r="S214" i="7"/>
  <c r="R214" i="7"/>
  <c r="Q214" i="7"/>
  <c r="P214" i="7"/>
  <c r="O214" i="7"/>
  <c r="N214" i="7"/>
  <c r="M214" i="7"/>
  <c r="L214" i="7"/>
  <c r="K214" i="7"/>
  <c r="J214" i="7"/>
  <c r="I214" i="7"/>
  <c r="AH213" i="7"/>
  <c r="AG213" i="7"/>
  <c r="AF213" i="7"/>
  <c r="AE213" i="7"/>
  <c r="AD213" i="7"/>
  <c r="AC213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O213" i="7"/>
  <c r="N213" i="7"/>
  <c r="M213" i="7"/>
  <c r="L213" i="7"/>
  <c r="K213" i="7"/>
  <c r="J213" i="7"/>
  <c r="I213" i="7"/>
  <c r="AG212" i="7"/>
  <c r="AF212" i="7"/>
  <c r="AE212" i="7"/>
  <c r="AD212" i="7"/>
  <c r="AC212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O212" i="7"/>
  <c r="N212" i="7"/>
  <c r="M212" i="7"/>
  <c r="L212" i="7"/>
  <c r="K212" i="7"/>
  <c r="J212" i="7"/>
  <c r="I212" i="7"/>
  <c r="AG211" i="7"/>
  <c r="AF211" i="7"/>
  <c r="AE211" i="7"/>
  <c r="AD211" i="7"/>
  <c r="AC211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O211" i="7"/>
  <c r="N211" i="7"/>
  <c r="M211" i="7"/>
  <c r="L211" i="7"/>
  <c r="K211" i="7"/>
  <c r="J211" i="7"/>
  <c r="I211" i="7"/>
  <c r="AG210" i="7"/>
  <c r="AF210" i="7"/>
  <c r="AE210" i="7"/>
  <c r="AD210" i="7"/>
  <c r="AC210" i="7"/>
  <c r="AB210" i="7"/>
  <c r="AA210" i="7"/>
  <c r="Z210" i="7"/>
  <c r="Y210" i="7"/>
  <c r="X210" i="7"/>
  <c r="W210" i="7"/>
  <c r="V210" i="7"/>
  <c r="U210" i="7"/>
  <c r="T210" i="7"/>
  <c r="S210" i="7"/>
  <c r="R210" i="7"/>
  <c r="Q210" i="7"/>
  <c r="P210" i="7"/>
  <c r="O210" i="7"/>
  <c r="N210" i="7"/>
  <c r="M210" i="7"/>
  <c r="L210" i="7"/>
  <c r="K210" i="7"/>
  <c r="J210" i="7"/>
  <c r="I210" i="7"/>
  <c r="AG209" i="7"/>
  <c r="AF209" i="7"/>
  <c r="AE209" i="7"/>
  <c r="AD209" i="7"/>
  <c r="AC209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O209" i="7"/>
  <c r="N209" i="7"/>
  <c r="M209" i="7"/>
  <c r="L209" i="7"/>
  <c r="K209" i="7"/>
  <c r="J209" i="7"/>
  <c r="I209" i="7"/>
  <c r="AG208" i="7"/>
  <c r="AF208" i="7"/>
  <c r="AE208" i="7"/>
  <c r="AD208" i="7"/>
  <c r="AC208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O208" i="7"/>
  <c r="N208" i="7"/>
  <c r="M208" i="7"/>
  <c r="L208" i="7"/>
  <c r="K208" i="7"/>
  <c r="J208" i="7"/>
  <c r="I208" i="7"/>
  <c r="AG207" i="7"/>
  <c r="AF207" i="7"/>
  <c r="AE207" i="7"/>
  <c r="AD207" i="7"/>
  <c r="AC207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AG206" i="7"/>
  <c r="AF206" i="7"/>
  <c r="AE206" i="7"/>
  <c r="AD206" i="7"/>
  <c r="AC206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AH205" i="7"/>
  <c r="AG205" i="7"/>
  <c r="AF205" i="7"/>
  <c r="AE205" i="7"/>
  <c r="AD205" i="7"/>
  <c r="AC205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O205" i="7"/>
  <c r="N205" i="7"/>
  <c r="M205" i="7"/>
  <c r="L205" i="7"/>
  <c r="K205" i="7"/>
  <c r="J205" i="7"/>
  <c r="I205" i="7"/>
  <c r="AG204" i="7"/>
  <c r="AF204" i="7"/>
  <c r="AE204" i="7"/>
  <c r="AD204" i="7"/>
  <c r="AC204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O204" i="7"/>
  <c r="N204" i="7"/>
  <c r="M204" i="7"/>
  <c r="L204" i="7"/>
  <c r="K204" i="7"/>
  <c r="J204" i="7"/>
  <c r="I204" i="7"/>
  <c r="AG203" i="7"/>
  <c r="AF203" i="7"/>
  <c r="AE203" i="7"/>
  <c r="AD203" i="7"/>
  <c r="AC203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O203" i="7"/>
  <c r="N203" i="7"/>
  <c r="M203" i="7"/>
  <c r="L203" i="7"/>
  <c r="K203" i="7"/>
  <c r="J203" i="7"/>
  <c r="I203" i="7"/>
  <c r="AG202" i="7"/>
  <c r="AF202" i="7"/>
  <c r="AE202" i="7"/>
  <c r="AD202" i="7"/>
  <c r="AC202" i="7"/>
  <c r="AB202" i="7"/>
  <c r="AA202" i="7"/>
  <c r="Z202" i="7"/>
  <c r="Y202" i="7"/>
  <c r="X202" i="7"/>
  <c r="W202" i="7"/>
  <c r="V202" i="7"/>
  <c r="U202" i="7"/>
  <c r="T202" i="7"/>
  <c r="S202" i="7"/>
  <c r="R202" i="7"/>
  <c r="Q202" i="7"/>
  <c r="P202" i="7"/>
  <c r="O202" i="7"/>
  <c r="N202" i="7"/>
  <c r="M202" i="7"/>
  <c r="L202" i="7"/>
  <c r="K202" i="7"/>
  <c r="J202" i="7"/>
  <c r="I202" i="7"/>
  <c r="AH201" i="7"/>
  <c r="AG201" i="7"/>
  <c r="AF201" i="7"/>
  <c r="AE201" i="7"/>
  <c r="AD201" i="7"/>
  <c r="AC201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O201" i="7"/>
  <c r="N201" i="7"/>
  <c r="M201" i="7"/>
  <c r="L201" i="7"/>
  <c r="K201" i="7"/>
  <c r="J201" i="7"/>
  <c r="I201" i="7"/>
  <c r="AG200" i="7"/>
  <c r="AF200" i="7"/>
  <c r="AE200" i="7"/>
  <c r="AD200" i="7"/>
  <c r="AC200" i="7"/>
  <c r="AB200" i="7"/>
  <c r="AA200" i="7"/>
  <c r="Z200" i="7"/>
  <c r="Y200" i="7"/>
  <c r="X200" i="7"/>
  <c r="W200" i="7"/>
  <c r="V200" i="7"/>
  <c r="U200" i="7"/>
  <c r="T200" i="7"/>
  <c r="S200" i="7"/>
  <c r="R200" i="7"/>
  <c r="Q200" i="7"/>
  <c r="P200" i="7"/>
  <c r="O200" i="7"/>
  <c r="N200" i="7"/>
  <c r="M200" i="7"/>
  <c r="L200" i="7"/>
  <c r="K200" i="7"/>
  <c r="J200" i="7"/>
  <c r="I200" i="7"/>
  <c r="AG199" i="7"/>
  <c r="AF199" i="7"/>
  <c r="AE199" i="7"/>
  <c r="AD199" i="7"/>
  <c r="AC199" i="7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O199" i="7"/>
  <c r="N199" i="7"/>
  <c r="M199" i="7"/>
  <c r="L199" i="7"/>
  <c r="K199" i="7"/>
  <c r="J199" i="7"/>
  <c r="I199" i="7"/>
  <c r="AG198" i="7"/>
  <c r="AF198" i="7"/>
  <c r="AE198" i="7"/>
  <c r="AD198" i="7"/>
  <c r="AC198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O198" i="7"/>
  <c r="N198" i="7"/>
  <c r="M198" i="7"/>
  <c r="L198" i="7"/>
  <c r="K198" i="7"/>
  <c r="J198" i="7"/>
  <c r="I198" i="7"/>
  <c r="AH197" i="7"/>
  <c r="AG197" i="7"/>
  <c r="AF197" i="7"/>
  <c r="AE197" i="7"/>
  <c r="AD197" i="7"/>
  <c r="AC197" i="7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O197" i="7"/>
  <c r="N197" i="7"/>
  <c r="M197" i="7"/>
  <c r="L197" i="7"/>
  <c r="K197" i="7"/>
  <c r="J197" i="7"/>
  <c r="I197" i="7"/>
  <c r="AG196" i="7"/>
  <c r="AF196" i="7"/>
  <c r="AE196" i="7"/>
  <c r="AD196" i="7"/>
  <c r="AC196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O196" i="7"/>
  <c r="N196" i="7"/>
  <c r="M196" i="7"/>
  <c r="L196" i="7"/>
  <c r="K196" i="7"/>
  <c r="J196" i="7"/>
  <c r="I196" i="7"/>
  <c r="AG195" i="7"/>
  <c r="AF195" i="7"/>
  <c r="AE195" i="7"/>
  <c r="AD195" i="7"/>
  <c r="AC195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O195" i="7"/>
  <c r="N195" i="7"/>
  <c r="M195" i="7"/>
  <c r="L195" i="7"/>
  <c r="K195" i="7"/>
  <c r="J195" i="7"/>
  <c r="I195" i="7"/>
  <c r="AG194" i="7"/>
  <c r="AF194" i="7"/>
  <c r="AE194" i="7"/>
  <c r="AD194" i="7"/>
  <c r="AC194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O194" i="7"/>
  <c r="N194" i="7"/>
  <c r="M194" i="7"/>
  <c r="L194" i="7"/>
  <c r="K194" i="7"/>
  <c r="J194" i="7"/>
  <c r="I194" i="7"/>
  <c r="AH193" i="7"/>
  <c r="AG193" i="7"/>
  <c r="AF193" i="7"/>
  <c r="AE193" i="7"/>
  <c r="AD193" i="7"/>
  <c r="AC193" i="7"/>
  <c r="AB193" i="7"/>
  <c r="AA193" i="7"/>
  <c r="Z193" i="7"/>
  <c r="Y193" i="7"/>
  <c r="X193" i="7"/>
  <c r="W193" i="7"/>
  <c r="V193" i="7"/>
  <c r="U193" i="7"/>
  <c r="T193" i="7"/>
  <c r="S193" i="7"/>
  <c r="R193" i="7"/>
  <c r="Q193" i="7"/>
  <c r="P193" i="7"/>
  <c r="O193" i="7"/>
  <c r="N193" i="7"/>
  <c r="M193" i="7"/>
  <c r="L193" i="7"/>
  <c r="K193" i="7"/>
  <c r="J193" i="7"/>
  <c r="I193" i="7"/>
  <c r="AG192" i="7"/>
  <c r="AF192" i="7"/>
  <c r="AE192" i="7"/>
  <c r="AD192" i="7"/>
  <c r="AC192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O192" i="7"/>
  <c r="N192" i="7"/>
  <c r="M192" i="7"/>
  <c r="L192" i="7"/>
  <c r="K192" i="7"/>
  <c r="J192" i="7"/>
  <c r="I192" i="7"/>
  <c r="AG191" i="7"/>
  <c r="AF191" i="7"/>
  <c r="AE191" i="7"/>
  <c r="AD191" i="7"/>
  <c r="AC191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O191" i="7"/>
  <c r="N191" i="7"/>
  <c r="M191" i="7"/>
  <c r="L191" i="7"/>
  <c r="K191" i="7"/>
  <c r="J191" i="7"/>
  <c r="I191" i="7"/>
  <c r="AG190" i="7"/>
  <c r="AF190" i="7"/>
  <c r="AE190" i="7"/>
  <c r="AD190" i="7"/>
  <c r="AC190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O190" i="7"/>
  <c r="N190" i="7"/>
  <c r="M190" i="7"/>
  <c r="L190" i="7"/>
  <c r="K190" i="7"/>
  <c r="J190" i="7"/>
  <c r="I190" i="7"/>
  <c r="AH189" i="7"/>
  <c r="AG189" i="7"/>
  <c r="AF189" i="7"/>
  <c r="AE189" i="7"/>
  <c r="AD189" i="7"/>
  <c r="AC189" i="7"/>
  <c r="AB189" i="7"/>
  <c r="AA189" i="7"/>
  <c r="Z189" i="7"/>
  <c r="Y189" i="7"/>
  <c r="X189" i="7"/>
  <c r="W189" i="7"/>
  <c r="V189" i="7"/>
  <c r="U189" i="7"/>
  <c r="T189" i="7"/>
  <c r="S189" i="7"/>
  <c r="R189" i="7"/>
  <c r="Q189" i="7"/>
  <c r="P189" i="7"/>
  <c r="O189" i="7"/>
  <c r="N189" i="7"/>
  <c r="M189" i="7"/>
  <c r="L189" i="7"/>
  <c r="K189" i="7"/>
  <c r="J189" i="7"/>
  <c r="I189" i="7"/>
  <c r="AG188" i="7"/>
  <c r="AF188" i="7"/>
  <c r="AE188" i="7"/>
  <c r="AD188" i="7"/>
  <c r="AC188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O188" i="7"/>
  <c r="N188" i="7"/>
  <c r="M188" i="7"/>
  <c r="L188" i="7"/>
  <c r="K188" i="7"/>
  <c r="J188" i="7"/>
  <c r="I188" i="7"/>
  <c r="AG187" i="7"/>
  <c r="AF187" i="7"/>
  <c r="AE187" i="7"/>
  <c r="AD187" i="7"/>
  <c r="AC187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O187" i="7"/>
  <c r="N187" i="7"/>
  <c r="M187" i="7"/>
  <c r="L187" i="7"/>
  <c r="K187" i="7"/>
  <c r="J187" i="7"/>
  <c r="I187" i="7"/>
  <c r="AG186" i="7"/>
  <c r="AF186" i="7"/>
  <c r="AE186" i="7"/>
  <c r="AD186" i="7"/>
  <c r="AC186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O186" i="7"/>
  <c r="N186" i="7"/>
  <c r="M186" i="7"/>
  <c r="L186" i="7"/>
  <c r="K186" i="7"/>
  <c r="J186" i="7"/>
  <c r="I186" i="7"/>
  <c r="AH185" i="7"/>
  <c r="AG185" i="7"/>
  <c r="AF185" i="7"/>
  <c r="AE185" i="7"/>
  <c r="AD185" i="7"/>
  <c r="AC185" i="7"/>
  <c r="AB185" i="7"/>
  <c r="AA185" i="7"/>
  <c r="Z185" i="7"/>
  <c r="Y185" i="7"/>
  <c r="X185" i="7"/>
  <c r="W185" i="7"/>
  <c r="V185" i="7"/>
  <c r="U185" i="7"/>
  <c r="T185" i="7"/>
  <c r="S185" i="7"/>
  <c r="R185" i="7"/>
  <c r="Q185" i="7"/>
  <c r="P185" i="7"/>
  <c r="O185" i="7"/>
  <c r="N185" i="7"/>
  <c r="M185" i="7"/>
  <c r="L185" i="7"/>
  <c r="K185" i="7"/>
  <c r="J185" i="7"/>
  <c r="I185" i="7"/>
  <c r="AG184" i="7"/>
  <c r="AF184" i="7"/>
  <c r="AE184" i="7"/>
  <c r="AD184" i="7"/>
  <c r="AC184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O184" i="7"/>
  <c r="N184" i="7"/>
  <c r="M184" i="7"/>
  <c r="L184" i="7"/>
  <c r="K184" i="7"/>
  <c r="J184" i="7"/>
  <c r="I184" i="7"/>
  <c r="AG183" i="7"/>
  <c r="AF183" i="7"/>
  <c r="AE183" i="7"/>
  <c r="AD183" i="7"/>
  <c r="AC183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O183" i="7"/>
  <c r="N183" i="7"/>
  <c r="M183" i="7"/>
  <c r="L183" i="7"/>
  <c r="K183" i="7"/>
  <c r="J183" i="7"/>
  <c r="I183" i="7"/>
  <c r="AG182" i="7"/>
  <c r="AF182" i="7"/>
  <c r="AE182" i="7"/>
  <c r="AD182" i="7"/>
  <c r="AC182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O182" i="7"/>
  <c r="N182" i="7"/>
  <c r="M182" i="7"/>
  <c r="L182" i="7"/>
  <c r="K182" i="7"/>
  <c r="J182" i="7"/>
  <c r="I182" i="7"/>
  <c r="AH181" i="7"/>
  <c r="AG181" i="7"/>
  <c r="AF181" i="7"/>
  <c r="AE181" i="7"/>
  <c r="AD181" i="7"/>
  <c r="AC181" i="7"/>
  <c r="AB181" i="7"/>
  <c r="AA181" i="7"/>
  <c r="Z181" i="7"/>
  <c r="Y181" i="7"/>
  <c r="X181" i="7"/>
  <c r="W181" i="7"/>
  <c r="V181" i="7"/>
  <c r="U181" i="7"/>
  <c r="T181" i="7"/>
  <c r="S181" i="7"/>
  <c r="R181" i="7"/>
  <c r="Q181" i="7"/>
  <c r="P181" i="7"/>
  <c r="O181" i="7"/>
  <c r="N181" i="7"/>
  <c r="M181" i="7"/>
  <c r="L181" i="7"/>
  <c r="K181" i="7"/>
  <c r="J181" i="7"/>
  <c r="I181" i="7"/>
  <c r="AG180" i="7"/>
  <c r="AF180" i="7"/>
  <c r="AE180" i="7"/>
  <c r="AD180" i="7"/>
  <c r="AC180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O180" i="7"/>
  <c r="N180" i="7"/>
  <c r="M180" i="7"/>
  <c r="L180" i="7"/>
  <c r="K180" i="7"/>
  <c r="J180" i="7"/>
  <c r="I180" i="7"/>
  <c r="AG179" i="7"/>
  <c r="AF179" i="7"/>
  <c r="AE179" i="7"/>
  <c r="AD179" i="7"/>
  <c r="AC179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O179" i="7"/>
  <c r="N179" i="7"/>
  <c r="M179" i="7"/>
  <c r="L179" i="7"/>
  <c r="K179" i="7"/>
  <c r="J179" i="7"/>
  <c r="I179" i="7"/>
  <c r="AG178" i="7"/>
  <c r="AF178" i="7"/>
  <c r="AE178" i="7"/>
  <c r="AD178" i="7"/>
  <c r="AC178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O178" i="7"/>
  <c r="N178" i="7"/>
  <c r="M178" i="7"/>
  <c r="L178" i="7"/>
  <c r="K178" i="7"/>
  <c r="J178" i="7"/>
  <c r="I178" i="7"/>
  <c r="AH177" i="7"/>
  <c r="AG177" i="7"/>
  <c r="AF177" i="7"/>
  <c r="AE177" i="7"/>
  <c r="AD177" i="7"/>
  <c r="AC177" i="7"/>
  <c r="AB177" i="7"/>
  <c r="AA177" i="7"/>
  <c r="Z177" i="7"/>
  <c r="Y177" i="7"/>
  <c r="X177" i="7"/>
  <c r="W177" i="7"/>
  <c r="V177" i="7"/>
  <c r="U177" i="7"/>
  <c r="T177" i="7"/>
  <c r="S177" i="7"/>
  <c r="R177" i="7"/>
  <c r="Q177" i="7"/>
  <c r="P177" i="7"/>
  <c r="O177" i="7"/>
  <c r="N177" i="7"/>
  <c r="M177" i="7"/>
  <c r="L177" i="7"/>
  <c r="K177" i="7"/>
  <c r="J177" i="7"/>
  <c r="I177" i="7"/>
  <c r="AG176" i="7"/>
  <c r="AF176" i="7"/>
  <c r="AE176" i="7"/>
  <c r="AD176" i="7"/>
  <c r="AC176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O176" i="7"/>
  <c r="N176" i="7"/>
  <c r="M176" i="7"/>
  <c r="L176" i="7"/>
  <c r="K176" i="7"/>
  <c r="J176" i="7"/>
  <c r="I176" i="7"/>
  <c r="AH175" i="7"/>
  <c r="AG175" i="7"/>
  <c r="AF175" i="7"/>
  <c r="AE175" i="7"/>
  <c r="AD175" i="7"/>
  <c r="AC175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O175" i="7"/>
  <c r="N175" i="7"/>
  <c r="M175" i="7"/>
  <c r="L175" i="7"/>
  <c r="K175" i="7"/>
  <c r="J175" i="7"/>
  <c r="I175" i="7"/>
  <c r="AG174" i="7"/>
  <c r="AF174" i="7"/>
  <c r="AE174" i="7"/>
  <c r="AD174" i="7"/>
  <c r="AC174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O174" i="7"/>
  <c r="N174" i="7"/>
  <c r="M174" i="7"/>
  <c r="L174" i="7"/>
  <c r="K174" i="7"/>
  <c r="J174" i="7"/>
  <c r="I174" i="7"/>
  <c r="AH173" i="7"/>
  <c r="AG173" i="7"/>
  <c r="AF173" i="7"/>
  <c r="AE173" i="7"/>
  <c r="AD173" i="7"/>
  <c r="AC173" i="7"/>
  <c r="AB173" i="7"/>
  <c r="AA173" i="7"/>
  <c r="Z173" i="7"/>
  <c r="Y173" i="7"/>
  <c r="X173" i="7"/>
  <c r="W173" i="7"/>
  <c r="V173" i="7"/>
  <c r="U173" i="7"/>
  <c r="T173" i="7"/>
  <c r="S173" i="7"/>
  <c r="R173" i="7"/>
  <c r="Q173" i="7"/>
  <c r="P173" i="7"/>
  <c r="O173" i="7"/>
  <c r="N173" i="7"/>
  <c r="M173" i="7"/>
  <c r="L173" i="7"/>
  <c r="K173" i="7"/>
  <c r="J173" i="7"/>
  <c r="I173" i="7"/>
  <c r="AG172" i="7"/>
  <c r="AF172" i="7"/>
  <c r="AE172" i="7"/>
  <c r="AD172" i="7"/>
  <c r="AC172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O172" i="7"/>
  <c r="N172" i="7"/>
  <c r="M172" i="7"/>
  <c r="L172" i="7"/>
  <c r="K172" i="7"/>
  <c r="J172" i="7"/>
  <c r="I172" i="7"/>
  <c r="AG171" i="7"/>
  <c r="AF171" i="7"/>
  <c r="AE171" i="7"/>
  <c r="AD171" i="7"/>
  <c r="AC171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O171" i="7"/>
  <c r="N171" i="7"/>
  <c r="M171" i="7"/>
  <c r="L171" i="7"/>
  <c r="K171" i="7"/>
  <c r="J171" i="7"/>
  <c r="I171" i="7"/>
  <c r="AG170" i="7"/>
  <c r="AF170" i="7"/>
  <c r="AE170" i="7"/>
  <c r="AD170" i="7"/>
  <c r="AC170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O170" i="7"/>
  <c r="N170" i="7"/>
  <c r="M170" i="7"/>
  <c r="L170" i="7"/>
  <c r="K170" i="7"/>
  <c r="J170" i="7"/>
  <c r="I170" i="7"/>
  <c r="AH169" i="7"/>
  <c r="AG169" i="7"/>
  <c r="AF169" i="7"/>
  <c r="AE169" i="7"/>
  <c r="AD169" i="7"/>
  <c r="AC169" i="7"/>
  <c r="AB169" i="7"/>
  <c r="AA169" i="7"/>
  <c r="Z169" i="7"/>
  <c r="Y169" i="7"/>
  <c r="X169" i="7"/>
  <c r="W169" i="7"/>
  <c r="V169" i="7"/>
  <c r="U169" i="7"/>
  <c r="T169" i="7"/>
  <c r="S169" i="7"/>
  <c r="R169" i="7"/>
  <c r="Q169" i="7"/>
  <c r="P169" i="7"/>
  <c r="O169" i="7"/>
  <c r="N169" i="7"/>
  <c r="M169" i="7"/>
  <c r="L169" i="7"/>
  <c r="K169" i="7"/>
  <c r="J169" i="7"/>
  <c r="I169" i="7"/>
  <c r="AG168" i="7"/>
  <c r="AF168" i="7"/>
  <c r="AE168" i="7"/>
  <c r="AD168" i="7"/>
  <c r="AC168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O168" i="7"/>
  <c r="N168" i="7"/>
  <c r="M168" i="7"/>
  <c r="L168" i="7"/>
  <c r="K168" i="7"/>
  <c r="J168" i="7"/>
  <c r="I168" i="7"/>
  <c r="AG167" i="7"/>
  <c r="AF167" i="7"/>
  <c r="AE167" i="7"/>
  <c r="AD167" i="7"/>
  <c r="AC167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O167" i="7"/>
  <c r="N167" i="7"/>
  <c r="M167" i="7"/>
  <c r="L167" i="7"/>
  <c r="K167" i="7"/>
  <c r="J167" i="7"/>
  <c r="I167" i="7"/>
  <c r="AG166" i="7"/>
  <c r="AF166" i="7"/>
  <c r="AE166" i="7"/>
  <c r="AD166" i="7"/>
  <c r="AC166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O166" i="7"/>
  <c r="N166" i="7"/>
  <c r="M166" i="7"/>
  <c r="L166" i="7"/>
  <c r="K166" i="7"/>
  <c r="J166" i="7"/>
  <c r="I166" i="7"/>
  <c r="AH165" i="7"/>
  <c r="AG165" i="7"/>
  <c r="AF165" i="7"/>
  <c r="AE165" i="7"/>
  <c r="AD165" i="7"/>
  <c r="AC165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O165" i="7"/>
  <c r="N165" i="7"/>
  <c r="M165" i="7"/>
  <c r="L165" i="7"/>
  <c r="K165" i="7"/>
  <c r="J165" i="7"/>
  <c r="I165" i="7"/>
  <c r="AG164" i="7"/>
  <c r="AF164" i="7"/>
  <c r="AE164" i="7"/>
  <c r="AD164" i="7"/>
  <c r="AC164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O164" i="7"/>
  <c r="N164" i="7"/>
  <c r="M164" i="7"/>
  <c r="L164" i="7"/>
  <c r="K164" i="7"/>
  <c r="J164" i="7"/>
  <c r="I164" i="7"/>
  <c r="AG163" i="7"/>
  <c r="AF163" i="7"/>
  <c r="AE163" i="7"/>
  <c r="AD163" i="7"/>
  <c r="AC163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O163" i="7"/>
  <c r="N163" i="7"/>
  <c r="M163" i="7"/>
  <c r="L163" i="7"/>
  <c r="K163" i="7"/>
  <c r="J163" i="7"/>
  <c r="I163" i="7"/>
  <c r="AG162" i="7"/>
  <c r="AF162" i="7"/>
  <c r="AE162" i="7"/>
  <c r="AD162" i="7"/>
  <c r="AC162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O162" i="7"/>
  <c r="N162" i="7"/>
  <c r="M162" i="7"/>
  <c r="L162" i="7"/>
  <c r="K162" i="7"/>
  <c r="J162" i="7"/>
  <c r="I162" i="7"/>
  <c r="AH161" i="7"/>
  <c r="AG161" i="7"/>
  <c r="AF161" i="7"/>
  <c r="AE161" i="7"/>
  <c r="AD161" i="7"/>
  <c r="AC161" i="7"/>
  <c r="AB161" i="7"/>
  <c r="AA161" i="7"/>
  <c r="Z161" i="7"/>
  <c r="Y161" i="7"/>
  <c r="X161" i="7"/>
  <c r="W161" i="7"/>
  <c r="V161" i="7"/>
  <c r="U161" i="7"/>
  <c r="T161" i="7"/>
  <c r="S161" i="7"/>
  <c r="R161" i="7"/>
  <c r="Q161" i="7"/>
  <c r="P161" i="7"/>
  <c r="O161" i="7"/>
  <c r="N161" i="7"/>
  <c r="M161" i="7"/>
  <c r="L161" i="7"/>
  <c r="K161" i="7"/>
  <c r="J161" i="7"/>
  <c r="I161" i="7"/>
  <c r="AH160" i="7"/>
  <c r="AG160" i="7"/>
  <c r="AF160" i="7"/>
  <c r="AE160" i="7"/>
  <c r="AD160" i="7"/>
  <c r="AC160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O160" i="7"/>
  <c r="N160" i="7"/>
  <c r="M160" i="7"/>
  <c r="L160" i="7"/>
  <c r="K160" i="7"/>
  <c r="J160" i="7"/>
  <c r="I160" i="7"/>
  <c r="AG159" i="7"/>
  <c r="AF159" i="7"/>
  <c r="AE159" i="7"/>
  <c r="AD159" i="7"/>
  <c r="AC159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O159" i="7"/>
  <c r="N159" i="7"/>
  <c r="M159" i="7"/>
  <c r="L159" i="7"/>
  <c r="K159" i="7"/>
  <c r="J159" i="7"/>
  <c r="I159" i="7"/>
  <c r="AG158" i="7"/>
  <c r="AF158" i="7"/>
  <c r="AE158" i="7"/>
  <c r="AD158" i="7"/>
  <c r="AC158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O158" i="7"/>
  <c r="N158" i="7"/>
  <c r="M158" i="7"/>
  <c r="L158" i="7"/>
  <c r="K158" i="7"/>
  <c r="J158" i="7"/>
  <c r="I158" i="7"/>
  <c r="AH157" i="7"/>
  <c r="AG157" i="7"/>
  <c r="AF157" i="7"/>
  <c r="AE157" i="7"/>
  <c r="AD157" i="7"/>
  <c r="AC157" i="7"/>
  <c r="AB157" i="7"/>
  <c r="AA157" i="7"/>
  <c r="Z157" i="7"/>
  <c r="Y157" i="7"/>
  <c r="X157" i="7"/>
  <c r="W157" i="7"/>
  <c r="V157" i="7"/>
  <c r="U157" i="7"/>
  <c r="T157" i="7"/>
  <c r="S157" i="7"/>
  <c r="R157" i="7"/>
  <c r="Q157" i="7"/>
  <c r="P157" i="7"/>
  <c r="O157" i="7"/>
  <c r="N157" i="7"/>
  <c r="M157" i="7"/>
  <c r="L157" i="7"/>
  <c r="K157" i="7"/>
  <c r="J157" i="7"/>
  <c r="I157" i="7"/>
  <c r="AH156" i="7"/>
  <c r="AG156" i="7"/>
  <c r="AF156" i="7"/>
  <c r="AE156" i="7"/>
  <c r="AD156" i="7"/>
  <c r="AC156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O156" i="7"/>
  <c r="N156" i="7"/>
  <c r="M156" i="7"/>
  <c r="L156" i="7"/>
  <c r="K156" i="7"/>
  <c r="J156" i="7"/>
  <c r="I156" i="7"/>
  <c r="AH155" i="7"/>
  <c r="AG155" i="7"/>
  <c r="AF155" i="7"/>
  <c r="AE155" i="7"/>
  <c r="AD155" i="7"/>
  <c r="AC155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O155" i="7"/>
  <c r="N155" i="7"/>
  <c r="M155" i="7"/>
  <c r="L155" i="7"/>
  <c r="K155" i="7"/>
  <c r="J155" i="7"/>
  <c r="I155" i="7"/>
  <c r="AG154" i="7"/>
  <c r="AF154" i="7"/>
  <c r="AE154" i="7"/>
  <c r="AD154" i="7"/>
  <c r="AC154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O154" i="7"/>
  <c r="N154" i="7"/>
  <c r="M154" i="7"/>
  <c r="L154" i="7"/>
  <c r="K154" i="7"/>
  <c r="J154" i="7"/>
  <c r="I154" i="7"/>
  <c r="AH153" i="7"/>
  <c r="AG153" i="7"/>
  <c r="AF153" i="7"/>
  <c r="AE153" i="7"/>
  <c r="AD153" i="7"/>
  <c r="AC153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O153" i="7"/>
  <c r="N153" i="7"/>
  <c r="M153" i="7"/>
  <c r="L153" i="7"/>
  <c r="K153" i="7"/>
  <c r="J153" i="7"/>
  <c r="I153" i="7"/>
  <c r="AH152" i="7"/>
  <c r="AG152" i="7"/>
  <c r="AF152" i="7"/>
  <c r="AE152" i="7"/>
  <c r="AD152" i="7"/>
  <c r="AC152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O152" i="7"/>
  <c r="N152" i="7"/>
  <c r="M152" i="7"/>
  <c r="L152" i="7"/>
  <c r="K152" i="7"/>
  <c r="J152" i="7"/>
  <c r="I152" i="7"/>
  <c r="AH151" i="7"/>
  <c r="AG151" i="7"/>
  <c r="AF151" i="7"/>
  <c r="AE151" i="7"/>
  <c r="AD151" i="7"/>
  <c r="AC151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O151" i="7"/>
  <c r="N151" i="7"/>
  <c r="M151" i="7"/>
  <c r="L151" i="7"/>
  <c r="K151" i="7"/>
  <c r="J151" i="7"/>
  <c r="I151" i="7"/>
  <c r="AG150" i="7"/>
  <c r="AF150" i="7"/>
  <c r="AE150" i="7"/>
  <c r="AD150" i="7"/>
  <c r="AC150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O150" i="7"/>
  <c r="N150" i="7"/>
  <c r="M150" i="7"/>
  <c r="L150" i="7"/>
  <c r="K150" i="7"/>
  <c r="J150" i="7"/>
  <c r="I150" i="7"/>
  <c r="AH149" i="7"/>
  <c r="AG149" i="7"/>
  <c r="AF149" i="7"/>
  <c r="AE149" i="7"/>
  <c r="AD149" i="7"/>
  <c r="AC149" i="7"/>
  <c r="AB149" i="7"/>
  <c r="AA149" i="7"/>
  <c r="Z149" i="7"/>
  <c r="Y149" i="7"/>
  <c r="X149" i="7"/>
  <c r="W149" i="7"/>
  <c r="V149" i="7"/>
  <c r="U149" i="7"/>
  <c r="T149" i="7"/>
  <c r="S149" i="7"/>
  <c r="R149" i="7"/>
  <c r="Q149" i="7"/>
  <c r="P149" i="7"/>
  <c r="O149" i="7"/>
  <c r="N149" i="7"/>
  <c r="M149" i="7"/>
  <c r="L149" i="7"/>
  <c r="K149" i="7"/>
  <c r="J149" i="7"/>
  <c r="I149" i="7"/>
  <c r="AH148" i="7"/>
  <c r="AG148" i="7"/>
  <c r="AF148" i="7"/>
  <c r="AE148" i="7"/>
  <c r="AD148" i="7"/>
  <c r="AC148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O148" i="7"/>
  <c r="N148" i="7"/>
  <c r="M148" i="7"/>
  <c r="L148" i="7"/>
  <c r="K148" i="7"/>
  <c r="J148" i="7"/>
  <c r="I148" i="7"/>
  <c r="AH147" i="7"/>
  <c r="AG147" i="7"/>
  <c r="AF147" i="7"/>
  <c r="AE147" i="7"/>
  <c r="AD147" i="7"/>
  <c r="AC147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O147" i="7"/>
  <c r="N147" i="7"/>
  <c r="M147" i="7"/>
  <c r="L147" i="7"/>
  <c r="K147" i="7"/>
  <c r="J147" i="7"/>
  <c r="I147" i="7"/>
  <c r="AG146" i="7"/>
  <c r="AF146" i="7"/>
  <c r="AE146" i="7"/>
  <c r="AD146" i="7"/>
  <c r="AC146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O146" i="7"/>
  <c r="N146" i="7"/>
  <c r="M146" i="7"/>
  <c r="L146" i="7"/>
  <c r="K146" i="7"/>
  <c r="J146" i="7"/>
  <c r="I146" i="7"/>
  <c r="AH145" i="7"/>
  <c r="AG145" i="7"/>
  <c r="AF145" i="7"/>
  <c r="AE145" i="7"/>
  <c r="AD145" i="7"/>
  <c r="AC145" i="7"/>
  <c r="AB145" i="7"/>
  <c r="AA145" i="7"/>
  <c r="Z145" i="7"/>
  <c r="Y145" i="7"/>
  <c r="X145" i="7"/>
  <c r="W145" i="7"/>
  <c r="V145" i="7"/>
  <c r="U145" i="7"/>
  <c r="T145" i="7"/>
  <c r="S145" i="7"/>
  <c r="R145" i="7"/>
  <c r="Q145" i="7"/>
  <c r="P145" i="7"/>
  <c r="O145" i="7"/>
  <c r="N145" i="7"/>
  <c r="M145" i="7"/>
  <c r="L145" i="7"/>
  <c r="K145" i="7"/>
  <c r="J145" i="7"/>
  <c r="I145" i="7"/>
  <c r="AH144" i="7"/>
  <c r="AG144" i="7"/>
  <c r="AF144" i="7"/>
  <c r="AE144" i="7"/>
  <c r="AD144" i="7"/>
  <c r="AC144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O144" i="7"/>
  <c r="N144" i="7"/>
  <c r="M144" i="7"/>
  <c r="L144" i="7"/>
  <c r="K144" i="7"/>
  <c r="J144" i="7"/>
  <c r="I144" i="7"/>
  <c r="AG143" i="7"/>
  <c r="AF143" i="7"/>
  <c r="AE143" i="7"/>
  <c r="AD143" i="7"/>
  <c r="AC143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O143" i="7"/>
  <c r="N143" i="7"/>
  <c r="M143" i="7"/>
  <c r="L143" i="7"/>
  <c r="K143" i="7"/>
  <c r="J143" i="7"/>
  <c r="I143" i="7"/>
  <c r="AG142" i="7"/>
  <c r="AF142" i="7"/>
  <c r="AE142" i="7"/>
  <c r="AD142" i="7"/>
  <c r="AC142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O142" i="7"/>
  <c r="N142" i="7"/>
  <c r="M142" i="7"/>
  <c r="L142" i="7"/>
  <c r="K142" i="7"/>
  <c r="J142" i="7"/>
  <c r="I142" i="7"/>
  <c r="AH141" i="7"/>
  <c r="AG141" i="7"/>
  <c r="AF141" i="7"/>
  <c r="AE141" i="7"/>
  <c r="AD141" i="7"/>
  <c r="AC141" i="7"/>
  <c r="AB141" i="7"/>
  <c r="AA141" i="7"/>
  <c r="Z141" i="7"/>
  <c r="Y141" i="7"/>
  <c r="X141" i="7"/>
  <c r="W141" i="7"/>
  <c r="V141" i="7"/>
  <c r="U141" i="7"/>
  <c r="T141" i="7"/>
  <c r="S141" i="7"/>
  <c r="R141" i="7"/>
  <c r="Q141" i="7"/>
  <c r="P141" i="7"/>
  <c r="O141" i="7"/>
  <c r="N141" i="7"/>
  <c r="M141" i="7"/>
  <c r="L141" i="7"/>
  <c r="K141" i="7"/>
  <c r="J141" i="7"/>
  <c r="I141" i="7"/>
  <c r="AH140" i="7"/>
  <c r="AG140" i="7"/>
  <c r="AF140" i="7"/>
  <c r="AE140" i="7"/>
  <c r="AD140" i="7"/>
  <c r="AC140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O140" i="7"/>
  <c r="N140" i="7"/>
  <c r="M140" i="7"/>
  <c r="L140" i="7"/>
  <c r="K140" i="7"/>
  <c r="J140" i="7"/>
  <c r="I140" i="7"/>
  <c r="AH139" i="7"/>
  <c r="AG139" i="7"/>
  <c r="AF139" i="7"/>
  <c r="AE139" i="7"/>
  <c r="AD139" i="7"/>
  <c r="AC139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O139" i="7"/>
  <c r="N139" i="7"/>
  <c r="M139" i="7"/>
  <c r="L139" i="7"/>
  <c r="K139" i="7"/>
  <c r="J139" i="7"/>
  <c r="I139" i="7"/>
  <c r="AG138" i="7"/>
  <c r="AF138" i="7"/>
  <c r="AE138" i="7"/>
  <c r="AD138" i="7"/>
  <c r="AC138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O138" i="7"/>
  <c r="N138" i="7"/>
  <c r="M138" i="7"/>
  <c r="L138" i="7"/>
  <c r="K138" i="7"/>
  <c r="J138" i="7"/>
  <c r="I138" i="7"/>
  <c r="AH137" i="7"/>
  <c r="AG137" i="7"/>
  <c r="AF137" i="7"/>
  <c r="AE137" i="7"/>
  <c r="AD137" i="7"/>
  <c r="AC137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O137" i="7"/>
  <c r="N137" i="7"/>
  <c r="M137" i="7"/>
  <c r="L137" i="7"/>
  <c r="K137" i="7"/>
  <c r="J137" i="7"/>
  <c r="I137" i="7"/>
  <c r="AH136" i="7"/>
  <c r="AG136" i="7"/>
  <c r="AF136" i="7"/>
  <c r="AE136" i="7"/>
  <c r="AD136" i="7"/>
  <c r="AC136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O136" i="7"/>
  <c r="N136" i="7"/>
  <c r="M136" i="7"/>
  <c r="L136" i="7"/>
  <c r="K136" i="7"/>
  <c r="J136" i="7"/>
  <c r="I136" i="7"/>
  <c r="AH135" i="7"/>
  <c r="AG135" i="7"/>
  <c r="AF135" i="7"/>
  <c r="AE135" i="7"/>
  <c r="AD135" i="7"/>
  <c r="AC135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AG134" i="7"/>
  <c r="AF134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AH133" i="7"/>
  <c r="AG133" i="7"/>
  <c r="AF133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AH132" i="7"/>
  <c r="AG132" i="7"/>
  <c r="AF132" i="7"/>
  <c r="AE132" i="7"/>
  <c r="AD132" i="7"/>
  <c r="AC132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O132" i="7"/>
  <c r="N132" i="7"/>
  <c r="M132" i="7"/>
  <c r="L132" i="7"/>
  <c r="K132" i="7"/>
  <c r="J132" i="7"/>
  <c r="I132" i="7"/>
  <c r="AH131" i="7"/>
  <c r="AG131" i="7"/>
  <c r="AF131" i="7"/>
  <c r="AE131" i="7"/>
  <c r="AD131" i="7"/>
  <c r="AC131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O131" i="7"/>
  <c r="N131" i="7"/>
  <c r="M131" i="7"/>
  <c r="L131" i="7"/>
  <c r="K131" i="7"/>
  <c r="J131" i="7"/>
  <c r="I131" i="7"/>
  <c r="AG130" i="7"/>
  <c r="AF130" i="7"/>
  <c r="AE130" i="7"/>
  <c r="AD130" i="7"/>
  <c r="AC130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O130" i="7"/>
  <c r="N130" i="7"/>
  <c r="M130" i="7"/>
  <c r="L130" i="7"/>
  <c r="K130" i="7"/>
  <c r="J130" i="7"/>
  <c r="I130" i="7"/>
  <c r="AH129" i="7"/>
  <c r="AG129" i="7"/>
  <c r="AF129" i="7"/>
  <c r="AE129" i="7"/>
  <c r="AD129" i="7"/>
  <c r="AC129" i="7"/>
  <c r="AB129" i="7"/>
  <c r="AA129" i="7"/>
  <c r="Z129" i="7"/>
  <c r="Y129" i="7"/>
  <c r="X129" i="7"/>
  <c r="W129" i="7"/>
  <c r="V129" i="7"/>
  <c r="U129" i="7"/>
  <c r="T129" i="7"/>
  <c r="S129" i="7"/>
  <c r="R129" i="7"/>
  <c r="Q129" i="7"/>
  <c r="P129" i="7"/>
  <c r="O129" i="7"/>
  <c r="N129" i="7"/>
  <c r="M129" i="7"/>
  <c r="L129" i="7"/>
  <c r="K129" i="7"/>
  <c r="J129" i="7"/>
  <c r="I129" i="7"/>
  <c r="AH128" i="7"/>
  <c r="AG128" i="7"/>
  <c r="AF128" i="7"/>
  <c r="AE128" i="7"/>
  <c r="AD128" i="7"/>
  <c r="AC128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O128" i="7"/>
  <c r="N128" i="7"/>
  <c r="M128" i="7"/>
  <c r="L128" i="7"/>
  <c r="K128" i="7"/>
  <c r="J128" i="7"/>
  <c r="I128" i="7"/>
  <c r="AH127" i="7"/>
  <c r="AG127" i="7"/>
  <c r="AF127" i="7"/>
  <c r="AE127" i="7"/>
  <c r="AD127" i="7"/>
  <c r="AC127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O127" i="7"/>
  <c r="N127" i="7"/>
  <c r="M127" i="7"/>
  <c r="L127" i="7"/>
  <c r="K127" i="7"/>
  <c r="J127" i="7"/>
  <c r="I127" i="7"/>
  <c r="AG126" i="7"/>
  <c r="AF126" i="7"/>
  <c r="AE126" i="7"/>
  <c r="AD126" i="7"/>
  <c r="AC126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O126" i="7"/>
  <c r="N126" i="7"/>
  <c r="M126" i="7"/>
  <c r="L126" i="7"/>
  <c r="K126" i="7"/>
  <c r="J126" i="7"/>
  <c r="I126" i="7"/>
  <c r="AH125" i="7"/>
  <c r="AG125" i="7"/>
  <c r="AF125" i="7"/>
  <c r="AE125" i="7"/>
  <c r="AD125" i="7"/>
  <c r="AC125" i="7"/>
  <c r="AB125" i="7"/>
  <c r="AA125" i="7"/>
  <c r="Z125" i="7"/>
  <c r="Y125" i="7"/>
  <c r="X125" i="7"/>
  <c r="W125" i="7"/>
  <c r="V125" i="7"/>
  <c r="U125" i="7"/>
  <c r="T125" i="7"/>
  <c r="S125" i="7"/>
  <c r="R125" i="7"/>
  <c r="Q125" i="7"/>
  <c r="P125" i="7"/>
  <c r="O125" i="7"/>
  <c r="N125" i="7"/>
  <c r="M125" i="7"/>
  <c r="L125" i="7"/>
  <c r="K125" i="7"/>
  <c r="J125" i="7"/>
  <c r="I125" i="7"/>
  <c r="AH124" i="7"/>
  <c r="AG124" i="7"/>
  <c r="AF124" i="7"/>
  <c r="AE124" i="7"/>
  <c r="AD124" i="7"/>
  <c r="AC124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O124" i="7"/>
  <c r="N124" i="7"/>
  <c r="M124" i="7"/>
  <c r="L124" i="7"/>
  <c r="K124" i="7"/>
  <c r="J124" i="7"/>
  <c r="I124" i="7"/>
  <c r="AH123" i="7"/>
  <c r="AG123" i="7"/>
  <c r="AF123" i="7"/>
  <c r="AE123" i="7"/>
  <c r="AD123" i="7"/>
  <c r="AC123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O123" i="7"/>
  <c r="N123" i="7"/>
  <c r="M123" i="7"/>
  <c r="L123" i="7"/>
  <c r="K123" i="7"/>
  <c r="J123" i="7"/>
  <c r="I123" i="7"/>
  <c r="AG122" i="7"/>
  <c r="AF122" i="7"/>
  <c r="AE122" i="7"/>
  <c r="AD122" i="7"/>
  <c r="AC122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O122" i="7"/>
  <c r="N122" i="7"/>
  <c r="M122" i="7"/>
  <c r="L122" i="7"/>
  <c r="K122" i="7"/>
  <c r="J122" i="7"/>
  <c r="I122" i="7"/>
  <c r="AH121" i="7"/>
  <c r="AG121" i="7"/>
  <c r="AF121" i="7"/>
  <c r="AE121" i="7"/>
  <c r="AD121" i="7"/>
  <c r="AC121" i="7"/>
  <c r="AB121" i="7"/>
  <c r="AA121" i="7"/>
  <c r="Z121" i="7"/>
  <c r="Y121" i="7"/>
  <c r="X121" i="7"/>
  <c r="W121" i="7"/>
  <c r="V121" i="7"/>
  <c r="U121" i="7"/>
  <c r="T121" i="7"/>
  <c r="S121" i="7"/>
  <c r="R121" i="7"/>
  <c r="Q121" i="7"/>
  <c r="P121" i="7"/>
  <c r="O121" i="7"/>
  <c r="N121" i="7"/>
  <c r="M121" i="7"/>
  <c r="L121" i="7"/>
  <c r="K121" i="7"/>
  <c r="J121" i="7"/>
  <c r="I121" i="7"/>
  <c r="AH120" i="7"/>
  <c r="AG120" i="7"/>
  <c r="AF120" i="7"/>
  <c r="AE120" i="7"/>
  <c r="AD120" i="7"/>
  <c r="AC120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O120" i="7"/>
  <c r="N120" i="7"/>
  <c r="M120" i="7"/>
  <c r="L120" i="7"/>
  <c r="K120" i="7"/>
  <c r="J120" i="7"/>
  <c r="I120" i="7"/>
  <c r="AH119" i="7"/>
  <c r="AG119" i="7"/>
  <c r="AF119" i="7"/>
  <c r="AE119" i="7"/>
  <c r="AD119" i="7"/>
  <c r="AC119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O119" i="7"/>
  <c r="N119" i="7"/>
  <c r="M119" i="7"/>
  <c r="L119" i="7"/>
  <c r="K119" i="7"/>
  <c r="J119" i="7"/>
  <c r="I119" i="7"/>
  <c r="AG118" i="7"/>
  <c r="AF118" i="7"/>
  <c r="AE118" i="7"/>
  <c r="AD118" i="7"/>
  <c r="AC118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O118" i="7"/>
  <c r="N118" i="7"/>
  <c r="M118" i="7"/>
  <c r="L118" i="7"/>
  <c r="K118" i="7"/>
  <c r="J118" i="7"/>
  <c r="I118" i="7"/>
  <c r="AH117" i="7"/>
  <c r="AG117" i="7"/>
  <c r="AF117" i="7"/>
  <c r="AE117" i="7"/>
  <c r="AD117" i="7"/>
  <c r="AC117" i="7"/>
  <c r="AB117" i="7"/>
  <c r="AA117" i="7"/>
  <c r="Z117" i="7"/>
  <c r="Y117" i="7"/>
  <c r="X117" i="7"/>
  <c r="W117" i="7"/>
  <c r="V117" i="7"/>
  <c r="U117" i="7"/>
  <c r="T117" i="7"/>
  <c r="S117" i="7"/>
  <c r="R117" i="7"/>
  <c r="Q117" i="7"/>
  <c r="P117" i="7"/>
  <c r="O117" i="7"/>
  <c r="N117" i="7"/>
  <c r="M117" i="7"/>
  <c r="L117" i="7"/>
  <c r="K117" i="7"/>
  <c r="J117" i="7"/>
  <c r="I117" i="7"/>
  <c r="AH116" i="7"/>
  <c r="AG116" i="7"/>
  <c r="AF116" i="7"/>
  <c r="AE116" i="7"/>
  <c r="AD116" i="7"/>
  <c r="AC116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O116" i="7"/>
  <c r="N116" i="7"/>
  <c r="M116" i="7"/>
  <c r="L116" i="7"/>
  <c r="K116" i="7"/>
  <c r="J116" i="7"/>
  <c r="I116" i="7"/>
  <c r="AH115" i="7"/>
  <c r="AG115" i="7"/>
  <c r="AF115" i="7"/>
  <c r="AE115" i="7"/>
  <c r="AD115" i="7"/>
  <c r="AC115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O115" i="7"/>
  <c r="N115" i="7"/>
  <c r="M115" i="7"/>
  <c r="L115" i="7"/>
  <c r="K115" i="7"/>
  <c r="J115" i="7"/>
  <c r="I115" i="7"/>
  <c r="AG114" i="7"/>
  <c r="AF114" i="7"/>
  <c r="AE114" i="7"/>
  <c r="AD114" i="7"/>
  <c r="AC114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O114" i="7"/>
  <c r="N114" i="7"/>
  <c r="M114" i="7"/>
  <c r="L114" i="7"/>
  <c r="K114" i="7"/>
  <c r="J114" i="7"/>
  <c r="I114" i="7"/>
  <c r="AH113" i="7"/>
  <c r="AG113" i="7"/>
  <c r="AF113" i="7"/>
  <c r="AE113" i="7"/>
  <c r="AD113" i="7"/>
  <c r="AC113" i="7"/>
  <c r="AB113" i="7"/>
  <c r="AA113" i="7"/>
  <c r="Z113" i="7"/>
  <c r="Y113" i="7"/>
  <c r="X113" i="7"/>
  <c r="W113" i="7"/>
  <c r="V113" i="7"/>
  <c r="U113" i="7"/>
  <c r="T113" i="7"/>
  <c r="S113" i="7"/>
  <c r="R113" i="7"/>
  <c r="Q113" i="7"/>
  <c r="P113" i="7"/>
  <c r="O113" i="7"/>
  <c r="N113" i="7"/>
  <c r="M113" i="7"/>
  <c r="L113" i="7"/>
  <c r="K113" i="7"/>
  <c r="J113" i="7"/>
  <c r="I113" i="7"/>
  <c r="AH112" i="7"/>
  <c r="AG112" i="7"/>
  <c r="AF112" i="7"/>
  <c r="AE112" i="7"/>
  <c r="AD112" i="7"/>
  <c r="AC112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O112" i="7"/>
  <c r="N112" i="7"/>
  <c r="M112" i="7"/>
  <c r="L112" i="7"/>
  <c r="K112" i="7"/>
  <c r="J112" i="7"/>
  <c r="I112" i="7"/>
  <c r="AH111" i="7"/>
  <c r="AG111" i="7"/>
  <c r="AF111" i="7"/>
  <c r="AE111" i="7"/>
  <c r="AD111" i="7"/>
  <c r="AC111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O111" i="7"/>
  <c r="N111" i="7"/>
  <c r="M111" i="7"/>
  <c r="L111" i="7"/>
  <c r="K111" i="7"/>
  <c r="J111" i="7"/>
  <c r="I111" i="7"/>
  <c r="AG110" i="7"/>
  <c r="AF110" i="7"/>
  <c r="AE110" i="7"/>
  <c r="AD110" i="7"/>
  <c r="AC110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O110" i="7"/>
  <c r="N110" i="7"/>
  <c r="M110" i="7"/>
  <c r="L110" i="7"/>
  <c r="K110" i="7"/>
  <c r="J110" i="7"/>
  <c r="I110" i="7"/>
  <c r="AH109" i="7"/>
  <c r="AG109" i="7"/>
  <c r="AF109" i="7"/>
  <c r="AE109" i="7"/>
  <c r="AD109" i="7"/>
  <c r="AC109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O109" i="7"/>
  <c r="N109" i="7"/>
  <c r="M109" i="7"/>
  <c r="L109" i="7"/>
  <c r="K109" i="7"/>
  <c r="J109" i="7"/>
  <c r="I109" i="7"/>
  <c r="AH108" i="7"/>
  <c r="AG108" i="7"/>
  <c r="AF108" i="7"/>
  <c r="AE108" i="7"/>
  <c r="AD108" i="7"/>
  <c r="AC108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O108" i="7"/>
  <c r="N108" i="7"/>
  <c r="M108" i="7"/>
  <c r="L108" i="7"/>
  <c r="K108" i="7"/>
  <c r="J108" i="7"/>
  <c r="I108" i="7"/>
  <c r="AH107" i="7"/>
  <c r="AG107" i="7"/>
  <c r="AF107" i="7"/>
  <c r="AE107" i="7"/>
  <c r="AD107" i="7"/>
  <c r="AC107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O107" i="7"/>
  <c r="N107" i="7"/>
  <c r="M107" i="7"/>
  <c r="L107" i="7"/>
  <c r="K107" i="7"/>
  <c r="J107" i="7"/>
  <c r="I107" i="7"/>
  <c r="AG106" i="7"/>
  <c r="AF106" i="7"/>
  <c r="AE106" i="7"/>
  <c r="AD106" i="7"/>
  <c r="AC106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O106" i="7"/>
  <c r="N106" i="7"/>
  <c r="M106" i="7"/>
  <c r="L106" i="7"/>
  <c r="K106" i="7"/>
  <c r="J106" i="7"/>
  <c r="I106" i="7"/>
  <c r="AH105" i="7"/>
  <c r="AG105" i="7"/>
  <c r="AF105" i="7"/>
  <c r="AE105" i="7"/>
  <c r="AD105" i="7"/>
  <c r="AC105" i="7"/>
  <c r="AB105" i="7"/>
  <c r="AA105" i="7"/>
  <c r="Z105" i="7"/>
  <c r="Y105" i="7"/>
  <c r="X105" i="7"/>
  <c r="W105" i="7"/>
  <c r="V105" i="7"/>
  <c r="U105" i="7"/>
  <c r="T105" i="7"/>
  <c r="S105" i="7"/>
  <c r="R105" i="7"/>
  <c r="Q105" i="7"/>
  <c r="P105" i="7"/>
  <c r="O105" i="7"/>
  <c r="N105" i="7"/>
  <c r="M105" i="7"/>
  <c r="L105" i="7"/>
  <c r="K105" i="7"/>
  <c r="J105" i="7"/>
  <c r="I105" i="7"/>
  <c r="AH104" i="7"/>
  <c r="AG104" i="7"/>
  <c r="AF104" i="7"/>
  <c r="AE104" i="7"/>
  <c r="AD104" i="7"/>
  <c r="AC104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O104" i="7"/>
  <c r="N104" i="7"/>
  <c r="M104" i="7"/>
  <c r="L104" i="7"/>
  <c r="K104" i="7"/>
  <c r="J104" i="7"/>
  <c r="I104" i="7"/>
  <c r="AH103" i="7"/>
  <c r="AG103" i="7"/>
  <c r="AF103" i="7"/>
  <c r="AE103" i="7"/>
  <c r="AD103" i="7"/>
  <c r="AC103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O103" i="7"/>
  <c r="N103" i="7"/>
  <c r="M103" i="7"/>
  <c r="L103" i="7"/>
  <c r="K103" i="7"/>
  <c r="J103" i="7"/>
  <c r="I103" i="7"/>
  <c r="AG102" i="7"/>
  <c r="AF102" i="7"/>
  <c r="AE102" i="7"/>
  <c r="AD102" i="7"/>
  <c r="AC102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O102" i="7"/>
  <c r="N102" i="7"/>
  <c r="M102" i="7"/>
  <c r="L102" i="7"/>
  <c r="K102" i="7"/>
  <c r="J102" i="7"/>
  <c r="I102" i="7"/>
  <c r="AH101" i="7"/>
  <c r="AG101" i="7"/>
  <c r="AF101" i="7"/>
  <c r="AE101" i="7"/>
  <c r="AD101" i="7"/>
  <c r="AC101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O101" i="7"/>
  <c r="N101" i="7"/>
  <c r="M101" i="7"/>
  <c r="L101" i="7"/>
  <c r="K101" i="7"/>
  <c r="J101" i="7"/>
  <c r="I101" i="7"/>
  <c r="AH100" i="7"/>
  <c r="AG100" i="7"/>
  <c r="AF100" i="7"/>
  <c r="AE100" i="7"/>
  <c r="AD100" i="7"/>
  <c r="AC100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O100" i="7"/>
  <c r="N100" i="7"/>
  <c r="M100" i="7"/>
  <c r="L100" i="7"/>
  <c r="K100" i="7"/>
  <c r="J100" i="7"/>
  <c r="I100" i="7"/>
  <c r="AH99" i="7"/>
  <c r="AG99" i="7"/>
  <c r="AF99" i="7"/>
  <c r="AE99" i="7"/>
  <c r="AD99" i="7"/>
  <c r="AC99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O99" i="7"/>
  <c r="N99" i="7"/>
  <c r="M99" i="7"/>
  <c r="L99" i="7"/>
  <c r="K99" i="7"/>
  <c r="J99" i="7"/>
  <c r="I99" i="7"/>
  <c r="AG98" i="7"/>
  <c r="AF98" i="7"/>
  <c r="AE98" i="7"/>
  <c r="AD98" i="7"/>
  <c r="AC98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O98" i="7"/>
  <c r="N98" i="7"/>
  <c r="M98" i="7"/>
  <c r="L98" i="7"/>
  <c r="K98" i="7"/>
  <c r="J98" i="7"/>
  <c r="I98" i="7"/>
  <c r="AH97" i="7"/>
  <c r="AG97" i="7"/>
  <c r="AF97" i="7"/>
  <c r="AE97" i="7"/>
  <c r="AD97" i="7"/>
  <c r="AC97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O97" i="7"/>
  <c r="N97" i="7"/>
  <c r="M97" i="7"/>
  <c r="L97" i="7"/>
  <c r="K97" i="7"/>
  <c r="J97" i="7"/>
  <c r="I97" i="7"/>
  <c r="AH96" i="7"/>
  <c r="AG96" i="7"/>
  <c r="AF96" i="7"/>
  <c r="AE96" i="7"/>
  <c r="AD96" i="7"/>
  <c r="AC96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O96" i="7"/>
  <c r="N96" i="7"/>
  <c r="M96" i="7"/>
  <c r="L96" i="7"/>
  <c r="K96" i="7"/>
  <c r="J96" i="7"/>
  <c r="I96" i="7"/>
  <c r="AH95" i="7"/>
  <c r="AG95" i="7"/>
  <c r="AF95" i="7"/>
  <c r="AE95" i="7"/>
  <c r="AD95" i="7"/>
  <c r="AC95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O95" i="7"/>
  <c r="N95" i="7"/>
  <c r="M95" i="7"/>
  <c r="L95" i="7"/>
  <c r="K95" i="7"/>
  <c r="J95" i="7"/>
  <c r="I95" i="7"/>
  <c r="AG94" i="7"/>
  <c r="AF94" i="7"/>
  <c r="AE94" i="7"/>
  <c r="AD94" i="7"/>
  <c r="AC94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O94" i="7"/>
  <c r="N94" i="7"/>
  <c r="M94" i="7"/>
  <c r="L94" i="7"/>
  <c r="K94" i="7"/>
  <c r="J94" i="7"/>
  <c r="I94" i="7"/>
  <c r="AH93" i="7"/>
  <c r="AG93" i="7"/>
  <c r="AF93" i="7"/>
  <c r="AE93" i="7"/>
  <c r="AD93" i="7"/>
  <c r="AC93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O93" i="7"/>
  <c r="N93" i="7"/>
  <c r="M93" i="7"/>
  <c r="L93" i="7"/>
  <c r="K93" i="7"/>
  <c r="J93" i="7"/>
  <c r="I93" i="7"/>
  <c r="AH92" i="7"/>
  <c r="AG92" i="7"/>
  <c r="AF92" i="7"/>
  <c r="AE92" i="7"/>
  <c r="AD92" i="7"/>
  <c r="AC92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AH91" i="7"/>
  <c r="AG91" i="7"/>
  <c r="AF91" i="7"/>
  <c r="AE91" i="7"/>
  <c r="AD91" i="7"/>
  <c r="AC91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O91" i="7"/>
  <c r="N91" i="7"/>
  <c r="M91" i="7"/>
  <c r="L91" i="7"/>
  <c r="K91" i="7"/>
  <c r="J91" i="7"/>
  <c r="I91" i="7"/>
  <c r="AG90" i="7"/>
  <c r="AF90" i="7"/>
  <c r="AE90" i="7"/>
  <c r="AD90" i="7"/>
  <c r="AC90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O90" i="7"/>
  <c r="N90" i="7"/>
  <c r="M90" i="7"/>
  <c r="L90" i="7"/>
  <c r="K90" i="7"/>
  <c r="J90" i="7"/>
  <c r="I90" i="7"/>
  <c r="AH89" i="7"/>
  <c r="AG89" i="7"/>
  <c r="AF89" i="7"/>
  <c r="AE89" i="7"/>
  <c r="AD89" i="7"/>
  <c r="AC89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O89" i="7"/>
  <c r="N89" i="7"/>
  <c r="M89" i="7"/>
  <c r="L89" i="7"/>
  <c r="K89" i="7"/>
  <c r="J89" i="7"/>
  <c r="I89" i="7"/>
  <c r="AH88" i="7"/>
  <c r="AG88" i="7"/>
  <c r="AF88" i="7"/>
  <c r="AE88" i="7"/>
  <c r="AD88" i="7"/>
  <c r="AC88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O88" i="7"/>
  <c r="N88" i="7"/>
  <c r="M88" i="7"/>
  <c r="L88" i="7"/>
  <c r="K88" i="7"/>
  <c r="J88" i="7"/>
  <c r="I88" i="7"/>
  <c r="AH87" i="7"/>
  <c r="AG87" i="7"/>
  <c r="AF87" i="7"/>
  <c r="AE87" i="7"/>
  <c r="AD87" i="7"/>
  <c r="AC87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O87" i="7"/>
  <c r="N87" i="7"/>
  <c r="M87" i="7"/>
  <c r="L87" i="7"/>
  <c r="K87" i="7"/>
  <c r="J87" i="7"/>
  <c r="I87" i="7"/>
  <c r="AG86" i="7"/>
  <c r="AF86" i="7"/>
  <c r="AE86" i="7"/>
  <c r="AD86" i="7"/>
  <c r="AC86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AH84" i="7"/>
  <c r="AG84" i="7"/>
  <c r="AF84" i="7"/>
  <c r="AE84" i="7"/>
  <c r="AD84" i="7"/>
  <c r="AC84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O84" i="7"/>
  <c r="N84" i="7"/>
  <c r="M84" i="7"/>
  <c r="L84" i="7"/>
  <c r="K84" i="7"/>
  <c r="J84" i="7"/>
  <c r="I84" i="7"/>
  <c r="AH83" i="7"/>
  <c r="AG83" i="7"/>
  <c r="AF83" i="7"/>
  <c r="AE83" i="7"/>
  <c r="AD83" i="7"/>
  <c r="AC83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AG82" i="7"/>
  <c r="AF82" i="7"/>
  <c r="AE82" i="7"/>
  <c r="AD82" i="7"/>
  <c r="AC82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AH80" i="7"/>
  <c r="AG80" i="7"/>
  <c r="AF80" i="7"/>
  <c r="AE80" i="7"/>
  <c r="AD80" i="7"/>
  <c r="AC80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AH79" i="7"/>
  <c r="AG79" i="7"/>
  <c r="AF79" i="7"/>
  <c r="AE79" i="7"/>
  <c r="AD79" i="7"/>
  <c r="AC79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O79" i="7"/>
  <c r="N79" i="7"/>
  <c r="M79" i="7"/>
  <c r="L79" i="7"/>
  <c r="K79" i="7"/>
  <c r="J79" i="7"/>
  <c r="I79" i="7"/>
  <c r="AG78" i="7"/>
  <c r="AF78" i="7"/>
  <c r="AE78" i="7"/>
  <c r="AD78" i="7"/>
  <c r="AC78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O78" i="7"/>
  <c r="N78" i="7"/>
  <c r="M78" i="7"/>
  <c r="L78" i="7"/>
  <c r="K78" i="7"/>
  <c r="J78" i="7"/>
  <c r="I78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AH75" i="7"/>
  <c r="AG75" i="7"/>
  <c r="AF75" i="7"/>
  <c r="AE75" i="7"/>
  <c r="AD75" i="7"/>
  <c r="AC75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AG74" i="7"/>
  <c r="AF74" i="7"/>
  <c r="AE74" i="7"/>
  <c r="AD74" i="7"/>
  <c r="AC74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AH73" i="7"/>
  <c r="AG73" i="7"/>
  <c r="AF73" i="7"/>
  <c r="AE73" i="7"/>
  <c r="AD73" i="7"/>
  <c r="AC73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O73" i="7"/>
  <c r="N73" i="7"/>
  <c r="M73" i="7"/>
  <c r="L73" i="7"/>
  <c r="K73" i="7"/>
  <c r="J73" i="7"/>
  <c r="I73" i="7"/>
  <c r="AH72" i="7"/>
  <c r="AG72" i="7"/>
  <c r="AF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AH71" i="7"/>
  <c r="AG71" i="7"/>
  <c r="AF71" i="7"/>
  <c r="AE71" i="7"/>
  <c r="AD71" i="7"/>
  <c r="AC71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AG70" i="7"/>
  <c r="AF70" i="7"/>
  <c r="AE70" i="7"/>
  <c r="AD70" i="7"/>
  <c r="AC70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AH69" i="7"/>
  <c r="AG69" i="7"/>
  <c r="AF69" i="7"/>
  <c r="AE69" i="7"/>
  <c r="AD69" i="7"/>
  <c r="AC69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AH68" i="7"/>
  <c r="AG68" i="7"/>
  <c r="AF68" i="7"/>
  <c r="AE68" i="7"/>
  <c r="AD68" i="7"/>
  <c r="AC68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AH67" i="7"/>
  <c r="AG67" i="7"/>
  <c r="AF67" i="7"/>
  <c r="AE67" i="7"/>
  <c r="AD67" i="7"/>
  <c r="AC67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AH66" i="7"/>
  <c r="AG66" i="7"/>
  <c r="AF66" i="7"/>
  <c r="AE66" i="7"/>
  <c r="AD66" i="7"/>
  <c r="AC66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AH64" i="7"/>
  <c r="AG64" i="7"/>
  <c r="AF64" i="7"/>
  <c r="AE64" i="7"/>
  <c r="AD64" i="7"/>
  <c r="AC64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AH62" i="7"/>
  <c r="AG62" i="7"/>
  <c r="AF62" i="7"/>
  <c r="AE62" i="7"/>
  <c r="AD62" i="7"/>
  <c r="AC62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AH61" i="7"/>
  <c r="AG61" i="7"/>
  <c r="AF61" i="7"/>
  <c r="AE61" i="7"/>
  <c r="AD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AH59" i="7"/>
  <c r="AG59" i="7"/>
  <c r="AF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AH58" i="7"/>
  <c r="AG58" i="7"/>
  <c r="AF58" i="7"/>
  <c r="AE58" i="7"/>
  <c r="AD58" i="7"/>
  <c r="AC58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AH56" i="7"/>
  <c r="AG56" i="7"/>
  <c r="AF56" i="7"/>
  <c r="AE56" i="7"/>
  <c r="AD56" i="7"/>
  <c r="AC56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AH55" i="7"/>
  <c r="AG55" i="7"/>
  <c r="AF55" i="7"/>
  <c r="AE55" i="7"/>
  <c r="AD55" i="7"/>
  <c r="AC55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AH54" i="7"/>
  <c r="AG54" i="7"/>
  <c r="AF54" i="7"/>
  <c r="AE54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AG215" i="5"/>
  <c r="AF215" i="5"/>
  <c r="AE215" i="5"/>
  <c r="AD215" i="5"/>
  <c r="AC215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AG214" i="5"/>
  <c r="AF214" i="5"/>
  <c r="AE214" i="5"/>
  <c r="AD214" i="5"/>
  <c r="AC214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O214" i="5"/>
  <c r="N214" i="5"/>
  <c r="M214" i="5"/>
  <c r="L214" i="5"/>
  <c r="K214" i="5"/>
  <c r="J214" i="5" s="1"/>
  <c r="I214" i="5"/>
  <c r="AG213" i="5"/>
  <c r="AF213" i="5"/>
  <c r="AE213" i="5"/>
  <c r="AD213" i="5"/>
  <c r="AC213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AG212" i="5"/>
  <c r="AF212" i="5"/>
  <c r="AE212" i="5"/>
  <c r="AD212" i="5"/>
  <c r="AC212" i="5"/>
  <c r="AB212" i="5"/>
  <c r="AA212" i="5"/>
  <c r="Z212" i="5"/>
  <c r="Y212" i="5"/>
  <c r="X212" i="5"/>
  <c r="W212" i="5"/>
  <c r="V212" i="5"/>
  <c r="U212" i="5"/>
  <c r="T212" i="5"/>
  <c r="S212" i="5"/>
  <c r="R212" i="5"/>
  <c r="Q212" i="5"/>
  <c r="P212" i="5"/>
  <c r="O212" i="5"/>
  <c r="N212" i="5"/>
  <c r="M212" i="5"/>
  <c r="L212" i="5"/>
  <c r="K212" i="5"/>
  <c r="J212" i="5" s="1"/>
  <c r="I212" i="5"/>
  <c r="AG211" i="5"/>
  <c r="AF211" i="5"/>
  <c r="AE211" i="5"/>
  <c r="AD211" i="5"/>
  <c r="AC211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AG210" i="5"/>
  <c r="AF210" i="5"/>
  <c r="AE210" i="5"/>
  <c r="AD210" i="5"/>
  <c r="AC210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O210" i="5"/>
  <c r="N210" i="5"/>
  <c r="M210" i="5"/>
  <c r="L210" i="5"/>
  <c r="K210" i="5"/>
  <c r="J210" i="5" s="1"/>
  <c r="I210" i="5"/>
  <c r="AG209" i="5"/>
  <c r="AF209" i="5"/>
  <c r="AE209" i="5"/>
  <c r="AD209" i="5"/>
  <c r="AC209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AG208" i="5"/>
  <c r="AF208" i="5"/>
  <c r="AE208" i="5"/>
  <c r="AD208" i="5"/>
  <c r="AC208" i="5"/>
  <c r="AB208" i="5"/>
  <c r="AA208" i="5"/>
  <c r="Z208" i="5"/>
  <c r="Y208" i="5"/>
  <c r="X208" i="5"/>
  <c r="W208" i="5"/>
  <c r="V208" i="5"/>
  <c r="U208" i="5"/>
  <c r="T208" i="5"/>
  <c r="S208" i="5"/>
  <c r="R208" i="5"/>
  <c r="Q208" i="5"/>
  <c r="P208" i="5"/>
  <c r="O208" i="5"/>
  <c r="N208" i="5"/>
  <c r="M208" i="5"/>
  <c r="L208" i="5"/>
  <c r="K208" i="5"/>
  <c r="J208" i="5" s="1"/>
  <c r="I208" i="5"/>
  <c r="AG207" i="5"/>
  <c r="AF207" i="5"/>
  <c r="AE207" i="5"/>
  <c r="AD207" i="5"/>
  <c r="AC207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AG206" i="5"/>
  <c r="AF206" i="5"/>
  <c r="AE206" i="5"/>
  <c r="AD206" i="5"/>
  <c r="AC206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 s="1"/>
  <c r="I206" i="5"/>
  <c r="AG205" i="5"/>
  <c r="AF205" i="5"/>
  <c r="AE205" i="5"/>
  <c r="AD205" i="5"/>
  <c r="AC205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AG204" i="5"/>
  <c r="AF204" i="5"/>
  <c r="AE204" i="5"/>
  <c r="AD204" i="5"/>
  <c r="AC204" i="5"/>
  <c r="AB204" i="5"/>
  <c r="AA204" i="5"/>
  <c r="Z204" i="5"/>
  <c r="Y204" i="5"/>
  <c r="X204" i="5"/>
  <c r="W204" i="5"/>
  <c r="V204" i="5"/>
  <c r="U204" i="5"/>
  <c r="T204" i="5"/>
  <c r="S204" i="5"/>
  <c r="R204" i="5"/>
  <c r="Q204" i="5"/>
  <c r="P204" i="5"/>
  <c r="O204" i="5"/>
  <c r="N204" i="5"/>
  <c r="M204" i="5"/>
  <c r="L204" i="5"/>
  <c r="K204" i="5"/>
  <c r="J204" i="5" s="1"/>
  <c r="I204" i="5"/>
  <c r="AG203" i="5"/>
  <c r="AF203" i="5"/>
  <c r="AE203" i="5"/>
  <c r="AD203" i="5"/>
  <c r="AC203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AG202" i="5"/>
  <c r="AF202" i="5"/>
  <c r="AE202" i="5"/>
  <c r="AD202" i="5"/>
  <c r="AC202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O202" i="5"/>
  <c r="N202" i="5"/>
  <c r="M202" i="5"/>
  <c r="L202" i="5"/>
  <c r="K202" i="5"/>
  <c r="J202" i="5" s="1"/>
  <c r="I202" i="5"/>
  <c r="AG201" i="5"/>
  <c r="AF201" i="5"/>
  <c r="AE201" i="5"/>
  <c r="AD201" i="5"/>
  <c r="AC201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AG200" i="5"/>
  <c r="AF200" i="5"/>
  <c r="AE200" i="5"/>
  <c r="AD200" i="5"/>
  <c r="AC200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O200" i="5"/>
  <c r="N200" i="5"/>
  <c r="M200" i="5"/>
  <c r="L200" i="5"/>
  <c r="K200" i="5"/>
  <c r="J200" i="5" s="1"/>
  <c r="I200" i="5"/>
  <c r="AG199" i="5"/>
  <c r="AF199" i="5"/>
  <c r="AE199" i="5"/>
  <c r="AD199" i="5"/>
  <c r="AC199" i="5"/>
  <c r="AB199" i="5"/>
  <c r="AA199" i="5"/>
  <c r="Z199" i="5"/>
  <c r="Y199" i="5"/>
  <c r="X199" i="5"/>
  <c r="W199" i="5"/>
  <c r="V199" i="5"/>
  <c r="U199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AG198" i="5"/>
  <c r="AF198" i="5"/>
  <c r="AE198" i="5"/>
  <c r="AD198" i="5"/>
  <c r="AC198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O198" i="5"/>
  <c r="N198" i="5"/>
  <c r="M198" i="5"/>
  <c r="L198" i="5"/>
  <c r="K198" i="5"/>
  <c r="J198" i="5" s="1"/>
  <c r="I198" i="5"/>
  <c r="AG197" i="5"/>
  <c r="AF197" i="5"/>
  <c r="AE197" i="5"/>
  <c r="AD197" i="5"/>
  <c r="AC197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AG196" i="5"/>
  <c r="AF196" i="5"/>
  <c r="AE196" i="5"/>
  <c r="AD196" i="5"/>
  <c r="AC196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O196" i="5"/>
  <c r="N196" i="5"/>
  <c r="M196" i="5"/>
  <c r="L196" i="5"/>
  <c r="K196" i="5"/>
  <c r="J196" i="5" s="1"/>
  <c r="I196" i="5"/>
  <c r="AG195" i="5"/>
  <c r="AF195" i="5"/>
  <c r="AE195" i="5"/>
  <c r="AD195" i="5"/>
  <c r="AC195" i="5"/>
  <c r="AB195" i="5"/>
  <c r="AA195" i="5"/>
  <c r="Z195" i="5"/>
  <c r="Y195" i="5"/>
  <c r="X195" i="5"/>
  <c r="W195" i="5"/>
  <c r="V195" i="5"/>
  <c r="U195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AG194" i="5"/>
  <c r="AF194" i="5"/>
  <c r="AE194" i="5"/>
  <c r="AD194" i="5"/>
  <c r="AC194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O194" i="5"/>
  <c r="N194" i="5"/>
  <c r="M194" i="5"/>
  <c r="L194" i="5"/>
  <c r="K194" i="5"/>
  <c r="J194" i="5" s="1"/>
  <c r="I194" i="5"/>
  <c r="AG193" i="5"/>
  <c r="AF193" i="5"/>
  <c r="AE193" i="5"/>
  <c r="AD193" i="5"/>
  <c r="AC193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AG192" i="5"/>
  <c r="AF192" i="5"/>
  <c r="AE192" i="5"/>
  <c r="AD192" i="5"/>
  <c r="AC192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O192" i="5"/>
  <c r="N192" i="5"/>
  <c r="M192" i="5"/>
  <c r="L192" i="5"/>
  <c r="K192" i="5"/>
  <c r="J192" i="5" s="1"/>
  <c r="I192" i="5"/>
  <c r="AG191" i="5"/>
  <c r="AF191" i="5"/>
  <c r="AE191" i="5"/>
  <c r="AD191" i="5"/>
  <c r="AC191" i="5"/>
  <c r="AB191" i="5"/>
  <c r="AA191" i="5"/>
  <c r="Z191" i="5"/>
  <c r="Y191" i="5"/>
  <c r="X191" i="5"/>
  <c r="W191" i="5"/>
  <c r="V191" i="5"/>
  <c r="U191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AG190" i="5"/>
  <c r="AF190" i="5"/>
  <c r="AE190" i="5"/>
  <c r="AD190" i="5"/>
  <c r="AC190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O190" i="5"/>
  <c r="N190" i="5"/>
  <c r="M190" i="5"/>
  <c r="L190" i="5"/>
  <c r="K190" i="5"/>
  <c r="J190" i="5" s="1"/>
  <c r="I190" i="5"/>
  <c r="AG189" i="5"/>
  <c r="AF189" i="5"/>
  <c r="AE189" i="5"/>
  <c r="AD189" i="5"/>
  <c r="AC189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AG188" i="5"/>
  <c r="AF188" i="5"/>
  <c r="AE188" i="5"/>
  <c r="AD188" i="5"/>
  <c r="AC188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O188" i="5"/>
  <c r="N188" i="5"/>
  <c r="M188" i="5"/>
  <c r="L188" i="5"/>
  <c r="K188" i="5"/>
  <c r="J188" i="5" s="1"/>
  <c r="I188" i="5"/>
  <c r="AG187" i="5"/>
  <c r="AF187" i="5"/>
  <c r="AE187" i="5"/>
  <c r="AD187" i="5"/>
  <c r="AC187" i="5"/>
  <c r="AB187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AG186" i="5"/>
  <c r="AF186" i="5"/>
  <c r="AE186" i="5"/>
  <c r="AD186" i="5"/>
  <c r="AC186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O186" i="5"/>
  <c r="N186" i="5"/>
  <c r="M186" i="5"/>
  <c r="L186" i="5"/>
  <c r="K186" i="5"/>
  <c r="J186" i="5" s="1"/>
  <c r="I186" i="5"/>
  <c r="AG185" i="5"/>
  <c r="AF185" i="5"/>
  <c r="AE185" i="5"/>
  <c r="AD185" i="5"/>
  <c r="AC185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AG184" i="5"/>
  <c r="AF184" i="5"/>
  <c r="AE184" i="5"/>
  <c r="AD184" i="5"/>
  <c r="AC184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O184" i="5"/>
  <c r="N184" i="5"/>
  <c r="M184" i="5"/>
  <c r="L184" i="5"/>
  <c r="K184" i="5"/>
  <c r="J184" i="5" s="1"/>
  <c r="I184" i="5"/>
  <c r="AG183" i="5"/>
  <c r="AF183" i="5"/>
  <c r="AE183" i="5"/>
  <c r="AD183" i="5"/>
  <c r="AC183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AG182" i="5"/>
  <c r="AF182" i="5"/>
  <c r="AE182" i="5"/>
  <c r="AD182" i="5"/>
  <c r="AC182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O182" i="5"/>
  <c r="N182" i="5"/>
  <c r="M182" i="5"/>
  <c r="L182" i="5"/>
  <c r="K182" i="5"/>
  <c r="J182" i="5" s="1"/>
  <c r="I182" i="5"/>
  <c r="AG181" i="5"/>
  <c r="AF181" i="5"/>
  <c r="AE181" i="5"/>
  <c r="AD181" i="5"/>
  <c r="AC181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AG180" i="5"/>
  <c r="AF180" i="5"/>
  <c r="AE180" i="5"/>
  <c r="AD180" i="5"/>
  <c r="AC180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O180" i="5"/>
  <c r="N180" i="5"/>
  <c r="M180" i="5"/>
  <c r="L180" i="5"/>
  <c r="K180" i="5"/>
  <c r="J180" i="5" s="1"/>
  <c r="I180" i="5"/>
  <c r="AG179" i="5"/>
  <c r="AF179" i="5"/>
  <c r="AE179" i="5"/>
  <c r="AD179" i="5"/>
  <c r="AC179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AG178" i="5"/>
  <c r="AF178" i="5"/>
  <c r="AE178" i="5"/>
  <c r="AD178" i="5"/>
  <c r="AC178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O178" i="5"/>
  <c r="N178" i="5"/>
  <c r="M178" i="5"/>
  <c r="L178" i="5"/>
  <c r="K178" i="5"/>
  <c r="J178" i="5" s="1"/>
  <c r="I178" i="5"/>
  <c r="AG177" i="5"/>
  <c r="AF177" i="5"/>
  <c r="AE177" i="5"/>
  <c r="AD177" i="5"/>
  <c r="AC177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AG176" i="5"/>
  <c r="AF176" i="5"/>
  <c r="AE176" i="5"/>
  <c r="AD176" i="5"/>
  <c r="AC176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O176" i="5"/>
  <c r="N176" i="5"/>
  <c r="M176" i="5"/>
  <c r="L176" i="5"/>
  <c r="K176" i="5"/>
  <c r="J176" i="5" s="1"/>
  <c r="I176" i="5"/>
  <c r="AG175" i="5"/>
  <c r="AF175" i="5"/>
  <c r="AE175" i="5"/>
  <c r="AD175" i="5"/>
  <c r="AC175" i="5"/>
  <c r="AB175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AG174" i="5"/>
  <c r="AF174" i="5"/>
  <c r="AE174" i="5"/>
  <c r="AD174" i="5"/>
  <c r="AC174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O174" i="5"/>
  <c r="N174" i="5"/>
  <c r="M174" i="5"/>
  <c r="L174" i="5"/>
  <c r="K174" i="5"/>
  <c r="J174" i="5" s="1"/>
  <c r="I174" i="5"/>
  <c r="AG173" i="5"/>
  <c r="AF173" i="5"/>
  <c r="AE173" i="5"/>
  <c r="AD173" i="5"/>
  <c r="AC173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AG172" i="5"/>
  <c r="AF172" i="5"/>
  <c r="AE172" i="5"/>
  <c r="AD172" i="5"/>
  <c r="AC172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O172" i="5"/>
  <c r="N172" i="5"/>
  <c r="M172" i="5"/>
  <c r="L172" i="5"/>
  <c r="K172" i="5"/>
  <c r="J172" i="5" s="1"/>
  <c r="I172" i="5"/>
  <c r="AG171" i="5"/>
  <c r="AF171" i="5"/>
  <c r="AE171" i="5"/>
  <c r="AD171" i="5"/>
  <c r="AC171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AG170" i="5"/>
  <c r="AF170" i="5"/>
  <c r="AE170" i="5"/>
  <c r="AD170" i="5"/>
  <c r="AC170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O170" i="5"/>
  <c r="N170" i="5"/>
  <c r="M170" i="5"/>
  <c r="L170" i="5"/>
  <c r="K170" i="5"/>
  <c r="J170" i="5" s="1"/>
  <c r="I170" i="5"/>
  <c r="AG169" i="5"/>
  <c r="AF169" i="5"/>
  <c r="AE169" i="5"/>
  <c r="AD169" i="5"/>
  <c r="AC169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AG168" i="5"/>
  <c r="AF168" i="5"/>
  <c r="AE168" i="5"/>
  <c r="AD168" i="5"/>
  <c r="AC168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O168" i="5"/>
  <c r="N168" i="5"/>
  <c r="M168" i="5"/>
  <c r="L168" i="5"/>
  <c r="K168" i="5"/>
  <c r="J168" i="5" s="1"/>
  <c r="I168" i="5"/>
  <c r="AG167" i="5"/>
  <c r="AF167" i="5"/>
  <c r="AE167" i="5"/>
  <c r="AD167" i="5"/>
  <c r="AC167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AG166" i="5"/>
  <c r="AF166" i="5"/>
  <c r="AE166" i="5"/>
  <c r="AD166" i="5"/>
  <c r="AC166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O166" i="5"/>
  <c r="N166" i="5"/>
  <c r="M166" i="5"/>
  <c r="L166" i="5"/>
  <c r="K166" i="5"/>
  <c r="J166" i="5" s="1"/>
  <c r="I166" i="5"/>
  <c r="AG165" i="5"/>
  <c r="AF165" i="5"/>
  <c r="AE165" i="5"/>
  <c r="AD165" i="5"/>
  <c r="AC165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AG164" i="5"/>
  <c r="AF164" i="5"/>
  <c r="AE164" i="5"/>
  <c r="AD164" i="5"/>
  <c r="AC164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O164" i="5"/>
  <c r="N164" i="5"/>
  <c r="M164" i="5"/>
  <c r="L164" i="5"/>
  <c r="K164" i="5"/>
  <c r="J164" i="5" s="1"/>
  <c r="I164" i="5"/>
  <c r="AG163" i="5"/>
  <c r="AF163" i="5"/>
  <c r="AE163" i="5"/>
  <c r="AD163" i="5"/>
  <c r="AC163" i="5"/>
  <c r="AB163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AG162" i="5"/>
  <c r="AF162" i="5"/>
  <c r="AE162" i="5"/>
  <c r="AD162" i="5"/>
  <c r="AC162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O162" i="5"/>
  <c r="N162" i="5"/>
  <c r="M162" i="5"/>
  <c r="L162" i="5"/>
  <c r="K162" i="5"/>
  <c r="J162" i="5" s="1"/>
  <c r="I162" i="5"/>
  <c r="AG161" i="5"/>
  <c r="AF161" i="5"/>
  <c r="AE161" i="5"/>
  <c r="AD161" i="5"/>
  <c r="AC161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AG160" i="5"/>
  <c r="AF160" i="5"/>
  <c r="AE160" i="5"/>
  <c r="AD160" i="5"/>
  <c r="AC160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O160" i="5"/>
  <c r="N160" i="5"/>
  <c r="M160" i="5"/>
  <c r="L160" i="5"/>
  <c r="K160" i="5"/>
  <c r="J160" i="5" s="1"/>
  <c r="I160" i="5"/>
  <c r="AG159" i="5"/>
  <c r="AF159" i="5"/>
  <c r="AE159" i="5"/>
  <c r="AD159" i="5"/>
  <c r="AC159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AG158" i="5"/>
  <c r="AF158" i="5"/>
  <c r="AE158" i="5"/>
  <c r="AD158" i="5"/>
  <c r="AC158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O158" i="5"/>
  <c r="N158" i="5"/>
  <c r="M158" i="5"/>
  <c r="L158" i="5"/>
  <c r="K158" i="5"/>
  <c r="J158" i="5" s="1"/>
  <c r="I158" i="5"/>
  <c r="AG157" i="5"/>
  <c r="AF157" i="5"/>
  <c r="AE157" i="5"/>
  <c r="AD157" i="5"/>
  <c r="AC157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AG156" i="5"/>
  <c r="AF156" i="5"/>
  <c r="AE156" i="5"/>
  <c r="AD156" i="5"/>
  <c r="AC156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AG155" i="5"/>
  <c r="AF155" i="5"/>
  <c r="AE155" i="5"/>
  <c r="AD155" i="5"/>
  <c r="AC155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AG154" i="5"/>
  <c r="AF154" i="5"/>
  <c r="AE154" i="5"/>
  <c r="AD154" i="5"/>
  <c r="AC154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AG153" i="5"/>
  <c r="AF153" i="5"/>
  <c r="AE153" i="5"/>
  <c r="AD153" i="5"/>
  <c r="AC153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AG152" i="5"/>
  <c r="AF152" i="5"/>
  <c r="AE152" i="5"/>
  <c r="AD152" i="5"/>
  <c r="AC152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O152" i="5"/>
  <c r="N152" i="5"/>
  <c r="M152" i="5"/>
  <c r="L152" i="5"/>
  <c r="K152" i="5"/>
  <c r="J152" i="5"/>
  <c r="I152" i="5"/>
  <c r="AG151" i="5"/>
  <c r="AF151" i="5"/>
  <c r="AE151" i="5"/>
  <c r="AD151" i="5"/>
  <c r="AC151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O151" i="5"/>
  <c r="N151" i="5"/>
  <c r="M151" i="5"/>
  <c r="L151" i="5"/>
  <c r="K151" i="5"/>
  <c r="J151" i="5"/>
  <c r="I151" i="5"/>
  <c r="AG150" i="5"/>
  <c r="AF150" i="5"/>
  <c r="AE150" i="5"/>
  <c r="AD150" i="5"/>
  <c r="AC150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O150" i="5"/>
  <c r="N150" i="5"/>
  <c r="M150" i="5"/>
  <c r="L150" i="5"/>
  <c r="K150" i="5"/>
  <c r="J150" i="5"/>
  <c r="I150" i="5"/>
  <c r="AG149" i="5"/>
  <c r="AF149" i="5"/>
  <c r="AE149" i="5"/>
  <c r="AD149" i="5"/>
  <c r="AC149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O149" i="5"/>
  <c r="N149" i="5"/>
  <c r="M149" i="5"/>
  <c r="L149" i="5"/>
  <c r="K149" i="5"/>
  <c r="J149" i="5"/>
  <c r="I149" i="5"/>
  <c r="AG148" i="5"/>
  <c r="AF148" i="5"/>
  <c r="AE148" i="5"/>
  <c r="AD148" i="5"/>
  <c r="AC148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O148" i="5"/>
  <c r="N148" i="5"/>
  <c r="M148" i="5"/>
  <c r="L148" i="5"/>
  <c r="K148" i="5"/>
  <c r="J148" i="5" s="1"/>
  <c r="I148" i="5"/>
  <c r="AG147" i="5"/>
  <c r="AF147" i="5"/>
  <c r="AE147" i="5"/>
  <c r="AD147" i="5"/>
  <c r="AC147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O146" i="5"/>
  <c r="N146" i="5"/>
  <c r="M146" i="5"/>
  <c r="L146" i="5"/>
  <c r="K146" i="5"/>
  <c r="J146" i="5" s="1"/>
  <c r="I146" i="5"/>
  <c r="AG145" i="5"/>
  <c r="AF145" i="5"/>
  <c r="AE145" i="5"/>
  <c r="AD145" i="5"/>
  <c r="AC145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AG144" i="5"/>
  <c r="AF144" i="5"/>
  <c r="AE144" i="5"/>
  <c r="AD144" i="5"/>
  <c r="AC144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O144" i="5"/>
  <c r="N144" i="5"/>
  <c r="M144" i="5"/>
  <c r="L144" i="5"/>
  <c r="K144" i="5"/>
  <c r="J144" i="5" s="1"/>
  <c r="I144" i="5"/>
  <c r="AG143" i="5"/>
  <c r="AF143" i="5"/>
  <c r="AE143" i="5"/>
  <c r="AD143" i="5"/>
  <c r="AC143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AG142" i="5"/>
  <c r="AF142" i="5"/>
  <c r="AE142" i="5"/>
  <c r="AD142" i="5"/>
  <c r="AC142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O142" i="5"/>
  <c r="N142" i="5"/>
  <c r="M142" i="5"/>
  <c r="L142" i="5"/>
  <c r="K142" i="5"/>
  <c r="J142" i="5"/>
  <c r="I142" i="5"/>
  <c r="AG141" i="5"/>
  <c r="AF141" i="5"/>
  <c r="AE141" i="5"/>
  <c r="AD141" i="5"/>
  <c r="AC141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O141" i="5"/>
  <c r="N141" i="5"/>
  <c r="M141" i="5"/>
  <c r="L141" i="5"/>
  <c r="K141" i="5"/>
  <c r="J141" i="5"/>
  <c r="I141" i="5"/>
  <c r="AG140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AG139" i="5"/>
  <c r="AF139" i="5"/>
  <c r="AE139" i="5"/>
  <c r="AD139" i="5"/>
  <c r="AC139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O139" i="5"/>
  <c r="N139" i="5"/>
  <c r="M139" i="5"/>
  <c r="L139" i="5"/>
  <c r="K139" i="5"/>
  <c r="J139" i="5"/>
  <c r="I139" i="5"/>
  <c r="AG138" i="5"/>
  <c r="AF138" i="5"/>
  <c r="AE138" i="5"/>
  <c r="AD138" i="5"/>
  <c r="AC138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AG137" i="5"/>
  <c r="AF137" i="5"/>
  <c r="AE137" i="5"/>
  <c r="AD137" i="5"/>
  <c r="AC137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AG135" i="5"/>
  <c r="AF135" i="5"/>
  <c r="AE135" i="5"/>
  <c r="AD135" i="5"/>
  <c r="AC135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AG134" i="5"/>
  <c r="AF134" i="5"/>
  <c r="AE134" i="5"/>
  <c r="AD134" i="5"/>
  <c r="AC134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O134" i="5"/>
  <c r="N134" i="5"/>
  <c r="M134" i="5"/>
  <c r="L134" i="5"/>
  <c r="K134" i="5"/>
  <c r="J134" i="5"/>
  <c r="I134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AG132" i="5"/>
  <c r="AF132" i="5"/>
  <c r="AE132" i="5"/>
  <c r="AD132" i="5"/>
  <c r="AC132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AG131" i="5"/>
  <c r="AF131" i="5"/>
  <c r="AE131" i="5"/>
  <c r="AD131" i="5"/>
  <c r="AC131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O131" i="5"/>
  <c r="N131" i="5"/>
  <c r="M131" i="5"/>
  <c r="L131" i="5"/>
  <c r="K131" i="5"/>
  <c r="J131" i="5"/>
  <c r="I131" i="5"/>
  <c r="AG130" i="5"/>
  <c r="AF130" i="5"/>
  <c r="AE130" i="5"/>
  <c r="AD130" i="5"/>
  <c r="AC130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AG129" i="5"/>
  <c r="AF129" i="5"/>
  <c r="AE129" i="5"/>
  <c r="AD129" i="5"/>
  <c r="AC129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AG128" i="5"/>
  <c r="AF128" i="5"/>
  <c r="AE128" i="5"/>
  <c r="AD128" i="5"/>
  <c r="AC128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AG127" i="5"/>
  <c r="AF127" i="5"/>
  <c r="AE127" i="5"/>
  <c r="AD127" i="5"/>
  <c r="AC127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AG126" i="5"/>
  <c r="AF126" i="5"/>
  <c r="AE126" i="5"/>
  <c r="AD126" i="5"/>
  <c r="AC126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O126" i="5"/>
  <c r="N126" i="5"/>
  <c r="M126" i="5"/>
  <c r="L126" i="5"/>
  <c r="K126" i="5"/>
  <c r="J126" i="5"/>
  <c r="I126" i="5"/>
  <c r="AG125" i="5"/>
  <c r="AF125" i="5"/>
  <c r="AE125" i="5"/>
  <c r="AD125" i="5"/>
  <c r="AC125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O125" i="5"/>
  <c r="N125" i="5"/>
  <c r="M125" i="5"/>
  <c r="L125" i="5"/>
  <c r="K125" i="5"/>
  <c r="J125" i="5"/>
  <c r="I125" i="5"/>
  <c r="AG124" i="5"/>
  <c r="AF124" i="5"/>
  <c r="AE124" i="5"/>
  <c r="AD124" i="5"/>
  <c r="AC124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O124" i="5"/>
  <c r="N124" i="5"/>
  <c r="M124" i="5"/>
  <c r="L124" i="5"/>
  <c r="K124" i="5"/>
  <c r="J124" i="5"/>
  <c r="I124" i="5"/>
  <c r="AG123" i="5"/>
  <c r="AF123" i="5"/>
  <c r="AE123" i="5"/>
  <c r="AD123" i="5"/>
  <c r="AC123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O123" i="5"/>
  <c r="N123" i="5"/>
  <c r="M123" i="5"/>
  <c r="L123" i="5"/>
  <c r="K123" i="5"/>
  <c r="J123" i="5"/>
  <c r="I123" i="5"/>
  <c r="AG122" i="5"/>
  <c r="AF122" i="5"/>
  <c r="AE122" i="5"/>
  <c r="AD122" i="5"/>
  <c r="AC122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O122" i="5"/>
  <c r="N122" i="5"/>
  <c r="M122" i="5"/>
  <c r="L122" i="5"/>
  <c r="K122" i="5"/>
  <c r="J122" i="5"/>
  <c r="I122" i="5"/>
  <c r="AG121" i="5"/>
  <c r="AF121" i="5"/>
  <c r="AE121" i="5"/>
  <c r="AD121" i="5"/>
  <c r="AC121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O121" i="5"/>
  <c r="N121" i="5"/>
  <c r="M121" i="5"/>
  <c r="L121" i="5"/>
  <c r="K121" i="5"/>
  <c r="J121" i="5"/>
  <c r="I121" i="5"/>
  <c r="AG120" i="5"/>
  <c r="AF120" i="5"/>
  <c r="AE120" i="5"/>
  <c r="AD120" i="5"/>
  <c r="AC120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AG119" i="5"/>
  <c r="AF119" i="5"/>
  <c r="AE119" i="5"/>
  <c r="AD119" i="5"/>
  <c r="AC119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AG118" i="5"/>
  <c r="AF118" i="5"/>
  <c r="AE118" i="5"/>
  <c r="AD118" i="5"/>
  <c r="AC118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O118" i="5"/>
  <c r="N118" i="5"/>
  <c r="M118" i="5"/>
  <c r="L118" i="5"/>
  <c r="K118" i="5"/>
  <c r="J118" i="5"/>
  <c r="I118" i="5"/>
  <c r="AG117" i="5"/>
  <c r="AF117" i="5"/>
  <c r="AE117" i="5"/>
  <c r="AD117" i="5"/>
  <c r="AC117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O117" i="5"/>
  <c r="N117" i="5"/>
  <c r="M117" i="5"/>
  <c r="L117" i="5"/>
  <c r="K117" i="5"/>
  <c r="J117" i="5"/>
  <c r="I117" i="5"/>
  <c r="AG116" i="5"/>
  <c r="AF116" i="5"/>
  <c r="AE116" i="5"/>
  <c r="AD116" i="5"/>
  <c r="AC116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O116" i="5"/>
  <c r="N116" i="5"/>
  <c r="M116" i="5"/>
  <c r="L116" i="5"/>
  <c r="K116" i="5"/>
  <c r="J116" i="5"/>
  <c r="I116" i="5"/>
  <c r="AG115" i="5"/>
  <c r="AF115" i="5"/>
  <c r="AE115" i="5"/>
  <c r="AD115" i="5"/>
  <c r="AC115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O115" i="5"/>
  <c r="N115" i="5"/>
  <c r="M115" i="5"/>
  <c r="L115" i="5"/>
  <c r="K115" i="5"/>
  <c r="J115" i="5"/>
  <c r="I115" i="5"/>
  <c r="AG114" i="5"/>
  <c r="AF114" i="5"/>
  <c r="AE114" i="5"/>
  <c r="AD114" i="5"/>
  <c r="AC114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O114" i="5"/>
  <c r="N114" i="5"/>
  <c r="M114" i="5"/>
  <c r="L114" i="5"/>
  <c r="K114" i="5"/>
  <c r="J114" i="5"/>
  <c r="I114" i="5"/>
  <c r="AG113" i="5"/>
  <c r="AF113" i="5"/>
  <c r="AE113" i="5"/>
  <c r="AD113" i="5"/>
  <c r="AC113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O113" i="5"/>
  <c r="N113" i="5"/>
  <c r="M113" i="5"/>
  <c r="L113" i="5"/>
  <c r="K113" i="5"/>
  <c r="J113" i="5"/>
  <c r="I113" i="5"/>
  <c r="AG112" i="5"/>
  <c r="AF112" i="5"/>
  <c r="AE112" i="5"/>
  <c r="AD112" i="5"/>
  <c r="AC112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AG111" i="5"/>
  <c r="AF111" i="5"/>
  <c r="AE111" i="5"/>
  <c r="AD111" i="5"/>
  <c r="AC111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O111" i="5"/>
  <c r="N111" i="5"/>
  <c r="M111" i="5"/>
  <c r="L111" i="5"/>
  <c r="K111" i="5"/>
  <c r="J111" i="5"/>
  <c r="I111" i="5"/>
  <c r="AG110" i="5"/>
  <c r="AF110" i="5"/>
  <c r="AE110" i="5"/>
  <c r="AD110" i="5"/>
  <c r="AC110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AG108" i="5"/>
  <c r="AF108" i="5"/>
  <c r="AE108" i="5"/>
  <c r="AD108" i="5"/>
  <c r="AC108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AG107" i="5"/>
  <c r="AF107" i="5"/>
  <c r="AE107" i="5"/>
  <c r="AD107" i="5"/>
  <c r="AC107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AG106" i="5"/>
  <c r="AF106" i="5"/>
  <c r="AE106" i="5"/>
  <c r="AD106" i="5"/>
  <c r="AC106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AG105" i="5"/>
  <c r="AF105" i="5"/>
  <c r="AE105" i="5"/>
  <c r="AD105" i="5"/>
  <c r="AC105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AG104" i="5"/>
  <c r="AF104" i="5"/>
  <c r="AE104" i="5"/>
  <c r="AD104" i="5"/>
  <c r="AC104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AG103" i="5"/>
  <c r="AF103" i="5"/>
  <c r="AE103" i="5"/>
  <c r="AD103" i="5"/>
  <c r="AC103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AG102" i="5"/>
  <c r="AF102" i="5"/>
  <c r="AE102" i="5"/>
  <c r="AD102" i="5"/>
  <c r="AC102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AG101" i="5"/>
  <c r="AF101" i="5"/>
  <c r="AE101" i="5"/>
  <c r="AD101" i="5"/>
  <c r="AC101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AG99" i="5"/>
  <c r="AF99" i="5"/>
  <c r="AE99" i="5"/>
  <c r="AD99" i="5"/>
  <c r="AC99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O99" i="5"/>
  <c r="N99" i="5"/>
  <c r="M99" i="5"/>
  <c r="L99" i="5"/>
  <c r="K99" i="5"/>
  <c r="J99" i="5"/>
  <c r="I99" i="5"/>
  <c r="AG98" i="5"/>
  <c r="AF98" i="5"/>
  <c r="AE98" i="5"/>
  <c r="AD98" i="5"/>
  <c r="AC98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O98" i="5"/>
  <c r="N98" i="5"/>
  <c r="M98" i="5"/>
  <c r="L98" i="5"/>
  <c r="K98" i="5"/>
  <c r="J98" i="5"/>
  <c r="I98" i="5"/>
  <c r="AG97" i="5"/>
  <c r="AF97" i="5"/>
  <c r="AE97" i="5"/>
  <c r="AD97" i="5"/>
  <c r="AC97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AG96" i="5"/>
  <c r="AF96" i="5"/>
  <c r="AE96" i="5"/>
  <c r="AD96" i="5"/>
  <c r="AC96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AG95" i="5"/>
  <c r="AF95" i="5"/>
  <c r="AE95" i="5"/>
  <c r="AD95" i="5"/>
  <c r="AC95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AG94" i="5"/>
  <c r="AF94" i="5"/>
  <c r="AE94" i="5"/>
  <c r="AD94" i="5"/>
  <c r="AC94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AG93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AG92" i="5"/>
  <c r="AF92" i="5"/>
  <c r="AE92" i="5"/>
  <c r="AD92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AG91" i="5"/>
  <c r="AF91" i="5"/>
  <c r="AE91" i="5"/>
  <c r="AD91" i="5"/>
  <c r="AC91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AG90" i="5"/>
  <c r="AF90" i="5"/>
  <c r="AE90" i="5"/>
  <c r="AD90" i="5"/>
  <c r="AC90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AG89" i="5"/>
  <c r="AF89" i="5"/>
  <c r="AE89" i="5"/>
  <c r="AD89" i="5"/>
  <c r="AC89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AG88" i="5"/>
  <c r="AF88" i="5"/>
  <c r="AE88" i="5"/>
  <c r="AD88" i="5"/>
  <c r="AC88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AG87" i="5"/>
  <c r="AF87" i="5"/>
  <c r="AE87" i="5"/>
  <c r="AD87" i="5"/>
  <c r="AC87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AG86" i="5"/>
  <c r="AF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AG85" i="5"/>
  <c r="AF85" i="5"/>
  <c r="AE85" i="5"/>
  <c r="AD85" i="5"/>
  <c r="AC85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AG84" i="5"/>
  <c r="AF84" i="5"/>
  <c r="AE84" i="5"/>
  <c r="AD84" i="5"/>
  <c r="AC84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AG83" i="5"/>
  <c r="AF83" i="5"/>
  <c r="AE83" i="5"/>
  <c r="AD8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AG82" i="5"/>
  <c r="AF82" i="5"/>
  <c r="AE82" i="5"/>
  <c r="AD82" i="5"/>
  <c r="AC82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AG81" i="5"/>
  <c r="AF81" i="5"/>
  <c r="AE81" i="5"/>
  <c r="AD81" i="5"/>
  <c r="AC81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AG80" i="5"/>
  <c r="AF80" i="5"/>
  <c r="AE80" i="5"/>
  <c r="AD80" i="5"/>
  <c r="AC80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AG79" i="5"/>
  <c r="AF79" i="5"/>
  <c r="AE79" i="5"/>
  <c r="AD79" i="5"/>
  <c r="AC79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AG78" i="5"/>
  <c r="AF78" i="5"/>
  <c r="AE78" i="5"/>
  <c r="AD78" i="5"/>
  <c r="AC78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AG77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AG76" i="5"/>
  <c r="AF76" i="5"/>
  <c r="AE76" i="5"/>
  <c r="AD76" i="5"/>
  <c r="AC76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AG75" i="5"/>
  <c r="AF75" i="5"/>
  <c r="AE75" i="5"/>
  <c r="AD75" i="5"/>
  <c r="AC75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AG74" i="5"/>
  <c r="AF74" i="5"/>
  <c r="AE74" i="5"/>
  <c r="AD74" i="5"/>
  <c r="AC74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AG73" i="5"/>
  <c r="AF73" i="5"/>
  <c r="AE73" i="5"/>
  <c r="AD73" i="5"/>
  <c r="AC73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AG72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AG71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AG70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AG66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AG64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AG59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AG51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W87" i="2" l="1"/>
  <c r="AN215" i="2" l="1"/>
  <c r="AQ215" i="2" s="1"/>
  <c r="W215" i="2"/>
  <c r="Z215" i="2" s="1"/>
  <c r="AB214" i="2"/>
  <c r="AN214" i="2" s="1"/>
  <c r="AQ214" i="2" s="1"/>
  <c r="AA214" i="2"/>
  <c r="W214" i="2"/>
  <c r="Z214" i="2" s="1"/>
  <c r="AN213" i="2"/>
  <c r="AQ213" i="2" s="1"/>
  <c r="W213" i="2"/>
  <c r="Z213" i="2" s="1"/>
  <c r="AB212" i="2"/>
  <c r="AN212" i="2" s="1"/>
  <c r="AQ212" i="2" s="1"/>
  <c r="AA212" i="2"/>
  <c r="W212" i="2"/>
  <c r="Z212" i="2" s="1"/>
  <c r="AN211" i="2"/>
  <c r="AQ211" i="2" s="1"/>
  <c r="W211" i="2"/>
  <c r="Z211" i="2" s="1"/>
  <c r="AP210" i="2"/>
  <c r="AO210" i="2"/>
  <c r="AN210" i="2"/>
  <c r="AQ210" i="2" s="1"/>
  <c r="AL210" i="2"/>
  <c r="AH210" i="2"/>
  <c r="AG210" i="2"/>
  <c r="AF210" i="2"/>
  <c r="AE210" i="2"/>
  <c r="AB210" i="2"/>
  <c r="AA210" i="2"/>
  <c r="Y210" i="2"/>
  <c r="X210" i="2"/>
  <c r="W210" i="2"/>
  <c r="Z210" i="2" s="1"/>
  <c r="AN209" i="2"/>
  <c r="AQ209" i="2" s="1"/>
  <c r="W209" i="2"/>
  <c r="Z209" i="2" s="1"/>
  <c r="AB208" i="2"/>
  <c r="AN208" i="2" s="1"/>
  <c r="AQ208" i="2" s="1"/>
  <c r="AA208" i="2"/>
  <c r="W208" i="2"/>
  <c r="Z208" i="2" s="1"/>
  <c r="AP207" i="2"/>
  <c r="AO207" i="2"/>
  <c r="AN207" i="2"/>
  <c r="AQ207" i="2" s="1"/>
  <c r="AL207" i="2"/>
  <c r="AH207" i="2"/>
  <c r="AG207" i="2"/>
  <c r="AF207" i="2"/>
  <c r="AE207" i="2"/>
  <c r="AB207" i="2"/>
  <c r="AA207" i="2"/>
  <c r="Y207" i="2"/>
  <c r="X207" i="2"/>
  <c r="W207" i="2"/>
  <c r="AB206" i="2"/>
  <c r="AN206" i="2" s="1"/>
  <c r="AQ206" i="2" s="1"/>
  <c r="AA206" i="2"/>
  <c r="W206" i="2"/>
  <c r="Z206" i="2" s="1"/>
  <c r="AN205" i="2"/>
  <c r="AQ205" i="2" s="1"/>
  <c r="AL205" i="2"/>
  <c r="AH205" i="2"/>
  <c r="AG205" i="2"/>
  <c r="AF205" i="2"/>
  <c r="AE205" i="2"/>
  <c r="W205" i="2"/>
  <c r="Z205" i="2" s="1"/>
  <c r="AN204" i="2"/>
  <c r="AQ204" i="2" s="1"/>
  <c r="AL204" i="2"/>
  <c r="AH204" i="2"/>
  <c r="AG204" i="2"/>
  <c r="AF204" i="2"/>
  <c r="AE204" i="2"/>
  <c r="AB204" i="2"/>
  <c r="AA204" i="2"/>
  <c r="Y204" i="2"/>
  <c r="X204" i="2"/>
  <c r="W204" i="2"/>
  <c r="AN203" i="2"/>
  <c r="AQ203" i="2" s="1"/>
  <c r="Y203" i="2"/>
  <c r="X203" i="2"/>
  <c r="W203" i="2"/>
  <c r="AN202" i="2"/>
  <c r="AQ202" i="2" s="1"/>
  <c r="W202" i="2"/>
  <c r="Z202" i="2" s="1"/>
  <c r="AN201" i="2"/>
  <c r="AQ201" i="2" s="1"/>
  <c r="W201" i="2"/>
  <c r="Z201" i="2" s="1"/>
  <c r="AP200" i="2"/>
  <c r="AO200" i="2"/>
  <c r="AL200" i="2"/>
  <c r="AH200" i="2"/>
  <c r="AG200" i="2"/>
  <c r="AF200" i="2"/>
  <c r="AE200" i="2"/>
  <c r="AB200" i="2"/>
  <c r="AN200" i="2" s="1"/>
  <c r="AQ200" i="2" s="1"/>
  <c r="AA200" i="2"/>
  <c r="Z200" i="2"/>
  <c r="Y200" i="2"/>
  <c r="X200" i="2"/>
  <c r="W200" i="2"/>
  <c r="AP199" i="2"/>
  <c r="AO199" i="2"/>
  <c r="AL199" i="2"/>
  <c r="AH199" i="2"/>
  <c r="AG199" i="2"/>
  <c r="AF199" i="2"/>
  <c r="AE199" i="2"/>
  <c r="AB199" i="2"/>
  <c r="AN199" i="2" s="1"/>
  <c r="AQ199" i="2" s="1"/>
  <c r="AA199" i="2"/>
  <c r="Y199" i="2"/>
  <c r="X199" i="2"/>
  <c r="W199" i="2"/>
  <c r="Z199" i="2" s="1"/>
  <c r="AN198" i="2"/>
  <c r="AQ198" i="2" s="1"/>
  <c r="Y198" i="2"/>
  <c r="X198" i="2"/>
  <c r="W198" i="2"/>
  <c r="AQ197" i="2"/>
  <c r="AP197" i="2"/>
  <c r="AO197" i="2"/>
  <c r="AN197" i="2"/>
  <c r="AL197" i="2"/>
  <c r="AH197" i="2"/>
  <c r="AG197" i="2"/>
  <c r="AF197" i="2"/>
  <c r="AE197" i="2"/>
  <c r="AB197" i="2"/>
  <c r="AA197" i="2"/>
  <c r="W197" i="2"/>
  <c r="Z197" i="2" s="1"/>
  <c r="AP196" i="2"/>
  <c r="AO196" i="2"/>
  <c r="AN196" i="2"/>
  <c r="AL196" i="2"/>
  <c r="AH196" i="2"/>
  <c r="AG196" i="2"/>
  <c r="AF196" i="2"/>
  <c r="AE196" i="2"/>
  <c r="AB196" i="2"/>
  <c r="AA196" i="2"/>
  <c r="Y196" i="2"/>
  <c r="X196" i="2"/>
  <c r="W196" i="2"/>
  <c r="AP195" i="2"/>
  <c r="AO195" i="2"/>
  <c r="AL195" i="2"/>
  <c r="AH195" i="2"/>
  <c r="AG195" i="2"/>
  <c r="AF195" i="2"/>
  <c r="AE195" i="2"/>
  <c r="AB195" i="2"/>
  <c r="AN195" i="2" s="1"/>
  <c r="AA195" i="2"/>
  <c r="Z195" i="2"/>
  <c r="W195" i="2"/>
  <c r="AP194" i="2"/>
  <c r="AO194" i="2"/>
  <c r="AL194" i="2"/>
  <c r="AH194" i="2"/>
  <c r="AG194" i="2"/>
  <c r="AF194" i="2"/>
  <c r="AB194" i="2"/>
  <c r="AN194" i="2" s="1"/>
  <c r="AA194" i="2"/>
  <c r="Z194" i="2"/>
  <c r="Y194" i="2"/>
  <c r="X194" i="2"/>
  <c r="W194" i="2"/>
  <c r="N194" i="2"/>
  <c r="AE194" i="2" s="1"/>
  <c r="AP193" i="2"/>
  <c r="AO193" i="2"/>
  <c r="AL193" i="2"/>
  <c r="AH193" i="2"/>
  <c r="AG193" i="2"/>
  <c r="AF193" i="2"/>
  <c r="AE193" i="2"/>
  <c r="AB193" i="2"/>
  <c r="AN193" i="2" s="1"/>
  <c r="AQ193" i="2" s="1"/>
  <c r="Y193" i="2"/>
  <c r="X193" i="2"/>
  <c r="W193" i="2"/>
  <c r="AP192" i="2"/>
  <c r="AL192" i="2"/>
  <c r="AH192" i="2"/>
  <c r="AG192" i="2"/>
  <c r="AE192" i="2"/>
  <c r="AB192" i="2"/>
  <c r="AN192" i="2" s="1"/>
  <c r="W192" i="2"/>
  <c r="AP191" i="2"/>
  <c r="AO191" i="2"/>
  <c r="AL191" i="2"/>
  <c r="AH191" i="2"/>
  <c r="AG191" i="2"/>
  <c r="AF191" i="2"/>
  <c r="AE191" i="2"/>
  <c r="AB191" i="2"/>
  <c r="AN191" i="2" s="1"/>
  <c r="AA191" i="2"/>
  <c r="Y191" i="2"/>
  <c r="X191" i="2"/>
  <c r="W191" i="2"/>
  <c r="AN190" i="2"/>
  <c r="W190" i="2"/>
  <c r="Z190" i="2" s="1"/>
  <c r="AP189" i="2"/>
  <c r="AO189" i="2"/>
  <c r="AN189" i="2"/>
  <c r="AL189" i="2"/>
  <c r="AH189" i="2"/>
  <c r="AG189" i="2"/>
  <c r="AF189" i="2"/>
  <c r="AE189" i="2"/>
  <c r="AA189" i="2"/>
  <c r="W189" i="2"/>
  <c r="AL188" i="2"/>
  <c r="AH188" i="2"/>
  <c r="AG188" i="2"/>
  <c r="AF188" i="2"/>
  <c r="AE188" i="2"/>
  <c r="AB188" i="2"/>
  <c r="AN188" i="2" s="1"/>
  <c r="AA188" i="2"/>
  <c r="Y188" i="2"/>
  <c r="W188" i="2"/>
  <c r="Z188" i="2" s="1"/>
  <c r="AP187" i="2"/>
  <c r="AO187" i="2"/>
  <c r="AN187" i="2"/>
  <c r="AL187" i="2"/>
  <c r="AG187" i="2"/>
  <c r="AF187" i="2"/>
  <c r="AE187" i="2"/>
  <c r="AB187" i="2"/>
  <c r="AA187" i="2"/>
  <c r="Y187" i="2"/>
  <c r="X187" i="2"/>
  <c r="W187" i="2"/>
  <c r="Z187" i="2" s="1"/>
  <c r="AP186" i="2"/>
  <c r="AO186" i="2"/>
  <c r="AL186" i="2"/>
  <c r="AH186" i="2"/>
  <c r="AG186" i="2"/>
  <c r="AF186" i="2"/>
  <c r="AE186" i="2"/>
  <c r="AB186" i="2"/>
  <c r="AN186" i="2" s="1"/>
  <c r="AA186" i="2"/>
  <c r="W186" i="2"/>
  <c r="Z186" i="2" s="1"/>
  <c r="AQ185" i="2"/>
  <c r="AL185" i="2"/>
  <c r="AH185" i="2"/>
  <c r="AG185" i="2"/>
  <c r="AF185" i="2"/>
  <c r="AE185" i="2"/>
  <c r="Y185" i="2"/>
  <c r="X185" i="2"/>
  <c r="W185" i="2"/>
  <c r="Z185" i="2" s="1"/>
  <c r="AQ184" i="2"/>
  <c r="AL184" i="2"/>
  <c r="AH184" i="2"/>
  <c r="AG184" i="2"/>
  <c r="AF184" i="2"/>
  <c r="AE184" i="2"/>
  <c r="AB184" i="2"/>
  <c r="AA184" i="2"/>
  <c r="Y184" i="2"/>
  <c r="X184" i="2"/>
  <c r="W184" i="2"/>
  <c r="AP183" i="2"/>
  <c r="AO183" i="2"/>
  <c r="AL183" i="2"/>
  <c r="AH183" i="2"/>
  <c r="AG183" i="2"/>
  <c r="AF183" i="2"/>
  <c r="AE183" i="2"/>
  <c r="AB183" i="2"/>
  <c r="AN183" i="2" s="1"/>
  <c r="AQ183" i="2" s="1"/>
  <c r="AA183" i="2"/>
  <c r="Y183" i="2"/>
  <c r="X183" i="2"/>
  <c r="W183" i="2"/>
  <c r="Z183" i="2" s="1"/>
  <c r="AL182" i="2"/>
  <c r="AH182" i="2"/>
  <c r="AG182" i="2"/>
  <c r="AF182" i="2"/>
  <c r="AE182" i="2"/>
  <c r="AB182" i="2"/>
  <c r="AN182" i="2" s="1"/>
  <c r="AQ182" i="2" s="1"/>
  <c r="AA182" i="2"/>
  <c r="Y182" i="2"/>
  <c r="X182" i="2"/>
  <c r="W182" i="2"/>
  <c r="AN181" i="2"/>
  <c r="AQ181" i="2" s="1"/>
  <c r="W181" i="2"/>
  <c r="Z181" i="2" s="1"/>
  <c r="AL180" i="2"/>
  <c r="AK180" i="2"/>
  <c r="AJ180" i="2"/>
  <c r="AI180" i="2"/>
  <c r="AH180" i="2"/>
  <c r="AG180" i="2"/>
  <c r="AF180" i="2"/>
  <c r="AE180" i="2"/>
  <c r="AB180" i="2"/>
  <c r="AN180" i="2" s="1"/>
  <c r="AA180" i="2"/>
  <c r="Y180" i="2"/>
  <c r="X180" i="2"/>
  <c r="W180" i="2"/>
  <c r="AP179" i="2"/>
  <c r="AO179" i="2"/>
  <c r="AL179" i="2"/>
  <c r="AH179" i="2"/>
  <c r="AG179" i="2"/>
  <c r="AF179" i="2"/>
  <c r="AE179" i="2"/>
  <c r="AB179" i="2"/>
  <c r="AN179" i="2" s="1"/>
  <c r="AA179" i="2"/>
  <c r="Y179" i="2"/>
  <c r="X179" i="2"/>
  <c r="W179" i="2"/>
  <c r="Z179" i="2" s="1"/>
  <c r="AP178" i="2"/>
  <c r="AO178" i="2"/>
  <c r="AL178" i="2"/>
  <c r="AH178" i="2"/>
  <c r="AG178" i="2"/>
  <c r="AF178" i="2"/>
  <c r="AE178" i="2"/>
  <c r="AB178" i="2"/>
  <c r="AN178" i="2" s="1"/>
  <c r="AQ178" i="2" s="1"/>
  <c r="AA178" i="2"/>
  <c r="Y178" i="2"/>
  <c r="X178" i="2"/>
  <c r="W178" i="2"/>
  <c r="S178" i="2"/>
  <c r="AP177" i="2"/>
  <c r="AO177" i="2"/>
  <c r="AN177" i="2"/>
  <c r="AL177" i="2"/>
  <c r="AH177" i="2"/>
  <c r="AG177" i="2"/>
  <c r="AF177" i="2"/>
  <c r="AE177" i="2"/>
  <c r="AB177" i="2"/>
  <c r="AA177" i="2"/>
  <c r="Y177" i="2"/>
  <c r="X177" i="2"/>
  <c r="W177" i="2"/>
  <c r="AL176" i="2"/>
  <c r="AH176" i="2"/>
  <c r="AG176" i="2"/>
  <c r="AF176" i="2"/>
  <c r="AE176" i="2"/>
  <c r="AB176" i="2"/>
  <c r="AN176" i="2" s="1"/>
  <c r="AA176" i="2"/>
  <c r="Y176" i="2"/>
  <c r="X176" i="2"/>
  <c r="W176" i="2"/>
  <c r="Z176" i="2" s="1"/>
  <c r="AL175" i="2"/>
  <c r="AH175" i="2"/>
  <c r="AG175" i="2"/>
  <c r="AF175" i="2"/>
  <c r="AE175" i="2"/>
  <c r="AB175" i="2"/>
  <c r="AN175" i="2" s="1"/>
  <c r="AA175" i="2"/>
  <c r="Y175" i="2"/>
  <c r="X175" i="2"/>
  <c r="W175" i="2"/>
  <c r="AP174" i="2"/>
  <c r="AO174" i="2"/>
  <c r="AL174" i="2"/>
  <c r="AH174" i="2"/>
  <c r="AG174" i="2"/>
  <c r="AF174" i="2"/>
  <c r="AB174" i="2"/>
  <c r="AN174" i="2" s="1"/>
  <c r="AA174" i="2"/>
  <c r="Y174" i="2"/>
  <c r="X174" i="2"/>
  <c r="N174" i="2"/>
  <c r="W174" i="2" s="1"/>
  <c r="AP173" i="2"/>
  <c r="AO173" i="2"/>
  <c r="AL173" i="2"/>
  <c r="AK173" i="2"/>
  <c r="AH173" i="2"/>
  <c r="AG173" i="2"/>
  <c r="AF173" i="2"/>
  <c r="AE173" i="2"/>
  <c r="AB173" i="2"/>
  <c r="AN173" i="2" s="1"/>
  <c r="AA173" i="2"/>
  <c r="Y173" i="2"/>
  <c r="X173" i="2"/>
  <c r="W173" i="2"/>
  <c r="AP172" i="2"/>
  <c r="AO172" i="2"/>
  <c r="AL172" i="2"/>
  <c r="AH172" i="2"/>
  <c r="AG172" i="2"/>
  <c r="AF172" i="2"/>
  <c r="AB172" i="2"/>
  <c r="AN172" i="2" s="1"/>
  <c r="AA172" i="2"/>
  <c r="M172" i="2"/>
  <c r="W172" i="2" s="1"/>
  <c r="AP171" i="2"/>
  <c r="AO171" i="2"/>
  <c r="AL171" i="2"/>
  <c r="AH171" i="2"/>
  <c r="AG171" i="2"/>
  <c r="AF171" i="2"/>
  <c r="AE171" i="2"/>
  <c r="AB171" i="2"/>
  <c r="AN171" i="2" s="1"/>
  <c r="AA171" i="2"/>
  <c r="Y171" i="2"/>
  <c r="Z171" i="2" s="1"/>
  <c r="W171" i="2"/>
  <c r="AP170" i="2"/>
  <c r="AO170" i="2"/>
  <c r="AL170" i="2"/>
  <c r="AH170" i="2"/>
  <c r="AG170" i="2"/>
  <c r="AF170" i="2"/>
  <c r="AE170" i="2"/>
  <c r="AB170" i="2"/>
  <c r="AN170" i="2" s="1"/>
  <c r="AA170" i="2"/>
  <c r="Y170" i="2"/>
  <c r="X170" i="2"/>
  <c r="W170" i="2"/>
  <c r="AN169" i="2"/>
  <c r="Z169" i="2"/>
  <c r="Y169" i="2"/>
  <c r="X169" i="2"/>
  <c r="W169" i="2"/>
  <c r="AL168" i="2"/>
  <c r="AH168" i="2"/>
  <c r="AG168" i="2"/>
  <c r="AF168" i="2"/>
  <c r="AE168" i="2"/>
  <c r="AB168" i="2"/>
  <c r="AN168" i="2" s="1"/>
  <c r="AA168" i="2"/>
  <c r="Y168" i="2"/>
  <c r="X168" i="2"/>
  <c r="W168" i="2"/>
  <c r="AP167" i="2"/>
  <c r="AO167" i="2"/>
  <c r="AL167" i="2"/>
  <c r="AH167" i="2"/>
  <c r="AG167" i="2"/>
  <c r="AF167" i="2"/>
  <c r="AB167" i="2"/>
  <c r="AN167" i="2" s="1"/>
  <c r="AA167" i="2"/>
  <c r="Y167" i="2"/>
  <c r="X167" i="2"/>
  <c r="M167" i="2"/>
  <c r="AE167" i="2" s="1"/>
  <c r="AP166" i="2"/>
  <c r="AO166" i="2"/>
  <c r="AL166" i="2"/>
  <c r="AH166" i="2"/>
  <c r="AG166" i="2"/>
  <c r="AF166" i="2"/>
  <c r="AB166" i="2"/>
  <c r="AN166" i="2" s="1"/>
  <c r="AA166" i="2"/>
  <c r="Y166" i="2"/>
  <c r="X166" i="2"/>
  <c r="N166" i="2"/>
  <c r="AE166" i="2" s="1"/>
  <c r="AP165" i="2"/>
  <c r="AO165" i="2"/>
  <c r="AL165" i="2"/>
  <c r="AH165" i="2"/>
  <c r="AG165" i="2"/>
  <c r="AF165" i="2"/>
  <c r="AE165" i="2"/>
  <c r="AB165" i="2"/>
  <c r="AN165" i="2" s="1"/>
  <c r="AA165" i="2"/>
  <c r="Y165" i="2"/>
  <c r="X165" i="2"/>
  <c r="W165" i="2"/>
  <c r="AL164" i="2"/>
  <c r="AH164" i="2"/>
  <c r="AG164" i="2"/>
  <c r="AF164" i="2"/>
  <c r="AB164" i="2"/>
  <c r="AN164" i="2" s="1"/>
  <c r="AQ164" i="2" s="1"/>
  <c r="AA164" i="2"/>
  <c r="Y164" i="2"/>
  <c r="X164" i="2"/>
  <c r="N164" i="2"/>
  <c r="W164" i="2" s="1"/>
  <c r="Z164" i="2" s="1"/>
  <c r="AP163" i="2"/>
  <c r="AO163" i="2"/>
  <c r="AL163" i="2"/>
  <c r="AH163" i="2"/>
  <c r="AG163" i="2"/>
  <c r="AF163" i="2"/>
  <c r="AE163" i="2"/>
  <c r="AB163" i="2"/>
  <c r="AN163" i="2" s="1"/>
  <c r="AA163" i="2"/>
  <c r="Y163" i="2"/>
  <c r="X163" i="2"/>
  <c r="W163" i="2"/>
  <c r="AO162" i="2"/>
  <c r="AL162" i="2"/>
  <c r="AH162" i="2"/>
  <c r="AG162" i="2"/>
  <c r="AF162" i="2"/>
  <c r="AE162" i="2"/>
  <c r="AB162" i="2"/>
  <c r="AN162" i="2" s="1"/>
  <c r="AQ162" i="2" s="1"/>
  <c r="AA162" i="2"/>
  <c r="Y162" i="2"/>
  <c r="X162" i="2"/>
  <c r="W162" i="2"/>
  <c r="AP161" i="2"/>
  <c r="AO161" i="2"/>
  <c r="AL161" i="2"/>
  <c r="AH161" i="2"/>
  <c r="AG161" i="2"/>
  <c r="AF161" i="2"/>
  <c r="AE161" i="2"/>
  <c r="AB161" i="2"/>
  <c r="AN161" i="2" s="1"/>
  <c r="AA161" i="2"/>
  <c r="Y161" i="2"/>
  <c r="X161" i="2"/>
  <c r="W161" i="2"/>
  <c r="Z161" i="2" s="1"/>
  <c r="AP160" i="2"/>
  <c r="AO160" i="2"/>
  <c r="AL160" i="2"/>
  <c r="AH160" i="2"/>
  <c r="AG160" i="2"/>
  <c r="AF160" i="2"/>
  <c r="AE160" i="2"/>
  <c r="AB160" i="2"/>
  <c r="AN160" i="2" s="1"/>
  <c r="AA160" i="2"/>
  <c r="Y160" i="2"/>
  <c r="X160" i="2"/>
  <c r="W160" i="2"/>
  <c r="AP159" i="2"/>
  <c r="AO159" i="2"/>
  <c r="AL159" i="2"/>
  <c r="AH159" i="2"/>
  <c r="AG159" i="2"/>
  <c r="AF159" i="2"/>
  <c r="AE159" i="2"/>
  <c r="AB159" i="2"/>
  <c r="AN159" i="2" s="1"/>
  <c r="AA159" i="2"/>
  <c r="Y159" i="2"/>
  <c r="X159" i="2"/>
  <c r="W159" i="2"/>
  <c r="AL158" i="2"/>
  <c r="AH158" i="2"/>
  <c r="AE158" i="2"/>
  <c r="AB158" i="2"/>
  <c r="AN158" i="2" s="1"/>
  <c r="AQ158" i="2" s="1"/>
  <c r="AA158" i="2"/>
  <c r="Z158" i="2"/>
  <c r="W158" i="2"/>
  <c r="AP157" i="2"/>
  <c r="AO157" i="2"/>
  <c r="AL157" i="2"/>
  <c r="AH157" i="2"/>
  <c r="AG157" i="2"/>
  <c r="AF157" i="2"/>
  <c r="AE157" i="2"/>
  <c r="AB157" i="2"/>
  <c r="AN157" i="2" s="1"/>
  <c r="AA157" i="2"/>
  <c r="Y157" i="2"/>
  <c r="X157" i="2"/>
  <c r="W157" i="2"/>
  <c r="AP156" i="2"/>
  <c r="AO156" i="2"/>
  <c r="AN156" i="2"/>
  <c r="AL156" i="2"/>
  <c r="AH156" i="2"/>
  <c r="AG156" i="2"/>
  <c r="AF156" i="2"/>
  <c r="AE156" i="2"/>
  <c r="AB156" i="2"/>
  <c r="AA156" i="2"/>
  <c r="Y156" i="2"/>
  <c r="X156" i="2"/>
  <c r="W156" i="2"/>
  <c r="AN155" i="2"/>
  <c r="AE155" i="2"/>
  <c r="Z155" i="2"/>
  <c r="W155" i="2"/>
  <c r="AP154" i="2"/>
  <c r="AN154" i="2"/>
  <c r="AL154" i="2"/>
  <c r="AH154" i="2"/>
  <c r="AG154" i="2"/>
  <c r="AF154" i="2"/>
  <c r="AE154" i="2"/>
  <c r="AB154" i="2"/>
  <c r="Y154" i="2"/>
  <c r="W154" i="2"/>
  <c r="AP153" i="2"/>
  <c r="AO153" i="2"/>
  <c r="AL153" i="2"/>
  <c r="AH153" i="2"/>
  <c r="AG153" i="2"/>
  <c r="AF153" i="2"/>
  <c r="AE153" i="2"/>
  <c r="AB153" i="2"/>
  <c r="AN153" i="2" s="1"/>
  <c r="AA153" i="2"/>
  <c r="Y153" i="2"/>
  <c r="X153" i="2"/>
  <c r="W153" i="2"/>
  <c r="AN152" i="2"/>
  <c r="AE152" i="2"/>
  <c r="Y152" i="2"/>
  <c r="X152" i="2"/>
  <c r="W152" i="2"/>
  <c r="AP151" i="2"/>
  <c r="AO151" i="2"/>
  <c r="AL151" i="2"/>
  <c r="AH151" i="2"/>
  <c r="AG151" i="2"/>
  <c r="AF151" i="2"/>
  <c r="AE151" i="2"/>
  <c r="AB151" i="2"/>
  <c r="AN151" i="2" s="1"/>
  <c r="AA151" i="2"/>
  <c r="Y151" i="2"/>
  <c r="X151" i="2"/>
  <c r="N151" i="2"/>
  <c r="W151" i="2" s="1"/>
  <c r="AP150" i="2"/>
  <c r="AO150" i="2"/>
  <c r="AN150" i="2"/>
  <c r="AL150" i="2"/>
  <c r="AH150" i="2"/>
  <c r="AG150" i="2"/>
  <c r="AF150" i="2"/>
  <c r="AE150" i="2"/>
  <c r="AB150" i="2"/>
  <c r="AA150" i="2"/>
  <c r="Y150" i="2"/>
  <c r="X150" i="2"/>
  <c r="W150" i="2"/>
  <c r="AP149" i="2"/>
  <c r="AL149" i="2"/>
  <c r="AH149" i="2"/>
  <c r="AG149" i="2"/>
  <c r="AF149" i="2"/>
  <c r="AE149" i="2"/>
  <c r="AB149" i="2"/>
  <c r="AN149" i="2" s="1"/>
  <c r="AQ149" i="2" s="1"/>
  <c r="AA149" i="2"/>
  <c r="Y149" i="2"/>
  <c r="X149" i="2"/>
  <c r="W149" i="2"/>
  <c r="AP148" i="2"/>
  <c r="AO148" i="2"/>
  <c r="AL148" i="2"/>
  <c r="AH148" i="2"/>
  <c r="AG148" i="2"/>
  <c r="AF148" i="2"/>
  <c r="AE148" i="2"/>
  <c r="AB148" i="2"/>
  <c r="AN148" i="2" s="1"/>
  <c r="AA148" i="2"/>
  <c r="Y148" i="2"/>
  <c r="X148" i="2"/>
  <c r="W148" i="2"/>
  <c r="AP147" i="2"/>
  <c r="AO147" i="2"/>
  <c r="AN147" i="2"/>
  <c r="AL147" i="2"/>
  <c r="AH147" i="2"/>
  <c r="AG147" i="2"/>
  <c r="AF147" i="2"/>
  <c r="AE147" i="2"/>
  <c r="AA147" i="2"/>
  <c r="Y147" i="2"/>
  <c r="X147" i="2"/>
  <c r="W147" i="2"/>
  <c r="AQ146" i="2"/>
  <c r="AP146" i="2"/>
  <c r="AO146" i="2"/>
  <c r="AN146" i="2"/>
  <c r="AL146" i="2"/>
  <c r="AH146" i="2"/>
  <c r="AG146" i="2"/>
  <c r="AF146" i="2"/>
  <c r="AE146" i="2"/>
  <c r="AB146" i="2"/>
  <c r="AA146" i="2"/>
  <c r="Y146" i="2"/>
  <c r="X146" i="2"/>
  <c r="W146" i="2"/>
  <c r="AP145" i="2"/>
  <c r="AO145" i="2"/>
  <c r="AL145" i="2"/>
  <c r="AH145" i="2"/>
  <c r="AG145" i="2"/>
  <c r="AF145" i="2"/>
  <c r="AB145" i="2"/>
  <c r="AN145" i="2" s="1"/>
  <c r="AA145" i="2"/>
  <c r="Y145" i="2"/>
  <c r="X145" i="2"/>
  <c r="W145" i="2"/>
  <c r="N145" i="2"/>
  <c r="AE145" i="2" s="1"/>
  <c r="AP144" i="2"/>
  <c r="AO144" i="2"/>
  <c r="AL144" i="2"/>
  <c r="AH144" i="2"/>
  <c r="AG144" i="2"/>
  <c r="AF144" i="2"/>
  <c r="AE144" i="2"/>
  <c r="AB144" i="2"/>
  <c r="AN144" i="2" s="1"/>
  <c r="AA144" i="2"/>
  <c r="Y144" i="2"/>
  <c r="X144" i="2"/>
  <c r="W144" i="2"/>
  <c r="AP143" i="2"/>
  <c r="AO143" i="2"/>
  <c r="AL143" i="2"/>
  <c r="AH143" i="2"/>
  <c r="AG143" i="2"/>
  <c r="AF143" i="2"/>
  <c r="AE143" i="2"/>
  <c r="AB143" i="2"/>
  <c r="AN143" i="2" s="1"/>
  <c r="AA143" i="2"/>
  <c r="Y143" i="2"/>
  <c r="X143" i="2"/>
  <c r="W143" i="2"/>
  <c r="Z143" i="2" s="1"/>
  <c r="AP142" i="2"/>
  <c r="AO142" i="2"/>
  <c r="AN142" i="2"/>
  <c r="AQ142" i="2" s="1"/>
  <c r="AL142" i="2"/>
  <c r="AH142" i="2"/>
  <c r="AG142" i="2"/>
  <c r="AF142" i="2"/>
  <c r="AE142" i="2"/>
  <c r="AB142" i="2"/>
  <c r="AA142" i="2"/>
  <c r="Z142" i="2"/>
  <c r="Y142" i="2"/>
  <c r="X142" i="2"/>
  <c r="W142" i="2"/>
  <c r="AQ141" i="2"/>
  <c r="AN141" i="2"/>
  <c r="Z141" i="2"/>
  <c r="W141" i="2"/>
  <c r="AP140" i="2"/>
  <c r="AO140" i="2"/>
  <c r="AL140" i="2"/>
  <c r="AH140" i="2"/>
  <c r="AG140" i="2"/>
  <c r="AF140" i="2"/>
  <c r="AB140" i="2"/>
  <c r="AN140" i="2" s="1"/>
  <c r="AA140" i="2"/>
  <c r="Y140" i="2"/>
  <c r="X140" i="2"/>
  <c r="N140" i="2"/>
  <c r="W140" i="2" s="1"/>
  <c r="AL139" i="2"/>
  <c r="AH139" i="2"/>
  <c r="AG139" i="2"/>
  <c r="AF139" i="2"/>
  <c r="AE139" i="2"/>
  <c r="AB139" i="2"/>
  <c r="AN139" i="2" s="1"/>
  <c r="AQ139" i="2" s="1"/>
  <c r="AA139" i="2"/>
  <c r="Y139" i="2"/>
  <c r="X139" i="2"/>
  <c r="W139" i="2"/>
  <c r="AP138" i="2"/>
  <c r="AO138" i="2"/>
  <c r="AL138" i="2"/>
  <c r="AH138" i="2"/>
  <c r="AG138" i="2"/>
  <c r="AF138" i="2"/>
  <c r="AE138" i="2"/>
  <c r="AB138" i="2"/>
  <c r="AN138" i="2" s="1"/>
  <c r="AQ138" i="2" s="1"/>
  <c r="AA138" i="2"/>
  <c r="Y138" i="2"/>
  <c r="X138" i="2"/>
  <c r="W138" i="2"/>
  <c r="AP137" i="2"/>
  <c r="AO137" i="2"/>
  <c r="AN137" i="2"/>
  <c r="AQ137" i="2" s="1"/>
  <c r="AL137" i="2"/>
  <c r="AH137" i="2"/>
  <c r="AG137" i="2"/>
  <c r="AF137" i="2"/>
  <c r="AB137" i="2"/>
  <c r="AA137" i="2"/>
  <c r="Y137" i="2"/>
  <c r="X137" i="2"/>
  <c r="N137" i="2"/>
  <c r="AE137" i="2" s="1"/>
  <c r="AP136" i="2"/>
  <c r="AO136" i="2"/>
  <c r="AL136" i="2"/>
  <c r="AH136" i="2"/>
  <c r="AG136" i="2"/>
  <c r="AF136" i="2"/>
  <c r="AE136" i="2"/>
  <c r="AB136" i="2"/>
  <c r="AN136" i="2" s="1"/>
  <c r="AQ136" i="2" s="1"/>
  <c r="AA136" i="2"/>
  <c r="Y136" i="2"/>
  <c r="X136" i="2"/>
  <c r="W136" i="2"/>
  <c r="AP135" i="2"/>
  <c r="AO135" i="2"/>
  <c r="AN135" i="2"/>
  <c r="AL135" i="2"/>
  <c r="AH135" i="2"/>
  <c r="AG135" i="2"/>
  <c r="AF135" i="2"/>
  <c r="AE135" i="2"/>
  <c r="AA135" i="2"/>
  <c r="Y135" i="2"/>
  <c r="X135" i="2"/>
  <c r="W135" i="2"/>
  <c r="AL134" i="2"/>
  <c r="AH134" i="2"/>
  <c r="AG134" i="2"/>
  <c r="AF134" i="2"/>
  <c r="AB134" i="2"/>
  <c r="AN134" i="2" s="1"/>
  <c r="AQ134" i="2" s="1"/>
  <c r="AA134" i="2"/>
  <c r="Y134" i="2"/>
  <c r="X134" i="2"/>
  <c r="W134" i="2"/>
  <c r="N134" i="2"/>
  <c r="AE134" i="2" s="1"/>
  <c r="AP133" i="2"/>
  <c r="AO133" i="2"/>
  <c r="AL133" i="2"/>
  <c r="AH133" i="2"/>
  <c r="AG133" i="2"/>
  <c r="AF133" i="2"/>
  <c r="AE133" i="2"/>
  <c r="AB133" i="2"/>
  <c r="AN133" i="2" s="1"/>
  <c r="AA133" i="2"/>
  <c r="Y133" i="2"/>
  <c r="X133" i="2"/>
  <c r="W133" i="2"/>
  <c r="Z133" i="2" s="1"/>
  <c r="AP132" i="2"/>
  <c r="AO132" i="2"/>
  <c r="AL132" i="2"/>
  <c r="AH132" i="2"/>
  <c r="AG132" i="2"/>
  <c r="AF132" i="2"/>
  <c r="AE132" i="2"/>
  <c r="AB132" i="2"/>
  <c r="AN132" i="2" s="1"/>
  <c r="AA132" i="2"/>
  <c r="X132" i="2"/>
  <c r="W132" i="2"/>
  <c r="AP131" i="2"/>
  <c r="AO131" i="2"/>
  <c r="AL131" i="2"/>
  <c r="AH131" i="2"/>
  <c r="AG131" i="2"/>
  <c r="AF131" i="2"/>
  <c r="AB131" i="2"/>
  <c r="AN131" i="2" s="1"/>
  <c r="AA131" i="2"/>
  <c r="Y131" i="2"/>
  <c r="X131" i="2"/>
  <c r="W131" i="2"/>
  <c r="Z131" i="2" s="1"/>
  <c r="N131" i="2"/>
  <c r="AE131" i="2" s="1"/>
  <c r="AP130" i="2"/>
  <c r="AO130" i="2"/>
  <c r="AN130" i="2"/>
  <c r="AQ130" i="2" s="1"/>
  <c r="AL130" i="2"/>
  <c r="AH130" i="2"/>
  <c r="AG130" i="2"/>
  <c r="AF130" i="2"/>
  <c r="AE130" i="2"/>
  <c r="Y130" i="2"/>
  <c r="X130" i="2"/>
  <c r="W130" i="2"/>
  <c r="S130" i="2"/>
  <c r="AP129" i="2"/>
  <c r="AO129" i="2"/>
  <c r="AN129" i="2"/>
  <c r="AL129" i="2"/>
  <c r="AH129" i="2"/>
  <c r="AG129" i="2"/>
  <c r="AF129" i="2"/>
  <c r="AB129" i="2"/>
  <c r="AA129" i="2"/>
  <c r="Y129" i="2"/>
  <c r="X129" i="2"/>
  <c r="S129" i="2"/>
  <c r="N129" i="2"/>
  <c r="W129" i="2" s="1"/>
  <c r="AP128" i="2"/>
  <c r="AO128" i="2"/>
  <c r="AL128" i="2"/>
  <c r="AK128" i="2"/>
  <c r="AJ128" i="2"/>
  <c r="AH128" i="2"/>
  <c r="AG128" i="2"/>
  <c r="AF128" i="2"/>
  <c r="AB128" i="2"/>
  <c r="AN128" i="2" s="1"/>
  <c r="AQ128" i="2" s="1"/>
  <c r="AA128" i="2"/>
  <c r="Y128" i="2"/>
  <c r="X128" i="2"/>
  <c r="N128" i="2"/>
  <c r="W128" i="2" s="1"/>
  <c r="AP127" i="2"/>
  <c r="AO127" i="2"/>
  <c r="AL127" i="2"/>
  <c r="AH127" i="2"/>
  <c r="AG127" i="2"/>
  <c r="AF127" i="2"/>
  <c r="AE127" i="2"/>
  <c r="AB127" i="2"/>
  <c r="AN127" i="2" s="1"/>
  <c r="AA127" i="2"/>
  <c r="Y127" i="2"/>
  <c r="X127" i="2"/>
  <c r="S127" i="2"/>
  <c r="N127" i="2"/>
  <c r="W127" i="2" s="1"/>
  <c r="AP126" i="2"/>
  <c r="AO126" i="2"/>
  <c r="AL126" i="2"/>
  <c r="AH126" i="2"/>
  <c r="AG126" i="2"/>
  <c r="AF126" i="2"/>
  <c r="AE126" i="2"/>
  <c r="AB126" i="2"/>
  <c r="AN126" i="2" s="1"/>
  <c r="AA126" i="2"/>
  <c r="Y126" i="2"/>
  <c r="X126" i="2"/>
  <c r="W126" i="2"/>
  <c r="AP125" i="2"/>
  <c r="AO125" i="2"/>
  <c r="AL125" i="2"/>
  <c r="AH125" i="2"/>
  <c r="AG125" i="2"/>
  <c r="AF125" i="2"/>
  <c r="AB125" i="2"/>
  <c r="AN125" i="2" s="1"/>
  <c r="AA125" i="2"/>
  <c r="Y125" i="2"/>
  <c r="X125" i="2"/>
  <c r="N125" i="2"/>
  <c r="AE125" i="2" s="1"/>
  <c r="AP124" i="2"/>
  <c r="AO124" i="2"/>
  <c r="AL124" i="2"/>
  <c r="AH124" i="2"/>
  <c r="AG124" i="2"/>
  <c r="AF124" i="2"/>
  <c r="AE124" i="2"/>
  <c r="AB124" i="2"/>
  <c r="AN124" i="2" s="1"/>
  <c r="AA124" i="2"/>
  <c r="Y124" i="2"/>
  <c r="X124" i="2"/>
  <c r="W124" i="2"/>
  <c r="AP123" i="2"/>
  <c r="AO123" i="2"/>
  <c r="AN123" i="2"/>
  <c r="AL123" i="2"/>
  <c r="AH123" i="2"/>
  <c r="AG123" i="2"/>
  <c r="AF123" i="2"/>
  <c r="AE123" i="2"/>
  <c r="AB123" i="2"/>
  <c r="AA123" i="2"/>
  <c r="Y123" i="2"/>
  <c r="X123" i="2"/>
  <c r="W123" i="2"/>
  <c r="AP122" i="2"/>
  <c r="AO122" i="2"/>
  <c r="AL122" i="2"/>
  <c r="AH122" i="2"/>
  <c r="AG122" i="2"/>
  <c r="AF122" i="2"/>
  <c r="AE122" i="2"/>
  <c r="AB122" i="2"/>
  <c r="AN122" i="2" s="1"/>
  <c r="AQ122" i="2" s="1"/>
  <c r="AA122" i="2"/>
  <c r="Y122" i="2"/>
  <c r="X122" i="2"/>
  <c r="W122" i="2"/>
  <c r="AP121" i="2"/>
  <c r="AO121" i="2"/>
  <c r="AN121" i="2"/>
  <c r="AL121" i="2"/>
  <c r="AH121" i="2"/>
  <c r="AG121" i="2"/>
  <c r="AF121" i="2"/>
  <c r="AE121" i="2"/>
  <c r="AB121" i="2"/>
  <c r="AA121" i="2"/>
  <c r="Y121" i="2"/>
  <c r="X121" i="2"/>
  <c r="W121" i="2"/>
  <c r="Z121" i="2" s="1"/>
  <c r="AP120" i="2"/>
  <c r="AO120" i="2"/>
  <c r="AL120" i="2"/>
  <c r="AH120" i="2"/>
  <c r="AG120" i="2"/>
  <c r="AF120" i="2"/>
  <c r="AB120" i="2"/>
  <c r="AN120" i="2" s="1"/>
  <c r="AQ120" i="2" s="1"/>
  <c r="AA120" i="2"/>
  <c r="Y120" i="2"/>
  <c r="X120" i="2"/>
  <c r="N120" i="2"/>
  <c r="W120" i="2" s="1"/>
  <c r="AP119" i="2"/>
  <c r="AO119" i="2"/>
  <c r="AL119" i="2"/>
  <c r="AH119" i="2"/>
  <c r="AG119" i="2"/>
  <c r="AF119" i="2"/>
  <c r="AB119" i="2"/>
  <c r="AN119" i="2" s="1"/>
  <c r="AA119" i="2"/>
  <c r="Y119" i="2"/>
  <c r="X119" i="2"/>
  <c r="N119" i="2"/>
  <c r="AE119" i="2" s="1"/>
  <c r="AP118" i="2"/>
  <c r="AO118" i="2"/>
  <c r="AN118" i="2"/>
  <c r="AQ118" i="2" s="1"/>
  <c r="AL118" i="2"/>
  <c r="AH118" i="2"/>
  <c r="AG118" i="2"/>
  <c r="AF118" i="2"/>
  <c r="AE118" i="2"/>
  <c r="AB118" i="2"/>
  <c r="AA118" i="2"/>
  <c r="Y118" i="2"/>
  <c r="X118" i="2"/>
  <c r="W118" i="2"/>
  <c r="AP117" i="2"/>
  <c r="AO117" i="2"/>
  <c r="AH117" i="2"/>
  <c r="AG117" i="2"/>
  <c r="AF117" i="2"/>
  <c r="AE117" i="2"/>
  <c r="AB117" i="2"/>
  <c r="AN117" i="2" s="1"/>
  <c r="AA117" i="2"/>
  <c r="Y117" i="2"/>
  <c r="X117" i="2"/>
  <c r="W117" i="2"/>
  <c r="AP116" i="2"/>
  <c r="AO116" i="2"/>
  <c r="AN116" i="2"/>
  <c r="AQ116" i="2" s="1"/>
  <c r="AL116" i="2"/>
  <c r="AH116" i="2"/>
  <c r="AG116" i="2"/>
  <c r="AF116" i="2"/>
  <c r="AB116" i="2"/>
  <c r="AA116" i="2"/>
  <c r="Y116" i="2"/>
  <c r="X116" i="2"/>
  <c r="N116" i="2"/>
  <c r="AE116" i="2" s="1"/>
  <c r="AP115" i="2"/>
  <c r="AO115" i="2"/>
  <c r="AN115" i="2"/>
  <c r="AQ115" i="2" s="1"/>
  <c r="AL115" i="2"/>
  <c r="AH115" i="2"/>
  <c r="AG115" i="2"/>
  <c r="AF115" i="2"/>
  <c r="AE115" i="2"/>
  <c r="AB115" i="2"/>
  <c r="AA115" i="2"/>
  <c r="Y115" i="2"/>
  <c r="X115" i="2"/>
  <c r="W115" i="2"/>
  <c r="AP114" i="2"/>
  <c r="AO114" i="2"/>
  <c r="AL114" i="2"/>
  <c r="AH114" i="2"/>
  <c r="AG114" i="2"/>
  <c r="AF114" i="2"/>
  <c r="AE114" i="2"/>
  <c r="AB114" i="2"/>
  <c r="AN114" i="2" s="1"/>
  <c r="AA114" i="2"/>
  <c r="Y114" i="2"/>
  <c r="X114" i="2"/>
  <c r="S114" i="2"/>
  <c r="N114" i="2"/>
  <c r="W114" i="2" s="1"/>
  <c r="AP113" i="2"/>
  <c r="AO113" i="2"/>
  <c r="AL113" i="2"/>
  <c r="AH113" i="2"/>
  <c r="AG113" i="2"/>
  <c r="AF113" i="2"/>
  <c r="AE113" i="2"/>
  <c r="AB113" i="2"/>
  <c r="AN113" i="2" s="1"/>
  <c r="AA113" i="2"/>
  <c r="Y113" i="2"/>
  <c r="X113" i="2"/>
  <c r="W113" i="2"/>
  <c r="AL112" i="2"/>
  <c r="AH112" i="2"/>
  <c r="AG112" i="2"/>
  <c r="AF112" i="2"/>
  <c r="AE112" i="2"/>
  <c r="AB112" i="2"/>
  <c r="AN112" i="2" s="1"/>
  <c r="AA112" i="2"/>
  <c r="Y112" i="2"/>
  <c r="X112" i="2"/>
  <c r="W112" i="2"/>
  <c r="N112" i="2"/>
  <c r="AN111" i="2"/>
  <c r="AL111" i="2"/>
  <c r="AH111" i="2"/>
  <c r="AG111" i="2"/>
  <c r="AF111" i="2"/>
  <c r="AE111" i="2"/>
  <c r="AB111" i="2"/>
  <c r="AA111" i="2"/>
  <c r="Z111" i="2"/>
  <c r="Y111" i="2"/>
  <c r="X111" i="2"/>
  <c r="W111" i="2"/>
  <c r="AP110" i="2"/>
  <c r="AO110" i="2"/>
  <c r="AL110" i="2"/>
  <c r="AH110" i="2"/>
  <c r="AG110" i="2"/>
  <c r="AF110" i="2"/>
  <c r="AE110" i="2"/>
  <c r="AB110" i="2"/>
  <c r="AN110" i="2" s="1"/>
  <c r="AA110" i="2"/>
  <c r="Y110" i="2"/>
  <c r="X110" i="2"/>
  <c r="W110" i="2"/>
  <c r="AP109" i="2"/>
  <c r="AO109" i="2"/>
  <c r="AL109" i="2"/>
  <c r="AH109" i="2"/>
  <c r="AG109" i="2"/>
  <c r="AF109" i="2"/>
  <c r="AE109" i="2"/>
  <c r="AB109" i="2"/>
  <c r="AN109" i="2" s="1"/>
  <c r="AA109" i="2"/>
  <c r="Y109" i="2"/>
  <c r="X109" i="2"/>
  <c r="W109" i="2"/>
  <c r="Z109" i="2" s="1"/>
  <c r="AP108" i="2"/>
  <c r="AO108" i="2"/>
  <c r="AL108" i="2"/>
  <c r="AH108" i="2"/>
  <c r="AG108" i="2"/>
  <c r="AF108" i="2"/>
  <c r="AE108" i="2"/>
  <c r="AB108" i="2"/>
  <c r="AN108" i="2" s="1"/>
  <c r="AA108" i="2"/>
  <c r="Y108" i="2"/>
  <c r="X108" i="2"/>
  <c r="W108" i="2"/>
  <c r="Z108" i="2" s="1"/>
  <c r="AP107" i="2"/>
  <c r="AO107" i="2"/>
  <c r="AL107" i="2"/>
  <c r="AH107" i="2"/>
  <c r="AG107" i="2"/>
  <c r="AF107" i="2"/>
  <c r="AE107" i="2"/>
  <c r="AB107" i="2"/>
  <c r="AN107" i="2" s="1"/>
  <c r="AA107" i="2"/>
  <c r="Y107" i="2"/>
  <c r="X107" i="2"/>
  <c r="W107" i="2"/>
  <c r="AL106" i="2"/>
  <c r="AH106" i="2"/>
  <c r="AG106" i="2"/>
  <c r="AF106" i="2"/>
  <c r="AB106" i="2"/>
  <c r="AN106" i="2" s="1"/>
  <c r="AQ106" i="2" s="1"/>
  <c r="AA106" i="2"/>
  <c r="Y106" i="2"/>
  <c r="X106" i="2"/>
  <c r="N106" i="2"/>
  <c r="AE106" i="2" s="1"/>
  <c r="AP105" i="2"/>
  <c r="AO105" i="2"/>
  <c r="AL105" i="2"/>
  <c r="AH105" i="2"/>
  <c r="AG105" i="2"/>
  <c r="AF105" i="2"/>
  <c r="AE105" i="2"/>
  <c r="AB105" i="2"/>
  <c r="AN105" i="2" s="1"/>
  <c r="AQ105" i="2" s="1"/>
  <c r="AA105" i="2"/>
  <c r="Y105" i="2"/>
  <c r="X105" i="2"/>
  <c r="W105" i="2"/>
  <c r="AP104" i="2"/>
  <c r="AO104" i="2"/>
  <c r="AL104" i="2"/>
  <c r="AH104" i="2"/>
  <c r="AG104" i="2"/>
  <c r="AF104" i="2"/>
  <c r="AB104" i="2"/>
  <c r="AN104" i="2" s="1"/>
  <c r="AA104" i="2"/>
  <c r="Y104" i="2"/>
  <c r="X104" i="2"/>
  <c r="N104" i="2"/>
  <c r="AE104" i="2" s="1"/>
  <c r="AP103" i="2"/>
  <c r="AO103" i="2"/>
  <c r="AL103" i="2"/>
  <c r="AH103" i="2"/>
  <c r="AG103" i="2"/>
  <c r="AF103" i="2"/>
  <c r="AE103" i="2"/>
  <c r="AB103" i="2"/>
  <c r="AN103" i="2" s="1"/>
  <c r="AA103" i="2"/>
  <c r="Y103" i="2"/>
  <c r="X103" i="2"/>
  <c r="W103" i="2"/>
  <c r="AN102" i="2"/>
  <c r="AQ102" i="2" s="1"/>
  <c r="W102" i="2"/>
  <c r="Z102" i="2" s="1"/>
  <c r="AP101" i="2"/>
  <c r="AO101" i="2"/>
  <c r="AL101" i="2"/>
  <c r="AH101" i="2"/>
  <c r="AG101" i="2"/>
  <c r="AF101" i="2"/>
  <c r="AB101" i="2"/>
  <c r="AN101" i="2" s="1"/>
  <c r="AA101" i="2"/>
  <c r="Y101" i="2"/>
  <c r="X101" i="2"/>
  <c r="N101" i="2"/>
  <c r="W101" i="2" s="1"/>
  <c r="Z101" i="2" s="1"/>
  <c r="AP100" i="2"/>
  <c r="AO100" i="2"/>
  <c r="AL100" i="2"/>
  <c r="AH100" i="2"/>
  <c r="AG100" i="2"/>
  <c r="AF100" i="2"/>
  <c r="AE100" i="2"/>
  <c r="AB100" i="2"/>
  <c r="AN100" i="2" s="1"/>
  <c r="AQ100" i="2" s="1"/>
  <c r="AA100" i="2"/>
  <c r="Y100" i="2"/>
  <c r="X100" i="2"/>
  <c r="W100" i="2"/>
  <c r="AP99" i="2"/>
  <c r="AO99" i="2"/>
  <c r="AL99" i="2"/>
  <c r="AH99" i="2"/>
  <c r="AG99" i="2"/>
  <c r="AF99" i="2"/>
  <c r="AE99" i="2"/>
  <c r="AB99" i="2"/>
  <c r="AN99" i="2" s="1"/>
  <c r="AQ99" i="2" s="1"/>
  <c r="AA99" i="2"/>
  <c r="Y99" i="2"/>
  <c r="X99" i="2"/>
  <c r="W99" i="2"/>
  <c r="Z99" i="2" s="1"/>
  <c r="AP98" i="2"/>
  <c r="AO98" i="2"/>
  <c r="AL98" i="2"/>
  <c r="AH98" i="2"/>
  <c r="AG98" i="2"/>
  <c r="AF98" i="2"/>
  <c r="AE98" i="2"/>
  <c r="AB98" i="2"/>
  <c r="AN98" i="2" s="1"/>
  <c r="AA98" i="2"/>
  <c r="Y98" i="2"/>
  <c r="X98" i="2"/>
  <c r="W98" i="2"/>
  <c r="AP97" i="2"/>
  <c r="AO97" i="2"/>
  <c r="AL97" i="2"/>
  <c r="AH97" i="2"/>
  <c r="AG97" i="2"/>
  <c r="AF97" i="2"/>
  <c r="AB97" i="2"/>
  <c r="AN97" i="2" s="1"/>
  <c r="AA97" i="2"/>
  <c r="Y97" i="2"/>
  <c r="X97" i="2"/>
  <c r="N97" i="2"/>
  <c r="AE97" i="2" s="1"/>
  <c r="AP96" i="2"/>
  <c r="AO96" i="2"/>
  <c r="AL96" i="2"/>
  <c r="AK96" i="2"/>
  <c r="AJ96" i="2"/>
  <c r="AH96" i="2"/>
  <c r="AG96" i="2"/>
  <c r="AF96" i="2"/>
  <c r="AB96" i="2"/>
  <c r="AN96" i="2" s="1"/>
  <c r="AA96" i="2"/>
  <c r="Y96" i="2"/>
  <c r="X96" i="2"/>
  <c r="W96" i="2"/>
  <c r="Z96" i="2" s="1"/>
  <c r="N96" i="2"/>
  <c r="AE96" i="2" s="1"/>
  <c r="AP95" i="2"/>
  <c r="AO95" i="2"/>
  <c r="AN95" i="2"/>
  <c r="AL95" i="2"/>
  <c r="AH95" i="2"/>
  <c r="AG95" i="2"/>
  <c r="AF95" i="2"/>
  <c r="AB95" i="2"/>
  <c r="AA95" i="2"/>
  <c r="Y95" i="2"/>
  <c r="X95" i="2"/>
  <c r="M95" i="2"/>
  <c r="AE95" i="2" s="1"/>
  <c r="AP94" i="2"/>
  <c r="AO94" i="2"/>
  <c r="AL94" i="2"/>
  <c r="AH94" i="2"/>
  <c r="AG94" i="2"/>
  <c r="AF94" i="2"/>
  <c r="AE94" i="2"/>
  <c r="AB94" i="2"/>
  <c r="AN94" i="2" s="1"/>
  <c r="AA94" i="2"/>
  <c r="Y94" i="2"/>
  <c r="X94" i="2"/>
  <c r="W94" i="2"/>
  <c r="AP93" i="2"/>
  <c r="AO93" i="2"/>
  <c r="AL93" i="2"/>
  <c r="AH93" i="2"/>
  <c r="AG93" i="2"/>
  <c r="AF93" i="2"/>
  <c r="AB93" i="2"/>
  <c r="AN93" i="2" s="1"/>
  <c r="AA93" i="2"/>
  <c r="Y93" i="2"/>
  <c r="X93" i="2"/>
  <c r="W93" i="2"/>
  <c r="Z93" i="2" s="1"/>
  <c r="N93" i="2"/>
  <c r="AE93" i="2" s="1"/>
  <c r="AP92" i="2"/>
  <c r="AO92" i="2"/>
  <c r="AL92" i="2"/>
  <c r="AH92" i="2"/>
  <c r="AG92" i="2"/>
  <c r="AF92" i="2"/>
  <c r="AB92" i="2"/>
  <c r="AN92" i="2" s="1"/>
  <c r="AA92" i="2"/>
  <c r="Y92" i="2"/>
  <c r="X92" i="2"/>
  <c r="N92" i="2"/>
  <c r="W92" i="2" s="1"/>
  <c r="Z92" i="2" s="1"/>
  <c r="AP90" i="2"/>
  <c r="AO90" i="2"/>
  <c r="AL90" i="2"/>
  <c r="AH90" i="2"/>
  <c r="AG90" i="2"/>
  <c r="AF90" i="2"/>
  <c r="AB90" i="2"/>
  <c r="AN90" i="2" s="1"/>
  <c r="AA90" i="2"/>
  <c r="Y90" i="2"/>
  <c r="X90" i="2"/>
  <c r="P90" i="2"/>
  <c r="AE90" i="2" s="1"/>
  <c r="N90" i="2"/>
  <c r="AP89" i="2"/>
  <c r="AO89" i="2"/>
  <c r="AL89" i="2"/>
  <c r="AH89" i="2"/>
  <c r="AG89" i="2"/>
  <c r="AF89" i="2"/>
  <c r="AE89" i="2"/>
  <c r="AB89" i="2"/>
  <c r="AN89" i="2" s="1"/>
  <c r="AQ89" i="2" s="1"/>
  <c r="AA89" i="2"/>
  <c r="W89" i="2"/>
  <c r="AP88" i="2"/>
  <c r="AO88" i="2"/>
  <c r="AL88" i="2"/>
  <c r="AH88" i="2"/>
  <c r="AG88" i="2"/>
  <c r="AF88" i="2"/>
  <c r="AE88" i="2"/>
  <c r="AB88" i="2"/>
  <c r="AN88" i="2" s="1"/>
  <c r="AA88" i="2"/>
  <c r="Y88" i="2"/>
  <c r="X88" i="2"/>
  <c r="W88" i="2"/>
  <c r="AP87" i="2"/>
  <c r="AO87" i="2"/>
  <c r="AL87" i="2"/>
  <c r="AH87" i="2"/>
  <c r="AG87" i="2"/>
  <c r="AF87" i="2"/>
  <c r="AB87" i="2"/>
  <c r="AN87" i="2" s="1"/>
  <c r="AA87" i="2"/>
  <c r="Y87" i="2"/>
  <c r="X87" i="2"/>
  <c r="P87" i="2"/>
  <c r="AE87" i="2" s="1"/>
  <c r="N87" i="2"/>
  <c r="W95" i="2" l="1"/>
  <c r="W104" i="2"/>
  <c r="W106" i="2"/>
  <c r="AQ109" i="2"/>
  <c r="Z110" i="2"/>
  <c r="AQ110" i="2"/>
  <c r="W119" i="2"/>
  <c r="AQ119" i="2"/>
  <c r="AE120" i="2"/>
  <c r="W125" i="2"/>
  <c r="AQ125" i="2"/>
  <c r="W166" i="2"/>
  <c r="Z166" i="2" s="1"/>
  <c r="Z175" i="2"/>
  <c r="Z191" i="2"/>
  <c r="AQ101" i="2"/>
  <c r="Z112" i="2"/>
  <c r="Z118" i="2"/>
  <c r="AE129" i="2"/>
  <c r="Z135" i="2"/>
  <c r="Z140" i="2"/>
  <c r="Z174" i="2"/>
  <c r="AQ174" i="2"/>
  <c r="Z203" i="2"/>
  <c r="Z204" i="2"/>
  <c r="Z207" i="2"/>
  <c r="Z100" i="2"/>
  <c r="AE128" i="2"/>
  <c r="AQ133" i="2"/>
  <c r="W137" i="2"/>
  <c r="AQ151" i="2"/>
  <c r="AE172" i="2"/>
  <c r="W90" i="2"/>
  <c r="AE92" i="2"/>
  <c r="W97" i="2"/>
  <c r="Z97" i="2" s="1"/>
  <c r="AE101" i="2"/>
  <c r="W116" i="2"/>
  <c r="Z116" i="2" s="1"/>
  <c r="AE140" i="2"/>
  <c r="AE164" i="2"/>
  <c r="W167" i="2"/>
  <c r="AE174" i="2"/>
  <c r="AP86" i="2" l="1"/>
  <c r="AN86" i="2"/>
  <c r="AQ86" i="2" s="1"/>
  <c r="AL86" i="2"/>
  <c r="AE86" i="2"/>
  <c r="Z86" i="2"/>
  <c r="Y86" i="2"/>
  <c r="W86" i="2"/>
  <c r="AP85" i="2"/>
  <c r="AN85" i="2"/>
  <c r="AQ85" i="2" s="1"/>
  <c r="AL85" i="2"/>
  <c r="AE85" i="2"/>
  <c r="Z85" i="2"/>
  <c r="Y85" i="2"/>
  <c r="W85" i="2"/>
  <c r="AP84" i="2"/>
  <c r="AN84" i="2"/>
  <c r="AQ84" i="2" s="1"/>
  <c r="AL84" i="2"/>
  <c r="AE84" i="2"/>
  <c r="Y84" i="2"/>
  <c r="W84" i="2"/>
  <c r="Z84" i="2" s="1"/>
  <c r="AP83" i="2"/>
  <c r="AN83" i="2"/>
  <c r="AQ83" i="2" s="1"/>
  <c r="AL83" i="2"/>
  <c r="AE83" i="2"/>
  <c r="Y83" i="2"/>
  <c r="W83" i="2"/>
  <c r="Z83" i="2" s="1"/>
  <c r="AP82" i="2"/>
  <c r="AN82" i="2"/>
  <c r="AQ82" i="2" s="1"/>
  <c r="AL82" i="2"/>
  <c r="AE82" i="2"/>
  <c r="Z82" i="2"/>
  <c r="Y82" i="2"/>
  <c r="W82" i="2"/>
  <c r="AP81" i="2"/>
  <c r="AN81" i="2"/>
  <c r="AQ81" i="2" s="1"/>
  <c r="AL81" i="2"/>
  <c r="AE81" i="2"/>
  <c r="Z81" i="2"/>
  <c r="Y81" i="2"/>
  <c r="W81" i="2"/>
  <c r="AP80" i="2"/>
  <c r="AN80" i="2"/>
  <c r="AQ80" i="2" s="1"/>
  <c r="AL80" i="2"/>
  <c r="AE80" i="2"/>
  <c r="Y80" i="2"/>
  <c r="W80" i="2"/>
  <c r="Z80" i="2" s="1"/>
  <c r="AP79" i="2"/>
  <c r="AN79" i="2"/>
  <c r="AQ79" i="2" s="1"/>
  <c r="AL79" i="2"/>
  <c r="AE79" i="2"/>
  <c r="Y79" i="2"/>
  <c r="W79" i="2"/>
  <c r="Z79" i="2" s="1"/>
  <c r="AP78" i="2"/>
  <c r="AN78" i="2"/>
  <c r="AQ78" i="2" s="1"/>
  <c r="AL78" i="2"/>
  <c r="AE78" i="2"/>
  <c r="Y78" i="2"/>
  <c r="W78" i="2"/>
  <c r="Z78" i="2" s="1"/>
  <c r="AP77" i="2"/>
  <c r="AN77" i="2"/>
  <c r="AQ77" i="2" s="1"/>
  <c r="AL77" i="2"/>
  <c r="AE77" i="2"/>
  <c r="Z77" i="2"/>
  <c r="Y77" i="2"/>
  <c r="W77" i="2"/>
  <c r="AP76" i="2"/>
  <c r="AN76" i="2"/>
  <c r="AQ76" i="2" s="1"/>
  <c r="AL76" i="2"/>
  <c r="AE76" i="2"/>
  <c r="Y76" i="2"/>
  <c r="W76" i="2"/>
  <c r="Z76" i="2" s="1"/>
  <c r="AP75" i="2"/>
  <c r="AN75" i="2"/>
  <c r="AQ75" i="2" s="1"/>
  <c r="AL75" i="2"/>
  <c r="AE75" i="2"/>
  <c r="Y75" i="2"/>
  <c r="W75" i="2"/>
  <c r="Z75" i="2" s="1"/>
  <c r="AP74" i="2"/>
  <c r="AN74" i="2"/>
  <c r="AQ74" i="2" s="1"/>
  <c r="AL74" i="2"/>
  <c r="AE74" i="2"/>
  <c r="Z74" i="2"/>
  <c r="Y74" i="2"/>
  <c r="W74" i="2"/>
  <c r="AP73" i="2"/>
  <c r="AN73" i="2"/>
  <c r="AQ73" i="2" s="1"/>
  <c r="AL73" i="2"/>
  <c r="AE73" i="2"/>
  <c r="Z73" i="2"/>
  <c r="Y73" i="2"/>
  <c r="W73" i="2"/>
  <c r="AP72" i="2"/>
  <c r="AN72" i="2"/>
  <c r="AQ72" i="2" s="1"/>
  <c r="AL72" i="2"/>
  <c r="AE72" i="2"/>
  <c r="Y72" i="2"/>
  <c r="W72" i="2"/>
  <c r="Z72" i="2" s="1"/>
  <c r="AP71" i="2"/>
  <c r="AN71" i="2"/>
  <c r="AQ71" i="2" s="1"/>
  <c r="AL71" i="2"/>
  <c r="AE71" i="2"/>
  <c r="Y71" i="2"/>
  <c r="W71" i="2"/>
  <c r="Z71" i="2" s="1"/>
  <c r="AP70" i="2"/>
  <c r="AN70" i="2"/>
  <c r="AQ70" i="2" s="1"/>
  <c r="AL70" i="2"/>
  <c r="AE70" i="2"/>
  <c r="Z70" i="2"/>
  <c r="Y70" i="2"/>
  <c r="W70" i="2"/>
  <c r="AP69" i="2"/>
  <c r="AN69" i="2"/>
  <c r="AQ69" i="2" s="1"/>
  <c r="AL69" i="2"/>
  <c r="AE69" i="2"/>
  <c r="Z69" i="2"/>
  <c r="Y69" i="2"/>
  <c r="W69" i="2"/>
  <c r="AP68" i="2"/>
  <c r="AN68" i="2"/>
  <c r="AQ68" i="2" s="1"/>
  <c r="AL68" i="2"/>
  <c r="AE68" i="2"/>
  <c r="Y68" i="2"/>
  <c r="W68" i="2"/>
  <c r="Z68" i="2" s="1"/>
  <c r="AP67" i="2"/>
  <c r="AN67" i="2"/>
  <c r="AQ67" i="2" s="1"/>
  <c r="AL67" i="2"/>
  <c r="AE67" i="2"/>
  <c r="Y67" i="2"/>
  <c r="W67" i="2"/>
  <c r="Z67" i="2" s="1"/>
  <c r="AP66" i="2"/>
  <c r="AN66" i="2"/>
  <c r="AQ66" i="2" s="1"/>
  <c r="AL66" i="2"/>
  <c r="AE66" i="2"/>
  <c r="Z66" i="2"/>
  <c r="Y66" i="2"/>
  <c r="W66" i="2"/>
  <c r="AP65" i="2"/>
  <c r="AN65" i="2"/>
  <c r="AQ65" i="2" s="1"/>
  <c r="AL65" i="2"/>
  <c r="AE65" i="2"/>
  <c r="Z65" i="2"/>
  <c r="Y65" i="2"/>
  <c r="W65" i="2"/>
  <c r="AP64" i="2"/>
  <c r="AN64" i="2"/>
  <c r="AQ64" i="2" s="1"/>
  <c r="AL64" i="2"/>
  <c r="AE64" i="2"/>
  <c r="Y64" i="2"/>
  <c r="W64" i="2"/>
  <c r="Z64" i="2" s="1"/>
  <c r="AP63" i="2"/>
  <c r="AN63" i="2"/>
  <c r="AL63" i="2"/>
  <c r="AE63" i="2"/>
  <c r="Y63" i="2"/>
  <c r="W63" i="2"/>
  <c r="Z63" i="2" s="1"/>
  <c r="AP62" i="2"/>
  <c r="AN62" i="2"/>
  <c r="AQ62" i="2" s="1"/>
  <c r="AL62" i="2"/>
  <c r="AE62" i="2"/>
  <c r="Y62" i="2"/>
  <c r="W62" i="2"/>
  <c r="Z62" i="2" s="1"/>
  <c r="AP61" i="2"/>
  <c r="AN61" i="2"/>
  <c r="AQ61" i="2" s="1"/>
  <c r="AL61" i="2"/>
  <c r="AE61" i="2"/>
  <c r="Y61" i="2"/>
  <c r="W61" i="2"/>
  <c r="Z61" i="2" s="1"/>
  <c r="AP60" i="2"/>
  <c r="AN60" i="2"/>
  <c r="AQ60" i="2" s="1"/>
  <c r="AL60" i="2"/>
  <c r="AE60" i="2"/>
  <c r="Y60" i="2"/>
  <c r="W60" i="2"/>
  <c r="Z60" i="2" s="1"/>
  <c r="AP59" i="2"/>
  <c r="AN59" i="2"/>
  <c r="AQ59" i="2" s="1"/>
  <c r="AL59" i="2"/>
  <c r="AE59" i="2"/>
  <c r="Y59" i="2"/>
  <c r="W59" i="2"/>
  <c r="Z59" i="2" s="1"/>
  <c r="AP58" i="2"/>
  <c r="AL58" i="2"/>
  <c r="Y58" i="2"/>
  <c r="M58" i="2"/>
  <c r="W58" i="2" s="1"/>
  <c r="Z58" i="2" s="1"/>
  <c r="AP57" i="2"/>
  <c r="AN57" i="2"/>
  <c r="AQ57" i="2" s="1"/>
  <c r="AL57" i="2"/>
  <c r="AE57" i="2"/>
  <c r="Z57" i="2"/>
  <c r="Y57" i="2"/>
  <c r="W57" i="2"/>
  <c r="AP56" i="2"/>
  <c r="AN56" i="2"/>
  <c r="AQ56" i="2" s="1"/>
  <c r="AL56" i="2"/>
  <c r="AE56" i="2"/>
  <c r="Z56" i="2"/>
  <c r="Y56" i="2"/>
  <c r="W56" i="2"/>
  <c r="AP55" i="2"/>
  <c r="AN55" i="2"/>
  <c r="AQ55" i="2" s="1"/>
  <c r="AL55" i="2"/>
  <c r="AE55" i="2"/>
  <c r="Y55" i="2"/>
  <c r="W55" i="2"/>
  <c r="Z55" i="2" s="1"/>
  <c r="AP54" i="2"/>
  <c r="AN54" i="2"/>
  <c r="AQ54" i="2" s="1"/>
  <c r="AL54" i="2"/>
  <c r="AE54" i="2"/>
  <c r="Y54" i="2"/>
  <c r="W54" i="2"/>
  <c r="Z54" i="2" s="1"/>
  <c r="AQ53" i="2"/>
  <c r="AP53" i="2"/>
  <c r="AL53" i="2"/>
  <c r="AE53" i="2"/>
  <c r="Y53" i="2"/>
  <c r="W53" i="2"/>
  <c r="Z53" i="2" s="1"/>
  <c r="AP52" i="2"/>
  <c r="AN52" i="2"/>
  <c r="AQ52" i="2" s="1"/>
  <c r="AL52" i="2"/>
  <c r="AE52" i="2"/>
  <c r="Y52" i="2"/>
  <c r="W52" i="2"/>
  <c r="Z52" i="2" s="1"/>
  <c r="AP51" i="2"/>
  <c r="AN51" i="2"/>
  <c r="AQ51" i="2" s="1"/>
  <c r="AL51" i="2"/>
  <c r="AE51" i="2"/>
  <c r="Y51" i="2"/>
  <c r="W51" i="2"/>
  <c r="Z51" i="2" s="1"/>
  <c r="AP50" i="2"/>
  <c r="AN50" i="2"/>
  <c r="AQ50" i="2" s="1"/>
  <c r="AL50" i="2"/>
  <c r="AE50" i="2"/>
  <c r="Y50" i="2"/>
  <c r="W50" i="2"/>
  <c r="Z50" i="2" s="1"/>
  <c r="AP49" i="2"/>
  <c r="AN49" i="2"/>
  <c r="AQ49" i="2" s="1"/>
  <c r="AL49" i="2"/>
  <c r="AE49" i="2"/>
  <c r="Y49" i="2"/>
  <c r="W49" i="2"/>
  <c r="Z49" i="2" s="1"/>
  <c r="AP48" i="2"/>
  <c r="AN48" i="2"/>
  <c r="AQ48" i="2" s="1"/>
  <c r="AL48" i="2"/>
  <c r="AE48" i="2"/>
  <c r="Y48" i="2"/>
  <c r="W48" i="2"/>
  <c r="Z48" i="2" s="1"/>
  <c r="AP47" i="2"/>
  <c r="AN47" i="2"/>
  <c r="AQ47" i="2" s="1"/>
  <c r="AL47" i="2"/>
  <c r="AE47" i="2"/>
  <c r="Y47" i="2"/>
  <c r="W47" i="2"/>
  <c r="Z47" i="2" s="1"/>
  <c r="AP46" i="2"/>
  <c r="AN46" i="2"/>
  <c r="AQ46" i="2" s="1"/>
  <c r="AL46" i="2"/>
  <c r="AE46" i="2"/>
  <c r="Y46" i="2"/>
  <c r="W46" i="2"/>
  <c r="Z46" i="2" s="1"/>
  <c r="AP45" i="2"/>
  <c r="AN45" i="2"/>
  <c r="AQ45" i="2" s="1"/>
  <c r="AL45" i="2"/>
  <c r="AE45" i="2"/>
  <c r="Y45" i="2"/>
  <c r="W45" i="2"/>
  <c r="Z45" i="2" s="1"/>
  <c r="AP44" i="2"/>
  <c r="AN44" i="2"/>
  <c r="AQ44" i="2" s="1"/>
  <c r="AL44" i="2"/>
  <c r="AE44" i="2"/>
  <c r="Y44" i="2"/>
  <c r="W44" i="2"/>
  <c r="Z44" i="2" s="1"/>
  <c r="AP43" i="2"/>
  <c r="AN43" i="2"/>
  <c r="AQ43" i="2" s="1"/>
  <c r="AL43" i="2"/>
  <c r="AE43" i="2"/>
  <c r="Y43" i="2"/>
  <c r="W43" i="2"/>
  <c r="Z43" i="2" s="1"/>
  <c r="AP42" i="2"/>
  <c r="AN42" i="2"/>
  <c r="AQ42" i="2" s="1"/>
  <c r="AL42" i="2"/>
  <c r="AE42" i="2"/>
  <c r="Y42" i="2"/>
  <c r="W42" i="2"/>
  <c r="Z42" i="2" s="1"/>
  <c r="AP41" i="2"/>
  <c r="AN41" i="2"/>
  <c r="AQ41" i="2" s="1"/>
  <c r="AL41" i="2"/>
  <c r="AE41" i="2"/>
  <c r="Y41" i="2"/>
  <c r="W41" i="2"/>
  <c r="Z41" i="2" s="1"/>
  <c r="AQ40" i="2"/>
  <c r="AP40" i="2"/>
  <c r="AL40" i="2"/>
  <c r="AE40" i="2"/>
  <c r="Y40" i="2"/>
  <c r="W40" i="2"/>
  <c r="Z40" i="2" s="1"/>
  <c r="AP39" i="2"/>
  <c r="AN39" i="2"/>
  <c r="AQ39" i="2" s="1"/>
  <c r="AL39" i="2"/>
  <c r="AE39" i="2"/>
  <c r="Y39" i="2"/>
  <c r="W39" i="2"/>
  <c r="Z39" i="2" s="1"/>
  <c r="AP38" i="2"/>
  <c r="AL38" i="2"/>
  <c r="Y38" i="2"/>
  <c r="W38" i="2"/>
  <c r="Z38" i="2" s="1"/>
  <c r="M38" i="2"/>
  <c r="AN38" i="2" s="1"/>
  <c r="AQ38" i="2" s="1"/>
  <c r="AP37" i="2"/>
  <c r="AN37" i="2"/>
  <c r="AQ37" i="2" s="1"/>
  <c r="AL37" i="2"/>
  <c r="AE37" i="2"/>
  <c r="Y37" i="2"/>
  <c r="W37" i="2"/>
  <c r="Z37" i="2" s="1"/>
  <c r="AQ36" i="2"/>
  <c r="AP36" i="2"/>
  <c r="AL36" i="2"/>
  <c r="AE36" i="2"/>
  <c r="Y36" i="2"/>
  <c r="W36" i="2"/>
  <c r="Z36" i="2" s="1"/>
  <c r="AP35" i="2"/>
  <c r="AN35" i="2"/>
  <c r="AQ35" i="2" s="1"/>
  <c r="AL35" i="2"/>
  <c r="AE35" i="2"/>
  <c r="Y35" i="2"/>
  <c r="W35" i="2"/>
  <c r="Z35" i="2" s="1"/>
  <c r="AP34" i="2"/>
  <c r="AN34" i="2"/>
  <c r="AQ34" i="2" s="1"/>
  <c r="AL34" i="2"/>
  <c r="AE34" i="2"/>
  <c r="Y34" i="2"/>
  <c r="W34" i="2"/>
  <c r="Z34" i="2" s="1"/>
  <c r="AP33" i="2"/>
  <c r="AN33" i="2"/>
  <c r="AQ33" i="2" s="1"/>
  <c r="AL33" i="2"/>
  <c r="AE33" i="2"/>
  <c r="Y33" i="2"/>
  <c r="W33" i="2"/>
  <c r="Z33" i="2" s="1"/>
  <c r="AP32" i="2"/>
  <c r="AN32" i="2"/>
  <c r="AQ32" i="2" s="1"/>
  <c r="AL32" i="2"/>
  <c r="AE32" i="2"/>
  <c r="Y32" i="2"/>
  <c r="W32" i="2"/>
  <c r="Z32" i="2" s="1"/>
  <c r="AP31" i="2"/>
  <c r="AN31" i="2"/>
  <c r="AQ31" i="2" s="1"/>
  <c r="AL31" i="2"/>
  <c r="AE31" i="2"/>
  <c r="Y31" i="2"/>
  <c r="W31" i="2"/>
  <c r="Z31" i="2" s="1"/>
  <c r="AQ30" i="2"/>
  <c r="AP30" i="2"/>
  <c r="AL30" i="2"/>
  <c r="AE30" i="2"/>
  <c r="Y30" i="2"/>
  <c r="W30" i="2"/>
  <c r="Z30" i="2" s="1"/>
  <c r="AQ29" i="2"/>
  <c r="AP29" i="2"/>
  <c r="AN29" i="2"/>
  <c r="AL29" i="2"/>
  <c r="AE29" i="2"/>
  <c r="Y29" i="2"/>
  <c r="W29" i="2"/>
  <c r="Z29" i="2" s="1"/>
  <c r="AP28" i="2"/>
  <c r="AN28" i="2"/>
  <c r="AQ28" i="2" s="1"/>
  <c r="AL28" i="2"/>
  <c r="AE28" i="2"/>
  <c r="Y28" i="2"/>
  <c r="W28" i="2"/>
  <c r="Z28" i="2" s="1"/>
  <c r="AP27" i="2"/>
  <c r="AN27" i="2"/>
  <c r="AQ27" i="2" s="1"/>
  <c r="AL27" i="2"/>
  <c r="AE27" i="2"/>
  <c r="Y27" i="2"/>
  <c r="W27" i="2"/>
  <c r="Z27" i="2" s="1"/>
  <c r="AQ26" i="2"/>
  <c r="AP26" i="2"/>
  <c r="AN26" i="2"/>
  <c r="AL26" i="2"/>
  <c r="AE26" i="2"/>
  <c r="Y26" i="2"/>
  <c r="W26" i="2"/>
  <c r="Z26" i="2" s="1"/>
  <c r="AL25" i="2"/>
  <c r="AE25" i="2"/>
  <c r="Y25" i="2"/>
  <c r="W25" i="2"/>
  <c r="Z25" i="2" s="1"/>
  <c r="AP24" i="2"/>
  <c r="AN24" i="2"/>
  <c r="AQ24" i="2" s="1"/>
  <c r="AL24" i="2"/>
  <c r="AE24" i="2"/>
  <c r="Y24" i="2"/>
  <c r="W24" i="2"/>
  <c r="Z24" i="2" s="1"/>
  <c r="AP23" i="2"/>
  <c r="AN23" i="2"/>
  <c r="AQ23" i="2" s="1"/>
  <c r="AL23" i="2"/>
  <c r="AE23" i="2"/>
  <c r="Y23" i="2"/>
  <c r="W23" i="2"/>
  <c r="Z23" i="2" s="1"/>
  <c r="AP22" i="2"/>
  <c r="AN22" i="2"/>
  <c r="AQ22" i="2" s="1"/>
  <c r="AL22" i="2"/>
  <c r="AE22" i="2"/>
  <c r="Y22" i="2"/>
  <c r="W22" i="2"/>
  <c r="Z22" i="2" s="1"/>
  <c r="AP21" i="2"/>
  <c r="AN21" i="2"/>
  <c r="AQ21" i="2" s="1"/>
  <c r="AL21" i="2"/>
  <c r="AE21" i="2"/>
  <c r="Y21" i="2"/>
  <c r="W21" i="2"/>
  <c r="Z21" i="2" s="1"/>
  <c r="AQ20" i="2"/>
  <c r="AP20" i="2"/>
  <c r="AN20" i="2"/>
  <c r="AL20" i="2"/>
  <c r="AE20" i="2"/>
  <c r="Y20" i="2"/>
  <c r="W20" i="2"/>
  <c r="Z20" i="2" s="1"/>
  <c r="AQ19" i="2"/>
  <c r="AP19" i="2"/>
  <c r="AN19" i="2"/>
  <c r="AL19" i="2"/>
  <c r="AE19" i="2"/>
  <c r="Y19" i="2"/>
  <c r="W19" i="2"/>
  <c r="Z19" i="2" s="1"/>
  <c r="AP18" i="2"/>
  <c r="AN18" i="2"/>
  <c r="AQ18" i="2" s="1"/>
  <c r="AL18" i="2"/>
  <c r="AE18" i="2"/>
  <c r="Y18" i="2"/>
  <c r="W18" i="2"/>
  <c r="Z18" i="2" s="1"/>
  <c r="AP17" i="2"/>
  <c r="AN17" i="2"/>
  <c r="AL17" i="2"/>
  <c r="AE17" i="2"/>
  <c r="Y17" i="2"/>
  <c r="W17" i="2"/>
  <c r="Z17" i="2" s="1"/>
  <c r="AQ16" i="2"/>
  <c r="AP16" i="2"/>
  <c r="AN16" i="2"/>
  <c r="AL16" i="2"/>
  <c r="AE16" i="2"/>
  <c r="Y16" i="2"/>
  <c r="W16" i="2"/>
  <c r="Z16" i="2" s="1"/>
  <c r="AP15" i="2"/>
  <c r="AN15" i="2"/>
  <c r="AQ15" i="2" s="1"/>
  <c r="AL15" i="2"/>
  <c r="AE15" i="2"/>
  <c r="Y15" i="2"/>
  <c r="W15" i="2"/>
  <c r="Z15" i="2" s="1"/>
  <c r="AP14" i="2"/>
  <c r="AN14" i="2"/>
  <c r="AQ14" i="2" s="1"/>
  <c r="AL14" i="2"/>
  <c r="AE14" i="2"/>
  <c r="Y14" i="2"/>
  <c r="W14" i="2"/>
  <c r="Z14" i="2" s="1"/>
  <c r="AP13" i="2"/>
  <c r="AN13" i="2"/>
  <c r="AQ13" i="2" s="1"/>
  <c r="AL13" i="2"/>
  <c r="AE13" i="2"/>
  <c r="Y13" i="2"/>
  <c r="W13" i="2"/>
  <c r="Z13" i="2" s="1"/>
  <c r="AQ12" i="2"/>
  <c r="AP12" i="2"/>
  <c r="AL12" i="2"/>
  <c r="AE12" i="2"/>
  <c r="Y12" i="2"/>
  <c r="W12" i="2"/>
  <c r="Z12" i="2" s="1"/>
  <c r="AP11" i="2"/>
  <c r="AN11" i="2"/>
  <c r="AQ11" i="2" s="1"/>
  <c r="AL11" i="2"/>
  <c r="AE11" i="2"/>
  <c r="Z11" i="2"/>
  <c r="Y11" i="2"/>
  <c r="W11" i="2"/>
  <c r="AP10" i="2"/>
  <c r="AN10" i="2"/>
  <c r="AQ10" i="2" s="1"/>
  <c r="AL10" i="2"/>
  <c r="AE10" i="2"/>
  <c r="Z10" i="2"/>
  <c r="Y10" i="2"/>
  <c r="W10" i="2"/>
  <c r="AP9" i="2"/>
  <c r="AN9" i="2"/>
  <c r="AQ9" i="2" s="1"/>
  <c r="AL9" i="2"/>
  <c r="AE9" i="2"/>
  <c r="Y9" i="2"/>
  <c r="W9" i="2"/>
  <c r="Z9" i="2" s="1"/>
  <c r="AP8" i="2"/>
  <c r="AN8" i="2"/>
  <c r="AQ8" i="2" s="1"/>
  <c r="AE8" i="2"/>
  <c r="Y8" i="2"/>
  <c r="W8" i="2"/>
  <c r="Z8" i="2" s="1"/>
  <c r="AP7" i="2"/>
  <c r="AN7" i="2"/>
  <c r="AQ7" i="2" s="1"/>
  <c r="AE7" i="2"/>
  <c r="Y7" i="2"/>
  <c r="W7" i="2"/>
  <c r="Z7" i="2" s="1"/>
  <c r="AQ6" i="2"/>
  <c r="AP6" i="2"/>
  <c r="AN6" i="2"/>
  <c r="AL6" i="2"/>
  <c r="AE6" i="2"/>
  <c r="Y6" i="2"/>
  <c r="W6" i="2"/>
  <c r="Z6" i="2" s="1"/>
  <c r="AP5" i="2"/>
  <c r="AN5" i="2"/>
  <c r="AQ5" i="2" s="1"/>
  <c r="AE5" i="2"/>
  <c r="Y5" i="2"/>
  <c r="W5" i="2"/>
  <c r="Z5" i="2" s="1"/>
  <c r="AP4" i="2"/>
  <c r="AN4" i="2"/>
  <c r="AQ4" i="2" s="1"/>
  <c r="AE4" i="2"/>
  <c r="Y4" i="2"/>
  <c r="W4" i="2"/>
  <c r="Z4" i="2" s="1"/>
  <c r="AP3" i="2"/>
  <c r="AN3" i="2"/>
  <c r="AQ3" i="2" s="1"/>
  <c r="AL3" i="2"/>
  <c r="AE3" i="2"/>
  <c r="Z3" i="2"/>
  <c r="Y3" i="2"/>
  <c r="W3" i="2"/>
  <c r="AP2" i="2"/>
  <c r="AN2" i="2"/>
  <c r="AQ2" i="2" s="1"/>
  <c r="AL2" i="2"/>
  <c r="AE2" i="2"/>
  <c r="Z2" i="2"/>
  <c r="Y2" i="2"/>
  <c r="W2" i="2"/>
  <c r="AN58" i="2" l="1"/>
  <c r="AQ58" i="2" s="1"/>
  <c r="AE58" i="2"/>
  <c r="AE38" i="2"/>
</calcChain>
</file>

<file path=xl/comments1.xml><?xml version="1.0" encoding="utf-8"?>
<comments xmlns="http://schemas.openxmlformats.org/spreadsheetml/2006/main">
  <authors>
    <author>成七一</author>
  </authors>
  <commentLis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成七一:</t>
        </r>
        <r>
          <rPr>
            <sz val="9"/>
            <color indexed="81"/>
            <rFont val="宋体"/>
            <family val="3"/>
            <charset val="134"/>
          </rPr>
          <t xml:space="preserve">
管理费率，税率和回收率，如果已经结算，分母是结算额，还是合同额+调增额？</t>
        </r>
      </text>
    </comment>
    <comment ref="AH152" authorId="0" shapeId="0">
      <text>
        <r>
          <rPr>
            <b/>
            <sz val="9"/>
            <color indexed="81"/>
            <rFont val="宋体"/>
            <family val="3"/>
            <charset val="134"/>
          </rPr>
          <t>成七一:</t>
        </r>
        <r>
          <rPr>
            <sz val="9"/>
            <color indexed="81"/>
            <rFont val="宋体"/>
            <family val="3"/>
            <charset val="134"/>
          </rPr>
          <t xml:space="preserve">
因为型材点为空</t>
        </r>
      </text>
    </comment>
  </commentList>
</comments>
</file>

<file path=xl/sharedStrings.xml><?xml version="1.0" encoding="utf-8"?>
<sst xmlns="http://schemas.openxmlformats.org/spreadsheetml/2006/main" count="7349" uniqueCount="2326">
  <si>
    <t>id</t>
  </si>
  <si>
    <t>serialId</t>
  </si>
  <si>
    <t>trice</t>
  </si>
  <si>
    <t>description</t>
  </si>
  <si>
    <t>projectId</t>
  </si>
  <si>
    <t>organizationId</t>
  </si>
  <si>
    <t>projectCode</t>
  </si>
  <si>
    <t>projectName</t>
  </si>
  <si>
    <t>contractAmount</t>
  </si>
  <si>
    <t>changeAmount</t>
  </si>
  <si>
    <t>changeTotalAmount</t>
  </si>
  <si>
    <t>settlementAmount</t>
  </si>
  <si>
    <t>managementRate</t>
  </si>
  <si>
    <t>managementPlanAmount</t>
  </si>
  <si>
    <t>managementRealAmount</t>
  </si>
  <si>
    <t>managementTotalAmount</t>
  </si>
  <si>
    <t>managementOweAmount</t>
  </si>
  <si>
    <t>partyBillingAmount</t>
  </si>
  <si>
    <t>partyBillingTotalAmount</t>
  </si>
  <si>
    <t>collectionsAmount</t>
  </si>
  <si>
    <t>collectionsTotalAmount</t>
  </si>
  <si>
    <t>collectionsRate</t>
  </si>
  <si>
    <t>customerBillingAmount</t>
  </si>
  <si>
    <t>customerBillingTotalAmount</t>
  </si>
  <si>
    <t>paymentAmount</t>
  </si>
  <si>
    <t>paymentTotalAmount</t>
  </si>
  <si>
    <t>taxRate</t>
  </si>
  <si>
    <t>taxPlanAmount</t>
  </si>
  <si>
    <t>taxRealAmount</t>
  </si>
  <si>
    <t>taxTotalAmount</t>
  </si>
  <si>
    <t>taxOweAmount</t>
  </si>
  <si>
    <t>arrearsAmount</t>
  </si>
  <si>
    <t>expectedValue</t>
  </si>
  <si>
    <t>profilePoint</t>
  </si>
  <si>
    <t>version</t>
  </si>
  <si>
    <t>createTime</t>
  </si>
  <si>
    <t>tableName</t>
  </si>
  <si>
    <t/>
  </si>
  <si>
    <t>0ed44f90-0c3a-11e4-9300-001c42328937</t>
  </si>
  <si>
    <t>XMF08-02</t>
  </si>
  <si>
    <t>中国国际贸易中心三期</t>
  </si>
  <si>
    <t>0ed38235-0c3a-11e4-9300-001c42328937</t>
  </si>
  <si>
    <t>SY2009-03</t>
  </si>
  <si>
    <t>四方景园工程</t>
  </si>
  <si>
    <t>SY2010-01</t>
  </si>
  <si>
    <t>中直机关</t>
  </si>
  <si>
    <t>SY2010-02</t>
  </si>
  <si>
    <t>大万综合楼</t>
  </si>
  <si>
    <t>SY2010-03</t>
  </si>
  <si>
    <t>北京嘉泽生态园</t>
  </si>
  <si>
    <t>XMF10-11</t>
  </si>
  <si>
    <t>商品房A01楼等6项、商品房A04楼等5项</t>
  </si>
  <si>
    <t>亦庄</t>
  </si>
  <si>
    <t>XMF10-51</t>
  </si>
  <si>
    <t>中国传媒大学图书馆工程</t>
  </si>
  <si>
    <t>XMF10-40</t>
  </si>
  <si>
    <t>幸福三村</t>
  </si>
  <si>
    <t>SY2011-01</t>
  </si>
  <si>
    <t>北京汽车城</t>
  </si>
  <si>
    <t>SY2011-05</t>
  </si>
  <si>
    <t>顺义汽车城</t>
  </si>
  <si>
    <t>SY2011-07</t>
  </si>
  <si>
    <t>顺义汽车城（幕墙工程）</t>
  </si>
  <si>
    <t>SY2011-07增</t>
  </si>
  <si>
    <t>XMF11-48</t>
  </si>
  <si>
    <t>生物技术研发中心二期</t>
  </si>
  <si>
    <t>管庄</t>
  </si>
  <si>
    <t>XMF12-03</t>
  </si>
  <si>
    <t>空军9011工程空地勤综合楼</t>
  </si>
  <si>
    <t>正和平</t>
  </si>
  <si>
    <t>XMF12-02</t>
  </si>
  <si>
    <t>门头沟新城冯村（一期）居住项目A西区</t>
  </si>
  <si>
    <t>XMF12-01</t>
  </si>
  <si>
    <t>北京邮件综合处理中心</t>
  </si>
  <si>
    <t>XMF12-04</t>
  </si>
  <si>
    <t>春晖园1#综合楼一段等4项工程</t>
  </si>
  <si>
    <t>SY2012-01</t>
  </si>
  <si>
    <t>鸿嘉会所</t>
  </si>
  <si>
    <t>XMF12-05</t>
  </si>
  <si>
    <t>北京绿地密云国际花都项目</t>
  </si>
  <si>
    <t>管庄、昌平</t>
  </si>
  <si>
    <t>XMF12-09</t>
  </si>
  <si>
    <t>六郎庄拆迁安置房二标段</t>
  </si>
  <si>
    <t>SY2012-02</t>
  </si>
  <si>
    <t>鸿嘉商务楼</t>
  </si>
  <si>
    <t>XMF12-07</t>
  </si>
  <si>
    <t>中国原子能科学研究院3号楼</t>
  </si>
  <si>
    <t>XMF12-08</t>
  </si>
  <si>
    <t>六郎庄拆迁安置房一标段</t>
  </si>
  <si>
    <t>XMF12-11</t>
  </si>
  <si>
    <t>京西宾馆东楼群房改建工程</t>
  </si>
  <si>
    <t>SY2012-03</t>
  </si>
  <si>
    <t>融科智地</t>
  </si>
  <si>
    <t>XMF12-13</t>
  </si>
  <si>
    <t>环能院实验楼幕墙工程</t>
  </si>
  <si>
    <t>XMF12-14</t>
  </si>
  <si>
    <t>印刷大楼改造工程</t>
  </si>
  <si>
    <t>三河</t>
  </si>
  <si>
    <t>XMF12-15</t>
  </si>
  <si>
    <t>大兴黄村地铁枣园路站居住项目</t>
  </si>
  <si>
    <t>大兴</t>
  </si>
  <si>
    <t>XMF12-16</t>
  </si>
  <si>
    <t>宇泰佳苑住宅楼</t>
  </si>
  <si>
    <t>郭大龙</t>
  </si>
  <si>
    <t>XMF12-12</t>
  </si>
  <si>
    <t>爱博精电生产楼等2项工程</t>
  </si>
  <si>
    <t>SY2012-04</t>
  </si>
  <si>
    <t>江西908综合楼</t>
  </si>
  <si>
    <t>XMF12-18</t>
  </si>
  <si>
    <t>密云县穆家岭镇华润希望小镇展示</t>
  </si>
  <si>
    <t>XMF12-17</t>
  </si>
  <si>
    <t>大兴黄村新城北区16号项目</t>
  </si>
  <si>
    <t>XMF12-23</t>
  </si>
  <si>
    <t>现代农业生物研发平台工程</t>
  </si>
  <si>
    <t>XMF12-21</t>
  </si>
  <si>
    <t>天津红星国际广场2#地酒店式公寓</t>
  </si>
  <si>
    <t>XMF12-19</t>
  </si>
  <si>
    <t>京昌高科技信息产业园2#厂房</t>
  </si>
  <si>
    <t>XMF12-20</t>
  </si>
  <si>
    <t>总参气象水文局经济适用住房工程</t>
  </si>
  <si>
    <t>XMF12-22</t>
  </si>
  <si>
    <t>老城厢12号地块</t>
  </si>
  <si>
    <t>SY2012-06</t>
  </si>
  <si>
    <t>兴城莲花酒店</t>
  </si>
  <si>
    <t>XMF12-24</t>
  </si>
  <si>
    <t>厂房一等4项铝合金门窗工程</t>
  </si>
  <si>
    <t>XMF12-29</t>
  </si>
  <si>
    <t>SY2012-07</t>
  </si>
  <si>
    <t>兴城公安局</t>
  </si>
  <si>
    <t>XMF12-27</t>
  </si>
  <si>
    <t>中国劳动关系学院教学楼修缮工程</t>
  </si>
  <si>
    <t>XMF12-30</t>
  </si>
  <si>
    <t>天津国际城诗景颂苑二标段12#-16#</t>
  </si>
  <si>
    <t>XMF12-26</t>
  </si>
  <si>
    <t>爱迪学校报告厅</t>
  </si>
  <si>
    <t>XMF12-31</t>
  </si>
  <si>
    <t>2011工程</t>
  </si>
  <si>
    <t>XMF12-32</t>
  </si>
  <si>
    <t>宝鼎商场</t>
  </si>
  <si>
    <t>XMF12-33</t>
  </si>
  <si>
    <t>朝阳区东坝驹子房农民安置房</t>
  </si>
  <si>
    <t>XMF12-28</t>
  </si>
  <si>
    <t>密云县穆家岭镇华润希望小镇乡村酒店</t>
  </si>
  <si>
    <t>SY2012-08</t>
  </si>
  <si>
    <t>唐山君熙</t>
  </si>
  <si>
    <t>XMF12-34</t>
  </si>
  <si>
    <t>小屯新村B03、B06回迁楼及B04配套</t>
  </si>
  <si>
    <t>XMF12-35</t>
  </si>
  <si>
    <t>衙门口居住及公建项目</t>
  </si>
  <si>
    <t>XMF12-36</t>
  </si>
  <si>
    <t>西北旺六里屯农民定置点定向房</t>
  </si>
  <si>
    <t>SY2012-09</t>
  </si>
  <si>
    <t>呼市中海御龙湾</t>
  </si>
  <si>
    <t>XMF12-46</t>
  </si>
  <si>
    <t>空军装备研究院防控所</t>
  </si>
  <si>
    <t>XMF12-47</t>
  </si>
  <si>
    <t>D型公寓D4一单元铝合金窗</t>
  </si>
  <si>
    <t>XMF12-51</t>
  </si>
  <si>
    <t>总政318信息化业务楼</t>
  </si>
  <si>
    <t>昌平</t>
  </si>
  <si>
    <t>SY2012-10</t>
  </si>
  <si>
    <t>北京军区装备部</t>
  </si>
  <si>
    <t>SY2012-10增1</t>
  </si>
  <si>
    <t>SY2012-11</t>
  </si>
  <si>
    <t>大兴教委会</t>
  </si>
  <si>
    <t>XMF12-60</t>
  </si>
  <si>
    <t>岳各庄居住东区1#地128公建</t>
  </si>
  <si>
    <t>SY2012-13</t>
  </si>
  <si>
    <t>西城区扩建办公楼</t>
  </si>
  <si>
    <t>SY2012-12</t>
  </si>
  <si>
    <t>西藏自然博物馆</t>
  </si>
  <si>
    <t>SY2012-14</t>
  </si>
  <si>
    <t>平阳景苑</t>
  </si>
  <si>
    <t>SY2012-15</t>
  </si>
  <si>
    <t>丹东万达</t>
  </si>
  <si>
    <t>SY2012-12增1</t>
  </si>
  <si>
    <t>SY2013-01</t>
  </si>
  <si>
    <t>阜外心血管玻璃幕墙</t>
  </si>
  <si>
    <t>XMF13-01</t>
  </si>
  <si>
    <t>北池子大街35号院翻改建</t>
  </si>
  <si>
    <t>XMF13-05</t>
  </si>
  <si>
    <t>平谷金海湖小镇定向安置房</t>
  </si>
  <si>
    <t>XMF13-07</t>
  </si>
  <si>
    <t>国隆府综合楼玻璃幕墙工程</t>
  </si>
  <si>
    <t>XMF13-04</t>
  </si>
  <si>
    <t>61886部队食堂及文体活动用房</t>
  </si>
  <si>
    <t>XMF13-08</t>
  </si>
  <si>
    <t>4#生物研发楼等三项</t>
  </si>
  <si>
    <t>XMF13-06</t>
  </si>
  <si>
    <t>广安门铁路住宅小区工程</t>
  </si>
  <si>
    <t>XMF13-09</t>
  </si>
  <si>
    <t>广安门铁路住宅小区B段</t>
  </si>
  <si>
    <t>XMF13-10</t>
  </si>
  <si>
    <t>广安门铁路住宅小区A段</t>
  </si>
  <si>
    <t>SY2013-02</t>
  </si>
  <si>
    <t>唐山君熙太和石材幕墙</t>
  </si>
  <si>
    <t>XMF13-11</t>
  </si>
  <si>
    <t>来广营B2地块项目</t>
  </si>
  <si>
    <t>XMF13-12</t>
  </si>
  <si>
    <t>新华联雅园一期工程</t>
  </si>
  <si>
    <t>SY2013-03</t>
  </si>
  <si>
    <t>神农架机场航站楼</t>
  </si>
  <si>
    <t>XMF13-14</t>
  </si>
  <si>
    <t>京昌高科技信息产业园3#厂房</t>
  </si>
  <si>
    <t>XMF13-15</t>
  </si>
  <si>
    <t>61599部队清河经济适用住房工程</t>
  </si>
  <si>
    <t>XMF13-13</t>
  </si>
  <si>
    <t>北京国际文化贸易企业集散中心</t>
  </si>
  <si>
    <t>XMF13-17</t>
  </si>
  <si>
    <t>朝阳区东坝驹子房农民安置房F区</t>
  </si>
  <si>
    <t>SY2013-04</t>
  </si>
  <si>
    <t>渤海船舶职业学院</t>
  </si>
  <si>
    <t>XMF13-18</t>
  </si>
  <si>
    <t>华北运转中心项目仓储物流及附属设施</t>
  </si>
  <si>
    <t>XMF13-16</t>
  </si>
  <si>
    <t>解放军总医院研究大楼改造</t>
  </si>
  <si>
    <t>SY2013-05增1</t>
  </si>
  <si>
    <t>南昌物流中心B02厂房外墙</t>
  </si>
  <si>
    <t>XMF13-20</t>
  </si>
  <si>
    <t>厦门高崎国际机场T4航站楼</t>
  </si>
  <si>
    <t>XMF13-21</t>
  </si>
  <si>
    <t>西郊机场西区10#住宅楼工程</t>
  </si>
  <si>
    <t>京顺</t>
  </si>
  <si>
    <t>SY2013-05</t>
  </si>
  <si>
    <t>B1-01、B1-02厂房外墙</t>
  </si>
  <si>
    <t>XMF13-19</t>
  </si>
  <si>
    <t>西郊机场西区12#住宅楼工程</t>
  </si>
  <si>
    <t>XMF13-22</t>
  </si>
  <si>
    <t>红星国际广场3#地地块</t>
  </si>
  <si>
    <t>XMF13-23</t>
  </si>
  <si>
    <t>衙门口居住公建A1地块</t>
  </si>
  <si>
    <t>SY2013-06</t>
  </si>
  <si>
    <t>漯河驻京办事处</t>
  </si>
  <si>
    <t>XMF13-24</t>
  </si>
  <si>
    <t>朝阳区十八里店周庄三期</t>
  </si>
  <si>
    <t>XMF13-25</t>
  </si>
  <si>
    <t>北京市平谷检察院办案和专业技术房</t>
  </si>
  <si>
    <t>XMF13-26</t>
  </si>
  <si>
    <t>铁科院永丰基地扩建项目</t>
  </si>
  <si>
    <t>XMF13-27</t>
  </si>
  <si>
    <t>国贸世纪公寓样板间外墙工程</t>
  </si>
  <si>
    <t>SY2013-07</t>
  </si>
  <si>
    <t>呼市宇生苑售楼中心</t>
  </si>
  <si>
    <t>XMF13-28</t>
  </si>
  <si>
    <t>利生大厦综合办公楼项目外立面</t>
  </si>
  <si>
    <t>XMF13-29</t>
  </si>
  <si>
    <t>航天长征睿特科技天津生产基地</t>
  </si>
  <si>
    <t>XMF13-30</t>
  </si>
  <si>
    <t>96819部队工程</t>
  </si>
  <si>
    <t>XMF13-31</t>
  </si>
  <si>
    <t>中国国际贸易中心二座幕墙工程</t>
  </si>
  <si>
    <t>XMF13-32</t>
  </si>
  <si>
    <t>密云县穆家岭希望一期3#地</t>
  </si>
  <si>
    <t>XMF13-33</t>
  </si>
  <si>
    <t>大兴北臧村镇居住及配套项目</t>
  </si>
  <si>
    <t>SY2013-08</t>
  </si>
  <si>
    <t>办公综合楼（冠京先河）</t>
  </si>
  <si>
    <t>XMF13-35</t>
  </si>
  <si>
    <t>红星国际广场3#地A1楼铝合金门窗</t>
  </si>
  <si>
    <t>XMF13-34</t>
  </si>
  <si>
    <t>天津东疆港瞰海轩工程</t>
  </si>
  <si>
    <t>XMF13-36</t>
  </si>
  <si>
    <t>温泉公寓B型公寓一期外立面</t>
  </si>
  <si>
    <t>XMF13-37</t>
  </si>
  <si>
    <t>新宁波站改建工程</t>
  </si>
  <si>
    <t>XMF13-38</t>
  </si>
  <si>
    <t>国网智能电网研究院倒班宿舍楼</t>
  </si>
  <si>
    <t>SY2013-09</t>
  </si>
  <si>
    <t>北京总参塔院干休所住宅楼</t>
  </si>
  <si>
    <t>XMF13-39</t>
  </si>
  <si>
    <t>锋创科技园4#研发办公楼</t>
  </si>
  <si>
    <t>XMF13-40</t>
  </si>
  <si>
    <t>望海楼南侧</t>
  </si>
  <si>
    <t>XMF13-42</t>
  </si>
  <si>
    <t>成功（中国）大广场休闲娱乐中心</t>
  </si>
  <si>
    <t>XMF13-43</t>
  </si>
  <si>
    <t>华远大厦维修项目</t>
  </si>
  <si>
    <t>SY2013-10</t>
  </si>
  <si>
    <t>西安中海国际社区</t>
  </si>
  <si>
    <t>XMF13-47</t>
  </si>
  <si>
    <t>数据技术研发中心建设项目6#楼</t>
  </si>
  <si>
    <t>XMF13-44</t>
  </si>
  <si>
    <t>香河鸿坤理想城阳光项目</t>
  </si>
  <si>
    <t>XMF13-45</t>
  </si>
  <si>
    <t>1#楼生物技术研发中心项目幕墙工程</t>
  </si>
  <si>
    <t>XMF13-48</t>
  </si>
  <si>
    <t>研发办公楼D座等16项</t>
  </si>
  <si>
    <t>XMF13-49</t>
  </si>
  <si>
    <t>天津红星国际广场3#地A2-A4楼</t>
  </si>
  <si>
    <t>XMF13-46</t>
  </si>
  <si>
    <t>A1厂房等8项-B1研发楼</t>
  </si>
  <si>
    <t>SY2013-11</t>
  </si>
  <si>
    <t>廊坊幸福园</t>
  </si>
  <si>
    <t>XMF13-50</t>
  </si>
  <si>
    <t>金宝花园</t>
  </si>
  <si>
    <t>XMF13-52</t>
  </si>
  <si>
    <t>橡树湾售楼样板间</t>
  </si>
  <si>
    <t>XMF13-41</t>
  </si>
  <si>
    <t>欧逸丽庭二期北标段项目</t>
  </si>
  <si>
    <t>XMF13-53</t>
  </si>
  <si>
    <t>肽谷生命科学园1-2期</t>
  </si>
  <si>
    <t>XMF13-54</t>
  </si>
  <si>
    <t>门头沟项目B区铝合金门窗及百叶</t>
  </si>
  <si>
    <t>大厂</t>
  </si>
  <si>
    <t>XMF13-51</t>
  </si>
  <si>
    <t>大兴定向安置房（榆垡）</t>
  </si>
  <si>
    <t>SY2013-14</t>
  </si>
  <si>
    <t>内蒙金隅丽港售楼处</t>
  </si>
  <si>
    <t>SY2013-17及增1</t>
  </si>
  <si>
    <t>衡水大厦</t>
  </si>
  <si>
    <t>SY2013-20</t>
  </si>
  <si>
    <t>卢沟桥小瓦窑村1#回迁房</t>
  </si>
  <si>
    <t>XMF13-55</t>
  </si>
  <si>
    <t>德州康博公馆一期一标段工程</t>
  </si>
  <si>
    <t>SY2013-23</t>
  </si>
  <si>
    <t>曲美家具</t>
  </si>
  <si>
    <t>SY2013-12及增1</t>
  </si>
  <si>
    <t>门头沟天台山居住项目</t>
  </si>
  <si>
    <t>SY2013-15及增1</t>
  </si>
  <si>
    <t>航空城北区一号门房</t>
  </si>
  <si>
    <t>SY2013-21</t>
  </si>
  <si>
    <t>创新国际2#5#6#8#楼铝合金门窗</t>
  </si>
  <si>
    <t>SY2013-18</t>
  </si>
  <si>
    <t>金隅时代二期</t>
  </si>
  <si>
    <t>XMF13-56</t>
  </si>
  <si>
    <t>房山长沟镇改造一期</t>
  </si>
  <si>
    <t>SY2013-24</t>
  </si>
  <si>
    <t>南昌万达广场</t>
  </si>
  <si>
    <t>SY2013-13</t>
  </si>
  <si>
    <t>阜外心血管后勤服务中心</t>
  </si>
  <si>
    <t>SY2013-16</t>
  </si>
  <si>
    <t>北七家公建住宅</t>
  </si>
  <si>
    <t>SY2013-22</t>
  </si>
  <si>
    <t>东莞厚街万达广场</t>
  </si>
  <si>
    <t>SY2013-19</t>
  </si>
  <si>
    <t>无锡万达文化旅游展示中心</t>
  </si>
  <si>
    <t>XMF13-57</t>
  </si>
  <si>
    <t>合肥南站</t>
  </si>
  <si>
    <t>XMF13-58</t>
  </si>
  <si>
    <t>华茂嘉园住宅小区隔热</t>
  </si>
  <si>
    <t>XMF13-59</t>
  </si>
  <si>
    <t>5#生物研发楼外幕墙工程</t>
  </si>
  <si>
    <t>XMF13-60</t>
  </si>
  <si>
    <t>总政机关黄寺礼堂</t>
  </si>
  <si>
    <t>XMF14-01</t>
  </si>
  <si>
    <t>贵阳北站</t>
  </si>
  <si>
    <t>XMF14-02</t>
  </si>
  <si>
    <t>3829玻璃石材幕墙及断桥铝合金</t>
  </si>
  <si>
    <t>SY2014-01</t>
  </si>
  <si>
    <t>九棵树三标段</t>
  </si>
  <si>
    <t>XMF14-04</t>
  </si>
  <si>
    <t>北京实创科技园开发建设股份有限公司</t>
  </si>
  <si>
    <t>SY2014-02及增1</t>
  </si>
  <si>
    <t>和泓四季9#外墙装饰及门窗</t>
  </si>
  <si>
    <t>XMF14-06</t>
  </si>
  <si>
    <t>北京嘉里中心翻装项目办公楼</t>
  </si>
  <si>
    <t>SY2014-03</t>
  </si>
  <si>
    <t>大同国金中心</t>
  </si>
  <si>
    <t>XMF14-07</t>
  </si>
  <si>
    <t>德州康博公馆一期2#工程</t>
  </si>
  <si>
    <t>XMF14-09</t>
  </si>
  <si>
    <t>北京西红门兴海学校扩建项目</t>
  </si>
  <si>
    <t>SY2014-04</t>
  </si>
  <si>
    <t>黄石万达广场设计合同</t>
  </si>
  <si>
    <t>XMF14-08</t>
  </si>
  <si>
    <t>北京联合大学第二教学楼</t>
  </si>
  <si>
    <t>XMF14-12</t>
  </si>
  <si>
    <t>援肯尼亚卡通都医院</t>
  </si>
  <si>
    <t>XMF14-10</t>
  </si>
  <si>
    <t>中国人民解放军96819部队综合管理楼</t>
  </si>
  <si>
    <t>XMF14-11</t>
  </si>
  <si>
    <t>大兴京城高尔夫俱乐部</t>
  </si>
  <si>
    <t>SY2014-05</t>
  </si>
  <si>
    <t>天津河东万达广场</t>
  </si>
  <si>
    <t>XMF14-15</t>
  </si>
  <si>
    <t>双井宿舍楼工程</t>
  </si>
  <si>
    <t>XMF14-13</t>
  </si>
  <si>
    <t>XMF14-17</t>
  </si>
  <si>
    <t>大兴旧宫中学改扩建项目</t>
  </si>
  <si>
    <t>XMF14-14</t>
  </si>
  <si>
    <t>国家体育总局乒乓球馆</t>
  </si>
  <si>
    <t>XMF14-18</t>
  </si>
  <si>
    <t>M5样板间外立面幕墙</t>
  </si>
  <si>
    <t>XMF14-19</t>
  </si>
  <si>
    <t>东北旺农场科研楼一号楼</t>
  </si>
  <si>
    <t>SY2014-06</t>
  </si>
  <si>
    <t>沈阳太原街万达广场</t>
  </si>
  <si>
    <t>XMF14-20</t>
  </si>
  <si>
    <t>61785部队二期经济适用房</t>
  </si>
  <si>
    <t>XMF14-21</t>
  </si>
  <si>
    <t>北京中医药大学良乡校区东院</t>
  </si>
  <si>
    <t>SY2014-25</t>
  </si>
  <si>
    <t>南通港闸万达售楼处设计</t>
  </si>
  <si>
    <t>SY2014-31</t>
  </si>
  <si>
    <t>大兴区黄村镇四-六街安置房</t>
  </si>
  <si>
    <t>SY2014-28</t>
  </si>
  <si>
    <t>中关村e世界大厦玻璃幕墙改造</t>
  </si>
  <si>
    <t>XMF14-28</t>
  </si>
  <si>
    <t>北京市十一学校改造工程</t>
  </si>
  <si>
    <t>SY2014-34</t>
  </si>
  <si>
    <t>中国科学院大学玉泉营小区改造工程</t>
  </si>
  <si>
    <t>SY2014-08及增1</t>
  </si>
  <si>
    <t>重庆巴南万达</t>
  </si>
  <si>
    <t>SY2014-11</t>
  </si>
  <si>
    <t>东莞厚街万达采光顶</t>
  </si>
  <si>
    <t>SY2014-14</t>
  </si>
  <si>
    <t>合肥万达文化旅游城A2地块设计</t>
  </si>
  <si>
    <t>SY2014-17</t>
  </si>
  <si>
    <t>通辽万达广场销售及回迁物业设计</t>
  </si>
  <si>
    <t>SY2014-20</t>
  </si>
  <si>
    <t>泰安万达广场</t>
  </si>
  <si>
    <t>XMF14-22</t>
  </si>
  <si>
    <t>天津武清原乡郡项目示范区</t>
  </si>
  <si>
    <t>SY2014-23</t>
  </si>
  <si>
    <t>苏州吴中万达广场样板段</t>
  </si>
  <si>
    <t>SY2014-26</t>
  </si>
  <si>
    <t>青岛CBD万达安全隐患整改设计</t>
  </si>
  <si>
    <t>XMF14-26</t>
  </si>
  <si>
    <t>6201工程</t>
  </si>
  <si>
    <t>SY2014-32</t>
  </si>
  <si>
    <t>西山9号院采光顶改造工程</t>
  </si>
  <si>
    <t>SY2014-29</t>
  </si>
  <si>
    <t>大连开发区万达广场</t>
  </si>
  <si>
    <t>SY2014-35</t>
  </si>
  <si>
    <t>十堰万达售楼处设计</t>
  </si>
  <si>
    <t>SY2014-09</t>
  </si>
  <si>
    <t>兰州理工大学设计合同</t>
  </si>
  <si>
    <t>SY2014-12</t>
  </si>
  <si>
    <t>北七家TBD云集团项目幕墙工程（标段3）合同</t>
  </si>
  <si>
    <t>SY2014-15</t>
  </si>
  <si>
    <t>中科院新园区8标段（体育中心、礼堂）</t>
  </si>
  <si>
    <t>SY2014-18</t>
  </si>
  <si>
    <t>宿州万达广场售楼处</t>
  </si>
  <si>
    <t>SY2014-21</t>
  </si>
  <si>
    <t>三利.中和城售楼处及样板间</t>
  </si>
  <si>
    <t>SY2014-24</t>
  </si>
  <si>
    <t>冠京饭店改造</t>
  </si>
  <si>
    <t>SY2014-30</t>
  </si>
  <si>
    <t>郫县万达广场销售中心外幕墙</t>
  </si>
  <si>
    <t>SY2014-27</t>
  </si>
  <si>
    <t>乌鲁木齐经开万达广场设计合同</t>
  </si>
  <si>
    <t>XMF14-27</t>
  </si>
  <si>
    <t>21#住宅楼等18项</t>
  </si>
  <si>
    <t>SY2014-33</t>
  </si>
  <si>
    <t>广州增城万达文化旅游展示中心</t>
  </si>
  <si>
    <t>SY2014-36</t>
  </si>
  <si>
    <t>岗亭购销合同</t>
  </si>
  <si>
    <t>SY2014-10及增1</t>
  </si>
  <si>
    <t>通辽万达广场商业设计</t>
  </si>
  <si>
    <t>SY2014-07</t>
  </si>
  <si>
    <t>沈阳铁西万达广场</t>
  </si>
  <si>
    <t>SY2014-13</t>
  </si>
  <si>
    <t>南昌A101行政办公楼</t>
  </si>
  <si>
    <t>SY2014-16</t>
  </si>
  <si>
    <t>呼和浩特幕墙安全隐患整改设计合同</t>
  </si>
  <si>
    <t>SY2014-19</t>
  </si>
  <si>
    <t>桂林万达城展示中心</t>
  </si>
  <si>
    <t>SY2014-22</t>
  </si>
  <si>
    <t>广州南沙万达广场售楼处</t>
  </si>
  <si>
    <t>XMF14-25</t>
  </si>
  <si>
    <t>海淀清河二期B4区</t>
  </si>
  <si>
    <t>XMF14-24</t>
  </si>
  <si>
    <t>靓景明居四期</t>
  </si>
  <si>
    <t>XMF14-29</t>
  </si>
  <si>
    <t>总政机关东区34号楼断桥铝合金</t>
  </si>
  <si>
    <t>trice</t>
    <phoneticPr fontId="2" type="noConversion"/>
  </si>
  <si>
    <t>description</t>
    <phoneticPr fontId="2" type="noConversion"/>
  </si>
  <si>
    <t>project_code</t>
    <phoneticPr fontId="2" type="noConversion"/>
  </si>
  <si>
    <t>project_name</t>
    <phoneticPr fontId="2" type="noConversion"/>
  </si>
  <si>
    <t>organization_name</t>
    <phoneticPr fontId="2" type="noConversion"/>
  </si>
  <si>
    <t>party_name</t>
    <phoneticPr fontId="2" type="noConversion"/>
  </si>
  <si>
    <t>party_address</t>
    <phoneticPr fontId="2" type="noConversion"/>
  </si>
  <si>
    <t>manager</t>
    <phoneticPr fontId="2" type="noConversion"/>
  </si>
  <si>
    <t>corperation</t>
    <phoneticPr fontId="2" type="noConversion"/>
  </si>
  <si>
    <t>legal_assignee</t>
    <phoneticPr fontId="2" type="noConversion"/>
  </si>
  <si>
    <t>is_withholding_offsite</t>
    <phoneticPr fontId="2" type="noConversion"/>
  </si>
  <si>
    <t>contract_code</t>
    <phoneticPr fontId="2" type="noConversion"/>
  </si>
  <si>
    <t>contract_amount</t>
    <phoneticPr fontId="2" type="noConversion"/>
  </si>
  <si>
    <t>change_amount</t>
    <phoneticPr fontId="2" type="noConversion"/>
  </si>
  <si>
    <t>change_total_amount</t>
    <phoneticPr fontId="2" type="noConversion"/>
  </si>
  <si>
    <t>settlement_amount</t>
    <phoneticPr fontId="2" type="noConversion"/>
  </si>
  <si>
    <t>duty_paid_code</t>
    <phoneticPr fontId="2" type="noConversion"/>
  </si>
  <si>
    <t>duty_paid_time</t>
    <phoneticPr fontId="2" type="noConversion"/>
  </si>
  <si>
    <t>duty_paid_amount</t>
  </si>
  <si>
    <t>capital_occupied</t>
    <phoneticPr fontId="2" type="noConversion"/>
  </si>
  <si>
    <t>project_status</t>
    <phoneticPr fontId="2" type="noConversion"/>
  </si>
  <si>
    <t>management_rate</t>
    <phoneticPr fontId="2" type="noConversion"/>
  </si>
  <si>
    <t>management_plan_amount</t>
    <phoneticPr fontId="2" type="noConversion"/>
  </si>
  <si>
    <t>management_real_amount</t>
    <phoneticPr fontId="2" type="noConversion"/>
  </si>
  <si>
    <t>management_total_amount</t>
    <phoneticPr fontId="2" type="noConversion"/>
  </si>
  <si>
    <t>management_owe_amount</t>
    <phoneticPr fontId="2" type="noConversion"/>
  </si>
  <si>
    <t>party_billing_amount</t>
    <phoneticPr fontId="2" type="noConversion"/>
  </si>
  <si>
    <t>party_billing_total_amount</t>
    <phoneticPr fontId="2" type="noConversion"/>
  </si>
  <si>
    <t>collections_amount</t>
    <phoneticPr fontId="2" type="noConversion"/>
  </si>
  <si>
    <t>collections_total_amount</t>
    <phoneticPr fontId="2" type="noConversion"/>
  </si>
  <si>
    <t>collections_rate</t>
    <phoneticPr fontId="2" type="noConversion"/>
  </si>
  <si>
    <t>customer_billing_amount</t>
    <phoneticPr fontId="2" type="noConversion"/>
  </si>
  <si>
    <t>customer_billing_total_amount</t>
  </si>
  <si>
    <t>payment_amount</t>
    <phoneticPr fontId="2" type="noConversion"/>
  </si>
  <si>
    <t>payment_amount_clv</t>
    <phoneticPr fontId="2" type="noConversion"/>
  </si>
  <si>
    <t>payment_amount_cliang</t>
    <phoneticPr fontId="2" type="noConversion"/>
  </si>
  <si>
    <t>payment_amount_zdai</t>
    <phoneticPr fontId="2" type="noConversion"/>
  </si>
  <si>
    <t>payment_total_amount</t>
    <phoneticPr fontId="2" type="noConversion"/>
  </si>
  <si>
    <t>tax_rate</t>
    <phoneticPr fontId="2" type="noConversion"/>
  </si>
  <si>
    <t>tax_plan_amount</t>
    <phoneticPr fontId="2" type="noConversion"/>
  </si>
  <si>
    <t>tax_real_amount</t>
    <phoneticPr fontId="2" type="noConversion"/>
  </si>
  <si>
    <t>tax_total_amount</t>
    <phoneticPr fontId="2" type="noConversion"/>
  </si>
  <si>
    <t>tax_owe_amount</t>
    <phoneticPr fontId="2" type="noConversion"/>
  </si>
  <si>
    <t>arrears_amount</t>
    <phoneticPr fontId="2" type="noConversion"/>
  </si>
  <si>
    <t>expected_value</t>
    <phoneticPr fontId="2" type="noConversion"/>
  </si>
  <si>
    <t>profile_point</t>
    <phoneticPr fontId="2" type="noConversion"/>
  </si>
  <si>
    <t>2009-03-01</t>
  </si>
  <si>
    <t>刘海青</t>
  </si>
  <si>
    <t>SY2009-03</t>
    <phoneticPr fontId="2" type="noConversion"/>
  </si>
  <si>
    <t>四方景园工程</t>
    <phoneticPr fontId="2" type="noConversion"/>
  </si>
  <si>
    <t>事业部</t>
    <phoneticPr fontId="2" type="noConversion"/>
  </si>
  <si>
    <t>刘海青</t>
    <phoneticPr fontId="2" type="noConversion"/>
  </si>
  <si>
    <t>否</t>
    <phoneticPr fontId="2" type="noConversion"/>
  </si>
  <si>
    <t>已结算</t>
    <phoneticPr fontId="2" type="noConversion"/>
  </si>
  <si>
    <t>2010-01-01</t>
  </si>
  <si>
    <t>SY2010-01</t>
    <phoneticPr fontId="2" type="noConversion"/>
  </si>
  <si>
    <t>中直机关</t>
    <phoneticPr fontId="2" type="noConversion"/>
  </si>
  <si>
    <t>已暂停</t>
    <phoneticPr fontId="2" type="noConversion"/>
  </si>
  <si>
    <t>2010-02-01</t>
  </si>
  <si>
    <t>SY2010-02</t>
    <phoneticPr fontId="2" type="noConversion"/>
  </si>
  <si>
    <t>大万综合楼</t>
    <phoneticPr fontId="2" type="noConversion"/>
  </si>
  <si>
    <t>否</t>
    <phoneticPr fontId="2" type="noConversion"/>
  </si>
  <si>
    <t>是</t>
    <phoneticPr fontId="2" type="noConversion"/>
  </si>
  <si>
    <t>2010-03-01</t>
  </si>
  <si>
    <t>SY2010-03</t>
    <phoneticPr fontId="2" type="noConversion"/>
  </si>
  <si>
    <t>北京嘉泽生态园</t>
    <phoneticPr fontId="2" type="noConversion"/>
  </si>
  <si>
    <t>2011-01-01</t>
  </si>
  <si>
    <t>事业一部</t>
  </si>
  <si>
    <t>SY2011-01</t>
    <phoneticPr fontId="2" type="noConversion"/>
  </si>
  <si>
    <t>北京汽车城</t>
    <phoneticPr fontId="2" type="noConversion"/>
  </si>
  <si>
    <t>中国中铁航空港建设集团有限公司</t>
    <phoneticPr fontId="2" type="noConversion"/>
  </si>
  <si>
    <t>北京市顺义区</t>
    <phoneticPr fontId="2" type="noConversion"/>
  </si>
  <si>
    <t>马冬雷</t>
    <phoneticPr fontId="2" type="noConversion"/>
  </si>
  <si>
    <t>北京和平简商贸有限公司</t>
    <phoneticPr fontId="2" type="noConversion"/>
  </si>
  <si>
    <t>马冬雷</t>
    <phoneticPr fontId="2" type="noConversion"/>
  </si>
  <si>
    <t>2011-05-01</t>
  </si>
  <si>
    <t>SY2011-05</t>
    <phoneticPr fontId="2" type="noConversion"/>
  </si>
  <si>
    <t>顺义汽车城</t>
    <phoneticPr fontId="2" type="noConversion"/>
  </si>
  <si>
    <t>中国中铁航空港建设集团有限公司</t>
    <phoneticPr fontId="2" type="noConversion"/>
  </si>
  <si>
    <t>北京市顺义区</t>
    <phoneticPr fontId="2" type="noConversion"/>
  </si>
  <si>
    <t>2011-07-01</t>
  </si>
  <si>
    <t>SY2011-07</t>
    <phoneticPr fontId="2" type="noConversion"/>
  </si>
  <si>
    <t>顺义汽车城（幕墙工程）</t>
    <phoneticPr fontId="2" type="noConversion"/>
  </si>
  <si>
    <t>事业部</t>
    <phoneticPr fontId="2" type="noConversion"/>
  </si>
  <si>
    <t>中国中铁航空港建设集团有限公司</t>
    <phoneticPr fontId="2" type="noConversion"/>
  </si>
  <si>
    <t>已暂停</t>
    <phoneticPr fontId="2" type="noConversion"/>
  </si>
  <si>
    <t>SY2011-07增</t>
    <phoneticPr fontId="2" type="noConversion"/>
  </si>
  <si>
    <t>2012-01-01</t>
  </si>
  <si>
    <t>孙景龙</t>
  </si>
  <si>
    <t>SY2012-01</t>
    <phoneticPr fontId="2" type="noConversion"/>
  </si>
  <si>
    <t>鸿嘉会所</t>
    <phoneticPr fontId="2" type="noConversion"/>
  </si>
  <si>
    <t>2012-02-01</t>
  </si>
  <si>
    <t>SY2012-02</t>
    <phoneticPr fontId="2" type="noConversion"/>
  </si>
  <si>
    <t>鸿嘉商务楼</t>
    <phoneticPr fontId="2" type="noConversion"/>
  </si>
  <si>
    <t>否</t>
    <phoneticPr fontId="2" type="noConversion"/>
  </si>
  <si>
    <t>2012-03-01</t>
  </si>
  <si>
    <t>SY2012-03</t>
    <phoneticPr fontId="2" type="noConversion"/>
  </si>
  <si>
    <t>融科智地</t>
    <phoneticPr fontId="2" type="noConversion"/>
  </si>
  <si>
    <t>2012-04-01</t>
  </si>
  <si>
    <t>事业三部</t>
  </si>
  <si>
    <t>SY2012-04</t>
    <phoneticPr fontId="2" type="noConversion"/>
  </si>
  <si>
    <t>江西908综合楼</t>
    <phoneticPr fontId="2" type="noConversion"/>
  </si>
  <si>
    <t>海力建设集团有限公司(甲方1）                中国航空国际建设有限公司（甲方2）</t>
    <phoneticPr fontId="2" type="noConversion"/>
  </si>
  <si>
    <t>江西洪都航空工业集团有限责任公司院内</t>
    <phoneticPr fontId="2" type="noConversion"/>
  </si>
  <si>
    <t>李平</t>
    <phoneticPr fontId="2" type="noConversion"/>
  </si>
  <si>
    <t>北京九天装饰有限责任公司</t>
    <phoneticPr fontId="2" type="noConversion"/>
  </si>
  <si>
    <t>李平</t>
    <phoneticPr fontId="2" type="noConversion"/>
  </si>
  <si>
    <t>是</t>
    <phoneticPr fontId="2" type="noConversion"/>
  </si>
  <si>
    <t>正常进行</t>
    <phoneticPr fontId="2" type="noConversion"/>
  </si>
  <si>
    <t>2012-06-01</t>
  </si>
  <si>
    <t>事业五部</t>
  </si>
  <si>
    <t>SY2012-06</t>
    <phoneticPr fontId="2" type="noConversion"/>
  </si>
  <si>
    <t>兴城莲花酒店</t>
    <phoneticPr fontId="2" type="noConversion"/>
  </si>
  <si>
    <t>葫芦岛海上海莲花商务酒店有限公司</t>
    <phoneticPr fontId="2" type="noConversion"/>
  </si>
  <si>
    <t>兴城市</t>
    <phoneticPr fontId="2" type="noConversion"/>
  </si>
  <si>
    <t>邵永辉</t>
    <phoneticPr fontId="2" type="noConversion"/>
  </si>
  <si>
    <t>葫芦岛志远事业有限公司</t>
    <phoneticPr fontId="2" type="noConversion"/>
  </si>
  <si>
    <t>2012-07-01</t>
  </si>
  <si>
    <t>SY2012-07</t>
    <phoneticPr fontId="2" type="noConversion"/>
  </si>
  <si>
    <t>兴城公安局</t>
    <phoneticPr fontId="2" type="noConversion"/>
  </si>
  <si>
    <t>兴城市</t>
    <phoneticPr fontId="2" type="noConversion"/>
  </si>
  <si>
    <t>邵永辉</t>
    <phoneticPr fontId="2" type="noConversion"/>
  </si>
  <si>
    <t>2012-08-01</t>
  </si>
  <si>
    <t>SY2012-08</t>
    <phoneticPr fontId="2" type="noConversion"/>
  </si>
  <si>
    <t>唐山君熙</t>
    <phoneticPr fontId="2" type="noConversion"/>
  </si>
  <si>
    <t>唐山君熙房地产开发有限公司</t>
    <phoneticPr fontId="2" type="noConversion"/>
  </si>
  <si>
    <t>唐山丰南区</t>
  </si>
  <si>
    <t>北京和平简商贸有限公司</t>
    <phoneticPr fontId="2" type="noConversion"/>
  </si>
  <si>
    <t>2012-09-01</t>
  </si>
  <si>
    <t>事业十部</t>
  </si>
  <si>
    <t>呼市中海御龙湾</t>
    <phoneticPr fontId="2" type="noConversion"/>
  </si>
  <si>
    <t>呼和浩特市中海宏洋地产有限公司</t>
    <phoneticPr fontId="2" type="noConversion"/>
  </si>
  <si>
    <t>呼和浩特市</t>
    <phoneticPr fontId="2" type="noConversion"/>
  </si>
  <si>
    <t>高元生</t>
    <phoneticPr fontId="2" type="noConversion"/>
  </si>
  <si>
    <t>北京源生缘门窗有限公司</t>
    <phoneticPr fontId="2" type="noConversion"/>
  </si>
  <si>
    <t>正常进行</t>
    <phoneticPr fontId="2" type="noConversion"/>
  </si>
  <si>
    <t>2012-10-01</t>
  </si>
  <si>
    <t>事业十二部</t>
  </si>
  <si>
    <t>北京军区装备部</t>
    <phoneticPr fontId="2" type="noConversion"/>
  </si>
  <si>
    <t>中航天建设工程有限公司</t>
    <phoneticPr fontId="2" type="noConversion"/>
  </si>
  <si>
    <t>北京市丰台区东大街41号</t>
    <phoneticPr fontId="2" type="noConversion"/>
  </si>
  <si>
    <t>陈建中</t>
    <phoneticPr fontId="2" type="noConversion"/>
  </si>
  <si>
    <t>北京源泰力建筑装饰工程有限公司</t>
    <phoneticPr fontId="2" type="noConversion"/>
  </si>
  <si>
    <t>SY2012-10增1</t>
    <phoneticPr fontId="2" type="noConversion"/>
  </si>
  <si>
    <t>北京市丰台区东大街42号</t>
  </si>
  <si>
    <t>北京源泰力建筑装饰工程有限公司</t>
    <phoneticPr fontId="2" type="noConversion"/>
  </si>
  <si>
    <t>陈建中</t>
    <phoneticPr fontId="2" type="noConversion"/>
  </si>
  <si>
    <t>2012-11-01</t>
  </si>
  <si>
    <t>SY2012-11</t>
    <phoneticPr fontId="2" type="noConversion"/>
  </si>
  <si>
    <t>大兴教委会</t>
    <phoneticPr fontId="2" type="noConversion"/>
  </si>
  <si>
    <t>大兴区教育委员会</t>
    <phoneticPr fontId="2" type="noConversion"/>
  </si>
  <si>
    <t>北京市大兴区</t>
    <phoneticPr fontId="2" type="noConversion"/>
  </si>
  <si>
    <t>北京源生缘门窗有限公司</t>
    <phoneticPr fontId="2" type="noConversion"/>
  </si>
  <si>
    <t>高元生</t>
    <phoneticPr fontId="2" type="noConversion"/>
  </si>
  <si>
    <t>2012-12-01</t>
  </si>
  <si>
    <t>事业二部</t>
  </si>
  <si>
    <t>西藏自然博物馆</t>
    <phoneticPr fontId="2" type="noConversion"/>
  </si>
  <si>
    <t>中国机械工业建设集团有限公司</t>
    <phoneticPr fontId="2" type="noConversion"/>
  </si>
  <si>
    <t>西藏自治区拉萨市</t>
    <phoneticPr fontId="2" type="noConversion"/>
  </si>
  <si>
    <t>王培俊</t>
    <phoneticPr fontId="2" type="noConversion"/>
  </si>
  <si>
    <t>北京玉林强钢化玻璃有限公司</t>
    <phoneticPr fontId="2" type="noConversion"/>
  </si>
  <si>
    <t>王培彦</t>
    <phoneticPr fontId="2" type="noConversion"/>
  </si>
  <si>
    <t>SY2012-12增1</t>
    <phoneticPr fontId="2" type="noConversion"/>
  </si>
  <si>
    <t>西藏自然博物馆</t>
    <phoneticPr fontId="2" type="noConversion"/>
  </si>
  <si>
    <t>王培俊</t>
    <phoneticPr fontId="2" type="noConversion"/>
  </si>
  <si>
    <t>北京玉林强钢化玻璃有限公司</t>
    <phoneticPr fontId="2" type="noConversion"/>
  </si>
  <si>
    <t>事业十六部</t>
  </si>
  <si>
    <t>SY2012-13</t>
    <phoneticPr fontId="2" type="noConversion"/>
  </si>
  <si>
    <t>西城区扩建办公楼</t>
    <phoneticPr fontId="2" type="noConversion"/>
  </si>
  <si>
    <t>北京建工集团有限公司</t>
    <phoneticPr fontId="2" type="noConversion"/>
  </si>
  <si>
    <t>北京市西城区西内冠英园西区联络处</t>
    <phoneticPr fontId="2" type="noConversion"/>
  </si>
  <si>
    <t>韩魁</t>
    <phoneticPr fontId="2" type="noConversion"/>
  </si>
  <si>
    <t>北京嘉世弘商贸有限公司</t>
    <phoneticPr fontId="2" type="noConversion"/>
  </si>
  <si>
    <t>已结算</t>
    <phoneticPr fontId="2" type="noConversion"/>
  </si>
  <si>
    <t>平阳景苑</t>
    <phoneticPr fontId="2" type="noConversion"/>
  </si>
  <si>
    <t>山西恒实平阳房地产开发有限公司</t>
    <phoneticPr fontId="2" type="noConversion"/>
  </si>
  <si>
    <t>山西</t>
    <phoneticPr fontId="2" type="noConversion"/>
  </si>
  <si>
    <t>事业十一部</t>
  </si>
  <si>
    <t>丹东万达</t>
    <phoneticPr fontId="2" type="noConversion"/>
  </si>
  <si>
    <t>丹东万达广场有限公司</t>
    <phoneticPr fontId="2" type="noConversion"/>
  </si>
  <si>
    <t>锦山大街以北，立交新路以西</t>
    <phoneticPr fontId="2" type="noConversion"/>
  </si>
  <si>
    <t>李文达</t>
    <phoneticPr fontId="2" type="noConversion"/>
  </si>
  <si>
    <t>三河市汇远通达装饰有限公司</t>
    <phoneticPr fontId="2" type="noConversion"/>
  </si>
  <si>
    <t>李文达</t>
    <phoneticPr fontId="2" type="noConversion"/>
  </si>
  <si>
    <t>2013-01-01</t>
  </si>
  <si>
    <t>SY2013-01</t>
    <phoneticPr fontId="2" type="noConversion"/>
  </si>
  <si>
    <t>阜外心血管玻璃幕墙</t>
    <phoneticPr fontId="2" type="noConversion"/>
  </si>
  <si>
    <t>中国医学科学院阜外心血管医院</t>
    <phoneticPr fontId="2" type="noConversion"/>
  </si>
  <si>
    <t>门头沟区永定镇冯村西里阜外医院西山院区</t>
    <phoneticPr fontId="2" type="noConversion"/>
  </si>
  <si>
    <t>2013-02-01</t>
  </si>
  <si>
    <t>唐山君熙太和石材幕墙</t>
    <phoneticPr fontId="2" type="noConversion"/>
  </si>
  <si>
    <t>唐山君熙房地产开发有限公司</t>
    <phoneticPr fontId="2" type="noConversion"/>
  </si>
  <si>
    <t>2013-03-01</t>
  </si>
  <si>
    <t>神农架机场航站楼</t>
    <phoneticPr fontId="2" type="noConversion"/>
  </si>
  <si>
    <t>北京金港机场建设有限责任公司</t>
    <phoneticPr fontId="2" type="noConversion"/>
  </si>
  <si>
    <t>神农架林区红坪镇</t>
    <phoneticPr fontId="2" type="noConversion"/>
  </si>
  <si>
    <t>是</t>
    <phoneticPr fontId="2" type="noConversion"/>
  </si>
  <si>
    <t>否</t>
    <phoneticPr fontId="2" type="noConversion"/>
  </si>
  <si>
    <t>正常进行</t>
    <phoneticPr fontId="2" type="noConversion"/>
  </si>
  <si>
    <t>2013-04-01</t>
  </si>
  <si>
    <t>渤海船舶职业学院</t>
    <phoneticPr fontId="2" type="noConversion"/>
  </si>
  <si>
    <t>事业部</t>
    <phoneticPr fontId="2" type="noConversion"/>
  </si>
  <si>
    <t>葫芦岛</t>
    <phoneticPr fontId="2" type="noConversion"/>
  </si>
  <si>
    <t>邵永辉</t>
    <phoneticPr fontId="2" type="noConversion"/>
  </si>
  <si>
    <t>葫芦岛志远事业有限公司</t>
    <phoneticPr fontId="2" type="noConversion"/>
  </si>
  <si>
    <t>邵永辉</t>
    <phoneticPr fontId="2" type="noConversion"/>
  </si>
  <si>
    <t>是</t>
    <phoneticPr fontId="2" type="noConversion"/>
  </si>
  <si>
    <t>2013-05-01</t>
  </si>
  <si>
    <t>B1-01、B1-02厂房外墙</t>
    <phoneticPr fontId="2" type="noConversion"/>
  </si>
  <si>
    <t>江西洪都航空工业股份有限公司</t>
  </si>
  <si>
    <t>南昌航空城航空路以东</t>
    <phoneticPr fontId="2" type="noConversion"/>
  </si>
  <si>
    <t>SY2013-05增1</t>
    <phoneticPr fontId="2" type="noConversion"/>
  </si>
  <si>
    <t>南昌物流中心B02厂房外墙</t>
    <phoneticPr fontId="2" type="noConversion"/>
  </si>
  <si>
    <t>事业部</t>
    <phoneticPr fontId="2" type="noConversion"/>
  </si>
  <si>
    <t>李平</t>
    <phoneticPr fontId="2" type="noConversion"/>
  </si>
  <si>
    <t>是</t>
    <phoneticPr fontId="2" type="noConversion"/>
  </si>
  <si>
    <t>2013-06-01</t>
  </si>
  <si>
    <t>事业十五部</t>
  </si>
  <si>
    <t>SY2013-06</t>
    <phoneticPr fontId="2" type="noConversion"/>
  </si>
  <si>
    <t>漯河驻京办事处</t>
    <phoneticPr fontId="2" type="noConversion"/>
  </si>
  <si>
    <t>漯河市人民政府驻北京联络处</t>
    <phoneticPr fontId="2" type="noConversion"/>
  </si>
  <si>
    <t>北京市西城区西直门内大街南草厂街</t>
    <phoneticPr fontId="2" type="noConversion"/>
  </si>
  <si>
    <t>周成军</t>
    <phoneticPr fontId="2" type="noConversion"/>
  </si>
  <si>
    <t>北京荣发建筑装饰工程有限公司</t>
    <phoneticPr fontId="2" type="noConversion"/>
  </si>
  <si>
    <t>周成军</t>
    <phoneticPr fontId="2" type="noConversion"/>
  </si>
  <si>
    <t>2013-07-01</t>
  </si>
  <si>
    <t>呼市宇生苑售楼中心</t>
    <phoneticPr fontId="2" type="noConversion"/>
  </si>
  <si>
    <t>内蒙古南璞房地产开发有限公司</t>
    <phoneticPr fontId="2" type="noConversion"/>
  </si>
  <si>
    <t>呼和浩特市新城区南店滨水新村</t>
    <phoneticPr fontId="2" type="noConversion"/>
  </si>
  <si>
    <t>高元生</t>
    <phoneticPr fontId="2" type="noConversion"/>
  </si>
  <si>
    <t>2013-08-01</t>
  </si>
  <si>
    <t>办公综合楼（冠京先河）</t>
    <phoneticPr fontId="2" type="noConversion"/>
  </si>
  <si>
    <t>北京市冠京先河建筑工程有限公司</t>
    <phoneticPr fontId="2" type="noConversion"/>
  </si>
  <si>
    <t>北京市丰台区角门北路6号</t>
    <phoneticPr fontId="2" type="noConversion"/>
  </si>
  <si>
    <t>北京荣发建筑装饰工程有限公司</t>
    <phoneticPr fontId="2" type="noConversion"/>
  </si>
  <si>
    <t>否</t>
    <phoneticPr fontId="2" type="noConversion"/>
  </si>
  <si>
    <t>否</t>
    <phoneticPr fontId="2" type="noConversion"/>
  </si>
  <si>
    <t>正常进行</t>
    <phoneticPr fontId="2" type="noConversion"/>
  </si>
  <si>
    <t>2013-09-01</t>
  </si>
  <si>
    <t>北京总参塔院干休所住宅楼</t>
    <phoneticPr fontId="2" type="noConversion"/>
  </si>
  <si>
    <t>事业部</t>
    <phoneticPr fontId="2" type="noConversion"/>
  </si>
  <si>
    <t>中国新兴保信建设总公司</t>
    <phoneticPr fontId="2" type="noConversion"/>
  </si>
  <si>
    <t>海淀区花园路甲1号</t>
    <phoneticPr fontId="2" type="noConversion"/>
  </si>
  <si>
    <t>韩魁</t>
    <phoneticPr fontId="2" type="noConversion"/>
  </si>
  <si>
    <t>北京嘉世弘商贸有限公司</t>
    <phoneticPr fontId="2" type="noConversion"/>
  </si>
  <si>
    <t>正常进行</t>
    <phoneticPr fontId="2" type="noConversion"/>
  </si>
  <si>
    <t>2013-10-01</t>
  </si>
  <si>
    <t>事业十三部</t>
  </si>
  <si>
    <t>西安中海国际社区</t>
    <phoneticPr fontId="2" type="noConversion"/>
  </si>
  <si>
    <t>中海兴业（西安）有限公司</t>
    <phoneticPr fontId="2" type="noConversion"/>
  </si>
  <si>
    <t>西安市曲江新区</t>
    <phoneticPr fontId="2" type="noConversion"/>
  </si>
  <si>
    <t>曾灵</t>
    <phoneticPr fontId="2" type="noConversion"/>
  </si>
  <si>
    <t>北京华阜家园装饰装修有限公司</t>
    <phoneticPr fontId="2" type="noConversion"/>
  </si>
  <si>
    <t xml:space="preserve">陈明霞 </t>
    <phoneticPr fontId="2" type="noConversion"/>
  </si>
  <si>
    <t>是</t>
    <phoneticPr fontId="2" type="noConversion"/>
  </si>
  <si>
    <t>2013-11-01</t>
  </si>
  <si>
    <t>廊坊幸福园</t>
    <phoneticPr fontId="2" type="noConversion"/>
  </si>
  <si>
    <t>廊坊市京御幸福房地产开发有限公司</t>
    <phoneticPr fontId="2" type="noConversion"/>
  </si>
  <si>
    <t>廊坊市北凤道以北，永兴路以东</t>
    <phoneticPr fontId="2" type="noConversion"/>
  </si>
  <si>
    <t>北京和平简商贸有限公司</t>
    <phoneticPr fontId="2" type="noConversion"/>
  </si>
  <si>
    <t>2013-12-01</t>
  </si>
  <si>
    <t>SY2013-12及增1</t>
    <phoneticPr fontId="2" type="noConversion"/>
  </si>
  <si>
    <t>门头沟天台山居住项目</t>
    <phoneticPr fontId="2" type="noConversion"/>
  </si>
  <si>
    <t>北京市天台山房地产开发有限公司</t>
    <phoneticPr fontId="2" type="noConversion"/>
  </si>
  <si>
    <t>门头沟区新城城子地区21-218地块</t>
    <phoneticPr fontId="2" type="noConversion"/>
  </si>
  <si>
    <t>马冬雷</t>
    <phoneticPr fontId="2" type="noConversion"/>
  </si>
  <si>
    <t>阜外心血管后勤服务中心</t>
    <phoneticPr fontId="2" type="noConversion"/>
  </si>
  <si>
    <t>门头沟区永定镇冯村西里阜外医院西山院区</t>
    <phoneticPr fontId="2" type="noConversion"/>
  </si>
  <si>
    <t>陈建中</t>
    <phoneticPr fontId="2" type="noConversion"/>
  </si>
  <si>
    <t>事业二十部</t>
  </si>
  <si>
    <t>内蒙金隅丽港售楼处</t>
    <phoneticPr fontId="2" type="noConversion"/>
  </si>
  <si>
    <t>内蒙古金隅置地投资有限公司</t>
    <phoneticPr fontId="2" type="noConversion"/>
  </si>
  <si>
    <t>呼和浩特市赛罕区南二环以南</t>
    <phoneticPr fontId="2" type="noConversion"/>
  </si>
  <si>
    <t>袭祥林</t>
    <phoneticPr fontId="2" type="noConversion"/>
  </si>
  <si>
    <t>呼和浩特市龙衣铁艺有限公司</t>
    <phoneticPr fontId="2" type="noConversion"/>
  </si>
  <si>
    <t>袭祥林</t>
    <phoneticPr fontId="2" type="noConversion"/>
  </si>
  <si>
    <t>SY2013-15及增1</t>
    <phoneticPr fontId="2" type="noConversion"/>
  </si>
  <si>
    <t>航空城北区一号门房</t>
    <phoneticPr fontId="2" type="noConversion"/>
  </si>
  <si>
    <t>江西军工思波实业有限公司</t>
    <phoneticPr fontId="2" type="noConversion"/>
  </si>
  <si>
    <t>南昌市高新开发区</t>
    <phoneticPr fontId="2" type="noConversion"/>
  </si>
  <si>
    <t>李平</t>
    <phoneticPr fontId="2" type="noConversion"/>
  </si>
  <si>
    <t>SY2013-16</t>
    <phoneticPr fontId="2" type="noConversion"/>
  </si>
  <si>
    <t>北七家公建住宅</t>
    <phoneticPr fontId="2" type="noConversion"/>
  </si>
  <si>
    <t>北京宁科置业有限责任公司</t>
    <phoneticPr fontId="2" type="noConversion"/>
  </si>
  <si>
    <t>北京市昌平区北七家镇</t>
    <phoneticPr fontId="2" type="noConversion"/>
  </si>
  <si>
    <t>SY2013-17及增1</t>
    <phoneticPr fontId="2" type="noConversion"/>
  </si>
  <si>
    <t>衡水大厦</t>
    <phoneticPr fontId="2" type="noConversion"/>
  </si>
  <si>
    <t>北京衡水饭店</t>
    <phoneticPr fontId="2" type="noConversion"/>
  </si>
  <si>
    <t>北京市丰台区角门北路</t>
    <phoneticPr fontId="2" type="noConversion"/>
  </si>
  <si>
    <t>周成军</t>
    <phoneticPr fontId="2" type="noConversion"/>
  </si>
  <si>
    <t>SY2013-18</t>
    <phoneticPr fontId="2" type="noConversion"/>
  </si>
  <si>
    <t>金隅时代二期</t>
    <phoneticPr fontId="2" type="noConversion"/>
  </si>
  <si>
    <t>内蒙古金隅置业投资有限公司</t>
    <phoneticPr fontId="2" type="noConversion"/>
  </si>
  <si>
    <t>呼和浩特市赛罕区</t>
    <phoneticPr fontId="2" type="noConversion"/>
  </si>
  <si>
    <t>事业二十三部</t>
  </si>
  <si>
    <t>无锡万达文化旅游展示中心</t>
    <phoneticPr fontId="2" type="noConversion"/>
  </si>
  <si>
    <t>无锡万达城投资有限公司</t>
    <phoneticPr fontId="2" type="noConversion"/>
  </si>
  <si>
    <t>无锡</t>
    <phoneticPr fontId="2" type="noConversion"/>
  </si>
  <si>
    <t>张友良</t>
    <phoneticPr fontId="2" type="noConversion"/>
  </si>
  <si>
    <t>北京泽幕工程咨询有限公司</t>
    <phoneticPr fontId="2" type="noConversion"/>
  </si>
  <si>
    <t>金光成</t>
    <phoneticPr fontId="2" type="noConversion"/>
  </si>
  <si>
    <t>卢沟桥小瓦窑村1#回迁房</t>
    <phoneticPr fontId="2" type="noConversion"/>
  </si>
  <si>
    <t>中建-大成建筑有限责任公司</t>
    <phoneticPr fontId="2" type="noConversion"/>
  </si>
  <si>
    <t>北京市丰台区卢沟桥乡小瓦窑村</t>
    <phoneticPr fontId="2" type="noConversion"/>
  </si>
  <si>
    <t>创新国际2#5#6#8#楼铝合金门窗</t>
    <phoneticPr fontId="2" type="noConversion"/>
  </si>
  <si>
    <t>山东创新置业有限公司</t>
    <phoneticPr fontId="2" type="noConversion"/>
  </si>
  <si>
    <t>山东邹平鹤伴二路</t>
    <phoneticPr fontId="2" type="noConversion"/>
  </si>
  <si>
    <t>东莞厚街万达广场</t>
    <phoneticPr fontId="2" type="noConversion"/>
  </si>
  <si>
    <t>东莞厚街万达广场投资有限公司</t>
    <phoneticPr fontId="2" type="noConversion"/>
  </si>
  <si>
    <t>东莞市厚街镇宝屯、珊美社区</t>
    <phoneticPr fontId="2" type="noConversion"/>
  </si>
  <si>
    <t>金光成</t>
    <phoneticPr fontId="2" type="noConversion"/>
  </si>
  <si>
    <t>事业二十二部</t>
  </si>
  <si>
    <t>曲美家具</t>
    <phoneticPr fontId="2" type="noConversion"/>
  </si>
  <si>
    <t>北京曲美馨家商业有限公司</t>
    <phoneticPr fontId="2" type="noConversion"/>
  </si>
  <si>
    <t>北苑路和大屯路交叉口</t>
    <phoneticPr fontId="2" type="noConversion"/>
  </si>
  <si>
    <t>莫琳轶</t>
    <phoneticPr fontId="2" type="noConversion"/>
  </si>
  <si>
    <t>天津市恒铝幕墙装饰工程有限公司</t>
    <phoneticPr fontId="2" type="noConversion"/>
  </si>
  <si>
    <t>莫琳轶</t>
    <phoneticPr fontId="2" type="noConversion"/>
  </si>
  <si>
    <t>南昌万达广场</t>
    <phoneticPr fontId="2" type="noConversion"/>
  </si>
  <si>
    <t>南昌万达城投资有限公司</t>
    <phoneticPr fontId="2" type="noConversion"/>
  </si>
  <si>
    <t>南昌</t>
    <phoneticPr fontId="2" type="noConversion"/>
  </si>
  <si>
    <t>张友良</t>
    <phoneticPr fontId="2" type="noConversion"/>
  </si>
  <si>
    <t>北京泽幕工程咨询有限公司</t>
    <phoneticPr fontId="2" type="noConversion"/>
  </si>
  <si>
    <t>2014-01-01</t>
  </si>
  <si>
    <t>SY2014-01</t>
    <phoneticPr fontId="2" type="noConversion"/>
  </si>
  <si>
    <t>九棵树三标段</t>
    <phoneticPr fontId="2" type="noConversion"/>
  </si>
  <si>
    <t>北京祁连房地产开发有限公司</t>
    <phoneticPr fontId="2" type="noConversion"/>
  </si>
  <si>
    <t>通州区九棵树</t>
    <phoneticPr fontId="2" type="noConversion"/>
  </si>
  <si>
    <t>2014-02-01</t>
  </si>
  <si>
    <t>SY2014-02及增1</t>
    <phoneticPr fontId="2" type="noConversion"/>
  </si>
  <si>
    <t>和泓四季9#外墙装饰及门窗</t>
    <phoneticPr fontId="2" type="noConversion"/>
  </si>
  <si>
    <t>北京东和伟业房地产开发有限公司</t>
  </si>
  <si>
    <t>海淀区常青路</t>
  </si>
  <si>
    <t>2014-03-01</t>
  </si>
  <si>
    <t>事业十九部</t>
  </si>
  <si>
    <t>SY2014-03</t>
    <phoneticPr fontId="2" type="noConversion"/>
  </si>
  <si>
    <t>大同国金中心</t>
    <phoneticPr fontId="2" type="noConversion"/>
  </si>
  <si>
    <t>大同市阳光嘉业房地产开发有限责任公司</t>
    <phoneticPr fontId="2" type="noConversion"/>
  </si>
  <si>
    <t>山西省大同迎宾街</t>
    <phoneticPr fontId="2" type="noConversion"/>
  </si>
  <si>
    <t>魏增坡</t>
    <phoneticPr fontId="2" type="noConversion"/>
  </si>
  <si>
    <t>北京和平泛华装饰有限公司</t>
    <phoneticPr fontId="2" type="noConversion"/>
  </si>
  <si>
    <t>2014-04-01</t>
  </si>
  <si>
    <t>黄石万达广场设计合同</t>
    <phoneticPr fontId="2" type="noConversion"/>
  </si>
  <si>
    <t>2014-05-01</t>
  </si>
  <si>
    <t>天津河东万达广场</t>
    <phoneticPr fontId="2" type="noConversion"/>
  </si>
  <si>
    <t>2014-06-01</t>
  </si>
  <si>
    <t>沈阳太原街万达广场</t>
    <phoneticPr fontId="2" type="noConversion"/>
  </si>
  <si>
    <t>2014-07-01</t>
  </si>
  <si>
    <t>沈阳铁西万达广场</t>
    <phoneticPr fontId="2" type="noConversion"/>
  </si>
  <si>
    <t>SY2014-08及增1</t>
    <phoneticPr fontId="2" type="noConversion"/>
  </si>
  <si>
    <t>重庆巴南万达</t>
    <phoneticPr fontId="2" type="noConversion"/>
  </si>
  <si>
    <t>兰州理工大学设计合同</t>
    <phoneticPr fontId="2" type="noConversion"/>
  </si>
  <si>
    <t>SY2014-10及增1</t>
    <phoneticPr fontId="2" type="noConversion"/>
  </si>
  <si>
    <t>通辽万达广场商业设计</t>
    <phoneticPr fontId="2" type="noConversion"/>
  </si>
  <si>
    <t>SY2014-11</t>
    <phoneticPr fontId="2" type="noConversion"/>
  </si>
  <si>
    <t>东莞厚街万达采光顶</t>
    <phoneticPr fontId="2" type="noConversion"/>
  </si>
  <si>
    <t>北七家TBD云集团项目幕墙工程（标段3）合同</t>
    <phoneticPr fontId="2" type="noConversion"/>
  </si>
  <si>
    <t>南昌A101行政办公楼</t>
    <phoneticPr fontId="2" type="noConversion"/>
  </si>
  <si>
    <t>合肥万达文化旅游城A2地块设计</t>
    <phoneticPr fontId="2" type="noConversion"/>
  </si>
  <si>
    <t>事业十七部</t>
  </si>
  <si>
    <t>中科院新园区8标段（体育中心、礼堂）</t>
    <phoneticPr fontId="2" type="noConversion"/>
  </si>
  <si>
    <t>马龙</t>
    <phoneticPr fontId="2" type="noConversion"/>
  </si>
  <si>
    <t>呼和浩特幕墙安全隐患整改设计合同</t>
    <phoneticPr fontId="2" type="noConversion"/>
  </si>
  <si>
    <t>通辽万达广场销售及回迁物业设计</t>
    <phoneticPr fontId="2" type="noConversion"/>
  </si>
  <si>
    <t>宿州万达广场售楼处</t>
    <phoneticPr fontId="2" type="noConversion"/>
  </si>
  <si>
    <t>桂林万达城展示中心</t>
    <phoneticPr fontId="2" type="noConversion"/>
  </si>
  <si>
    <t>泰安万达广场</t>
    <phoneticPr fontId="2" type="noConversion"/>
  </si>
  <si>
    <t>事业二十九部</t>
  </si>
  <si>
    <t>三利.中和城售楼处及样板间</t>
    <phoneticPr fontId="2" type="noConversion"/>
  </si>
  <si>
    <t>尤长华</t>
    <phoneticPr fontId="2" type="noConversion"/>
  </si>
  <si>
    <t>广州南沙万达广场售楼处</t>
    <phoneticPr fontId="2" type="noConversion"/>
  </si>
  <si>
    <t>苏州吴中万达广场样板段</t>
    <phoneticPr fontId="2" type="noConversion"/>
  </si>
  <si>
    <t>冠京饭店改造</t>
    <phoneticPr fontId="2" type="noConversion"/>
  </si>
  <si>
    <t>南通港闸万达售楼处设计</t>
    <phoneticPr fontId="2" type="noConversion"/>
  </si>
  <si>
    <t>青岛CBD万达安全隐患整改设计</t>
    <phoneticPr fontId="2" type="noConversion"/>
  </si>
  <si>
    <t>乌鲁木齐经开万达广场设计合同</t>
    <phoneticPr fontId="2" type="noConversion"/>
  </si>
  <si>
    <t>事业二十五部</t>
  </si>
  <si>
    <t>中关村e世界大厦玻璃幕墙改造</t>
    <phoneticPr fontId="2" type="noConversion"/>
  </si>
  <si>
    <t>杨立国</t>
    <phoneticPr fontId="2" type="noConversion"/>
  </si>
  <si>
    <t>大连开发区万达广场</t>
    <phoneticPr fontId="2" type="noConversion"/>
  </si>
  <si>
    <t>孙景龙</t>
    <phoneticPr fontId="2" type="noConversion"/>
  </si>
  <si>
    <t>郫县万达广场销售中心外幕墙</t>
    <phoneticPr fontId="2" type="noConversion"/>
  </si>
  <si>
    <t>大兴区黄村镇四-六街安置房</t>
    <phoneticPr fontId="2" type="noConversion"/>
  </si>
  <si>
    <t>西山9号院采光顶改造工程</t>
    <phoneticPr fontId="2" type="noConversion"/>
  </si>
  <si>
    <t>广州增城万达文化旅游展示中心</t>
    <phoneticPr fontId="2" type="noConversion"/>
  </si>
  <si>
    <t>中国科学院大学玉泉营小区改造工程</t>
    <phoneticPr fontId="2" type="noConversion"/>
  </si>
  <si>
    <t>十堰万达售楼处设计</t>
    <phoneticPr fontId="2" type="noConversion"/>
  </si>
  <si>
    <t>SY2014-36</t>
    <phoneticPr fontId="2" type="noConversion"/>
  </si>
  <si>
    <t>岗亭购销合同</t>
    <phoneticPr fontId="2" type="noConversion"/>
  </si>
  <si>
    <t>项目部表,第2行</t>
  </si>
  <si>
    <t>XMF08-02</t>
    <phoneticPr fontId="2" type="noConversion"/>
  </si>
  <si>
    <t>中国国际贸易中心三期</t>
    <phoneticPr fontId="2" type="noConversion"/>
  </si>
  <si>
    <t>项目部</t>
    <phoneticPr fontId="2" type="noConversion"/>
  </si>
  <si>
    <t>中国国际贸易中心股份有限公司</t>
    <phoneticPr fontId="2" type="noConversion"/>
  </si>
  <si>
    <t>北京市</t>
    <phoneticPr fontId="2" type="noConversion"/>
  </si>
  <si>
    <t>柯秋惠</t>
    <phoneticPr fontId="2" type="noConversion"/>
  </si>
  <si>
    <t>北京宇光装饰有限公司</t>
    <phoneticPr fontId="2" type="noConversion"/>
  </si>
  <si>
    <t>否</t>
    <phoneticPr fontId="2" type="noConversion"/>
  </si>
  <si>
    <t>完工</t>
    <phoneticPr fontId="2" type="noConversion"/>
  </si>
  <si>
    <t>项目部表,第3行</t>
  </si>
  <si>
    <t>XMF10-11</t>
    <phoneticPr fontId="2" type="noConversion"/>
  </si>
  <si>
    <t>商品房A01楼等6项、商品房A04楼等5项</t>
    <phoneticPr fontId="2" type="noConversion"/>
  </si>
  <si>
    <t>北京日月房地产开发有限公司</t>
    <phoneticPr fontId="2" type="noConversion"/>
  </si>
  <si>
    <t>魏增坡</t>
    <phoneticPr fontId="2" type="noConversion"/>
  </si>
  <si>
    <t>北京和平泛华装饰有限公司</t>
    <phoneticPr fontId="2" type="noConversion"/>
  </si>
  <si>
    <t>亦庄</t>
    <phoneticPr fontId="2" type="noConversion"/>
  </si>
  <si>
    <t>项目部表,第4行</t>
  </si>
  <si>
    <t>XMF10-40</t>
    <phoneticPr fontId="2" type="noConversion"/>
  </si>
  <si>
    <t>幸福三村</t>
    <phoneticPr fontId="2" type="noConversion"/>
  </si>
  <si>
    <t>北京市第二建筑工程有限责任公司</t>
    <phoneticPr fontId="2" type="noConversion"/>
  </si>
  <si>
    <t>江志真</t>
    <phoneticPr fontId="2" type="noConversion"/>
  </si>
  <si>
    <t>北京美伦美门窗制品有限公司</t>
    <phoneticPr fontId="2" type="noConversion"/>
  </si>
  <si>
    <t>江志真</t>
    <phoneticPr fontId="2" type="noConversion"/>
  </si>
  <si>
    <t>项目部表,第5行</t>
  </si>
  <si>
    <t>中国传媒大学图书馆工程</t>
    <phoneticPr fontId="2" type="noConversion"/>
  </si>
  <si>
    <t>北京市第三建筑工程有限公司</t>
    <phoneticPr fontId="2" type="noConversion"/>
  </si>
  <si>
    <t>李春光</t>
    <phoneticPr fontId="2" type="noConversion"/>
  </si>
  <si>
    <t>北京邦士富生物科技有限公司</t>
    <phoneticPr fontId="2" type="noConversion"/>
  </si>
  <si>
    <t>李玉斌</t>
    <phoneticPr fontId="2" type="noConversion"/>
  </si>
  <si>
    <t>项目部表,第6行</t>
  </si>
  <si>
    <t>XMF11-21</t>
    <phoneticPr fontId="2" type="noConversion"/>
  </si>
  <si>
    <t>永定华庭地下车库出入口外装饰幕墙</t>
    <phoneticPr fontId="2" type="noConversion"/>
  </si>
  <si>
    <t>项目部表,第7行</t>
  </si>
  <si>
    <t>XMF11-48</t>
    <phoneticPr fontId="2" type="noConversion"/>
  </si>
  <si>
    <t>生物技术研发中心二期</t>
    <phoneticPr fontId="2" type="noConversion"/>
  </si>
  <si>
    <t>北京中关村生命科学院发展有限责任公司</t>
    <phoneticPr fontId="2" type="noConversion"/>
  </si>
  <si>
    <t>罗刚</t>
    <phoneticPr fontId="2" type="noConversion"/>
  </si>
  <si>
    <t>北京世纪锦湖装饰工程有限公司</t>
    <phoneticPr fontId="2" type="noConversion"/>
  </si>
  <si>
    <t>罗刚</t>
    <phoneticPr fontId="2" type="noConversion"/>
  </si>
  <si>
    <t>否</t>
    <phoneticPr fontId="2" type="noConversion"/>
  </si>
  <si>
    <t>0139123</t>
    <phoneticPr fontId="2" type="noConversion"/>
  </si>
  <si>
    <t>管庄</t>
    <phoneticPr fontId="2" type="noConversion"/>
  </si>
  <si>
    <t>项目部表,第8行</t>
  </si>
  <si>
    <t>XMF12-01</t>
    <phoneticPr fontId="2" type="noConversion"/>
  </si>
  <si>
    <t>北京邮件综合处理中心</t>
    <phoneticPr fontId="2" type="noConversion"/>
  </si>
  <si>
    <t>项目部</t>
    <phoneticPr fontId="2" type="noConversion"/>
  </si>
  <si>
    <t>中建二局第三建筑工程有限公司</t>
    <phoneticPr fontId="2" type="noConversion"/>
  </si>
  <si>
    <t>马泽永</t>
    <phoneticPr fontId="2" type="noConversion"/>
  </si>
  <si>
    <t>天津市百环工贸有限公司</t>
    <phoneticPr fontId="2" type="noConversion"/>
  </si>
  <si>
    <t>王同利</t>
    <phoneticPr fontId="2" type="noConversion"/>
  </si>
  <si>
    <t>9110694</t>
    <phoneticPr fontId="2" type="noConversion"/>
  </si>
  <si>
    <t>完工</t>
    <phoneticPr fontId="2" type="noConversion"/>
  </si>
  <si>
    <t>亦庄</t>
    <phoneticPr fontId="2" type="noConversion"/>
  </si>
  <si>
    <t>项目部表,第9行</t>
  </si>
  <si>
    <t>门头沟新城冯村（一期）居住项目A西区</t>
    <phoneticPr fontId="2" type="noConversion"/>
  </si>
  <si>
    <t>华润置地发展（北京）有限公司</t>
    <phoneticPr fontId="2" type="noConversion"/>
  </si>
  <si>
    <t>余斌</t>
    <phoneticPr fontId="2" type="noConversion"/>
  </si>
  <si>
    <t>博洋恒润（北京）幕墙装饰工程有限公司</t>
    <phoneticPr fontId="2" type="noConversion"/>
  </si>
  <si>
    <t>0088619</t>
    <phoneticPr fontId="2" type="noConversion"/>
  </si>
  <si>
    <t>项目部表,第10行</t>
  </si>
  <si>
    <t>空军9011工程空地勤综合楼</t>
    <phoneticPr fontId="2" type="noConversion"/>
  </si>
  <si>
    <t>北京城建十六建筑工程有限责任公司</t>
    <phoneticPr fontId="2" type="noConversion"/>
  </si>
  <si>
    <t>赵长亮</t>
    <phoneticPr fontId="2" type="noConversion"/>
  </si>
  <si>
    <t>北京雄博兴业装饰设计有限公司</t>
    <phoneticPr fontId="2" type="noConversion"/>
  </si>
  <si>
    <t>李国兵</t>
    <phoneticPr fontId="2" type="noConversion"/>
  </si>
  <si>
    <t>0097964</t>
    <phoneticPr fontId="2" type="noConversion"/>
  </si>
  <si>
    <t>正和平</t>
    <phoneticPr fontId="2" type="noConversion"/>
  </si>
  <si>
    <t>项目部表,第11行</t>
  </si>
  <si>
    <t>春晖园1#综合楼一段等4项工程</t>
    <phoneticPr fontId="2" type="noConversion"/>
  </si>
  <si>
    <t>北京春晖园投资有限责任公司</t>
    <phoneticPr fontId="2" type="noConversion"/>
  </si>
  <si>
    <t>纪树军</t>
    <phoneticPr fontId="2" type="noConversion"/>
  </si>
  <si>
    <t xml:space="preserve">北京中建润泽建筑工程有限公司 </t>
    <phoneticPr fontId="2" type="noConversion"/>
  </si>
  <si>
    <t>李邦海</t>
    <phoneticPr fontId="2" type="noConversion"/>
  </si>
  <si>
    <t>0097921</t>
    <phoneticPr fontId="2" type="noConversion"/>
  </si>
  <si>
    <t>亦庄</t>
    <phoneticPr fontId="2" type="noConversion"/>
  </si>
  <si>
    <t>项目部表,第12行</t>
  </si>
  <si>
    <t>XMF12-05</t>
    <phoneticPr fontId="2" type="noConversion"/>
  </si>
  <si>
    <t>北京绿地密云国际花都项目</t>
    <phoneticPr fontId="2" type="noConversion"/>
  </si>
  <si>
    <t>北京绿地京宏置业有限公司</t>
    <phoneticPr fontId="2" type="noConversion"/>
  </si>
  <si>
    <t>李金光</t>
    <phoneticPr fontId="2" type="noConversion"/>
  </si>
  <si>
    <t>北京丰益宏业装饰有限公司</t>
    <phoneticPr fontId="2" type="noConversion"/>
  </si>
  <si>
    <t>李金光</t>
    <phoneticPr fontId="2" type="noConversion"/>
  </si>
  <si>
    <t>0091571</t>
    <phoneticPr fontId="2" type="noConversion"/>
  </si>
  <si>
    <t>完工</t>
    <phoneticPr fontId="2" type="noConversion"/>
  </si>
  <si>
    <t>管庄、昌平</t>
    <phoneticPr fontId="2" type="noConversion"/>
  </si>
  <si>
    <t>项目部表,第13行</t>
  </si>
  <si>
    <t>中国原子能科学研究院3号楼</t>
    <phoneticPr fontId="2" type="noConversion"/>
  </si>
  <si>
    <t>北京城乡建设集团有限责任公司</t>
    <phoneticPr fontId="2" type="noConversion"/>
  </si>
  <si>
    <t>北京市</t>
    <phoneticPr fontId="2" type="noConversion"/>
  </si>
  <si>
    <t>曲刚</t>
    <phoneticPr fontId="2" type="noConversion"/>
  </si>
  <si>
    <t>北京京业正通建筑材料有限责任公司</t>
    <phoneticPr fontId="2" type="noConversion"/>
  </si>
  <si>
    <t>王艳</t>
    <phoneticPr fontId="2" type="noConversion"/>
  </si>
  <si>
    <t>0097929</t>
    <phoneticPr fontId="2" type="noConversion"/>
  </si>
  <si>
    <t>管庄</t>
    <phoneticPr fontId="2" type="noConversion"/>
  </si>
  <si>
    <t>项目部表,第14行</t>
  </si>
  <si>
    <t>六郎庄拆迁安置房一标段</t>
    <phoneticPr fontId="2" type="noConversion"/>
  </si>
  <si>
    <t>中国新兴建设开发总公司</t>
    <phoneticPr fontId="2" type="noConversion"/>
  </si>
  <si>
    <t>付仁福</t>
    <phoneticPr fontId="2" type="noConversion"/>
  </si>
  <si>
    <t>北京富恒兴达装饰工程有限公司</t>
    <phoneticPr fontId="2" type="noConversion"/>
  </si>
  <si>
    <t>付仁福</t>
    <phoneticPr fontId="2" type="noConversion"/>
  </si>
  <si>
    <t>5032993</t>
    <phoneticPr fontId="2" type="noConversion"/>
  </si>
  <si>
    <t>项目部表,第15行</t>
  </si>
  <si>
    <t>六郎庄拆迁安置房二标段</t>
    <phoneticPr fontId="2" type="noConversion"/>
  </si>
  <si>
    <t>中国中铁航空港建设集团有限公司北京第八分公司</t>
    <phoneticPr fontId="2" type="noConversion"/>
  </si>
  <si>
    <t>5032982</t>
    <phoneticPr fontId="2" type="noConversion"/>
  </si>
  <si>
    <t>项目部表,第16行</t>
  </si>
  <si>
    <t>京西宾馆东楼群房改建工程</t>
    <phoneticPr fontId="2" type="noConversion"/>
  </si>
  <si>
    <t>上海建工七建集团有限公司</t>
    <phoneticPr fontId="2" type="noConversion"/>
  </si>
  <si>
    <t>马泽永</t>
    <phoneticPr fontId="2" type="noConversion"/>
  </si>
  <si>
    <t>天津市百环工贸有限公司</t>
    <phoneticPr fontId="2" type="noConversion"/>
  </si>
  <si>
    <t>王同利</t>
    <phoneticPr fontId="2" type="noConversion"/>
  </si>
  <si>
    <t>0098166</t>
    <phoneticPr fontId="2" type="noConversion"/>
  </si>
  <si>
    <t>项目部表,第17行</t>
  </si>
  <si>
    <t>爱博精电生产楼等2项工程</t>
    <phoneticPr fontId="2" type="noConversion"/>
  </si>
  <si>
    <t>孙超</t>
    <phoneticPr fontId="2" type="noConversion"/>
  </si>
  <si>
    <t>北京海锐广告有限公司</t>
    <phoneticPr fontId="2" type="noConversion"/>
  </si>
  <si>
    <t>三河</t>
    <phoneticPr fontId="2" type="noConversion"/>
  </si>
  <si>
    <t>项目部表,第18行</t>
  </si>
  <si>
    <t>环能院实验楼幕墙工程</t>
    <phoneticPr fontId="2" type="noConversion"/>
  </si>
  <si>
    <t>中国建筑技术集团有限公司</t>
    <phoneticPr fontId="2" type="noConversion"/>
  </si>
  <si>
    <t>刘乃适</t>
    <phoneticPr fontId="2" type="noConversion"/>
  </si>
  <si>
    <t>北京中适广发智能门有限公司</t>
    <phoneticPr fontId="2" type="noConversion"/>
  </si>
  <si>
    <t>刘乃适</t>
    <phoneticPr fontId="2" type="noConversion"/>
  </si>
  <si>
    <t>0099400</t>
    <phoneticPr fontId="2" type="noConversion"/>
  </si>
  <si>
    <t>项目部表,第19行</t>
  </si>
  <si>
    <t>XMF12-14</t>
    <phoneticPr fontId="2" type="noConversion"/>
  </si>
  <si>
    <t>印刷大楼改造工程</t>
    <phoneticPr fontId="2" type="noConversion"/>
  </si>
  <si>
    <t xml:space="preserve"> 中国印刷总公司</t>
    <phoneticPr fontId="2" type="noConversion"/>
  </si>
  <si>
    <t>北京市</t>
    <phoneticPr fontId="2" type="noConversion"/>
  </si>
  <si>
    <t>0091567</t>
    <phoneticPr fontId="2" type="noConversion"/>
  </si>
  <si>
    <t>正常进行</t>
    <phoneticPr fontId="2" type="noConversion"/>
  </si>
  <si>
    <t>项目部表,第20行</t>
  </si>
  <si>
    <t>大兴黄村地铁枣园路站居住项目</t>
    <phoneticPr fontId="2" type="noConversion"/>
  </si>
  <si>
    <t>项目部</t>
    <phoneticPr fontId="2" type="noConversion"/>
  </si>
  <si>
    <t>北京城建建设工程有限公司</t>
    <phoneticPr fontId="2" type="noConversion"/>
  </si>
  <si>
    <t>季长友</t>
    <phoneticPr fontId="2" type="noConversion"/>
  </si>
  <si>
    <t>北京诚和信装饰装潢有限责任公司</t>
    <phoneticPr fontId="2" type="noConversion"/>
  </si>
  <si>
    <t>鲍云锋</t>
    <phoneticPr fontId="2" type="noConversion"/>
  </si>
  <si>
    <t>0099381</t>
    <phoneticPr fontId="2" type="noConversion"/>
  </si>
  <si>
    <t>大兴</t>
    <phoneticPr fontId="2" type="noConversion"/>
  </si>
  <si>
    <t>项目部表,第21行</t>
  </si>
  <si>
    <t>宇泰佳苑住宅楼</t>
    <phoneticPr fontId="2" type="noConversion"/>
  </si>
  <si>
    <t>河南益通置业有限公司</t>
    <phoneticPr fontId="2" type="noConversion"/>
  </si>
  <si>
    <t>河南郑州</t>
    <phoneticPr fontId="2" type="noConversion"/>
  </si>
  <si>
    <t>熊斌</t>
    <phoneticPr fontId="2" type="noConversion"/>
  </si>
  <si>
    <t>郭大龙</t>
    <phoneticPr fontId="2" type="noConversion"/>
  </si>
  <si>
    <t>异地交税</t>
    <phoneticPr fontId="2" type="noConversion"/>
  </si>
  <si>
    <t>0099396</t>
    <phoneticPr fontId="2" type="noConversion"/>
  </si>
  <si>
    <t>项目部表,第22行</t>
  </si>
  <si>
    <t>大兴黄村新城北区16号项目</t>
    <phoneticPr fontId="2" type="noConversion"/>
  </si>
  <si>
    <t>北京金地融侨房地产开发有限公司</t>
    <phoneticPr fontId="2" type="noConversion"/>
  </si>
  <si>
    <t>杨广</t>
    <phoneticPr fontId="2" type="noConversion"/>
  </si>
  <si>
    <t>北京龙辰塑钢门窗公司</t>
    <phoneticPr fontId="2" type="noConversion"/>
  </si>
  <si>
    <t>杨晓峰</t>
    <phoneticPr fontId="2" type="noConversion"/>
  </si>
  <si>
    <t>5032998</t>
    <phoneticPr fontId="2" type="noConversion"/>
  </si>
  <si>
    <t>项目部表,第23行</t>
  </si>
  <si>
    <t>密云县穆家岭镇华润希望小镇展示</t>
    <phoneticPr fontId="2" type="noConversion"/>
  </si>
  <si>
    <t>北京华润希望发展有限公司</t>
    <phoneticPr fontId="2" type="noConversion"/>
  </si>
  <si>
    <t>余斌</t>
    <phoneticPr fontId="2" type="noConversion"/>
  </si>
  <si>
    <t>博洋恒润（北京）幕墙装饰工程有限公司</t>
    <phoneticPr fontId="2" type="noConversion"/>
  </si>
  <si>
    <t>余斌</t>
    <phoneticPr fontId="2" type="noConversion"/>
  </si>
  <si>
    <t>9110683</t>
    <phoneticPr fontId="2" type="noConversion"/>
  </si>
  <si>
    <t>项目部表,第24行</t>
  </si>
  <si>
    <t>京昌高科技信息产业园2#厂房</t>
    <phoneticPr fontId="2" type="noConversion"/>
  </si>
  <si>
    <t>北京市昌平一建建筑有限责任公司第二分公司</t>
    <phoneticPr fontId="2" type="noConversion"/>
  </si>
  <si>
    <t>9110684</t>
    <phoneticPr fontId="2" type="noConversion"/>
  </si>
  <si>
    <t>项目部表,第25行</t>
  </si>
  <si>
    <t>总参气象水文局经济适用住房工程</t>
    <phoneticPr fontId="2" type="noConversion"/>
  </si>
  <si>
    <t>北京城建七建设工程有限公司</t>
    <phoneticPr fontId="2" type="noConversion"/>
  </si>
  <si>
    <t>吴荣</t>
    <phoneticPr fontId="2" type="noConversion"/>
  </si>
  <si>
    <t>北京佳盛杰瑞商贸有限公司</t>
    <phoneticPr fontId="2" type="noConversion"/>
  </si>
  <si>
    <t>季福成</t>
    <phoneticPr fontId="2" type="noConversion"/>
  </si>
  <si>
    <t>0091576</t>
    <phoneticPr fontId="2" type="noConversion"/>
  </si>
  <si>
    <t>项目部表,第26行</t>
  </si>
  <si>
    <t>天津红星国际广场2#地酒店式公寓</t>
    <phoneticPr fontId="2" type="noConversion"/>
  </si>
  <si>
    <t>天津市华运商贸物业有限公司</t>
    <phoneticPr fontId="2" type="noConversion"/>
  </si>
  <si>
    <t>天津市</t>
    <phoneticPr fontId="2" type="noConversion"/>
  </si>
  <si>
    <t>闫禄章</t>
    <phoneticPr fontId="2" type="noConversion"/>
  </si>
  <si>
    <t>北京奥维尔建筑材料销售有限公司</t>
    <phoneticPr fontId="2" type="noConversion"/>
  </si>
  <si>
    <t>项目部表,第27行</t>
  </si>
  <si>
    <t>老城厢12号地块</t>
    <phoneticPr fontId="2" type="noConversion"/>
  </si>
  <si>
    <t>中建一局集团建设发展有限公司/天津中新名仕房地产开发有限公司</t>
    <phoneticPr fontId="2" type="noConversion"/>
  </si>
  <si>
    <t>丁有智</t>
    <phoneticPr fontId="2" type="noConversion"/>
  </si>
  <si>
    <t>沈阳市渤海保温门窗工程有限公司</t>
    <phoneticPr fontId="2" type="noConversion"/>
  </si>
  <si>
    <t>项目部表,第28行</t>
  </si>
  <si>
    <t>现代农业生物研发平台工程</t>
    <phoneticPr fontId="2" type="noConversion"/>
  </si>
  <si>
    <t>中铁建设集团有限公司</t>
    <phoneticPr fontId="2" type="noConversion"/>
  </si>
  <si>
    <t>杨如林</t>
    <phoneticPr fontId="2" type="noConversion"/>
  </si>
  <si>
    <t>北京和平芙蓉商贸有限公司</t>
    <phoneticPr fontId="2" type="noConversion"/>
  </si>
  <si>
    <t>董宴春</t>
    <phoneticPr fontId="2" type="noConversion"/>
  </si>
  <si>
    <t>5032991</t>
    <phoneticPr fontId="2" type="noConversion"/>
  </si>
  <si>
    <t>项目部表,第29行</t>
  </si>
  <si>
    <t>厂房一等4项铝合金门窗工程</t>
    <phoneticPr fontId="2" type="noConversion"/>
  </si>
  <si>
    <t>格兰达投资管理（北京）有限公司</t>
    <phoneticPr fontId="2" type="noConversion"/>
  </si>
  <si>
    <t>5033000</t>
    <phoneticPr fontId="2" type="noConversion"/>
  </si>
  <si>
    <t>项目部表,第30行</t>
  </si>
  <si>
    <t>爱迪学校报告厅</t>
    <phoneticPr fontId="2" type="noConversion"/>
  </si>
  <si>
    <t>北京爱迪学校</t>
    <phoneticPr fontId="2" type="noConversion"/>
  </si>
  <si>
    <t>李春光</t>
    <phoneticPr fontId="2" type="noConversion"/>
  </si>
  <si>
    <t>北京邦士富生物科技有限公司</t>
    <phoneticPr fontId="2" type="noConversion"/>
  </si>
  <si>
    <t>李玉斌</t>
    <phoneticPr fontId="2" type="noConversion"/>
  </si>
  <si>
    <t>5032989</t>
    <phoneticPr fontId="2" type="noConversion"/>
  </si>
  <si>
    <t>项目部表,第31行</t>
  </si>
  <si>
    <t>中国劳动关系学院教学楼修缮工程</t>
    <phoneticPr fontId="2" type="noConversion"/>
  </si>
  <si>
    <t>中国劳动关系学院</t>
    <phoneticPr fontId="2" type="noConversion"/>
  </si>
  <si>
    <t>0099942</t>
    <phoneticPr fontId="2" type="noConversion"/>
  </si>
  <si>
    <t>项目部表,第32行</t>
  </si>
  <si>
    <t>密云县穆家岭镇华润希望小镇乡村酒店</t>
    <phoneticPr fontId="2" type="noConversion"/>
  </si>
  <si>
    <t>0099956</t>
    <phoneticPr fontId="2" type="noConversion"/>
  </si>
  <si>
    <t>项目部表,第33行</t>
  </si>
  <si>
    <t>北京春晖园投资有限责任公司</t>
    <phoneticPr fontId="2" type="noConversion"/>
  </si>
  <si>
    <t>纪树军</t>
    <phoneticPr fontId="2" type="noConversion"/>
  </si>
  <si>
    <t xml:space="preserve">北京中建润泽建筑工程有限公司 </t>
    <phoneticPr fontId="2" type="noConversion"/>
  </si>
  <si>
    <t>李邦海</t>
    <phoneticPr fontId="2" type="noConversion"/>
  </si>
  <si>
    <t>0097769</t>
    <phoneticPr fontId="2" type="noConversion"/>
  </si>
  <si>
    <t>项目部表,第34行</t>
  </si>
  <si>
    <t>天津国际城诗景颂苑二标段12#-16#</t>
    <phoneticPr fontId="2" type="noConversion"/>
  </si>
  <si>
    <t>中铁十三局集团有限公司</t>
    <phoneticPr fontId="2" type="noConversion"/>
  </si>
  <si>
    <t>于洋</t>
    <phoneticPr fontId="2" type="noConversion"/>
  </si>
  <si>
    <t>北京城建长城伟达装饰公司</t>
    <phoneticPr fontId="2" type="noConversion"/>
  </si>
  <si>
    <t>孙国强</t>
    <phoneticPr fontId="2" type="noConversion"/>
  </si>
  <si>
    <t>项目部表,第35行</t>
  </si>
  <si>
    <t>2011工程</t>
    <phoneticPr fontId="2" type="noConversion"/>
  </si>
  <si>
    <t>中建一局集团第二建筑有限公司</t>
    <phoneticPr fontId="2" type="noConversion"/>
  </si>
  <si>
    <t>霍林宝</t>
    <phoneticPr fontId="2" type="noConversion"/>
  </si>
  <si>
    <t>中国人民解放军61159部队后勤部</t>
    <phoneticPr fontId="2" type="noConversion"/>
  </si>
  <si>
    <t>霍林宝</t>
    <phoneticPr fontId="2" type="noConversion"/>
  </si>
  <si>
    <t>0097761</t>
    <phoneticPr fontId="2" type="noConversion"/>
  </si>
  <si>
    <t>项目部表,第36行</t>
  </si>
  <si>
    <t>宝鼎商场</t>
    <phoneticPr fontId="2" type="noConversion"/>
  </si>
  <si>
    <t>华美财务（北京）科技有限公司</t>
    <phoneticPr fontId="2" type="noConversion"/>
  </si>
  <si>
    <t>王晨</t>
    <phoneticPr fontId="2" type="noConversion"/>
  </si>
  <si>
    <t>北京润勤洲际建材有限责任公司</t>
    <phoneticPr fontId="2" type="noConversion"/>
  </si>
  <si>
    <t xml:space="preserve">杨晓彬 </t>
    <phoneticPr fontId="2" type="noConversion"/>
  </si>
  <si>
    <t>0099952</t>
    <phoneticPr fontId="2" type="noConversion"/>
  </si>
  <si>
    <t>项目部表,第37行</t>
  </si>
  <si>
    <t>朝阳区东坝驹子房农民安置房</t>
    <phoneticPr fontId="2" type="noConversion"/>
  </si>
  <si>
    <t>北京市朝阳城市建设综合开发公司</t>
    <phoneticPr fontId="2" type="noConversion"/>
  </si>
  <si>
    <t>0097768</t>
    <phoneticPr fontId="2" type="noConversion"/>
  </si>
  <si>
    <t>项目部表,第38行</t>
  </si>
  <si>
    <t>小屯新村B03、B06回迁楼及B04配套</t>
    <phoneticPr fontId="2" type="noConversion"/>
  </si>
  <si>
    <t>北京绿林双泉房地产开发有限公司天鸿美域项目分公司</t>
    <phoneticPr fontId="2" type="noConversion"/>
  </si>
  <si>
    <t>江志真</t>
    <phoneticPr fontId="2" type="noConversion"/>
  </si>
  <si>
    <t>北京美伦美门窗制品有限公司</t>
    <phoneticPr fontId="2" type="noConversion"/>
  </si>
  <si>
    <t>0097779</t>
    <phoneticPr fontId="2" type="noConversion"/>
  </si>
  <si>
    <t>项目部表,第39行</t>
  </si>
  <si>
    <t>衙门口居住及公建项目</t>
    <phoneticPr fontId="2" type="noConversion"/>
  </si>
  <si>
    <t>北京天石基业房地产开发有限公司</t>
    <phoneticPr fontId="2" type="noConversion"/>
  </si>
  <si>
    <t>李智勇</t>
    <phoneticPr fontId="2" type="noConversion"/>
  </si>
  <si>
    <t>北京通联门窗有限公司</t>
    <phoneticPr fontId="2" type="noConversion"/>
  </si>
  <si>
    <t>吕松岩</t>
    <phoneticPr fontId="2" type="noConversion"/>
  </si>
  <si>
    <t>3166153</t>
    <phoneticPr fontId="2" type="noConversion"/>
  </si>
  <si>
    <t>项目部表,第40行</t>
  </si>
  <si>
    <t>西北旺六里屯农民定置点定向房</t>
    <phoneticPr fontId="2" type="noConversion"/>
  </si>
  <si>
    <t>中建一局集团第三建筑有限公司/中航天建设工程有限公司/北京昊海建设有限公司</t>
    <phoneticPr fontId="2" type="noConversion"/>
  </si>
  <si>
    <t>王军</t>
    <phoneticPr fontId="2" type="noConversion"/>
  </si>
  <si>
    <t>北京军建凯达幕墙装饰有限公司</t>
    <phoneticPr fontId="2" type="noConversion"/>
  </si>
  <si>
    <t>秦存国</t>
    <phoneticPr fontId="2" type="noConversion"/>
  </si>
  <si>
    <t>0097765</t>
    <phoneticPr fontId="2" type="noConversion"/>
  </si>
  <si>
    <t>项目部表,第41行</t>
  </si>
  <si>
    <t>XMF12-46</t>
    <phoneticPr fontId="2" type="noConversion"/>
  </si>
  <si>
    <t>空军装备研究院防控所</t>
    <phoneticPr fontId="2" type="noConversion"/>
  </si>
  <si>
    <t>北京朝林建设集团有限公司第四分公司</t>
    <phoneticPr fontId="2" type="noConversion"/>
  </si>
  <si>
    <t>钱金花</t>
    <phoneticPr fontId="2" type="noConversion"/>
  </si>
  <si>
    <t>北京笠融建筑工程有限公司</t>
    <phoneticPr fontId="2" type="noConversion"/>
  </si>
  <si>
    <t>钱金花</t>
    <phoneticPr fontId="2" type="noConversion"/>
  </si>
  <si>
    <t>3088688</t>
    <phoneticPr fontId="2" type="noConversion"/>
  </si>
  <si>
    <t>项目部表,第42行</t>
  </si>
  <si>
    <t>D型公寓D4一单元铝合金窗</t>
    <phoneticPr fontId="2" type="noConversion"/>
  </si>
  <si>
    <t>北京春晖园文化娱乐有限责任公司</t>
    <phoneticPr fontId="2" type="noConversion"/>
  </si>
  <si>
    <t>纪树军</t>
    <phoneticPr fontId="2" type="noConversion"/>
  </si>
  <si>
    <t>3166142</t>
    <phoneticPr fontId="2" type="noConversion"/>
  </si>
  <si>
    <t>管庄</t>
    <phoneticPr fontId="2" type="noConversion"/>
  </si>
  <si>
    <t>项目部表,第43行</t>
  </si>
  <si>
    <t>总政318信息化业务楼</t>
    <phoneticPr fontId="2" type="noConversion"/>
  </si>
  <si>
    <t>中国人民解放军总政治部机关营建办公室</t>
    <phoneticPr fontId="2" type="noConversion"/>
  </si>
  <si>
    <t>李玉朝</t>
    <phoneticPr fontId="2" type="noConversion"/>
  </si>
  <si>
    <t>北京若愚装饰有限公司</t>
    <phoneticPr fontId="2" type="noConversion"/>
  </si>
  <si>
    <t>杨书芳</t>
    <phoneticPr fontId="2" type="noConversion"/>
  </si>
  <si>
    <t>3088687</t>
    <phoneticPr fontId="2" type="noConversion"/>
  </si>
  <si>
    <t>昌平</t>
    <phoneticPr fontId="2" type="noConversion"/>
  </si>
  <si>
    <t>项目部表,第44行</t>
  </si>
  <si>
    <t>岳各庄居住东区1#地128公建</t>
    <phoneticPr fontId="2" type="noConversion"/>
  </si>
  <si>
    <t>0019537</t>
    <phoneticPr fontId="2" type="noConversion"/>
  </si>
  <si>
    <t>项目部表,第45行</t>
  </si>
  <si>
    <t>XMF13-01</t>
    <phoneticPr fontId="2" type="noConversion"/>
  </si>
  <si>
    <t>北池子大街35号院翻改建</t>
    <phoneticPr fontId="2" type="noConversion"/>
  </si>
  <si>
    <t>北京城建亚泰建设集团有限公司</t>
    <phoneticPr fontId="2" type="noConversion"/>
  </si>
  <si>
    <t>中国人民解放军61159部队后勤部</t>
    <phoneticPr fontId="2" type="noConversion"/>
  </si>
  <si>
    <t>0007311</t>
    <phoneticPr fontId="2" type="noConversion"/>
  </si>
  <si>
    <t>项目部表,第46行</t>
  </si>
  <si>
    <t>XMF13-04</t>
    <phoneticPr fontId="2" type="noConversion"/>
  </si>
  <si>
    <t>61886部队食堂及文体活动用房</t>
    <phoneticPr fontId="2" type="noConversion"/>
  </si>
  <si>
    <t>中国人名解放军61886部队后勤部</t>
    <phoneticPr fontId="2" type="noConversion"/>
  </si>
  <si>
    <t>中国人民解放军61886部队后勤部</t>
    <phoneticPr fontId="2" type="noConversion"/>
  </si>
  <si>
    <t>0007312</t>
    <phoneticPr fontId="2" type="noConversion"/>
  </si>
  <si>
    <t>项目部表,第47行</t>
  </si>
  <si>
    <t>平谷金海湖小镇定向安置房</t>
    <phoneticPr fontId="2" type="noConversion"/>
  </si>
  <si>
    <t>首创嘉铭新城镇投资发展有限公司</t>
    <phoneticPr fontId="2" type="noConversion"/>
  </si>
  <si>
    <t>王娜</t>
    <phoneticPr fontId="2" type="noConversion"/>
  </si>
  <si>
    <t>北京嘉世弘商贸有限公司</t>
    <phoneticPr fontId="2" type="noConversion"/>
  </si>
  <si>
    <t>韩魁</t>
    <phoneticPr fontId="2" type="noConversion"/>
  </si>
  <si>
    <t>0007306</t>
    <phoneticPr fontId="2" type="noConversion"/>
  </si>
  <si>
    <t>项目部表,第48行</t>
  </si>
  <si>
    <t>广安门铁路住宅小区工程</t>
    <phoneticPr fontId="2" type="noConversion"/>
  </si>
  <si>
    <t>中铁建工集团有限公司</t>
    <phoneticPr fontId="2" type="noConversion"/>
  </si>
  <si>
    <t>0027651</t>
    <phoneticPr fontId="2" type="noConversion"/>
  </si>
  <si>
    <t>项目部表,第49行</t>
  </si>
  <si>
    <t>国隆府综合楼玻璃幕墙工程</t>
    <phoneticPr fontId="2" type="noConversion"/>
  </si>
  <si>
    <t>河北国隆房地产开发有限公司</t>
    <phoneticPr fontId="2" type="noConversion"/>
  </si>
  <si>
    <t>河北省</t>
    <phoneticPr fontId="2" type="noConversion"/>
  </si>
  <si>
    <t>王胜来</t>
    <phoneticPr fontId="2" type="noConversion"/>
  </si>
  <si>
    <t>廊坊祖寺千首门窗公司</t>
    <phoneticPr fontId="2" type="noConversion"/>
  </si>
  <si>
    <t>9061363</t>
    <phoneticPr fontId="2" type="noConversion"/>
  </si>
  <si>
    <t>项目部表,第50行</t>
  </si>
  <si>
    <t>4#生物研发楼等三项</t>
    <phoneticPr fontId="2" type="noConversion"/>
  </si>
  <si>
    <t>北京中关村生命科学园发展有限责任公司</t>
    <phoneticPr fontId="2" type="noConversion"/>
  </si>
  <si>
    <t>0027654</t>
    <phoneticPr fontId="2" type="noConversion"/>
  </si>
  <si>
    <t>项目部表,第51行</t>
  </si>
  <si>
    <t>广安门铁路住宅小区B段</t>
    <phoneticPr fontId="2" type="noConversion"/>
  </si>
  <si>
    <t>中铁电气化局集团北京建筑工程有限公司广安门项目</t>
    <phoneticPr fontId="2" type="noConversion"/>
  </si>
  <si>
    <t>0027652</t>
    <phoneticPr fontId="2" type="noConversion"/>
  </si>
  <si>
    <t>项目部表,第52行</t>
  </si>
  <si>
    <t>广安门铁路住宅小区A段</t>
    <phoneticPr fontId="2" type="noConversion"/>
  </si>
  <si>
    <t>中扶建设有限责任公司</t>
    <phoneticPr fontId="2" type="noConversion"/>
  </si>
  <si>
    <t>0027653</t>
    <phoneticPr fontId="2" type="noConversion"/>
  </si>
  <si>
    <t>项目部表,第53行</t>
  </si>
  <si>
    <t>来广营B2地块项目</t>
    <phoneticPr fontId="2" type="noConversion"/>
  </si>
  <si>
    <t>北京方兴融创房地产开发有限公司</t>
    <phoneticPr fontId="2" type="noConversion"/>
  </si>
  <si>
    <t>姚志刚</t>
    <phoneticPr fontId="2" type="noConversion"/>
  </si>
  <si>
    <t>中盛泰和（北京）进出口有限公司</t>
    <phoneticPr fontId="2" type="noConversion"/>
  </si>
  <si>
    <t>孙辉</t>
    <phoneticPr fontId="2" type="noConversion"/>
  </si>
  <si>
    <t>0027643</t>
    <phoneticPr fontId="2" type="noConversion"/>
  </si>
  <si>
    <t>项目部表,第54行</t>
  </si>
  <si>
    <t>新华联雅园一期工程</t>
    <phoneticPr fontId="2" type="noConversion"/>
  </si>
  <si>
    <t>内蒙古新华联置业有限公司</t>
    <phoneticPr fontId="2" type="noConversion"/>
  </si>
  <si>
    <t>内蒙古</t>
    <phoneticPr fontId="2" type="noConversion"/>
  </si>
  <si>
    <t>金生文</t>
    <phoneticPr fontId="2" type="noConversion"/>
  </si>
  <si>
    <t>北京长风幕墙装饰有限公司</t>
    <phoneticPr fontId="2" type="noConversion"/>
  </si>
  <si>
    <t>李猛</t>
    <phoneticPr fontId="2" type="noConversion"/>
  </si>
  <si>
    <t>0027646</t>
    <phoneticPr fontId="2" type="noConversion"/>
  </si>
  <si>
    <t>项目部表,第55行</t>
  </si>
  <si>
    <t>北京国际文化贸易企业集散中心</t>
    <phoneticPr fontId="2" type="noConversion"/>
  </si>
  <si>
    <t>北京歌华美创空港置业有限公司</t>
    <phoneticPr fontId="2" type="noConversion"/>
  </si>
  <si>
    <t>0026991</t>
    <phoneticPr fontId="2" type="noConversion"/>
  </si>
  <si>
    <t>管庄</t>
    <phoneticPr fontId="2" type="noConversion"/>
  </si>
  <si>
    <t>项目部表,第56行</t>
  </si>
  <si>
    <t>京昌高科技信息产业园3#厂房</t>
    <phoneticPr fontId="2" type="noConversion"/>
  </si>
  <si>
    <t>项目部</t>
    <phoneticPr fontId="2" type="noConversion"/>
  </si>
  <si>
    <t>北京市昌平一建建筑有限责任公司</t>
    <phoneticPr fontId="2" type="noConversion"/>
  </si>
  <si>
    <t>余斌</t>
    <phoneticPr fontId="2" type="noConversion"/>
  </si>
  <si>
    <t>博洋恒润（北京）幕墙装饰工程有限公司</t>
    <phoneticPr fontId="2" type="noConversion"/>
  </si>
  <si>
    <t>否</t>
    <phoneticPr fontId="2" type="noConversion"/>
  </si>
  <si>
    <t>0026999</t>
    <phoneticPr fontId="2" type="noConversion"/>
  </si>
  <si>
    <t>项目部表,第57行</t>
  </si>
  <si>
    <t>61599部队清河经济适用住房工程</t>
    <phoneticPr fontId="2" type="noConversion"/>
  </si>
  <si>
    <t>中建交通建设集团有限公司</t>
    <phoneticPr fontId="2" type="noConversion"/>
  </si>
  <si>
    <t>吴荣</t>
    <phoneticPr fontId="2" type="noConversion"/>
  </si>
  <si>
    <t>北京佳盛杰瑞商贸有限公司</t>
    <phoneticPr fontId="2" type="noConversion"/>
  </si>
  <si>
    <t>季福成</t>
    <phoneticPr fontId="2" type="noConversion"/>
  </si>
  <si>
    <t>0027658</t>
    <phoneticPr fontId="2" type="noConversion"/>
  </si>
  <si>
    <t>完工</t>
    <phoneticPr fontId="2" type="noConversion"/>
  </si>
  <si>
    <t>管庄</t>
    <phoneticPr fontId="2" type="noConversion"/>
  </si>
  <si>
    <t>项目部表,第58行</t>
  </si>
  <si>
    <t>解放军总医院研究大楼改造</t>
    <phoneticPr fontId="2" type="noConversion"/>
  </si>
  <si>
    <t>项目部</t>
    <phoneticPr fontId="2" type="noConversion"/>
  </si>
  <si>
    <t>中国人民解放军总医院第一附属医院</t>
    <phoneticPr fontId="2" type="noConversion"/>
  </si>
  <si>
    <t>付仁福</t>
    <phoneticPr fontId="2" type="noConversion"/>
  </si>
  <si>
    <t>北京富恒兴达装饰工程有限公司</t>
    <phoneticPr fontId="2" type="noConversion"/>
  </si>
  <si>
    <t>付仁福</t>
    <phoneticPr fontId="2" type="noConversion"/>
  </si>
  <si>
    <t>0027659</t>
    <phoneticPr fontId="2" type="noConversion"/>
  </si>
  <si>
    <t>项目部表,第59行</t>
  </si>
  <si>
    <t>XMF13-17</t>
    <phoneticPr fontId="2" type="noConversion"/>
  </si>
  <si>
    <t>朝阳区东坝驹子房农民安置房F区</t>
    <phoneticPr fontId="2" type="noConversion"/>
  </si>
  <si>
    <t>北京市朝阳城市建设综合开发公司</t>
    <phoneticPr fontId="2" type="noConversion"/>
  </si>
  <si>
    <t>0007301</t>
    <phoneticPr fontId="2" type="noConversion"/>
  </si>
  <si>
    <t>项目部表,第60行</t>
  </si>
  <si>
    <t>华北运转中心项目仓储物流及附属设施</t>
    <phoneticPr fontId="2" type="noConversion"/>
  </si>
  <si>
    <t>北京京都圆通速递有限公司</t>
    <phoneticPr fontId="2" type="noConversion"/>
  </si>
  <si>
    <t>王治国</t>
    <phoneticPr fontId="2" type="noConversion"/>
  </si>
  <si>
    <t>北京和平银泰装饰有限公司</t>
    <phoneticPr fontId="2" type="noConversion"/>
  </si>
  <si>
    <t>王松琴</t>
    <phoneticPr fontId="2" type="noConversion"/>
  </si>
  <si>
    <t>否</t>
    <phoneticPr fontId="2" type="noConversion"/>
  </si>
  <si>
    <t>0026984</t>
    <phoneticPr fontId="2" type="noConversion"/>
  </si>
  <si>
    <t>完工</t>
    <phoneticPr fontId="2" type="noConversion"/>
  </si>
  <si>
    <t>亦庄</t>
    <phoneticPr fontId="2" type="noConversion"/>
  </si>
  <si>
    <t>项目部表,第61行</t>
  </si>
  <si>
    <t>西郊机场西区12#住宅楼工程</t>
    <phoneticPr fontId="2" type="noConversion"/>
  </si>
  <si>
    <t>项目部</t>
    <phoneticPr fontId="2" type="noConversion"/>
  </si>
  <si>
    <t>空军第一建筑安装工程总队</t>
    <phoneticPr fontId="2" type="noConversion"/>
  </si>
  <si>
    <t>北京市</t>
    <phoneticPr fontId="2" type="noConversion"/>
  </si>
  <si>
    <t>赵长亮</t>
    <phoneticPr fontId="2" type="noConversion"/>
  </si>
  <si>
    <t>北京雄博兴业装饰设计有限公司</t>
    <phoneticPr fontId="2" type="noConversion"/>
  </si>
  <si>
    <t>李国兵</t>
    <phoneticPr fontId="2" type="noConversion"/>
  </si>
  <si>
    <t>0026982</t>
    <phoneticPr fontId="2" type="noConversion"/>
  </si>
  <si>
    <t>项目部表,第62行</t>
  </si>
  <si>
    <t>厦门高崎国际机场T4航站楼</t>
    <phoneticPr fontId="2" type="noConversion"/>
  </si>
  <si>
    <t>森特士兴集团股份有限公司</t>
    <phoneticPr fontId="2" type="noConversion"/>
  </si>
  <si>
    <t>福建厦门</t>
    <phoneticPr fontId="2" type="noConversion"/>
  </si>
  <si>
    <t>杨如林</t>
    <phoneticPr fontId="2" type="noConversion"/>
  </si>
  <si>
    <t>北京和平芙蓉商贸有限公司</t>
    <phoneticPr fontId="2" type="noConversion"/>
  </si>
  <si>
    <t>0007313</t>
    <phoneticPr fontId="2" type="noConversion"/>
  </si>
  <si>
    <t>完工</t>
    <phoneticPr fontId="2" type="noConversion"/>
  </si>
  <si>
    <t>项目部表,第63行</t>
  </si>
  <si>
    <t>西郊机场西区10#住宅楼工程</t>
    <phoneticPr fontId="2" type="noConversion"/>
  </si>
  <si>
    <t>95959部队</t>
    <phoneticPr fontId="2" type="noConversion"/>
  </si>
  <si>
    <t>赵长亮</t>
    <phoneticPr fontId="2" type="noConversion"/>
  </si>
  <si>
    <t>0007303</t>
    <phoneticPr fontId="2" type="noConversion"/>
  </si>
  <si>
    <t>京顺</t>
    <phoneticPr fontId="2" type="noConversion"/>
  </si>
  <si>
    <t>项目部表,第64行</t>
  </si>
  <si>
    <t>红星国际广场3#地地块</t>
    <phoneticPr fontId="2" type="noConversion"/>
  </si>
  <si>
    <t>天津市</t>
    <phoneticPr fontId="2" type="noConversion"/>
  </si>
  <si>
    <t>闫禄章</t>
    <phoneticPr fontId="2" type="noConversion"/>
  </si>
  <si>
    <t>异地交税</t>
    <phoneticPr fontId="2" type="noConversion"/>
  </si>
  <si>
    <t>完工</t>
    <phoneticPr fontId="2" type="noConversion"/>
  </si>
  <si>
    <t>项目部表,第65行</t>
  </si>
  <si>
    <t>衙门口居住公建A1地块</t>
    <phoneticPr fontId="2" type="noConversion"/>
  </si>
  <si>
    <t>北京天石基业房地产开发有限公司</t>
    <phoneticPr fontId="2" type="noConversion"/>
  </si>
  <si>
    <t>北京通联门窗有限公司</t>
    <phoneticPr fontId="2" type="noConversion"/>
  </si>
  <si>
    <t>0026998</t>
    <phoneticPr fontId="2" type="noConversion"/>
  </si>
  <si>
    <t>项目部表,第66行</t>
  </si>
  <si>
    <t>朝阳区十八里店周庄三期</t>
    <phoneticPr fontId="2" type="noConversion"/>
  </si>
  <si>
    <t>北京市朝阳田华建筑集团公司/北京大洋房地产开发有限够告诉你</t>
    <phoneticPr fontId="2" type="noConversion"/>
  </si>
  <si>
    <t>柯善波</t>
    <phoneticPr fontId="2" type="noConversion"/>
  </si>
  <si>
    <t>北京福宏杰幕墙门窗技术有限公司</t>
    <phoneticPr fontId="2" type="noConversion"/>
  </si>
  <si>
    <t>否</t>
    <phoneticPr fontId="2" type="noConversion"/>
  </si>
  <si>
    <t>0007305</t>
    <phoneticPr fontId="2" type="noConversion"/>
  </si>
  <si>
    <t>项目部表,第67行</t>
  </si>
  <si>
    <t>北京市平谷检察院办案和专业技术房</t>
    <phoneticPr fontId="2" type="noConversion"/>
  </si>
  <si>
    <t>北京诚通新新建设有限公司</t>
    <phoneticPr fontId="2" type="noConversion"/>
  </si>
  <si>
    <t>0061064</t>
    <phoneticPr fontId="2" type="noConversion"/>
  </si>
  <si>
    <t>三河</t>
    <phoneticPr fontId="2" type="noConversion"/>
  </si>
  <si>
    <t>项目部表,第68行</t>
  </si>
  <si>
    <t>铁科院永丰基地扩建项目</t>
    <phoneticPr fontId="2" type="noConversion"/>
  </si>
  <si>
    <t>中铁电气化局集团北京建筑工程有限公司</t>
    <phoneticPr fontId="2" type="noConversion"/>
  </si>
  <si>
    <t>何金才</t>
    <phoneticPr fontId="2" type="noConversion"/>
  </si>
  <si>
    <t>徐水县鸿飞橡塑制品有限公司</t>
    <phoneticPr fontId="2" type="noConversion"/>
  </si>
  <si>
    <t>周俊才</t>
    <phoneticPr fontId="2" type="noConversion"/>
  </si>
  <si>
    <t>0007318</t>
    <phoneticPr fontId="2" type="noConversion"/>
  </si>
  <si>
    <t>管庄</t>
    <phoneticPr fontId="2" type="noConversion"/>
  </si>
  <si>
    <t>项目部表,第69行</t>
  </si>
  <si>
    <t>XMF13-27</t>
    <phoneticPr fontId="2" type="noConversion"/>
  </si>
  <si>
    <t>国贸世纪公寓样板间外墙工程</t>
    <phoneticPr fontId="2" type="noConversion"/>
  </si>
  <si>
    <t>项目部</t>
    <phoneticPr fontId="2" type="noConversion"/>
  </si>
  <si>
    <t>中国国际贸易中心有限公司</t>
    <phoneticPr fontId="2" type="noConversion"/>
  </si>
  <si>
    <t>北京市</t>
    <phoneticPr fontId="2" type="noConversion"/>
  </si>
  <si>
    <t>柯秋惠</t>
    <phoneticPr fontId="2" type="noConversion"/>
  </si>
  <si>
    <t>北京宇光装饰有限公司</t>
    <phoneticPr fontId="2" type="noConversion"/>
  </si>
  <si>
    <t>项目部表,第70行</t>
  </si>
  <si>
    <t>利生大厦综合办公楼项目外立面</t>
    <phoneticPr fontId="2" type="noConversion"/>
  </si>
  <si>
    <t>项目部</t>
    <phoneticPr fontId="2" type="noConversion"/>
  </si>
  <si>
    <t>北京市</t>
    <phoneticPr fontId="2" type="noConversion"/>
  </si>
  <si>
    <t>罗刚</t>
    <phoneticPr fontId="2" type="noConversion"/>
  </si>
  <si>
    <t>北京世纪锦湖装饰工程有限公司</t>
    <phoneticPr fontId="2" type="noConversion"/>
  </si>
  <si>
    <t>罗刚</t>
    <phoneticPr fontId="2" type="noConversion"/>
  </si>
  <si>
    <t>0061074</t>
    <phoneticPr fontId="2" type="noConversion"/>
  </si>
  <si>
    <t>管庄</t>
    <phoneticPr fontId="2" type="noConversion"/>
  </si>
  <si>
    <t>项目部表,第71行</t>
  </si>
  <si>
    <t>航天长征睿特科技天津生产基地</t>
    <phoneticPr fontId="2" type="noConversion"/>
  </si>
  <si>
    <t>北京航天万源建筑工程有限责任公司</t>
    <phoneticPr fontId="2" type="noConversion"/>
  </si>
  <si>
    <t>天津市</t>
    <phoneticPr fontId="2" type="noConversion"/>
  </si>
  <si>
    <t>李玉朝</t>
    <phoneticPr fontId="2" type="noConversion"/>
  </si>
  <si>
    <t>北京若愚装饰有限公司</t>
    <phoneticPr fontId="2" type="noConversion"/>
  </si>
  <si>
    <t>杨书芳</t>
    <phoneticPr fontId="2" type="noConversion"/>
  </si>
  <si>
    <t>异地交税</t>
    <phoneticPr fontId="2" type="noConversion"/>
  </si>
  <si>
    <t>正常进行</t>
    <phoneticPr fontId="2" type="noConversion"/>
  </si>
  <si>
    <t>项目部表,第72行</t>
  </si>
  <si>
    <t>96819部队工程</t>
    <phoneticPr fontId="2" type="noConversion"/>
  </si>
  <si>
    <t>项目部</t>
    <phoneticPr fontId="2" type="noConversion"/>
  </si>
  <si>
    <t>中国新兴建设开发总公司</t>
    <phoneticPr fontId="2" type="noConversion"/>
  </si>
  <si>
    <t>北京市</t>
    <phoneticPr fontId="2" type="noConversion"/>
  </si>
  <si>
    <t>马泽永</t>
    <phoneticPr fontId="2" type="noConversion"/>
  </si>
  <si>
    <t>天津市百环工贸有限公司</t>
    <phoneticPr fontId="2" type="noConversion"/>
  </si>
  <si>
    <t>王同利</t>
    <phoneticPr fontId="2" type="noConversion"/>
  </si>
  <si>
    <t>0061065</t>
    <phoneticPr fontId="2" type="noConversion"/>
  </si>
  <si>
    <t>项目部表,第73行</t>
  </si>
  <si>
    <t>XMF13-31</t>
    <phoneticPr fontId="2" type="noConversion"/>
  </si>
  <si>
    <t>中国国际贸易中心二座幕墙工程</t>
    <phoneticPr fontId="2" type="noConversion"/>
  </si>
  <si>
    <t>中国国际贸易中心股份有限公司二期物业中心</t>
    <phoneticPr fontId="2" type="noConversion"/>
  </si>
  <si>
    <t>柯秋惠</t>
    <phoneticPr fontId="2" type="noConversion"/>
  </si>
  <si>
    <t>北京宇光装饰有限公司</t>
    <phoneticPr fontId="2" type="noConversion"/>
  </si>
  <si>
    <t>0061068</t>
    <phoneticPr fontId="2" type="noConversion"/>
  </si>
  <si>
    <t>项目部表,第74行</t>
  </si>
  <si>
    <t>密云县穆家岭希望一期3#地</t>
    <phoneticPr fontId="2" type="noConversion"/>
  </si>
  <si>
    <t>北京华润希望发展有限公司</t>
    <phoneticPr fontId="2" type="noConversion"/>
  </si>
  <si>
    <t>余斌</t>
    <phoneticPr fontId="2" type="noConversion"/>
  </si>
  <si>
    <t>博洋恒润（北京）幕墙装饰工程有限公司</t>
    <phoneticPr fontId="2" type="noConversion"/>
  </si>
  <si>
    <t>余斌</t>
    <phoneticPr fontId="2" type="noConversion"/>
  </si>
  <si>
    <t>0064207</t>
    <phoneticPr fontId="2" type="noConversion"/>
  </si>
  <si>
    <t>完工</t>
    <phoneticPr fontId="2" type="noConversion"/>
  </si>
  <si>
    <t>项目部表,第75行</t>
  </si>
  <si>
    <t>大兴北臧村镇居住及配套项目</t>
    <phoneticPr fontId="2" type="noConversion"/>
  </si>
  <si>
    <t>北京博大经开建设有限公司</t>
    <phoneticPr fontId="2" type="noConversion"/>
  </si>
  <si>
    <t>张永强</t>
    <phoneticPr fontId="2" type="noConversion"/>
  </si>
  <si>
    <t>北京泰顺源装饰装潢有限公司</t>
    <phoneticPr fontId="2" type="noConversion"/>
  </si>
  <si>
    <t>0061071</t>
    <phoneticPr fontId="2" type="noConversion"/>
  </si>
  <si>
    <t>项目部表,第76行</t>
  </si>
  <si>
    <t>天津东疆港瞰海轩工程</t>
    <phoneticPr fontId="2" type="noConversion"/>
  </si>
  <si>
    <t>天津市</t>
    <phoneticPr fontId="2" type="noConversion"/>
  </si>
  <si>
    <t>王培俊</t>
    <phoneticPr fontId="2" type="noConversion"/>
  </si>
  <si>
    <t>北京玉林强钢化玻璃有限公司</t>
    <phoneticPr fontId="2" type="noConversion"/>
  </si>
  <si>
    <t>异地交税</t>
    <phoneticPr fontId="2" type="noConversion"/>
  </si>
  <si>
    <t>管庄</t>
    <phoneticPr fontId="2" type="noConversion"/>
  </si>
  <si>
    <t>项目部表,第77行</t>
  </si>
  <si>
    <t>红星国际广场3#地A1楼铝合金门窗</t>
    <phoneticPr fontId="2" type="noConversion"/>
  </si>
  <si>
    <t>天津市华运商贸物业有限公司</t>
    <phoneticPr fontId="2" type="noConversion"/>
  </si>
  <si>
    <t>闫禄章</t>
    <phoneticPr fontId="2" type="noConversion"/>
  </si>
  <si>
    <t>北京奥维尔建筑材料销售有限公司</t>
    <phoneticPr fontId="2" type="noConversion"/>
  </si>
  <si>
    <t>项目部表,第78行</t>
  </si>
  <si>
    <t>温泉公寓B型公寓一期外立面</t>
    <phoneticPr fontId="2" type="noConversion"/>
  </si>
  <si>
    <t>北京春晖园文化娱乐有限责任公司</t>
    <phoneticPr fontId="2" type="noConversion"/>
  </si>
  <si>
    <t>纪树军</t>
    <phoneticPr fontId="2" type="noConversion"/>
  </si>
  <si>
    <t xml:space="preserve">北京中建润泽建筑工程有限公司 </t>
    <phoneticPr fontId="2" type="noConversion"/>
  </si>
  <si>
    <t>李邦海</t>
    <phoneticPr fontId="2" type="noConversion"/>
  </si>
  <si>
    <t>否</t>
    <phoneticPr fontId="2" type="noConversion"/>
  </si>
  <si>
    <t>0061067</t>
    <phoneticPr fontId="2" type="noConversion"/>
  </si>
  <si>
    <t>项目部表,第79行</t>
  </si>
  <si>
    <t>新宁波站改建工程</t>
    <phoneticPr fontId="2" type="noConversion"/>
  </si>
  <si>
    <t>中铁建设集团有限公司宁波铁路枢纽工程项目经理部</t>
    <phoneticPr fontId="2" type="noConversion"/>
  </si>
  <si>
    <t>浙江宁波</t>
    <phoneticPr fontId="2" type="noConversion"/>
  </si>
  <si>
    <t>杨如林</t>
    <phoneticPr fontId="2" type="noConversion"/>
  </si>
  <si>
    <t>北京和平芙蓉商贸有限公司</t>
    <phoneticPr fontId="2" type="noConversion"/>
  </si>
  <si>
    <t>董宴春</t>
    <phoneticPr fontId="2" type="noConversion"/>
  </si>
  <si>
    <t>0061070</t>
    <phoneticPr fontId="2" type="noConversion"/>
  </si>
  <si>
    <t>项目部表,第80行</t>
  </si>
  <si>
    <t>国网智能电网研究院倒班宿舍楼</t>
    <phoneticPr fontId="2" type="noConversion"/>
  </si>
  <si>
    <t>中铁建设集团有限公司</t>
    <phoneticPr fontId="2" type="noConversion"/>
  </si>
  <si>
    <t>北京和平芙蓉商贸有限公司</t>
    <phoneticPr fontId="2" type="noConversion"/>
  </si>
  <si>
    <t>董宴春</t>
    <phoneticPr fontId="2" type="noConversion"/>
  </si>
  <si>
    <t>0061073</t>
    <phoneticPr fontId="2" type="noConversion"/>
  </si>
  <si>
    <t>项目部表,第81行</t>
  </si>
  <si>
    <t>XMF13-39</t>
    <phoneticPr fontId="2" type="noConversion"/>
  </si>
  <si>
    <t>锋创科技园4#研发办公楼</t>
    <phoneticPr fontId="2" type="noConversion"/>
  </si>
  <si>
    <t>锋创科技发展（北京）有限公司</t>
    <phoneticPr fontId="2" type="noConversion"/>
  </si>
  <si>
    <t>苏洪波</t>
    <phoneticPr fontId="2" type="noConversion"/>
  </si>
  <si>
    <t>北京嘉世弘商贸有限公司</t>
    <phoneticPr fontId="2" type="noConversion"/>
  </si>
  <si>
    <t>韩魁</t>
    <phoneticPr fontId="2" type="noConversion"/>
  </si>
  <si>
    <t>0245333</t>
    <phoneticPr fontId="2" type="noConversion"/>
  </si>
  <si>
    <t>项目部表,第82行</t>
  </si>
  <si>
    <t>望海楼南侧</t>
    <phoneticPr fontId="2" type="noConversion"/>
  </si>
  <si>
    <t>北京德海鸿业投资有限公司</t>
    <phoneticPr fontId="2" type="noConversion"/>
  </si>
  <si>
    <t>纪树军</t>
    <phoneticPr fontId="2" type="noConversion"/>
  </si>
  <si>
    <t>0061075</t>
    <phoneticPr fontId="2" type="noConversion"/>
  </si>
  <si>
    <t>完工</t>
    <phoneticPr fontId="2" type="noConversion"/>
  </si>
  <si>
    <t>项目部表,第83行</t>
  </si>
  <si>
    <t>欧逸丽庭二期北标段项目</t>
    <phoneticPr fontId="2" type="noConversion"/>
  </si>
  <si>
    <t>三河成功房地产开发有限公司/中建二局第一建筑工程有限公司</t>
    <phoneticPr fontId="2" type="noConversion"/>
  </si>
  <si>
    <t>河北燕郊</t>
    <phoneticPr fontId="2" type="noConversion"/>
  </si>
  <si>
    <t>王军</t>
    <phoneticPr fontId="2" type="noConversion"/>
  </si>
  <si>
    <t>北京军建凯达幕墙装饰有限公司</t>
    <phoneticPr fontId="2" type="noConversion"/>
  </si>
  <si>
    <t>秦存国</t>
    <phoneticPr fontId="2" type="noConversion"/>
  </si>
  <si>
    <t>9061373</t>
    <phoneticPr fontId="2" type="noConversion"/>
  </si>
  <si>
    <t>项目部表,第84行</t>
  </si>
  <si>
    <t>成功（中国）大广场休闲娱乐中心</t>
    <phoneticPr fontId="2" type="noConversion"/>
  </si>
  <si>
    <t>成功（中国）大广场有限公司/中国建筑第二工程局有限公司</t>
    <phoneticPr fontId="2" type="noConversion"/>
  </si>
  <si>
    <t>秦存国</t>
    <phoneticPr fontId="2" type="noConversion"/>
  </si>
  <si>
    <t>9061374</t>
    <phoneticPr fontId="2" type="noConversion"/>
  </si>
  <si>
    <t>项目部表,第85行</t>
  </si>
  <si>
    <t>华远大厦维修项目</t>
    <phoneticPr fontId="2" type="noConversion"/>
  </si>
  <si>
    <t>北京市华远集团有限公司</t>
    <phoneticPr fontId="2" type="noConversion"/>
  </si>
  <si>
    <t>金生文</t>
    <phoneticPr fontId="2" type="noConversion"/>
  </si>
  <si>
    <t>北京长风幕墙装饰有限公司</t>
    <phoneticPr fontId="2" type="noConversion"/>
  </si>
  <si>
    <t>李猛</t>
    <phoneticPr fontId="2" type="noConversion"/>
  </si>
  <si>
    <t>0061077</t>
    <phoneticPr fontId="2" type="noConversion"/>
  </si>
  <si>
    <t>项目部表,第86行</t>
  </si>
  <si>
    <t>XMF13-44</t>
    <phoneticPr fontId="2" type="noConversion"/>
  </si>
  <si>
    <t>香河鸿坤理想城阳光项目</t>
    <phoneticPr fontId="2" type="noConversion"/>
  </si>
  <si>
    <t>香河县鸿坤房地产开发有限公司</t>
    <phoneticPr fontId="2" type="noConversion"/>
  </si>
  <si>
    <t>河北香河</t>
    <phoneticPr fontId="2" type="noConversion"/>
  </si>
  <si>
    <t>冯国亮</t>
    <phoneticPr fontId="2" type="noConversion"/>
  </si>
  <si>
    <t>三河市益吉装饰工程有限公司</t>
    <phoneticPr fontId="2" type="noConversion"/>
  </si>
  <si>
    <t>冯国亮</t>
    <phoneticPr fontId="2" type="noConversion"/>
  </si>
  <si>
    <t>0245329</t>
    <phoneticPr fontId="2" type="noConversion"/>
  </si>
  <si>
    <t>三河</t>
    <phoneticPr fontId="2" type="noConversion"/>
  </si>
  <si>
    <t>项目部表,第87行</t>
  </si>
  <si>
    <t>1#楼生物技术研发中心项目幕墙工程</t>
    <phoneticPr fontId="2" type="noConversion"/>
  </si>
  <si>
    <t>北京城建七建设工程有限公司</t>
    <phoneticPr fontId="2" type="noConversion"/>
  </si>
  <si>
    <t>罗刚</t>
    <phoneticPr fontId="2" type="noConversion"/>
  </si>
  <si>
    <t>1245398</t>
    <phoneticPr fontId="2" type="noConversion"/>
  </si>
  <si>
    <t>项目部表,第88行</t>
  </si>
  <si>
    <t>A1厂房等8项-B1研发楼</t>
    <phoneticPr fontId="2" type="noConversion"/>
  </si>
  <si>
    <t>北京港荣食品有限公司</t>
    <phoneticPr fontId="2" type="noConversion"/>
  </si>
  <si>
    <t>孙超</t>
    <phoneticPr fontId="2" type="noConversion"/>
  </si>
  <si>
    <t>北京海锐广告有限公司</t>
    <phoneticPr fontId="2" type="noConversion"/>
  </si>
  <si>
    <t>1251028</t>
    <phoneticPr fontId="2" type="noConversion"/>
  </si>
  <si>
    <t>三河</t>
    <phoneticPr fontId="2" type="noConversion"/>
  </si>
  <si>
    <t>项目部表,第89行</t>
  </si>
  <si>
    <t>XMF13-47</t>
    <phoneticPr fontId="2" type="noConversion"/>
  </si>
  <si>
    <t>数据技术研发中心建设项目6#楼</t>
    <phoneticPr fontId="2" type="noConversion"/>
  </si>
  <si>
    <t>汇天网络科技有限公司</t>
    <phoneticPr fontId="2" type="noConversion"/>
  </si>
  <si>
    <t>李智勇</t>
    <phoneticPr fontId="2" type="noConversion"/>
  </si>
  <si>
    <t>北京通联门窗有限公司</t>
    <phoneticPr fontId="2" type="noConversion"/>
  </si>
  <si>
    <t>吕松岩</t>
    <phoneticPr fontId="2" type="noConversion"/>
  </si>
  <si>
    <t>1251034</t>
    <phoneticPr fontId="2" type="noConversion"/>
  </si>
  <si>
    <t>项目部表,第90行</t>
  </si>
  <si>
    <t>研发办公楼D座等16项</t>
    <phoneticPr fontId="2" type="noConversion"/>
  </si>
  <si>
    <t>曲刚</t>
    <phoneticPr fontId="2" type="noConversion"/>
  </si>
  <si>
    <t>北京京业正通建筑材料有限责任公司</t>
    <phoneticPr fontId="2" type="noConversion"/>
  </si>
  <si>
    <t>王艳</t>
    <phoneticPr fontId="2" type="noConversion"/>
  </si>
  <si>
    <t>项目部表,第91行</t>
  </si>
  <si>
    <t>天津红星国际广场3#地A2-A4楼</t>
    <phoneticPr fontId="2" type="noConversion"/>
  </si>
  <si>
    <t>项目部表,第92行</t>
  </si>
  <si>
    <t>金宝花园</t>
    <phoneticPr fontId="2" type="noConversion"/>
  </si>
  <si>
    <t>北京金宝房地产开发有限公司</t>
    <phoneticPr fontId="2" type="noConversion"/>
  </si>
  <si>
    <t>韩魁</t>
    <phoneticPr fontId="2" type="noConversion"/>
  </si>
  <si>
    <t>0245330</t>
    <phoneticPr fontId="2" type="noConversion"/>
  </si>
  <si>
    <t>大兴</t>
    <phoneticPr fontId="2" type="noConversion"/>
  </si>
  <si>
    <t>项目部表,第93行</t>
  </si>
  <si>
    <t>XMF13-51</t>
    <phoneticPr fontId="2" type="noConversion"/>
  </si>
  <si>
    <t>大兴定向安置房（榆垡）</t>
    <phoneticPr fontId="2" type="noConversion"/>
  </si>
  <si>
    <t>北京万兴建筑集团有限公司</t>
    <phoneticPr fontId="2" type="noConversion"/>
  </si>
  <si>
    <t>孙磊</t>
    <phoneticPr fontId="2" type="noConversion"/>
  </si>
  <si>
    <t>北京红星日晟门窗厂</t>
    <phoneticPr fontId="2" type="noConversion"/>
  </si>
  <si>
    <t>李书玉</t>
    <phoneticPr fontId="2" type="noConversion"/>
  </si>
  <si>
    <t>0245328</t>
    <phoneticPr fontId="2" type="noConversion"/>
  </si>
  <si>
    <t>项目部表,第94行</t>
  </si>
  <si>
    <t>XMF13-52</t>
    <phoneticPr fontId="2" type="noConversion"/>
  </si>
  <si>
    <t>橡树湾售楼样板间</t>
    <phoneticPr fontId="2" type="noConversion"/>
  </si>
  <si>
    <t>北京优高雅装饰工程有限公司</t>
    <phoneticPr fontId="2" type="noConversion"/>
  </si>
  <si>
    <t>博洋恒润（北京）幕墙装饰工程有限公司</t>
    <phoneticPr fontId="2" type="noConversion"/>
  </si>
  <si>
    <t>0245339</t>
    <phoneticPr fontId="2" type="noConversion"/>
  </si>
  <si>
    <t>项目部表,第95行</t>
  </si>
  <si>
    <t>肽谷生命科学园1-2期</t>
    <phoneticPr fontId="2" type="noConversion"/>
  </si>
  <si>
    <t>固安肽谷药业科技有限公司</t>
    <phoneticPr fontId="2" type="noConversion"/>
  </si>
  <si>
    <t>河北固安</t>
    <phoneticPr fontId="2" type="noConversion"/>
  </si>
  <si>
    <t>北京世纪锦湖装饰工程有限公司</t>
    <phoneticPr fontId="2" type="noConversion"/>
  </si>
  <si>
    <t>9061371</t>
    <phoneticPr fontId="2" type="noConversion"/>
  </si>
  <si>
    <t>项目部表,第96行</t>
  </si>
  <si>
    <t>门头沟项目B区铝合金门窗及百叶</t>
    <phoneticPr fontId="2" type="noConversion"/>
  </si>
  <si>
    <t>华润置地发展（北京）有限公司/中天建设集团有限公司</t>
    <phoneticPr fontId="2" type="noConversion"/>
  </si>
  <si>
    <t>0446167</t>
    <phoneticPr fontId="2" type="noConversion"/>
  </si>
  <si>
    <t>大厂</t>
    <phoneticPr fontId="2" type="noConversion"/>
  </si>
  <si>
    <t>项目部表,第97行</t>
  </si>
  <si>
    <t>德州康博公馆一期一标段工程</t>
    <phoneticPr fontId="2" type="noConversion"/>
  </si>
  <si>
    <t>青建集团股份公司</t>
    <phoneticPr fontId="2" type="noConversion"/>
  </si>
  <si>
    <t>山东德州</t>
    <phoneticPr fontId="2" type="noConversion"/>
  </si>
  <si>
    <t>李金光</t>
    <phoneticPr fontId="2" type="noConversion"/>
  </si>
  <si>
    <t>北京丰益宏业装饰有限公司</t>
    <phoneticPr fontId="2" type="noConversion"/>
  </si>
  <si>
    <t>0245321</t>
    <phoneticPr fontId="2" type="noConversion"/>
  </si>
  <si>
    <t>昌平</t>
    <phoneticPr fontId="2" type="noConversion"/>
  </si>
  <si>
    <t>项目部表,第98行</t>
  </si>
  <si>
    <t>房山长沟镇改造一期</t>
    <phoneticPr fontId="2" type="noConversion"/>
  </si>
  <si>
    <t>付仁福</t>
    <phoneticPr fontId="2" type="noConversion"/>
  </si>
  <si>
    <t>北京富恒兴达装饰工程有限公司</t>
    <phoneticPr fontId="2" type="noConversion"/>
  </si>
  <si>
    <t>0245327</t>
    <phoneticPr fontId="2" type="noConversion"/>
  </si>
  <si>
    <t>亦庄</t>
    <phoneticPr fontId="2" type="noConversion"/>
  </si>
  <si>
    <t>项目部表,第99行</t>
  </si>
  <si>
    <t>XMF13-57</t>
    <phoneticPr fontId="2" type="noConversion"/>
  </si>
  <si>
    <t>合肥南站</t>
    <phoneticPr fontId="2" type="noConversion"/>
  </si>
  <si>
    <t>中铁建设集团有限公司</t>
    <phoneticPr fontId="2" type="noConversion"/>
  </si>
  <si>
    <t>安徽合肥</t>
    <phoneticPr fontId="2" type="noConversion"/>
  </si>
  <si>
    <t>颜自成</t>
    <phoneticPr fontId="2" type="noConversion"/>
  </si>
  <si>
    <t>杭州创基建筑装饰工程有限公司</t>
    <phoneticPr fontId="2" type="noConversion"/>
  </si>
  <si>
    <t>王艳</t>
    <phoneticPr fontId="2" type="noConversion"/>
  </si>
  <si>
    <t>1251031</t>
    <phoneticPr fontId="2" type="noConversion"/>
  </si>
  <si>
    <t>项目部表,第100行</t>
  </si>
  <si>
    <t>华茂嘉园住宅小区隔热</t>
    <phoneticPr fontId="2" type="noConversion"/>
  </si>
  <si>
    <t>江苏金月房地产集团有限公司</t>
    <phoneticPr fontId="2" type="noConversion"/>
  </si>
  <si>
    <t>王同利</t>
    <phoneticPr fontId="2" type="noConversion"/>
  </si>
  <si>
    <t>三河</t>
    <phoneticPr fontId="2" type="noConversion"/>
  </si>
  <si>
    <t>项目部表,第101行</t>
  </si>
  <si>
    <t>5#生物研发楼外幕墙工程</t>
    <phoneticPr fontId="2" type="noConversion"/>
  </si>
  <si>
    <t>北京中关村生命科学院园发展有限责任公司</t>
    <phoneticPr fontId="2" type="noConversion"/>
  </si>
  <si>
    <t>罗刚</t>
    <phoneticPr fontId="2" type="noConversion"/>
  </si>
  <si>
    <t>北京世纪锦湖装饰工程有限公司</t>
    <phoneticPr fontId="2" type="noConversion"/>
  </si>
  <si>
    <t>罗刚</t>
    <phoneticPr fontId="2" type="noConversion"/>
  </si>
  <si>
    <t>否</t>
    <phoneticPr fontId="2" type="noConversion"/>
  </si>
  <si>
    <t>0446161</t>
    <phoneticPr fontId="2" type="noConversion"/>
  </si>
  <si>
    <t>完工</t>
    <phoneticPr fontId="2" type="noConversion"/>
  </si>
  <si>
    <t>项目部表,第102行</t>
  </si>
  <si>
    <t>总政机关黄寺礼堂</t>
    <phoneticPr fontId="2" type="noConversion"/>
  </si>
  <si>
    <t>中国人民解放军总政治部机关营建办公室</t>
    <phoneticPr fontId="2" type="noConversion"/>
  </si>
  <si>
    <t>北京市</t>
    <phoneticPr fontId="2" type="noConversion"/>
  </si>
  <si>
    <t>李玉朝</t>
    <phoneticPr fontId="2" type="noConversion"/>
  </si>
  <si>
    <t>北京若愚装饰有限公司</t>
    <phoneticPr fontId="2" type="noConversion"/>
  </si>
  <si>
    <t>杨书芳</t>
    <phoneticPr fontId="2" type="noConversion"/>
  </si>
  <si>
    <t>否</t>
    <phoneticPr fontId="2" type="noConversion"/>
  </si>
  <si>
    <t>0245332</t>
    <phoneticPr fontId="2" type="noConversion"/>
  </si>
  <si>
    <t>项目部表,第103行</t>
  </si>
  <si>
    <t>XMF14-01</t>
    <phoneticPr fontId="2" type="noConversion"/>
  </si>
  <si>
    <t>贵阳北站</t>
    <phoneticPr fontId="2" type="noConversion"/>
  </si>
  <si>
    <t>中铁建设集团有限公司贵阳北站项目经理部</t>
    <phoneticPr fontId="2" type="noConversion"/>
  </si>
  <si>
    <t>贵州省贵阳市</t>
    <phoneticPr fontId="2" type="noConversion"/>
  </si>
  <si>
    <t>王江军</t>
    <phoneticPr fontId="2" type="noConversion"/>
  </si>
  <si>
    <t>杭州蓝博凯盾防火门有限公司</t>
    <phoneticPr fontId="2" type="noConversion"/>
  </si>
  <si>
    <t>项目部表,第104行</t>
  </si>
  <si>
    <t>3829玻璃石材幕墙及断桥铝合金</t>
    <phoneticPr fontId="2" type="noConversion"/>
  </si>
  <si>
    <t>61195部队后勤部管理处财务科</t>
    <phoneticPr fontId="2" type="noConversion"/>
  </si>
  <si>
    <t>霍林宝</t>
    <phoneticPr fontId="2" type="noConversion"/>
  </si>
  <si>
    <t>中国人民解放军61159部队后勤部</t>
    <phoneticPr fontId="2" type="noConversion"/>
  </si>
  <si>
    <t>1251023</t>
    <phoneticPr fontId="2" type="noConversion"/>
  </si>
  <si>
    <t>项目部表,第105行</t>
  </si>
  <si>
    <t>XMF14-03</t>
  </si>
  <si>
    <t>解放军302医院感染综合楼</t>
    <phoneticPr fontId="2" type="noConversion"/>
  </si>
  <si>
    <t>中国人民解放军第三〇二医院</t>
    <phoneticPr fontId="2" type="noConversion"/>
  </si>
  <si>
    <t>邵幸来</t>
    <phoneticPr fontId="2" type="noConversion"/>
  </si>
  <si>
    <t>项目部表,第106行</t>
  </si>
  <si>
    <t>北京实创科技园开发建设股份有限公司</t>
    <phoneticPr fontId="2" type="noConversion"/>
  </si>
  <si>
    <t>中集建设集团有限公司</t>
    <phoneticPr fontId="2" type="noConversion"/>
  </si>
  <si>
    <t>金生文</t>
    <phoneticPr fontId="2" type="noConversion"/>
  </si>
  <si>
    <t>北京长风幕墙装饰有限公司</t>
    <phoneticPr fontId="2" type="noConversion"/>
  </si>
  <si>
    <t>项目部表,第107行</t>
  </si>
  <si>
    <t>XMF14-06</t>
    <phoneticPr fontId="2" type="noConversion"/>
  </si>
  <si>
    <t>北京嘉里中心翻装项目办公楼</t>
    <phoneticPr fontId="2" type="noConversion"/>
  </si>
  <si>
    <t>北京嘉奥房地产开发有限公司</t>
    <phoneticPr fontId="2" type="noConversion"/>
  </si>
  <si>
    <t>北京宇光装饰有限公司</t>
    <phoneticPr fontId="2" type="noConversion"/>
  </si>
  <si>
    <t>1251026</t>
    <phoneticPr fontId="2" type="noConversion"/>
  </si>
  <si>
    <t>项目部表,第108行</t>
  </si>
  <si>
    <t>德州康博公馆一期2#工程</t>
    <phoneticPr fontId="2" type="noConversion"/>
  </si>
  <si>
    <t>中天建设集团有限公司德厚分公司</t>
    <phoneticPr fontId="2" type="noConversion"/>
  </si>
  <si>
    <t>山东德州</t>
    <phoneticPr fontId="2" type="noConversion"/>
  </si>
  <si>
    <t>项目部表,第109行</t>
  </si>
  <si>
    <t>北京联合大学第二教学楼</t>
    <phoneticPr fontId="2" type="noConversion"/>
  </si>
  <si>
    <t>北京市第五建筑工程集团有限公司</t>
    <phoneticPr fontId="2" type="noConversion"/>
  </si>
  <si>
    <t>北京市</t>
    <phoneticPr fontId="2" type="noConversion"/>
  </si>
  <si>
    <t>1245385</t>
    <phoneticPr fontId="2" type="noConversion"/>
  </si>
  <si>
    <t>项目部表,第110行</t>
  </si>
  <si>
    <t>北京西红门兴海学校扩建项目</t>
    <phoneticPr fontId="2" type="noConversion"/>
  </si>
  <si>
    <t>北京鸿坤伟业房地产开发有限公司</t>
    <phoneticPr fontId="2" type="noConversion"/>
  </si>
  <si>
    <t>项目部表,第111行</t>
  </si>
  <si>
    <t>中国人民解放军96819部队综合管理楼</t>
    <phoneticPr fontId="2" type="noConversion"/>
  </si>
  <si>
    <t>天津市百环工贸有限公司</t>
    <phoneticPr fontId="2" type="noConversion"/>
  </si>
  <si>
    <t>正常进行</t>
    <phoneticPr fontId="2" type="noConversion"/>
  </si>
  <si>
    <t>三河</t>
    <phoneticPr fontId="2" type="noConversion"/>
  </si>
  <si>
    <t>项目部表,第112行</t>
  </si>
  <si>
    <t>XMF14-11</t>
    <phoneticPr fontId="2" type="noConversion"/>
  </si>
  <si>
    <t>大兴京城高尔夫俱乐部</t>
    <phoneticPr fontId="2" type="noConversion"/>
  </si>
  <si>
    <t>北京建工博海建设有限公司</t>
    <phoneticPr fontId="2" type="noConversion"/>
  </si>
  <si>
    <t>北京市</t>
    <phoneticPr fontId="2" type="noConversion"/>
  </si>
  <si>
    <t>北京海锐广告有限公司</t>
    <phoneticPr fontId="2" type="noConversion"/>
  </si>
  <si>
    <t>否</t>
    <phoneticPr fontId="2" type="noConversion"/>
  </si>
  <si>
    <t>0446164</t>
    <phoneticPr fontId="2" type="noConversion"/>
  </si>
  <si>
    <t>正常进行</t>
    <phoneticPr fontId="2" type="noConversion"/>
  </si>
  <si>
    <t>项目部表,第113行</t>
  </si>
  <si>
    <t>XMF14-12</t>
    <phoneticPr fontId="2" type="noConversion"/>
  </si>
  <si>
    <t>援肯尼亚卡通都医院</t>
    <phoneticPr fontId="2" type="noConversion"/>
  </si>
  <si>
    <t>项目部表,第114行</t>
  </si>
  <si>
    <t>浙江宝业建设集团有限公司</t>
    <phoneticPr fontId="2" type="noConversion"/>
  </si>
  <si>
    <t>天津市</t>
    <phoneticPr fontId="2" type="noConversion"/>
  </si>
  <si>
    <t>项目部表,第115行</t>
  </si>
  <si>
    <t>国家体育总局乒乓球馆</t>
    <phoneticPr fontId="2" type="noConversion"/>
  </si>
  <si>
    <t>项目部</t>
    <phoneticPr fontId="2" type="noConversion"/>
  </si>
  <si>
    <t>北京建工集团有限责任公司</t>
    <phoneticPr fontId="2" type="noConversion"/>
  </si>
  <si>
    <t>韩魁</t>
    <phoneticPr fontId="2" type="noConversion"/>
  </si>
  <si>
    <t>北京嘉世弘商贸有限公司</t>
    <phoneticPr fontId="2" type="noConversion"/>
  </si>
  <si>
    <t>否</t>
    <phoneticPr fontId="2" type="noConversion"/>
  </si>
  <si>
    <t>125391</t>
    <phoneticPr fontId="2" type="noConversion"/>
  </si>
  <si>
    <t>正常进行</t>
    <phoneticPr fontId="2" type="noConversion"/>
  </si>
  <si>
    <t>大兴</t>
    <phoneticPr fontId="2" type="noConversion"/>
  </si>
  <si>
    <t>项目部表,第116行</t>
  </si>
  <si>
    <t>双井宿舍楼工程</t>
    <phoneticPr fontId="2" type="noConversion"/>
  </si>
  <si>
    <t>中国国际贸易中心有限公司</t>
    <phoneticPr fontId="2" type="noConversion"/>
  </si>
  <si>
    <t>柯秋惠</t>
    <phoneticPr fontId="2" type="noConversion"/>
  </si>
  <si>
    <t>北京宇光装饰有限公司</t>
    <phoneticPr fontId="2" type="noConversion"/>
  </si>
  <si>
    <t>项目部表,第117行</t>
  </si>
  <si>
    <t>XMF14-16</t>
  </si>
  <si>
    <t>天津武清红星广场示范区</t>
    <phoneticPr fontId="2" type="noConversion"/>
  </si>
  <si>
    <t>天津市</t>
    <phoneticPr fontId="2" type="noConversion"/>
  </si>
  <si>
    <t>项目部表,第118行</t>
  </si>
  <si>
    <t>大兴旧宫中学改扩建项目</t>
    <phoneticPr fontId="2" type="noConversion"/>
  </si>
  <si>
    <t>北京市</t>
    <phoneticPr fontId="2" type="noConversion"/>
  </si>
  <si>
    <t>孙磊</t>
    <phoneticPr fontId="2" type="noConversion"/>
  </si>
  <si>
    <t>北京红星日晟门窗厂</t>
    <phoneticPr fontId="2" type="noConversion"/>
  </si>
  <si>
    <t>0446168</t>
    <phoneticPr fontId="2" type="noConversion"/>
  </si>
  <si>
    <t>亦庄</t>
    <phoneticPr fontId="2" type="noConversion"/>
  </si>
  <si>
    <t>项目部表,第119行</t>
  </si>
  <si>
    <t>M5样板间外立面幕墙</t>
    <phoneticPr fontId="2" type="noConversion"/>
  </si>
  <si>
    <t>北京五居投资有限公司</t>
    <phoneticPr fontId="2" type="noConversion"/>
  </si>
  <si>
    <t>许谊</t>
    <phoneticPr fontId="2" type="noConversion"/>
  </si>
  <si>
    <t>北京闵铝鑫门窗有限公司</t>
    <phoneticPr fontId="2" type="noConversion"/>
  </si>
  <si>
    <t>0446165</t>
    <phoneticPr fontId="2" type="noConversion"/>
  </si>
  <si>
    <t>项目部表,第120行</t>
  </si>
  <si>
    <t>东北旺农场科研楼一号楼</t>
    <phoneticPr fontId="2" type="noConversion"/>
  </si>
  <si>
    <t>北京城建道桥建设集团有限公司</t>
    <phoneticPr fontId="2" type="noConversion"/>
  </si>
  <si>
    <t>李金光</t>
    <phoneticPr fontId="2" type="noConversion"/>
  </si>
  <si>
    <t>北京丰益宏业装饰有限公司</t>
    <phoneticPr fontId="2" type="noConversion"/>
  </si>
  <si>
    <t>李金光</t>
    <phoneticPr fontId="2" type="noConversion"/>
  </si>
  <si>
    <t>项目部表,第121行</t>
  </si>
  <si>
    <t>61785部队二期经济适用房</t>
    <phoneticPr fontId="2" type="noConversion"/>
  </si>
  <si>
    <t>中国人民解放军61159部队后勤部</t>
    <phoneticPr fontId="2" type="noConversion"/>
  </si>
  <si>
    <t>霍林宝</t>
    <phoneticPr fontId="2" type="noConversion"/>
  </si>
  <si>
    <t>项目部表,第122行</t>
  </si>
  <si>
    <t>北京中医药大学良乡校区东院</t>
    <phoneticPr fontId="2" type="noConversion"/>
  </si>
  <si>
    <t>倪勇</t>
    <phoneticPr fontId="2" type="noConversion"/>
  </si>
  <si>
    <t>上海昂亚装饰有限公司</t>
    <phoneticPr fontId="2" type="noConversion"/>
  </si>
  <si>
    <t>项目部表,第123行</t>
  </si>
  <si>
    <t>天津武清原乡郡项目示范区</t>
    <phoneticPr fontId="2" type="noConversion"/>
  </si>
  <si>
    <t>冯国亮</t>
    <phoneticPr fontId="2" type="noConversion"/>
  </si>
  <si>
    <t>三河</t>
    <phoneticPr fontId="2" type="noConversion"/>
  </si>
  <si>
    <t>项目部表,第124行</t>
  </si>
  <si>
    <t>XMF14-23</t>
  </si>
  <si>
    <t>万兴综合楼工程</t>
    <phoneticPr fontId="2" type="noConversion"/>
  </si>
  <si>
    <t>项目部</t>
    <phoneticPr fontId="2" type="noConversion"/>
  </si>
  <si>
    <t>罗刚</t>
    <phoneticPr fontId="2" type="noConversion"/>
  </si>
  <si>
    <t>北京世纪锦湖装饰工程有限公司</t>
    <phoneticPr fontId="2" type="noConversion"/>
  </si>
  <si>
    <t>正常进行</t>
    <phoneticPr fontId="2" type="noConversion"/>
  </si>
  <si>
    <t>项目部表,第125行</t>
  </si>
  <si>
    <t>靓景明居四期</t>
    <phoneticPr fontId="2" type="noConversion"/>
  </si>
  <si>
    <t>项目部</t>
    <phoneticPr fontId="2" type="noConversion"/>
  </si>
  <si>
    <t>北京市</t>
    <phoneticPr fontId="2" type="noConversion"/>
  </si>
  <si>
    <t>徐建军</t>
    <phoneticPr fontId="2" type="noConversion"/>
  </si>
  <si>
    <t>高碑店市嘉鑫靓景窗业有限公司</t>
    <phoneticPr fontId="2" type="noConversion"/>
  </si>
  <si>
    <t>李成军</t>
    <phoneticPr fontId="2" type="noConversion"/>
  </si>
  <si>
    <t>项目部表,第126行</t>
  </si>
  <si>
    <t>海淀清河二期B4区</t>
    <phoneticPr fontId="2" type="noConversion"/>
  </si>
  <si>
    <t>项目部表,第127行</t>
  </si>
  <si>
    <t>6201工程</t>
    <phoneticPr fontId="2" type="noConversion"/>
  </si>
  <si>
    <t>中国人民解放军战略规划综合局</t>
    <phoneticPr fontId="2" type="noConversion"/>
  </si>
  <si>
    <t>项目部表,第128行</t>
  </si>
  <si>
    <t>21#住宅楼等18项</t>
    <phoneticPr fontId="2" type="noConversion"/>
  </si>
  <si>
    <t>李春光</t>
    <phoneticPr fontId="2" type="noConversion"/>
  </si>
  <si>
    <t>北京邦士富生物科技有限公司</t>
    <phoneticPr fontId="2" type="noConversion"/>
  </si>
  <si>
    <t>李玉斌</t>
    <phoneticPr fontId="2" type="noConversion"/>
  </si>
  <si>
    <t>项目部表,第129行</t>
  </si>
  <si>
    <t>北京市十一学校改造工程</t>
    <phoneticPr fontId="2" type="noConversion"/>
  </si>
  <si>
    <t>北京军建凯达幕墙装饰有限公司</t>
    <phoneticPr fontId="2" type="noConversion"/>
  </si>
  <si>
    <t>否</t>
    <phoneticPr fontId="2" type="noConversion"/>
  </si>
  <si>
    <t>项目部表,第130行</t>
  </si>
  <si>
    <t>总政机关东区34号楼断桥铝合金</t>
    <phoneticPr fontId="2" type="noConversion"/>
  </si>
  <si>
    <t>总政机关营建办公室</t>
    <phoneticPr fontId="2" type="noConversion"/>
  </si>
  <si>
    <t>李玉朝</t>
    <phoneticPr fontId="2" type="noConversion"/>
  </si>
  <si>
    <t>北京若愚装饰有限公司</t>
    <phoneticPr fontId="2" type="noConversion"/>
  </si>
  <si>
    <t>杨书芳</t>
    <phoneticPr fontId="2" type="noConversion"/>
  </si>
  <si>
    <t>正常进行</t>
    <phoneticPr fontId="2" type="noConversion"/>
  </si>
  <si>
    <t>万兴综合楼工程</t>
  </si>
  <si>
    <t>天津武清红星广场示范区</t>
  </si>
  <si>
    <t>解放军302医院感染综合楼</t>
  </si>
  <si>
    <t>永定华庭地下车库出入口外装饰幕墙</t>
  </si>
  <si>
    <t>XMF11-21</t>
  </si>
  <si>
    <t>/project/detail/c0674f43-487b-11e4-a99c-0021ccd107f8</t>
  </si>
  <si>
    <t>c0674f43-487b-11e4-a99c-0021ccd107f8</t>
  </si>
  <si>
    <t>c06757d7-487b-11e4-a99c-0021ccd107f8</t>
  </si>
  <si>
    <t>/profile/detail/c061822c-487b-11e4-a99c-0021ccd107f8</t>
  </si>
  <si>
    <t>c05dc7f8-487b-11e4-a99c-0021ccd107f8</t>
  </si>
  <si>
    <t>c061d4db-487b-11e4-a99c-0021ccd107f8</t>
  </si>
  <si>
    <t>/project/detail/c05d78f9-487b-11e4-a99c-0021ccd107f8</t>
  </si>
  <si>
    <t>c05d78f9-487b-11e4-a99c-0021ccd107f8</t>
  </si>
  <si>
    <t>c05d7e33-487b-11e4-a99c-0021ccd107f8</t>
  </si>
  <si>
    <t>/project/detail/c062028f-487b-11e4-a99c-0021ccd107f8</t>
  </si>
  <si>
    <t>c062028f-487b-11e4-a99c-0021ccd107f8</t>
  </si>
  <si>
    <t>c06207d2-487b-11e4-a99c-0021ccd107f8</t>
  </si>
  <si>
    <t>/payment/detail/be274d32-487b-11e4-a99c-0021ccd107f8</t>
  </si>
  <si>
    <t>be271afc-487b-11e4-a99c-0021ccd107f8</t>
  </si>
  <si>
    <t>be2768b3-487b-11e4-a99c-0021ccd107f8</t>
  </si>
  <si>
    <t>/collections/detail/be3a6e9c-487b-11e4-a99c-0021ccd107f8</t>
  </si>
  <si>
    <t>be39e511-487b-11e4-a99c-0021ccd107f8</t>
  </si>
  <si>
    <t>be3a8fa1-487b-11e4-a99c-0021ccd107f8</t>
  </si>
  <si>
    <t>/profile/detail/c065c827-487b-11e4-a99c-0021ccd107f8</t>
  </si>
  <si>
    <t>c065961a-487b-11e4-a99c-0021ccd107f8</t>
  </si>
  <si>
    <t>c0661a21-487b-11e4-a99c-0021ccd107f8</t>
  </si>
  <si>
    <t>/payment/detail/be382db8-487b-11e4-a99c-0021ccd107f8</t>
  </si>
  <si>
    <t>be37aa35-487b-11e4-a99c-0021ccd107f8</t>
  </si>
  <si>
    <t>be3850ae-487b-11e4-a99c-0021ccd107f8</t>
  </si>
  <si>
    <t>/collections/detail/be36baea-487b-11e4-a99c-0021ccd107f8</t>
  </si>
  <si>
    <t>be362f59-487b-11e4-a99c-0021ccd107f8</t>
  </si>
  <si>
    <t>be36da02-487b-11e4-a99c-0021ccd107f8</t>
  </si>
  <si>
    <t>/project/detail/be32f6ab-487b-11e4-a99c-0021ccd107f8</t>
  </si>
  <si>
    <t>be32f6ab-487b-11e4-a99c-0021ccd107f8</t>
  </si>
  <si>
    <t>be3334c3-487b-11e4-a99c-0021ccd107f8</t>
  </si>
  <si>
    <t>/project/detail/be34c708-487b-11e4-a99c-0021ccd107f8</t>
  </si>
  <si>
    <t>be34c708-487b-11e4-a99c-0021ccd107f8</t>
  </si>
  <si>
    <t>be34cd76-487b-11e4-a99c-0021ccd107f8</t>
  </si>
  <si>
    <t>/project/detail/be31b2e1-487b-11e4-a99c-0021ccd107f8</t>
  </si>
  <si>
    <t>be31b2e1-487b-11e4-a99c-0021ccd107f8</t>
  </si>
  <si>
    <t>be31b736-487b-11e4-a99c-0021ccd107f8</t>
  </si>
  <si>
    <t>/project/detail/be2f2a36-487b-11e4-a99c-0021ccd107f8</t>
  </si>
  <si>
    <t>be2f2a36-487b-11e4-a99c-0021ccd107f8</t>
  </si>
  <si>
    <t>be2f2f12-487b-11e4-a99c-0021ccd107f8</t>
  </si>
  <si>
    <t>/payment/detail/be29b4c3-487b-11e4-a99c-0021ccd107f8</t>
  </si>
  <si>
    <t>be28ed04-487b-11e4-a99c-0021ccd107f8</t>
  </si>
  <si>
    <t>be29d096-487b-11e4-a99c-0021ccd107f8</t>
  </si>
  <si>
    <t>/collections/detail/be2c5ad7-487b-11e4-a99c-0021ccd107f8</t>
  </si>
  <si>
    <t>be2b4861-487b-11e4-a99c-0021ccd107f8</t>
  </si>
  <si>
    <t>be2ca5e4-487b-11e4-a99c-0021ccd107f8</t>
  </si>
  <si>
    <t>/project/detail/be26e9da-487b-11e4-a99c-0021ccd107f8</t>
  </si>
  <si>
    <t>be26e9da-487b-11e4-a99c-0021ccd107f8</t>
  </si>
  <si>
    <t>be26ee11-487b-11e4-a99c-0021ccd107f8</t>
  </si>
  <si>
    <t>/project/detail/be3af53c-487b-11e4-a99c-0021ccd107f8</t>
  </si>
  <si>
    <t>be3af53c-487b-11e4-a99c-0021ccd107f8</t>
  </si>
  <si>
    <t>be3afb33-487b-11e4-a99c-0021ccd107f8</t>
  </si>
  <si>
    <t>/project/detail/be39ac02-487b-11e4-a99c-0021ccd107f8</t>
  </si>
  <si>
    <t>be39ac02-487b-11e4-a99c-0021ccd107f8</t>
  </si>
  <si>
    <t>be39b103-487b-11e4-a99c-0021ccd107f8</t>
  </si>
  <si>
    <t>/profile/detail/c0651817-487b-11e4-a99c-0021ccd107f8</t>
  </si>
  <si>
    <t>c064324a-487b-11e4-a99c-0021ccd107f8</t>
  </si>
  <si>
    <t>c0656969-487b-11e4-a99c-0021ccd107f8</t>
  </si>
  <si>
    <t>/project/detail/be376b58-487b-11e4-a99c-0021ccd107f8</t>
  </si>
  <si>
    <t>be376b58-487b-11e4-a99c-0021ccd107f8</t>
  </si>
  <si>
    <t>be376f7f-487b-11e4-a99c-0021ccd107f8</t>
  </si>
  <si>
    <t>/payment/detail/be35ba13-487b-11e4-a99c-0021ccd107f8</t>
  </si>
  <si>
    <t>be353296-487b-11e4-a99c-0021ccd107f8</t>
  </si>
  <si>
    <t>be35fa1c-487b-11e4-a99c-0021ccd107f8</t>
  </si>
  <si>
    <t>/payment/detail/be32a1de-487b-11e4-a99c-0021ccd107f8</t>
  </si>
  <si>
    <t>be321b2a-487b-11e4-a99c-0021ccd107f8</t>
  </si>
  <si>
    <t>be32c461-487b-11e4-a99c-0021ccd107f8</t>
  </si>
  <si>
    <t>/collections/detail/be34748a-487b-11e4-a99c-0021ccd107f8</t>
  </si>
  <si>
    <t>be339bcf-487b-11e4-a99c-0021ccd107f8</t>
  </si>
  <si>
    <t>be3495f6-487b-11e4-a99c-0021ccd107f8</t>
  </si>
  <si>
    <t>/payment/detail/be3166f3-487b-11e4-a99c-0021ccd107f8</t>
  </si>
  <si>
    <t>be309c6d-487b-11e4-a99c-0021ccd107f8</t>
  </si>
  <si>
    <t>be31839f-487b-11e4-a99c-0021ccd107f8</t>
  </si>
  <si>
    <t>/arrears/detail/be2ee1c3-487b-11e4-a99c-0021ccd107f8</t>
  </si>
  <si>
    <t>be2de947-487b-11e4-a99c-0021ccd107f8</t>
  </si>
  <si>
    <t>be2efeea-487b-11e4-a99c-0021ccd107f8</t>
  </si>
  <si>
    <t>/collections/detail/be28a3fd-487b-11e4-a99c-0021ccd107f8</t>
  </si>
  <si>
    <t>be2796f6-487b-11e4-a99c-0021ccd107f8</t>
  </si>
  <si>
    <t>be28bf02-487b-11e4-a99c-0021ccd107f8</t>
  </si>
  <si>
    <t>/project/detail/be2b13bc-487b-11e4-a99c-0021ccd107f8</t>
  </si>
  <si>
    <t>be2b13bc-487b-11e4-a99c-0021ccd107f8</t>
  </si>
  <si>
    <t>be2b1927-487b-11e4-a99c-0021ccd107f8</t>
  </si>
  <si>
    <t>/project/detail/be3ac132-487b-11e4-a99c-0021ccd107f8</t>
  </si>
  <si>
    <t>be3ac132-487b-11e4-a99c-0021ccd107f8</t>
  </si>
  <si>
    <t>be3ac668-487b-11e4-a99c-0021ccd107f8</t>
  </si>
  <si>
    <t>/partybilling/detail/c0667346-487b-11e4-a99c-0021ccd107f8</t>
  </si>
  <si>
    <t>c06644c9-487b-11e4-a99c-0021ccd107f8</t>
  </si>
  <si>
    <t>c066f967-487b-11e4-a99c-0021ccd107f8</t>
  </si>
  <si>
    <t>/collections/detail/be395bf9-487b-11e4-a99c-0021ccd107f8</t>
  </si>
  <si>
    <t>be3880b9-487b-11e4-a99c-0021ccd107f8</t>
  </si>
  <si>
    <t>be397b3a-487b-11e4-a99c-0021ccd107f8</t>
  </si>
  <si>
    <t>/project/detail/be37380f-487b-11e4-a99c-0021ccd107f8</t>
  </si>
  <si>
    <t>be37380f-487b-11e4-a99c-0021ccd107f8</t>
  </si>
  <si>
    <t>be373d4a-487b-11e4-a99c-0021ccd107f8</t>
  </si>
  <si>
    <t>/profile/detail/c05cf710-487b-11e4-a99c-0021ccd107f8</t>
  </si>
  <si>
    <t>c05bd9f4-487b-11e4-a99c-0021ccd107f8</t>
  </si>
  <si>
    <t>c05d4985-487b-11e4-a99c-0021ccd107f8</t>
  </si>
  <si>
    <t>/project/detail/be34fc97-487b-11e4-a99c-0021ccd107f8</t>
  </si>
  <si>
    <t>be34fc97-487b-11e4-a99c-0021ccd107f8</t>
  </si>
  <si>
    <t>be350446-487b-11e4-a99c-0021ccd107f8</t>
  </si>
  <si>
    <t>/project/detail/be31e85c-487b-11e4-a99c-0021ccd107f8</t>
  </si>
  <si>
    <t>be31e85c-487b-11e4-a99c-0021ccd107f8</t>
  </si>
  <si>
    <t>be31ec63-487b-11e4-a99c-0021ccd107f8</t>
  </si>
  <si>
    <t>/project/detail/be33657b-487b-11e4-a99c-0021ccd107f8</t>
  </si>
  <si>
    <t>be33657b-487b-11e4-a99c-0021ccd107f8</t>
  </si>
  <si>
    <t>be336a4e-487b-11e4-a99c-0021ccd107f8</t>
  </si>
  <si>
    <t>/payment/detail/be304ebb-487b-11e4-a99c-0021ccd107f8</t>
  </si>
  <si>
    <t>be2f5c6c-487b-11e4-a99c-0021ccd107f8</t>
  </si>
  <si>
    <t>be306c49-487b-11e4-a99c-0021ccd107f8</t>
  </si>
  <si>
    <t>/payment/detail/be2d9e60-487b-11e4-a99c-0021ccd107f8</t>
  </si>
  <si>
    <t>be2cd18f-487b-11e4-a99c-0021ccd107f8</t>
  </si>
  <si>
    <t>be2dba0d-487b-11e4-a99c-0021ccd107f8</t>
  </si>
  <si>
    <t>/payment/detail/be2ac52c-487b-11e4-a99c-0021ccd107f8</t>
  </si>
  <si>
    <t>be29ffe5-487b-11e4-a99c-0021ccd107f8</t>
  </si>
  <si>
    <t>be2ae0ff-487b-11e4-a99c-0021ccd107f8</t>
  </si>
  <si>
    <t>/profile/detail/c05b5cbe-487b-11e4-a99c-0021ccd107f8</t>
  </si>
  <si>
    <t>c057b1f2-487b-11e4-a99c-0021ccd107f8</t>
  </si>
  <si>
    <t>c05bad4b-487b-11e4-a99c-0021ccd107f8</t>
  </si>
  <si>
    <t>/profile/detail/c057115c-487b-11e4-a99c-0021ccd107f8</t>
  </si>
  <si>
    <t>c0562b2d-487b-11e4-a99c-0021ccd107f8</t>
  </si>
  <si>
    <t>c0576687-487b-11e4-a99c-0021ccd107f8</t>
  </si>
  <si>
    <t>/project/detail/be26b714-487b-11e4-a99c-0021ccd107f8</t>
  </si>
  <si>
    <t>be26b714-487b-11e4-a99c-0021ccd107f8</t>
  </si>
  <si>
    <t>be26bbec-487b-11e4-a99c-0021ccd107f8</t>
  </si>
  <si>
    <t>/profile/detail/c055ab31-487b-11e4-a99c-0021ccd107f8</t>
  </si>
  <si>
    <t>c053c28c-487b-11e4-a99c-0021ccd107f8</t>
  </si>
  <si>
    <t>c055fcfe-487b-11e4-a99c-0021ccd107f8</t>
  </si>
  <si>
    <t>/collections/detail/c0533d3d-487b-11e4-a99c-0021ccd107f8</t>
  </si>
  <si>
    <t>c05035f3-487b-11e4-a99c-0021ccd107f8</t>
  </si>
  <si>
    <t>c05392df-487b-11e4-a99c-0021ccd107f8</t>
  </si>
  <si>
    <t>/profile/detail/c04d5737-487b-11e4-a99c-0021ccd107f8</t>
  </si>
  <si>
    <t>c0491342-487b-11e4-a99c-0021ccd107f8</t>
  </si>
  <si>
    <t>c04daabb-487b-11e4-a99c-0021ccd107f8</t>
  </si>
  <si>
    <t>/payment/detail/be266d40-487b-11e4-a99c-0021ccd107f8</t>
  </si>
  <si>
    <t>be257b57-487b-11e4-a99c-0021ccd107f8</t>
  </si>
  <si>
    <t>be26888b-487b-11e4-a99c-0021ccd107f8</t>
  </si>
  <si>
    <t>/profile/detail/c04e0f12-487b-11e4-a99c-0021ccd107f8</t>
  </si>
  <si>
    <t>c04dd9fe-487b-11e4-a99c-0021ccd107f8</t>
  </si>
  <si>
    <t>c04e6370-487b-11e4-a99c-0021ccd107f8</t>
  </si>
  <si>
    <t>/profile/detail/c04fb2b9-487b-11e4-a99c-0021ccd107f8</t>
  </si>
  <si>
    <t>c04ec7ec-487b-11e4-a99c-0021ccd107f8</t>
  </si>
  <si>
    <t>c0500728-487b-11e4-a99c-0021ccd107f8</t>
  </si>
  <si>
    <t>/project/detail/c04e9430-487b-11e4-a99c-0021ccd107f8</t>
  </si>
  <si>
    <t>c04e9430-487b-11e4-a99c-0021ccd107f8</t>
  </si>
  <si>
    <t>c04e9900-487b-11e4-a99c-0021ccd107f8</t>
  </si>
  <si>
    <t>/profile/detail/c0489205-487b-11e4-a99c-0021ccd107f8</t>
  </si>
  <si>
    <t>c044df7f-487b-11e4-a99c-0021ccd107f8</t>
  </si>
  <si>
    <t>c048e213-487b-11e4-a99c-0021ccd107f8</t>
  </si>
  <si>
    <t>/profile/detail/c042e1d9-487b-11e4-a99c-0021ccd107f8</t>
  </si>
  <si>
    <t>c03f1e95-487b-11e4-a99c-0021ccd107f8</t>
  </si>
  <si>
    <t>c0433432-487b-11e4-a99c-0021ccd107f8</t>
  </si>
  <si>
    <t>/profile/detail/c03e6eae-487b-11e4-a99c-0021ccd107f8</t>
  </si>
  <si>
    <t>c03a4eda-487b-11e4-a99c-0021ccd107f8</t>
  </si>
  <si>
    <t>c03ebb6a-487b-11e4-a99c-0021ccd107f8</t>
  </si>
  <si>
    <t>/profile/detail/c0445db3-487b-11e4-a99c-0021ccd107f8</t>
  </si>
  <si>
    <t>c04364fa-487b-11e4-a99c-0021ccd107f8</t>
  </si>
  <si>
    <t>c044af26-487b-11e4-a99c-0021ccd107f8</t>
  </si>
  <si>
    <t>/profile/detail/c039ca02-487b-11e4-a99c-0021ccd107f8</t>
  </si>
  <si>
    <t>c03575a0-487b-11e4-a99c-0021ccd107f8</t>
  </si>
  <si>
    <t>c03a1b6c-487b-11e4-a99c-0021ccd107f8</t>
  </si>
  <si>
    <t>/collections/detail/be2533d6-487b-11e4-a99c-0021ccd107f8</t>
  </si>
  <si>
    <t>be241d0c-487b-11e4-a99c-0021ccd107f8</t>
  </si>
  <si>
    <t>be254e5c-487b-11e4-a99c-0021ccd107f8</t>
  </si>
  <si>
    <t>/profile/detail/c034f443-487b-11e4-a99c-0021ccd107f8</t>
  </si>
  <si>
    <t>c02c3761-487b-11e4-a99c-0021ccd107f8</t>
  </si>
  <si>
    <t>c03546fa-487b-11e4-a99c-0021ccd107f8</t>
  </si>
  <si>
    <t>/collections/detail/c022f527-487b-11e4-a99c-0021ccd107f8</t>
  </si>
  <si>
    <t>c01eb12e-487b-11e4-a99c-0021ccd107f8</t>
  </si>
  <si>
    <t>c0234c22-487b-11e4-a99c-0021ccd107f8</t>
  </si>
  <si>
    <t>/collections/detail/be23d343-487b-11e4-a99c-0021ccd107f8</t>
  </si>
  <si>
    <t>be22c945-487b-11e4-a99c-0021ccd107f8</t>
  </si>
  <si>
    <t>be23ed42-487b-11e4-a99c-0021ccd107f8</t>
  </si>
  <si>
    <t>/profile/detail/c02bb754-487b-11e4-a99c-0021ccd107f8</t>
  </si>
  <si>
    <t>c0237cc2-487b-11e4-a99c-0021ccd107f8</t>
  </si>
  <si>
    <t>c02c0380-487b-11e4-a99c-0021ccd107f8</t>
  </si>
  <si>
    <t>/collections/detail/be228280-487b-11e4-a99c-0021ccd107f8</t>
  </si>
  <si>
    <t>be21726a-487b-11e4-a99c-0021ccd107f8</t>
  </si>
  <si>
    <t>be229c29-487b-11e4-a99c-0021ccd107f8</t>
  </si>
  <si>
    <t>/project/detail/c0159e5b-487b-11e4-a99c-0021ccd107f8</t>
  </si>
  <si>
    <t>c0159e5b-487b-11e4-a99c-0021ccd107f8</t>
  </si>
  <si>
    <t>c015a494-487b-11e4-a99c-0021ccd107f8</t>
  </si>
  <si>
    <t>/collections/detail/c013f13a-487b-11e4-a99c-0021ccd107f8</t>
  </si>
  <si>
    <t>c00fd043-487b-11e4-a99c-0021ccd107f8</t>
  </si>
  <si>
    <t>c0146d61-487b-11e4-a99c-0021ccd107f8</t>
  </si>
  <si>
    <t>/collections/detail/be21261d-487b-11e4-a99c-0021ccd107f8</t>
  </si>
  <si>
    <t>be200f2d-487b-11e4-a99c-0021ccd107f8</t>
  </si>
  <si>
    <t>be214007-487b-11e4-a99c-0021ccd107f8</t>
  </si>
  <si>
    <t>/profile/detail/c01d034c-487b-11e4-a99c-0021ccd107f8</t>
  </si>
  <si>
    <t>c0174a87-487b-11e4-a99c-0021ccd107f8</t>
  </si>
  <si>
    <t>c01d513b-487b-11e4-a99c-0021ccd107f8</t>
  </si>
  <si>
    <t>/payment/detail/c00f471e-487b-11e4-a99c-0021ccd107f8</t>
  </si>
  <si>
    <t>c00cee49-487b-11e4-a99c-0021ccd107f8</t>
  </si>
  <si>
    <t>c00f9fb8-487b-11e4-a99c-0021ccd107f8</t>
  </si>
  <si>
    <t>/profile/detail/c00c76f6-487b-11e4-a99c-0021ccd107f8</t>
  </si>
  <si>
    <t>c008a300-487b-11e4-a99c-0021ccd107f8</t>
  </si>
  <si>
    <t>c00cc27e-487b-11e4-a99c-0021ccd107f8</t>
  </si>
  <si>
    <t>/profile/detail/c0082792-487b-11e4-a99c-0021ccd107f8</t>
  </si>
  <si>
    <t>c00538d9-487b-11e4-a99c-0021ccd107f8</t>
  </si>
  <si>
    <t>c00872bb-487b-11e4-a99c-0021ccd107f8</t>
  </si>
  <si>
    <t>/profile/detail/c004c51d-487b-11e4-a99c-0021ccd107f8</t>
  </si>
  <si>
    <t>c002a52e-487b-11e4-a99c-0021ccd107f8</t>
  </si>
  <si>
    <t>c0050d57-487b-11e4-a99c-0021ccd107f8</t>
  </si>
  <si>
    <t>/payment/detail/c002245c-487b-11e4-a99c-0021ccd107f8</t>
  </si>
  <si>
    <t>bfff89a7-487b-11e4-a99c-0021ccd107f8</t>
  </si>
  <si>
    <t>c0027420-487b-11e4-a99c-0021ccd107f8</t>
  </si>
  <si>
    <t>/collections/detail/be1e67b1-487b-11e4-a99c-0021ccd107f8</t>
  </si>
  <si>
    <t>be1d9dab-487b-11e4-a99c-0021ccd107f8</t>
  </si>
  <si>
    <t>be1e8107-487b-11e4-a99c-0021ccd107f8</t>
  </si>
  <si>
    <t>/collections/detail/be1a74c8-487b-11e4-a99c-0021ccd107f8</t>
  </si>
  <si>
    <t>be196c27-487b-11e4-a99c-0021ccd107f8</t>
  </si>
  <si>
    <t>be1a8c46-487b-11e4-a99c-0021ccd107f8</t>
  </si>
  <si>
    <t>/collections/detail/be16b67c-487b-11e4-a99c-0021ccd107f8</t>
  </si>
  <si>
    <t>be15b919-487b-11e4-a99c-0021ccd107f8</t>
  </si>
  <si>
    <t>be16ccba-487b-11e4-a99c-0021ccd107f8</t>
  </si>
  <si>
    <t>/collections/detail/be13757f-487b-11e4-a99c-0021ccd107f8</t>
  </si>
  <si>
    <t>be12658e-487b-11e4-a99c-0021ccd107f8</t>
  </si>
  <si>
    <t>be138afc-487b-11e4-a99c-0021ccd107f8</t>
  </si>
  <si>
    <t>/profile/detail/bfff1475-487b-11e4-a99c-0021ccd107f8</t>
  </si>
  <si>
    <t>bffb45ca-487b-11e4-a99c-0021ccd107f8</t>
  </si>
  <si>
    <t>bfff5d68-487b-11e4-a99c-0021ccd107f8</t>
  </si>
  <si>
    <t>/collections/detail/be1d26ef-487b-11e4-a99c-0021ccd107f8</t>
  </si>
  <si>
    <t>be1c2346-487b-11e4-a99c-0021ccd107f8</t>
  </si>
  <si>
    <t>be1d3d7f-487b-11e4-a99c-0021ccd107f8</t>
  </si>
  <si>
    <t>/payment/detail/be1922ee-487b-11e4-a99c-0021ccd107f8</t>
  </si>
  <si>
    <t>be184a27-487b-11e4-a99c-0021ccd107f8</t>
  </si>
  <si>
    <t>be193a53-487b-11e4-a99c-0021ccd107f8</t>
  </si>
  <si>
    <t>/collections/detail/be1221fa-487b-11e4-a99c-0021ccd107f8</t>
  </si>
  <si>
    <t>be112394-487b-11e4-a99c-0021ccd107f8</t>
  </si>
  <si>
    <t>be123715-487b-11e4-a99c-0021ccd107f8</t>
  </si>
  <si>
    <t>/collections/detail/be157663-487b-11e4-a99c-0021ccd107f8</t>
  </si>
  <si>
    <t>be143341-487b-11e4-a99c-0021ccd107f8</t>
  </si>
  <si>
    <t>be158cce-487b-11e4-a99c-0021ccd107f8</t>
  </si>
  <si>
    <t>/collections/detail/be1fc670-487b-11e4-a99c-0021ccd107f8</t>
  </si>
  <si>
    <t>be1eab20-487b-11e4-a99c-0021ccd107f8</t>
  </si>
  <si>
    <t>be1fdf91-487b-11e4-a99c-0021ccd107f8</t>
  </si>
  <si>
    <t>/profile/detail/bffad2d3-487b-11e4-a99c-0021ccd107f8</t>
  </si>
  <si>
    <t>bff807ac-487b-11e4-a99c-0021ccd107f8</t>
  </si>
  <si>
    <t>bffb1a9f-487b-11e4-a99c-0021ccd107f8</t>
  </si>
  <si>
    <t>/collections/detail/be1bdad7-487b-11e4-a99c-0021ccd107f8</t>
  </si>
  <si>
    <t>be1aba23-487b-11e4-a99c-0021ccd107f8</t>
  </si>
  <si>
    <t>be1bf2a7-487b-11e4-a99c-0021ccd107f8</t>
  </si>
  <si>
    <t>/collections/detail/be180607-487b-11e4-a99c-0021ccd107f8</t>
  </si>
  <si>
    <t>be16f896-487b-11e4-a99c-0021ccd107f8</t>
  </si>
  <si>
    <t>be181cbc-487b-11e4-a99c-0021ccd107f8</t>
  </si>
  <si>
    <t>/collections/detail/be10e0ad-487b-11e4-a99c-0021ccd107f8</t>
  </si>
  <si>
    <t>be0fe867-487b-11e4-a99c-0021ccd107f8</t>
  </si>
  <si>
    <t>be10f586-487b-11e4-a99c-0021ccd107f8</t>
  </si>
  <si>
    <t>/collections/detail/be13eda8-487b-11e4-a99c-0021ccd107f8</t>
  </si>
  <si>
    <t>be13ba47-487b-11e4-a99c-0021ccd107f8</t>
  </si>
  <si>
    <t>be140445-487b-11e4-a99c-0021ccd107f8</t>
  </si>
  <si>
    <t>/collections/detail/bfee62f0-487b-11e4-a99c-0021ccd107f8</t>
  </si>
  <si>
    <t>bfeb7143-487b-11e4-a99c-0021ccd107f8</t>
  </si>
  <si>
    <t>bfeeaf9b-487b-11e4-a99c-0021ccd107f8</t>
  </si>
  <si>
    <t>/profile/detail/bff7959b-487b-11e4-a99c-0021ccd107f8</t>
  </si>
  <si>
    <t>bff763a3-487b-11e4-a99c-0021ccd107f8</t>
  </si>
  <si>
    <t>bff7dc1e-487b-11e4-a99c-0021ccd107f8</t>
  </si>
  <si>
    <t>/profile/detail/bff6f0ee-487b-11e4-a99c-0021ccd107f8</t>
  </si>
  <si>
    <t>bff2a07b-487b-11e4-a99c-0021ccd107f8</t>
  </si>
  <si>
    <t>bff73811-487b-11e4-a99c-0021ccd107f8</t>
  </si>
  <si>
    <t>/payment/detail/bfb1f0dd-487b-11e4-a99c-0021ccd107f8</t>
  </si>
  <si>
    <t>bfada1b6-487b-11e4-a99c-0021ccd107f8</t>
  </si>
  <si>
    <t>bfb23852-487b-11e4-a99c-0021ccd107f8</t>
  </si>
  <si>
    <t>/collections/detail/bff2243b-487b-11e4-a99c-0021ccd107f8</t>
  </si>
  <si>
    <t>bfeede7b-487b-11e4-a99c-0021ccd107f8</t>
  </si>
  <si>
    <t>bff27384-487b-11e4-a99c-0021ccd107f8</t>
  </si>
  <si>
    <t>/collections/detail/be0fa6dc-487b-11e4-a99c-0021ccd107f8</t>
  </si>
  <si>
    <t>be0e8e7c-487b-11e4-a99c-0021ccd107f8</t>
  </si>
  <si>
    <t>be0fbb63-487b-11e4-a99c-0021ccd107f8</t>
  </si>
  <si>
    <t>/profile/detail/bfeaf876-487b-11e4-a99c-0021ccd107f8</t>
  </si>
  <si>
    <t>bfe77d6c-487b-11e4-a99c-0021ccd107f8</t>
  </si>
  <si>
    <t>bfeb4264-487b-11e4-a99c-0021ccd107f8</t>
  </si>
  <si>
    <t>/profile/detail/bfc6b7ca-487b-11e4-a99c-0021ccd107f8</t>
  </si>
  <si>
    <t>bfc2df1d-487b-11e4-a99c-0021ccd107f8</t>
  </si>
  <si>
    <t>bfc70754-487b-11e4-a99c-0021ccd107f8</t>
  </si>
  <si>
    <t>/profile/detail/bfe6f479-487b-11e4-a99c-0021ccd107f8</t>
  </si>
  <si>
    <t>bfe3830e-487b-11e4-a99c-0021ccd107f8</t>
  </si>
  <si>
    <t>bfe74d69-487b-11e4-a99c-0021ccd107f8</t>
  </si>
  <si>
    <t>/profile/detail/bfe29488-487b-11e4-a99c-0021ccd107f8</t>
  </si>
  <si>
    <t>bfcbd609-487b-11e4-a99c-0021ccd107f8</t>
  </si>
  <si>
    <t>bfe3464b-487b-11e4-a99c-0021ccd107f8</t>
  </si>
  <si>
    <t>/profile/detail/bfc2639a-487b-11e4-a99c-0021ccd107f8</t>
  </si>
  <si>
    <t>bfbefe3f-487b-11e4-a99c-0021ccd107f8</t>
  </si>
  <si>
    <t>bfc2b0b5-487b-11e4-a99c-0021ccd107f8</t>
  </si>
  <si>
    <t>/profile/detail/bfb9e8f7-487b-11e4-a99c-0021ccd107f8</t>
  </si>
  <si>
    <t>bfb6bda0-487b-11e4-a99c-0021ccd107f8</t>
  </si>
  <si>
    <t>bfba30cf-487b-11e4-a99c-0021ccd107f8</t>
  </si>
  <si>
    <t>/profile/detail/bfcb3fe7-487b-11e4-a99c-0021ccd107f8</t>
  </si>
  <si>
    <t>bfc73c50-487b-11e4-a99c-0021ccd107f8</t>
  </si>
  <si>
    <t>bfcb8808-487b-11e4-a99c-0021ccd107f8</t>
  </si>
  <si>
    <t>/arrears/detail/be0e32d2-487b-11e4-a99c-0021ccd107f8</t>
  </si>
  <si>
    <t>be0cf555-487b-11e4-a99c-0021ccd107f8</t>
  </si>
  <si>
    <t>be0e47d0-487b-11e4-a99c-0021ccd107f8</t>
  </si>
  <si>
    <t>/collections/detail/bfb6443b-487b-11e4-a99c-0021ccd107f8</t>
  </si>
  <si>
    <t>bfb38615-487b-11e4-a99c-0021ccd107f8</t>
  </si>
  <si>
    <t>bfb69128-487b-11e4-a99c-0021ccd107f8</t>
  </si>
  <si>
    <t>/profile/detail/bfb30aed-487b-11e4-a99c-0021ccd107f8</t>
  </si>
  <si>
    <t>bfb26484-487b-11e4-a99c-0021ccd107f8</t>
  </si>
  <si>
    <t>bfb356cb-487b-11e4-a99c-0021ccd107f8</t>
  </si>
  <si>
    <t>/collections/detail/bfad2d35-487b-11e4-a99c-0021ccd107f8</t>
  </si>
  <si>
    <t>bfaa5324-487b-11e4-a99c-0021ccd107f8</t>
  </si>
  <si>
    <t>bfad7387-487b-11e4-a99c-0021ccd107f8</t>
  </si>
  <si>
    <t>/profile/detail/bfa9e880-487b-11e4-a99c-0021ccd107f8</t>
  </si>
  <si>
    <t>bfa64bd5-487b-11e4-a99c-0021ccd107f8</t>
  </si>
  <si>
    <t>bfaa288c-487b-11e4-a99c-0021ccd107f8</t>
  </si>
  <si>
    <t>/collections/detail/be0c879d-487b-11e4-a99c-0021ccd107f8</t>
  </si>
  <si>
    <t>be0b846f-487b-11e4-a99c-0021ccd107f8</t>
  </si>
  <si>
    <t>be0c9b52-487b-11e4-a99c-0021ccd107f8</t>
  </si>
  <si>
    <t>/collections/detail/bfa5dc24-487b-11e4-a99c-0021ccd107f8</t>
  </si>
  <si>
    <t>bfa31b69-487b-11e4-a99c-0021ccd107f8</t>
  </si>
  <si>
    <t>bfa62118-487b-11e4-a99c-0021ccd107f8</t>
  </si>
  <si>
    <t>/payment/detail/bfa2958a-487b-11e4-a99c-0021ccd107f8</t>
  </si>
  <si>
    <t>bf9fda78-487b-11e4-a99c-0021ccd107f8</t>
  </si>
  <si>
    <t>bfa2db5c-487b-11e4-a99c-0021ccd107f8</t>
  </si>
  <si>
    <t>/profile/detail/bf9f6d8d-487b-11e4-a99c-0021ccd107f8</t>
  </si>
  <si>
    <t>bf9c198b-487b-11e4-a99c-0021ccd107f8</t>
  </si>
  <si>
    <t>bf9faf55-487b-11e4-a99c-0021ccd107f8</t>
  </si>
  <si>
    <t>/profile/detail/bf983fdc-487b-11e4-a99c-0021ccd107f8</t>
  </si>
  <si>
    <t>bf95338d-487b-11e4-a99c-0021ccd107f8</t>
  </si>
  <si>
    <t>bf987e4e-487b-11e4-a99c-0021ccd107f8</t>
  </si>
  <si>
    <t>/collections/detail/be0b40fc-487b-11e4-a99c-0021ccd107f8</t>
  </si>
  <si>
    <t>be0a41f2-487b-11e4-a99c-0021ccd107f8</t>
  </si>
  <si>
    <t>be0b5485-487b-11e4-a99c-0021ccd107f8</t>
  </si>
  <si>
    <t>/profile/detail/bf9babba-487b-11e4-a99c-0021ccd107f8</t>
  </si>
  <si>
    <t>bf98a831-487b-11e4-a99c-0021ccd107f8</t>
  </si>
  <si>
    <t>bf9beba2-487b-11e4-a99c-0021ccd107f8</t>
  </si>
  <si>
    <t>/profile/detail/bf94ca45-487b-11e4-a99c-0021ccd107f8</t>
  </si>
  <si>
    <t>bf915eb5-487b-11e4-a99c-0021ccd107f8</t>
  </si>
  <si>
    <t>bf9507cd-487b-11e4-a99c-0021ccd107f8</t>
  </si>
  <si>
    <t>/collections/detail/bf90f230-487b-11e4-a99c-0021ccd107f8</t>
  </si>
  <si>
    <t>bf8e3de3-487b-11e4-a99c-0021ccd107f8</t>
  </si>
  <si>
    <t>bf913365-487b-11e4-a99c-0021ccd107f8</t>
  </si>
  <si>
    <t>/payment/detail/bf8dc9dd-487b-11e4-a99c-0021ccd107f8</t>
  </si>
  <si>
    <t>bf8c7e2c-487b-11e4-a99c-0021ccd107f8</t>
  </si>
  <si>
    <t>bf8e1069-487b-11e4-a99c-0021ccd107f8</t>
  </si>
  <si>
    <t>/collections/detail/bf8c0ccf-487b-11e4-a99c-0021ccd107f8</t>
  </si>
  <si>
    <t>bf8978b6-487b-11e4-a99c-0021ccd107f8</t>
  </si>
  <si>
    <t>bf8c5130-487b-11e4-a99c-0021ccd107f8</t>
  </si>
  <si>
    <t>/collections/detail/bf89057d-487b-11e4-a99c-0021ccd107f8</t>
  </si>
  <si>
    <t>bf867153-487b-11e4-a99c-0021ccd107f8</t>
  </si>
  <si>
    <t>bf894c3e-487b-11e4-a99c-0021ccd107f8</t>
  </si>
  <si>
    <t>/profile/detail/bf85fa45-487b-11e4-a99c-0021ccd107f8</t>
  </si>
  <si>
    <t>bf85c6e0-487b-11e4-a99c-0021ccd107f8</t>
  </si>
  <si>
    <t>bf863eb2-487b-11e4-a99c-0021ccd107f8</t>
  </si>
  <si>
    <t>/collections/detail/bf8557a1-487b-11e4-a99c-0021ccd107f8</t>
  </si>
  <si>
    <t>bf828610-487b-11e4-a99c-0021ccd107f8</t>
  </si>
  <si>
    <t>bf859873-487b-11e4-a99c-0021ccd107f8</t>
  </si>
  <si>
    <t>/collections/detail/be0a0149-487b-11e4-a99c-0021ccd107f8</t>
  </si>
  <si>
    <t>be090098-487b-11e4-a99c-0021ccd107f8</t>
  </si>
  <si>
    <t>be0a132b-487b-11e4-a99c-0021ccd107f8</t>
  </si>
  <si>
    <t>/profile/detail/bf821b22-487b-11e4-a99c-0021ccd107f8</t>
  </si>
  <si>
    <t>bf7e78d6-487b-11e4-a99c-0021ccd107f8</t>
  </si>
  <si>
    <t>bf825ab7-487b-11e4-a99c-0021ccd107f8</t>
  </si>
  <si>
    <t>/profile/detail/bf7e1261-487b-11e4-a99c-0021ccd107f8</t>
  </si>
  <si>
    <t>bf7d6dc9-487b-11e4-a99c-0021ccd107f8</t>
  </si>
  <si>
    <t>bf7e4c20-487b-11e4-a99c-0021ccd107f8</t>
  </si>
  <si>
    <t>/collections/detail/bf7cfc71-487b-11e4-a99c-0021ccd107f8</t>
  </si>
  <si>
    <t>bf79e94d-487b-11e4-a99c-0021ccd107f8</t>
  </si>
  <si>
    <t>bf7d41af-487b-11e4-a99c-0021ccd107f8</t>
  </si>
  <si>
    <t>/collections/detail/be08bf2f-487b-11e4-a99c-0021ccd107f8</t>
  </si>
  <si>
    <t>be07c412-487b-11e4-a99c-0021ccd107f8</t>
  </si>
  <si>
    <t>be08d1b0-487b-11e4-a99c-0021ccd107f8</t>
  </si>
  <si>
    <t>/collections/detail/bf797b1d-487b-11e4-a99c-0021ccd107f8</t>
  </si>
  <si>
    <t>bf765f92-487b-11e4-a99c-0021ccd107f8</t>
  </si>
  <si>
    <t>bf79bae8-487b-11e4-a99c-0021ccd107f8</t>
  </si>
  <si>
    <t>/profile/detail/bf75f575-487b-11e4-a99c-0021ccd107f8</t>
  </si>
  <si>
    <t>bf72b12f-487b-11e4-a99c-0021ccd107f8</t>
  </si>
  <si>
    <t>bf762ead-487b-11e4-a99c-0021ccd107f8</t>
  </si>
  <si>
    <t>/collections/detail/bf6b8849-487b-11e4-a99c-0021ccd107f8</t>
  </si>
  <si>
    <t>bf68e839-487b-11e4-a99c-0021ccd107f8</t>
  </si>
  <si>
    <t>bf6bc839-487b-11e4-a99c-0021ccd107f8</t>
  </si>
  <si>
    <t>/collections/detail/be0782ce-487b-11e4-a99c-0021ccd107f8</t>
  </si>
  <si>
    <t>be07510f-487b-11e4-a99c-0021ccd107f8</t>
  </si>
  <si>
    <t>be07955b-487b-11e4-a99c-0021ccd107f8</t>
  </si>
  <si>
    <t>/profile/detail/bf7247ae-487b-11e4-a99c-0021ccd107f8</t>
  </si>
  <si>
    <t>bf6f052b-487b-11e4-a99c-0021ccd107f8</t>
  </si>
  <si>
    <t>bf72804e-487b-11e4-a99c-0021ccd107f8</t>
  </si>
  <si>
    <t>/collections/detail/be070c22-487b-11e4-a99c-0021ccd107f8</t>
  </si>
  <si>
    <t>be0610bc-487b-11e4-a99c-0021ccd107f8</t>
  </si>
  <si>
    <t>be071f2b-487b-11e4-a99c-0021ccd107f8</t>
  </si>
  <si>
    <t>/collections/detail/bf6e96e7-487b-11e4-a99c-0021ccd107f8</t>
  </si>
  <si>
    <t>bf6bf6eb-487b-11e4-a99c-0021ccd107f8</t>
  </si>
  <si>
    <t>bf6ed633-487b-11e4-a99c-0021ccd107f8</t>
  </si>
  <si>
    <t>/collections/detail/bf61028b-487b-11e4-a99c-0021ccd107f8</t>
  </si>
  <si>
    <t>bf5e41f5-487b-11e4-a99c-0021ccd107f8</t>
  </si>
  <si>
    <t>bf614185-487b-11e4-a99c-0021ccd107f8</t>
  </si>
  <si>
    <t>/profile/detail/bf688268-487b-11e4-a99c-0021ccd107f8</t>
  </si>
  <si>
    <t>bf64d83d-487b-11e4-a99c-0021ccd107f8</t>
  </si>
  <si>
    <t>bf68bcd0-487b-11e4-a99c-0021ccd107f8</t>
  </si>
  <si>
    <t>/profile/detail/bf64718e-487b-11e4-a99c-0021ccd107f8</t>
  </si>
  <si>
    <t>bf6171b1-487b-11e4-a99c-0021ccd107f8</t>
  </si>
  <si>
    <t>bf64a92c-487b-11e4-a99c-0021ccd107f8</t>
  </si>
  <si>
    <t>/collections/detail/be05d0d0-487b-11e4-a99c-0021ccd107f8</t>
  </si>
  <si>
    <t>be04ae8e-487b-11e4-a99c-0021ccd107f8</t>
  </si>
  <si>
    <t>be05e2ba-487b-11e4-a99c-0021ccd107f8</t>
  </si>
  <si>
    <t>/profile/detail/bf59b53e-487b-11e4-a99c-0021ccd107f8</t>
  </si>
  <si>
    <t>bf553398-487b-11e4-a99c-0021ccd107f8</t>
  </si>
  <si>
    <t>bf59ecd3-487b-11e4-a99c-0021ccd107f8</t>
  </si>
  <si>
    <t>/profile/detail/bf5de0a6-487b-11e4-a99c-0021ccd107f8</t>
  </si>
  <si>
    <t>bf5abc49-487b-11e4-a99c-0021ccd107f8</t>
  </si>
  <si>
    <t>bf5e19a5-487b-11e4-a99c-0021ccd107f8</t>
  </si>
  <si>
    <t>/profile/detail/bf5a5514-487b-11e4-a99c-0021ccd107f8</t>
  </si>
  <si>
    <t>bf5a1f6b-487b-11e4-a99c-0021ccd107f8</t>
  </si>
  <si>
    <t>bf5a8c90-487b-11e4-a99c-0021ccd107f8</t>
  </si>
  <si>
    <t>/payment/detail/be04693f-487b-11e4-a99c-0021ccd107f8</t>
  </si>
  <si>
    <t>be0395dc-487b-11e4-a99c-0021ccd107f8</t>
  </si>
  <si>
    <t>be047f82-487b-11e4-a99c-0021ccd107f8</t>
  </si>
  <si>
    <t>/profile/detail/bf54c967-487b-11e4-a99c-0021ccd107f8</t>
  </si>
  <si>
    <t>bf4fc27e-487b-11e4-a99c-0021ccd107f8</t>
  </si>
  <si>
    <t>bf550152-487b-11e4-a99c-0021ccd107f8</t>
  </si>
  <si>
    <t>/profile/detail/bf4f5886-487b-11e4-a99c-0021ccd107f8</t>
  </si>
  <si>
    <t>bf47264e-487b-11e4-a99c-0021ccd107f8</t>
  </si>
  <si>
    <t>bf4f8f08-487b-11e4-a99c-0021ccd107f8</t>
  </si>
  <si>
    <t>/collections/detail/be034161-487b-11e4-a99c-0021ccd107f8</t>
  </si>
  <si>
    <t>be007713-487b-11e4-a99c-0021ccd107f8</t>
  </si>
  <si>
    <t>be03516a-487b-11e4-a99c-0021ccd107f8</t>
  </si>
  <si>
    <t>/profile/detail/bf46bf5a-487b-11e4-a99c-0021ccd107f8</t>
  </si>
  <si>
    <t>bf39c16a-487b-11e4-a99c-0021ccd107f8</t>
  </si>
  <si>
    <t>bf46f601-487b-11e4-a99c-0021ccd107f8</t>
  </si>
  <si>
    <t>/profile/detail/bf395c9c-487b-11e4-a99c-0021ccd107f8</t>
  </si>
  <si>
    <t>bf340512-487b-11e4-a99c-0021ccd107f8</t>
  </si>
  <si>
    <t>bf399095-487b-11e4-a99c-0021ccd107f8</t>
  </si>
  <si>
    <t>/profile/detail/bf263878-487b-11e4-a99c-0021ccd107f8</t>
  </si>
  <si>
    <t>bf1c854d-487b-11e4-a99c-0021ccd107f8</t>
  </si>
  <si>
    <t>bf266aae-487b-11e4-a99c-0021ccd107f8</t>
  </si>
  <si>
    <t>/collections/detail/bf3236b2-487b-11e4-a99c-0021ccd107f8</t>
  </si>
  <si>
    <t>bf2d9a81-487b-11e4-a99c-0021ccd107f8</t>
  </si>
  <si>
    <t>bf326ed6-487b-11e4-a99c-0021ccd107f8</t>
  </si>
  <si>
    <t>/profile/detail/bf123540-487b-11e4-a99c-0021ccd107f8</t>
  </si>
  <si>
    <t>bf09cbb1-487b-11e4-a99c-0021ccd107f8</t>
  </si>
  <si>
    <t>bf129f5d-487b-11e4-a99c-0021ccd107f8</t>
  </si>
  <si>
    <t>/profile/detail/bf2c0f0d-487b-11e4-a99c-0021ccd107f8</t>
  </si>
  <si>
    <t>bf269e07-487b-11e4-a99c-0021ccd107f8</t>
  </si>
  <si>
    <t>bf2c43c3-487b-11e4-a99c-0021ccd107f8</t>
  </si>
  <si>
    <t>/profile/detail/bf1c2182-487b-11e4-a99c-0021ccd107f8</t>
  </si>
  <si>
    <t>bf13cd80-487b-11e4-a99c-0021ccd107f8</t>
  </si>
  <si>
    <t>bf1c559c-487b-11e4-a99c-0021ccd107f8</t>
  </si>
  <si>
    <t>/profile/detail/bf096e3f-487b-11e4-a99c-0021ccd107f8</t>
  </si>
  <si>
    <t>bf02d1e4-487b-11e4-a99c-0021ccd107f8</t>
  </si>
  <si>
    <t>bf099d7d-487b-11e4-a99c-0021ccd107f8</t>
  </si>
  <si>
    <t>/collections/detail/be003bbe-487b-11e4-a99c-0021ccd107f8</t>
  </si>
  <si>
    <t>bdff4dab-487b-11e4-a99c-0021ccd107f8</t>
  </si>
  <si>
    <t>be004cd6-487b-11e4-a99c-0021ccd107f8</t>
  </si>
  <si>
    <t>/collections/detail/bdff0d50-487b-11e4-a99c-0021ccd107f8</t>
  </si>
  <si>
    <t>bdfe1b68-487b-11e4-a99c-0021ccd107f8</t>
  </si>
  <si>
    <t>bdff1e16-487b-11e4-a99c-0021ccd107f8</t>
  </si>
  <si>
    <t>/project/detail/bdfc4f36-487b-11e4-a99c-0021ccd107f8</t>
  </si>
  <si>
    <t>bdfc4f36-487b-11e4-a99c-0021ccd107f8</t>
  </si>
  <si>
    <t>bdfc540a-487b-11e4-a99c-0021ccd107f8</t>
  </si>
  <si>
    <t>/collections/detail/bdfddb7c-487b-11e4-a99c-0021ccd107f8</t>
  </si>
  <si>
    <t>bdfda7a8-487b-11e4-a99c-0021ccd107f8</t>
  </si>
  <si>
    <t>bdfdec42-487b-11e4-a99c-0021ccd107f8</t>
  </si>
  <si>
    <t>/collections/detail/bdfc0e8e-487b-11e4-a99c-0021ccd107f8</t>
  </si>
  <si>
    <t>bdfaeae7-487b-11e4-a99c-0021ccd107f8</t>
  </si>
  <si>
    <t>bdfc1f16-487b-11e4-a99c-0021ccd107f8</t>
  </si>
  <si>
    <t>/collections/detail/bdfd6984-487b-11e4-a99c-0021ccd107f8</t>
  </si>
  <si>
    <t>bdfc80c8-487b-11e4-a99c-0021ccd107f8</t>
  </si>
  <si>
    <t>bdfd7a42-487b-11e4-a99c-0021ccd107f8</t>
  </si>
  <si>
    <t>/collections/detail/bf025f3f-487b-11e4-a99c-0021ccd107f8</t>
  </si>
  <si>
    <t>befcfdf5-487b-11e4-a99c-0021ccd107f8</t>
  </si>
  <si>
    <t>bf029ea0-487b-11e4-a99c-0021ccd107f8</t>
  </si>
  <si>
    <t>/collections/detail/bdfaaf60-487b-11e4-a99c-0021ccd107f8</t>
  </si>
  <si>
    <t>bdf9ce0d-487b-11e4-a99c-0021ccd107f8</t>
  </si>
  <si>
    <t>bdfabf4d-487b-11e4-a99c-0021ccd107f8</t>
  </si>
  <si>
    <t>/collections/detail/bdf9934f-487b-11e4-a99c-0021ccd107f8</t>
  </si>
  <si>
    <t>bdf96174-487b-11e4-a99c-0021ccd107f8</t>
  </si>
  <si>
    <t>bdf9a277-487b-11e4-a99c-0021ccd107f8</t>
  </si>
  <si>
    <t>/collections/detail/bdf925d9-487b-11e4-a99c-0021ccd107f8</t>
  </si>
  <si>
    <t>bdf839ec-487b-11e4-a99c-0021ccd107f8</t>
  </si>
  <si>
    <t>bdf935b1-487b-11e4-a99c-0021ccd107f8</t>
  </si>
  <si>
    <t>/profile/detail/befb39f1-487b-11e4-a99c-0021ccd107f8</t>
  </si>
  <si>
    <t>bef3a410-487b-11e4-a99c-0021ccd107f8</t>
  </si>
  <si>
    <t>befb6ad2-487b-11e4-a99c-0021ccd107f8</t>
  </si>
  <si>
    <t>/profile/detail/bef30f37-487b-11e4-a99c-0021ccd107f8</t>
  </si>
  <si>
    <t>beeb5132-487b-11e4-a99c-0021ccd107f8</t>
  </si>
  <si>
    <t>bef3407e-487b-11e4-a99c-0021ccd107f8</t>
  </si>
  <si>
    <t>/profile/detail/beeaeff3-487b-11e4-a99c-0021ccd107f8</t>
  </si>
  <si>
    <t>bee3da3b-487b-11e4-a99c-0021ccd107f8</t>
  </si>
  <si>
    <t>beeb213f-487b-11e4-a99c-0021ccd107f8</t>
  </si>
  <si>
    <t>/collections/detail/bdf7fdb0-487b-11e4-a99c-0021ccd107f8</t>
  </si>
  <si>
    <t>bdf712b1-487b-11e4-a99c-0021ccd107f8</t>
  </si>
  <si>
    <t>bdf80cd8-487b-11e4-a99c-0021ccd107f8</t>
  </si>
  <si>
    <t>/collections/detail/bee372bc-487b-11e4-a99c-0021ccd107f8</t>
  </si>
  <si>
    <t>bedcdb0f-487b-11e4-a99c-0021ccd107f8</t>
  </si>
  <si>
    <t>bee3a8be-487b-11e4-a99c-0021ccd107f8</t>
  </si>
  <si>
    <t>/profile/detail/bedb3aa1-487b-11e4-a99c-0021ccd107f8</t>
  </si>
  <si>
    <t>bed0772a-487b-11e4-a99c-0021ccd107f8</t>
  </si>
  <si>
    <t>bedb6c2f-487b-11e4-a99c-0021ccd107f8</t>
  </si>
  <si>
    <t>/profile/detail/becf22b7-487b-11e4-a99c-0021ccd107f8</t>
  </si>
  <si>
    <t>bec8c1f3-487b-11e4-a99c-0021ccd107f8</t>
  </si>
  <si>
    <t>becf5604-487b-11e4-a99c-0021ccd107f8</t>
  </si>
  <si>
    <t>/collections/detail/bdf6d2c1-487b-11e4-a99c-0021ccd107f8</t>
  </si>
  <si>
    <t>bdf5ee2d-487b-11e4-a99c-0021ccd107f8</t>
  </si>
  <si>
    <t>bdf6e0d2-487b-11e4-a99c-0021ccd107f8</t>
  </si>
  <si>
    <t>/profile/detail/bea76485-487b-11e4-a99c-0021ccd107f8</t>
  </si>
  <si>
    <t>bea0c509-487b-11e4-a99c-0021ccd107f8</t>
  </si>
  <si>
    <t>bea79163-487b-11e4-a99c-0021ccd107f8</t>
  </si>
  <si>
    <t>/profile/detail/bec740aa-487b-11e4-a99c-0021ccd107f8</t>
  </si>
  <si>
    <t>bec18cee-487b-11e4-a99c-0021ccd107f8</t>
  </si>
  <si>
    <t>bec76ec4-487b-11e4-a99c-0021ccd107f8</t>
  </si>
  <si>
    <t>/collections/detail/bebfb746-487b-11e4-a99c-0021ccd107f8</t>
  </si>
  <si>
    <t>bebb209e-487b-11e4-a99c-0021ccd107f8</t>
  </si>
  <si>
    <t>bebfeddd-487b-11e4-a99c-0021ccd107f8</t>
  </si>
  <si>
    <t>/profile/detail/beb9d19f-487b-11e4-a99c-0021ccd107f8</t>
  </si>
  <si>
    <t>beb47421-487b-11e4-a99c-0021ccd107f8</t>
  </si>
  <si>
    <t>beba0020-487b-11e4-a99c-0021ccd107f8</t>
  </si>
  <si>
    <t>/profile/detail/be99f40c-487b-11e4-a99c-0021ccd107f8</t>
  </si>
  <si>
    <t>be920b74-487b-11e4-a99c-0021ccd107f8</t>
  </si>
  <si>
    <t>be9a1f82-487b-11e4-a99c-0021ccd107f8</t>
  </si>
  <si>
    <t>/profile/detail/bea06c4e-487b-11e4-a99c-0021ccd107f8</t>
  </si>
  <si>
    <t>be9a80b4-487b-11e4-a99c-0021ccd107f8</t>
  </si>
  <si>
    <t>bea09589-487b-11e4-a99c-0021ccd107f8</t>
  </si>
  <si>
    <t>/collections/detail/beb40ba7-487b-11e4-a99c-0021ccd107f8</t>
  </si>
  <si>
    <t>beae7a5d-487b-11e4-a99c-0021ccd107f8</t>
  </si>
  <si>
    <t>beb44049-487b-11e4-a99c-0021ccd107f8</t>
  </si>
  <si>
    <t>/collections/detail/beae0d76-487b-11e4-a99c-0021ccd107f8</t>
  </si>
  <si>
    <t>bea91c69-487b-11e4-a99c-0021ccd107f8</t>
  </si>
  <si>
    <t>beae459f-487b-11e4-a99c-0021ccd107f8</t>
  </si>
  <si>
    <t>/payment/detail/bdf5b51e-487b-11e4-a99c-0021ccd107f8</t>
  </si>
  <si>
    <t>bdf50738-487b-11e4-a99c-0021ccd107f8</t>
  </si>
  <si>
    <t>bdf5c37c-487b-11e4-a99c-0021ccd107f8</t>
  </si>
  <si>
    <t>/profile/detail/be91b5b1-487b-11e4-a99c-0021ccd107f8</t>
  </si>
  <si>
    <t>be8bbcae-487b-11e4-a99c-0021ccd107f8</t>
  </si>
  <si>
    <t>be91df90-487b-11e4-a99c-0021ccd107f8</t>
  </si>
  <si>
    <t>/payment/detail/bdf4cb5b-487b-11e4-a99c-0021ccd107f8</t>
  </si>
  <si>
    <t>bdf449a8-487b-11e4-a99c-0021ccd107f8</t>
  </si>
  <si>
    <t>bdf4d9a1-487b-11e4-a99c-0021ccd107f8</t>
  </si>
  <si>
    <t>/profile/detail/be85ffb2-487b-11e4-a99c-0021ccd107f8</t>
  </si>
  <si>
    <t>be80ce87-487b-11e4-a99c-0021ccd107f8</t>
  </si>
  <si>
    <t>be862a8f-487b-11e4-a99c-0021ccd107f8</t>
  </si>
  <si>
    <t>/profile/detail/be7c6fb1-487b-11e4-a99c-0021ccd107f8</t>
  </si>
  <si>
    <t>be79952d-487b-11e4-a99c-0021ccd107f8</t>
  </si>
  <si>
    <t>be7c9439-487b-11e4-a99c-0021ccd107f8</t>
  </si>
  <si>
    <t>/profile/detail/be7941b5-487b-11e4-a99c-0021ccd107f8</t>
  </si>
  <si>
    <t>be76c212-487b-11e4-a99c-0021ccd107f8</t>
  </si>
  <si>
    <t>be796924-487b-11e4-a99c-0021ccd107f8</t>
  </si>
  <si>
    <t>/profile/detail/be8b6429-487b-11e4-a99c-0021ccd107f8</t>
  </si>
  <si>
    <t>be8659c9-487b-11e4-a99c-0021ccd107f8</t>
  </si>
  <si>
    <t>be8b8d8d-487b-11e4-a99c-0021ccd107f8</t>
  </si>
  <si>
    <t>/payment/detail/be806797-487b-11e4-a99c-0021ccd107f8</t>
  </si>
  <si>
    <t>be7cbf50-487b-11e4-a99c-0021ccd107f8</t>
  </si>
  <si>
    <t>be809aa2-487b-11e4-a99c-0021ccd107f8</t>
  </si>
  <si>
    <t>/profile/detail/be735c57-487b-11e4-a99c-0021ccd107f8</t>
  </si>
  <si>
    <t>be70ee4f-487b-11e4-a99c-0021ccd107f8</t>
  </si>
  <si>
    <t>be7382d0-487b-11e4-a99c-0021ccd107f8</t>
  </si>
  <si>
    <t>/profile/detail/be6401a0-487b-11e4-a99c-0021ccd107f8</t>
  </si>
  <si>
    <t>be63c8f0-487b-11e4-a99c-0021ccd107f8</t>
  </si>
  <si>
    <t>be642406-487b-11e4-a99c-0021ccd107f8</t>
  </si>
  <si>
    <t>/payment/detail/bdf3def7-487b-11e4-a99c-0021ccd107f8</t>
  </si>
  <si>
    <t>bdf2ff3a-487b-11e4-a99c-0021ccd107f8</t>
  </si>
  <si>
    <t>bdf3ed8f-487b-11e4-a99c-0021ccd107f8</t>
  </si>
  <si>
    <t>/collections/detail/be766a18-487b-11e4-a99c-0021ccd107f8</t>
  </si>
  <si>
    <t>be73aff8-487b-11e4-a99c-0021ccd107f8</t>
  </si>
  <si>
    <t>be769568-487b-11e4-a99c-0021ccd107f8</t>
  </si>
  <si>
    <t>/profile/detail/be70995e-487b-11e4-a99c-0021ccd107f8</t>
  </si>
  <si>
    <t>be6e14f7-487b-11e4-a99c-0021ccd107f8</t>
  </si>
  <si>
    <t>be70bf6c-487b-11e4-a99c-0021ccd107f8</t>
  </si>
  <si>
    <t>/profile/detail/be6dbdcf-487b-11e4-a99c-0021ccd107f8</t>
  </si>
  <si>
    <t>be6af88e-487b-11e4-a99c-0021ccd107f8</t>
  </si>
  <si>
    <t>be6de3fd-487b-11e4-a99c-0021ccd107f8</t>
  </si>
  <si>
    <t>/profile/detail/be6aa891-487b-11e4-a99c-0021ccd107f8</t>
  </si>
  <si>
    <t>be67440b-487b-11e4-a99c-0021ccd107f8</t>
  </si>
  <si>
    <t>be6acc54-487b-11e4-a99c-0021ccd107f8</t>
  </si>
  <si>
    <t>/profile/detail/be66d070-487b-11e4-a99c-0021ccd107f8</t>
  </si>
  <si>
    <t>be64516c-487b-11e4-a99c-0021ccd107f8</t>
  </si>
  <si>
    <t>be6713da-487b-11e4-a99c-0021ccd107f8</t>
  </si>
  <si>
    <t>/profile/detail/be6377a2-487b-11e4-a99c-0021ccd107f8</t>
  </si>
  <si>
    <t>be60b813-487b-11e4-a99c-0021ccd107f8</t>
  </si>
  <si>
    <t>be639ade-487b-11e4-a99c-0021ccd107f8</t>
  </si>
  <si>
    <t>/collections/detail/bdf2bf99-487b-11e4-a99c-0021ccd107f8</t>
  </si>
  <si>
    <t>bdf1d37a-487b-11e4-a99c-0021ccd107f8</t>
  </si>
  <si>
    <t>bdf2cd4b-487b-11e4-a99c-0021ccd107f8</t>
  </si>
  <si>
    <t>/collections/detail/bdf19bb0-487b-11e4-a99c-0021ccd107f8</t>
  </si>
  <si>
    <t>bdf0b615-487b-11e4-a99c-0021ccd107f8</t>
  </si>
  <si>
    <t>bdf1a868-487b-11e4-a99c-0021ccd107f8</t>
  </si>
  <si>
    <t>/collections/detail/be5d7341-487b-11e4-a99c-0021ccd107f8</t>
  </si>
  <si>
    <t>be5b5a16-487b-11e4-a99c-0021ccd107f8</t>
  </si>
  <si>
    <t>be5d97d9-487b-11e4-a99c-0021ccd107f8</t>
  </si>
  <si>
    <t>/profile/detail/be5b0c64-487b-11e4-a99c-0021ccd107f8</t>
  </si>
  <si>
    <t>be585ad1-487b-11e4-a99c-0021ccd107f8</t>
  </si>
  <si>
    <t>be5b2b09-487b-11e4-a99c-0021ccd107f8</t>
  </si>
  <si>
    <t>/collections/detail/be60608c-487b-11e4-a99c-0021ccd107f8</t>
  </si>
  <si>
    <t>be5dc7d0-487b-11e4-a99c-0021ccd107f8</t>
  </si>
  <si>
    <t>be608835-487b-11e4-a99c-0021ccd107f8</t>
  </si>
  <si>
    <t>/profile/detail/be57ffbb-487b-11e4-a99c-0021ccd107f8</t>
  </si>
  <si>
    <t>be54e2d7-487b-11e4-a99c-0021ccd107f8</t>
  </si>
  <si>
    <t>be581da3-487b-11e4-a99c-0021ccd107f8</t>
  </si>
  <si>
    <t>/profile/detail/be4b6a8a-487b-11e4-a99c-0021ccd107f8</t>
  </si>
  <si>
    <t>be488bd6-487b-11e4-a99c-0021ccd107f8</t>
  </si>
  <si>
    <t>be4b87c6-487b-11e4-a99c-0021ccd107f8</t>
  </si>
  <si>
    <t>/profile/detail/be543d89-487b-11e4-a99c-0021ccd107f8</t>
  </si>
  <si>
    <t>be50e23c-487b-11e4-a99c-0021ccd107f8</t>
  </si>
  <si>
    <t>be545c68-487b-11e4-a99c-0021ccd107f8</t>
  </si>
  <si>
    <t>/collections/detail/bdf07c76-487b-11e4-a99c-0021ccd107f8</t>
  </si>
  <si>
    <t>bdef7f27-487b-11e4-a99c-0021ccd107f8</t>
  </si>
  <si>
    <t>bdf089a5-487b-11e4-a99c-0021ccd107f8</t>
  </si>
  <si>
    <t>/collections/detail/be4da612-487b-11e4-a99c-0021ccd107f8</t>
  </si>
  <si>
    <t>be4bb612-487b-11e4-a99c-0021ccd107f8</t>
  </si>
  <si>
    <t>be4dc9a8-487b-11e4-a99c-0021ccd107f8</t>
  </si>
  <si>
    <t>/profile/detail/be5092df-487b-11e4-a99c-0021ccd107f8</t>
  </si>
  <si>
    <t>be4df98a-487b-11e4-a99c-0021ccd107f8</t>
  </si>
  <si>
    <t>be50af66-487b-11e4-a99c-0021ccd107f8</t>
  </si>
  <si>
    <t>/profile/detail/be481203-487b-11e4-a99c-0021ccd107f8</t>
  </si>
  <si>
    <t>be458dcd-487b-11e4-a99c-0021ccd107f8</t>
  </si>
  <si>
    <t>be482f3a-487b-11e4-a99c-0021ccd107f8</t>
  </si>
  <si>
    <t>/collections/detail/bdef0b3a-487b-11e4-a99c-0021ccd107f8</t>
  </si>
  <si>
    <t>bdee63b2-487b-11e4-a99c-0021ccd107f8</t>
  </si>
  <si>
    <t>bdef17fe-487b-11e4-a99c-0021ccd107f8</t>
  </si>
  <si>
    <t>/project/detail/bdef4b2e-487b-11e4-a99c-0021ccd107f8</t>
  </si>
  <si>
    <t>bdef4b2e-487b-11e4-a99c-0021ccd107f8</t>
  </si>
  <si>
    <t>bdef5012-487b-11e4-a99c-0021ccd107f8</t>
  </si>
  <si>
    <t>/project/detail/be455992-487b-11e4-a99c-0021ccd107f8</t>
  </si>
  <si>
    <t>be455992-487b-11e4-a99c-0021ccd107f8</t>
  </si>
  <si>
    <t>be455e87-487b-11e4-a99c-0021ccd107f8</t>
  </si>
  <si>
    <t>/collections/detail/bdee2ae9-487b-11e4-a99c-0021ccd107f8</t>
  </si>
  <si>
    <t>bded8598-487b-11e4-a99c-0021ccd107f8</t>
  </si>
  <si>
    <t>bdee3675-487b-11e4-a99c-0021ccd107f8</t>
  </si>
  <si>
    <t>/project/detail/bded5176-487b-11e4-a99c-0021ccd107f8</t>
  </si>
  <si>
    <t>bded5176-487b-11e4-a99c-0021ccd107f8</t>
  </si>
  <si>
    <t>bded56dd-487b-11e4-a99c-0021ccd107f8</t>
  </si>
  <si>
    <t>/collections/detail/be42583f-487b-11e4-a99c-0021ccd107f8</t>
  </si>
  <si>
    <t>be406abb-487b-11e4-a99c-0021ccd107f8</t>
  </si>
  <si>
    <t>be4279a2-487b-11e4-a99c-0021ccd107f8</t>
  </si>
  <si>
    <t>/collections/detail/be450970-487b-11e4-a99c-0021ccd107f8</t>
  </si>
  <si>
    <t>be42a7d6-487b-11e4-a99c-0021ccd107f8</t>
  </si>
  <si>
    <t>be452b04-487b-11e4-a99c-0021ccd107f8</t>
  </si>
  <si>
    <t>/profile/detail/be402268-487b-11e4-a99c-0021ccd107f8</t>
  </si>
  <si>
    <t>be3dbb87-487b-11e4-a99c-0021ccd107f8</t>
  </si>
  <si>
    <t>be403dbb-487b-11e4-a99c-0021ccd107f8</t>
  </si>
  <si>
    <t>/collections/detail/bded147d-487b-11e4-a99c-0021ccd107f8</t>
  </si>
  <si>
    <t>bdec5ce4-487b-11e4-a99c-0021ccd107f8</t>
  </si>
  <si>
    <t>bded1f9a-487b-11e4-a99c-0021ccd107f8</t>
  </si>
  <si>
    <t>/arrears/detail/bdec170d-487b-11e4-a99c-0021ccd107f8</t>
  </si>
  <si>
    <t>bdeb3b90-487b-11e4-a99c-0021ccd107f8</t>
  </si>
  <si>
    <t>bdec2bad-487b-11e4-a99c-0021ccd107f8</t>
  </si>
  <si>
    <t>/collections/detail/bdeb023c-487b-11e4-a99c-0021ccd107f8</t>
  </si>
  <si>
    <t>bde9f127-487b-11e4-a99c-0021ccd107f8</t>
  </si>
  <si>
    <t>bdeb0e12-487b-11e4-a99c-0021ccd107f8</t>
  </si>
  <si>
    <t>/collections/detail/bde99667-487b-11e4-a99c-0021ccd107f8</t>
  </si>
  <si>
    <t>bde8be5d-487b-11e4-a99c-0021ccd107f8</t>
  </si>
  <si>
    <t>bde9aa87-487b-11e4-a99c-0021ccd107f8</t>
  </si>
  <si>
    <t>/collections/detail/be3d6725-487b-11e4-a99c-0021ccd107f8</t>
  </si>
  <si>
    <t>be3b2880-487b-11e4-a99c-0021ccd107f8</t>
  </si>
  <si>
    <t>be3d8822-487b-11e4-a99c-0021ccd107f8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</si>
</sst>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m/d/yyyy\ h:mm:ss"/>
    <numFmt numFmtId="177" formatCode="[=0]0;0.00"/>
    <numFmt numFmtId="178" formatCode="[=0]0;0.0"/>
    <numFmt numFmtId="179" formatCode="[=0]0;0.0000"/>
    <numFmt numFmtId="180" formatCode="yyyy\-mm\-dd"/>
    <numFmt numFmtId="181" formatCode="#.0000"/>
  </numFmts>
  <fonts count="12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" fontId="0" fillId="0" borderId="0" xfId="0" applyNumberFormat="1">
      <alignment vertical="center"/>
    </xf>
    <xf numFmtId="181" fontId="4" fillId="3" borderId="0" xfId="0" applyNumberFormat="1" applyFont="1" applyFill="1" applyBorder="1" applyAlignment="1">
      <alignment vertical="center"/>
    </xf>
    <xf numFmtId="181" fontId="4" fillId="3" borderId="0" xfId="1" applyNumberFormat="1" applyFont="1" applyFill="1" applyBorder="1" applyAlignment="1">
      <alignment vertical="center"/>
    </xf>
    <xf numFmtId="181" fontId="0" fillId="0" borderId="0" xfId="0" applyNumberFormat="1" applyAlignment="1">
      <alignment vertical="center"/>
    </xf>
    <xf numFmtId="181" fontId="5" fillId="0" borderId="1" xfId="0" applyNumberFormat="1" applyFont="1" applyBorder="1" applyProtection="1">
      <alignment vertical="center"/>
      <protection locked="0"/>
    </xf>
    <xf numFmtId="181" fontId="5" fillId="0" borderId="0" xfId="0" applyNumberFormat="1" applyFont="1">
      <alignment vertical="center"/>
    </xf>
    <xf numFmtId="181" fontId="7" fillId="0" borderId="0" xfId="0" applyNumberFormat="1" applyFont="1">
      <alignment vertical="center"/>
    </xf>
    <xf numFmtId="181" fontId="4" fillId="0" borderId="1" xfId="0" applyNumberFormat="1" applyFont="1" applyBorder="1" applyProtection="1">
      <alignment vertical="center"/>
      <protection locked="0"/>
    </xf>
    <xf numFmtId="181" fontId="5" fillId="0" borderId="1" xfId="0" applyNumberFormat="1" applyFont="1" applyBorder="1" applyAlignment="1" applyProtection="1">
      <alignment horizontal="right" vertical="center"/>
      <protection locked="0"/>
    </xf>
    <xf numFmtId="180" fontId="5" fillId="0" borderId="1" xfId="0" applyNumberFormat="1" applyFont="1" applyBorder="1" applyProtection="1">
      <alignment vertical="center"/>
      <protection locked="0"/>
    </xf>
    <xf numFmtId="181" fontId="5" fillId="0" borderId="1" xfId="1" applyNumberFormat="1" applyFont="1" applyBorder="1" applyProtection="1">
      <alignment vertical="center"/>
      <protection locked="0"/>
    </xf>
    <xf numFmtId="10" fontId="5" fillId="0" borderId="1" xfId="1" applyNumberFormat="1" applyFont="1" applyBorder="1" applyProtection="1">
      <alignment vertical="center"/>
      <protection locked="0"/>
    </xf>
    <xf numFmtId="181" fontId="5" fillId="0" borderId="1" xfId="0" applyNumberFormat="1" applyFont="1" applyFill="1" applyBorder="1" applyProtection="1">
      <alignment vertical="center"/>
      <protection locked="0"/>
    </xf>
    <xf numFmtId="181" fontId="5" fillId="0" borderId="1" xfId="0" applyNumberFormat="1" applyFont="1" applyFill="1" applyBorder="1" applyAlignment="1" applyProtection="1">
      <alignment horizontal="right" vertical="center"/>
      <protection locked="0"/>
    </xf>
    <xf numFmtId="180" fontId="5" fillId="0" borderId="1" xfId="0" applyNumberFormat="1" applyFont="1" applyFill="1" applyBorder="1" applyProtection="1">
      <alignment vertical="center"/>
      <protection locked="0"/>
    </xf>
    <xf numFmtId="181" fontId="5" fillId="0" borderId="1" xfId="1" applyNumberFormat="1" applyFont="1" applyFill="1" applyBorder="1" applyProtection="1">
      <alignment vertical="center"/>
      <protection locked="0"/>
    </xf>
    <xf numFmtId="10" fontId="5" fillId="0" borderId="1" xfId="1" applyNumberFormat="1" applyFont="1" applyFill="1" applyBorder="1" applyProtection="1">
      <alignment vertical="center"/>
      <protection locked="0"/>
    </xf>
    <xf numFmtId="181" fontId="5" fillId="0" borderId="0" xfId="0" applyNumberFormat="1" applyFont="1" applyFill="1">
      <alignment vertical="center"/>
    </xf>
    <xf numFmtId="181" fontId="8" fillId="0" borderId="1" xfId="0" applyNumberFormat="1" applyFont="1" applyBorder="1" applyProtection="1">
      <alignment vertical="center"/>
      <protection locked="0"/>
    </xf>
    <xf numFmtId="181" fontId="5" fillId="4" borderId="1" xfId="0" applyNumberFormat="1" applyFont="1" applyFill="1" applyBorder="1" applyProtection="1">
      <alignment vertical="center"/>
      <protection locked="0"/>
    </xf>
    <xf numFmtId="181" fontId="8" fillId="4" borderId="1" xfId="0" applyNumberFormat="1" applyFont="1" applyFill="1" applyBorder="1" applyProtection="1">
      <alignment vertical="center"/>
      <protection locked="0"/>
    </xf>
    <xf numFmtId="181" fontId="5" fillId="4" borderId="1" xfId="0" applyNumberFormat="1" applyFont="1" applyFill="1" applyBorder="1" applyAlignment="1" applyProtection="1">
      <alignment horizontal="right" vertical="center"/>
      <protection locked="0"/>
    </xf>
    <xf numFmtId="180" fontId="5" fillId="4" borderId="1" xfId="0" applyNumberFormat="1" applyFont="1" applyFill="1" applyBorder="1" applyProtection="1">
      <alignment vertical="center"/>
      <protection locked="0"/>
    </xf>
    <xf numFmtId="181" fontId="5" fillId="4" borderId="1" xfId="1" applyNumberFormat="1" applyFont="1" applyFill="1" applyBorder="1" applyProtection="1">
      <alignment vertical="center"/>
      <protection locked="0"/>
    </xf>
    <xf numFmtId="10" fontId="5" fillId="4" borderId="1" xfId="1" applyNumberFormat="1" applyFont="1" applyFill="1" applyBorder="1" applyProtection="1">
      <alignment vertical="center"/>
      <protection locked="0"/>
    </xf>
    <xf numFmtId="181" fontId="5" fillId="4" borderId="0" xfId="0" applyNumberFormat="1" applyFont="1" applyFill="1">
      <alignment vertical="center"/>
    </xf>
    <xf numFmtId="181" fontId="6" fillId="0" borderId="1" xfId="0" applyNumberFormat="1" applyFont="1" applyBorder="1" applyProtection="1">
      <alignment vertical="center"/>
      <protection locked="0"/>
    </xf>
    <xf numFmtId="181" fontId="7" fillId="0" borderId="1" xfId="0" applyNumberFormat="1" applyFont="1" applyBorder="1" applyProtection="1">
      <alignment vertical="center"/>
      <protection locked="0"/>
    </xf>
    <xf numFmtId="181" fontId="7" fillId="0" borderId="1" xfId="0" applyNumberFormat="1" applyFont="1" applyBorder="1" applyAlignment="1" applyProtection="1">
      <alignment horizontal="right" vertical="center"/>
      <protection locked="0"/>
    </xf>
    <xf numFmtId="180" fontId="7" fillId="0" borderId="1" xfId="0" applyNumberFormat="1" applyFont="1" applyBorder="1" applyProtection="1">
      <alignment vertical="center"/>
      <protection locked="0"/>
    </xf>
    <xf numFmtId="181" fontId="7" fillId="0" borderId="1" xfId="1" applyNumberFormat="1" applyFont="1" applyBorder="1" applyProtection="1">
      <alignment vertical="center"/>
      <protection locked="0"/>
    </xf>
    <xf numFmtId="10" fontId="6" fillId="0" borderId="1" xfId="1" applyNumberFormat="1" applyFont="1" applyBorder="1" applyProtection="1">
      <alignment vertical="center"/>
      <protection locked="0"/>
    </xf>
    <xf numFmtId="181" fontId="8" fillId="0" borderId="1" xfId="1" applyNumberFormat="1" applyFont="1" applyBorder="1" applyProtection="1">
      <alignment vertical="center"/>
      <protection locked="0"/>
    </xf>
    <xf numFmtId="10" fontId="7" fillId="0" borderId="1" xfId="1" applyNumberFormat="1" applyFont="1" applyBorder="1" applyProtection="1">
      <alignment vertical="center"/>
      <protection locked="0"/>
    </xf>
    <xf numFmtId="181" fontId="9" fillId="0" borderId="1" xfId="0" applyNumberFormat="1" applyFont="1" applyBorder="1" applyProtection="1">
      <alignment vertical="center"/>
      <protection locked="0"/>
    </xf>
    <xf numFmtId="181" fontId="8" fillId="0" borderId="1" xfId="0" applyNumberFormat="1" applyFont="1" applyBorder="1" applyAlignment="1" applyProtection="1">
      <alignment horizontal="right" vertical="center"/>
      <protection locked="0"/>
    </xf>
    <xf numFmtId="180" fontId="8" fillId="0" borderId="1" xfId="0" applyNumberFormat="1" applyFont="1" applyBorder="1" applyProtection="1">
      <alignment vertical="center"/>
      <protection locked="0"/>
    </xf>
    <xf numFmtId="10" fontId="8" fillId="0" borderId="1" xfId="1" applyNumberFormat="1" applyFont="1" applyBorder="1" applyProtection="1">
      <alignment vertical="center"/>
      <protection locked="0"/>
    </xf>
    <xf numFmtId="181" fontId="8" fillId="0" borderId="0" xfId="0" applyNumberFormat="1" applyFont="1">
      <alignment vertical="center"/>
    </xf>
    <xf numFmtId="181" fontId="8" fillId="0" borderId="1" xfId="0" applyNumberFormat="1" applyFont="1" applyFill="1" applyBorder="1" applyProtection="1">
      <alignment vertical="center"/>
      <protection locked="0"/>
    </xf>
    <xf numFmtId="181" fontId="8" fillId="0" borderId="1" xfId="0" applyNumberFormat="1" applyFont="1" applyFill="1" applyBorder="1" applyAlignment="1" applyProtection="1">
      <alignment horizontal="right" vertical="center"/>
      <protection locked="0"/>
    </xf>
    <xf numFmtId="180" fontId="8" fillId="0" borderId="1" xfId="0" applyNumberFormat="1" applyFont="1" applyFill="1" applyBorder="1" applyProtection="1">
      <alignment vertical="center"/>
      <protection locked="0"/>
    </xf>
    <xf numFmtId="181" fontId="8" fillId="0" borderId="1" xfId="1" applyNumberFormat="1" applyFont="1" applyFill="1" applyBorder="1" applyProtection="1">
      <alignment vertical="center"/>
      <protection locked="0"/>
    </xf>
    <xf numFmtId="10" fontId="8" fillId="0" borderId="1" xfId="1" applyNumberFormat="1" applyFont="1" applyFill="1" applyBorder="1" applyProtection="1">
      <alignment vertical="center"/>
      <protection locked="0"/>
    </xf>
    <xf numFmtId="181" fontId="8" fillId="0" borderId="0" xfId="0" applyNumberFormat="1" applyFont="1" applyFill="1">
      <alignment vertical="center"/>
    </xf>
    <xf numFmtId="181" fontId="9" fillId="0" borderId="1" xfId="0" applyNumberFormat="1" applyFont="1" applyFill="1" applyBorder="1" applyProtection="1">
      <alignment vertical="center"/>
      <protection locked="0"/>
    </xf>
    <xf numFmtId="180" fontId="4" fillId="3" borderId="0" xfId="0" applyNumberFormat="1" applyFont="1" applyFill="1" applyBorder="1" applyAlignment="1">
      <alignment horizontal="left" vertical="center"/>
    </xf>
    <xf numFmtId="180" fontId="5" fillId="0" borderId="1" xfId="0" applyNumberFormat="1" applyFont="1" applyBorder="1" applyAlignment="1" applyProtection="1">
      <alignment horizontal="left" vertical="center"/>
      <protection locked="0"/>
    </xf>
    <xf numFmtId="180" fontId="6" fillId="0" borderId="1" xfId="0" applyNumberFormat="1" applyFont="1" applyBorder="1" applyAlignment="1" applyProtection="1">
      <alignment horizontal="left" vertical="center"/>
      <protection locked="0"/>
    </xf>
    <xf numFmtId="180" fontId="5" fillId="0" borderId="1" xfId="0" applyNumberFormat="1" applyFont="1" applyFill="1" applyBorder="1" applyAlignment="1" applyProtection="1">
      <alignment horizontal="left" vertical="center"/>
      <protection locked="0"/>
    </xf>
    <xf numFmtId="180" fontId="5" fillId="4" borderId="1" xfId="0" applyNumberFormat="1" applyFont="1" applyFill="1" applyBorder="1" applyAlignment="1" applyProtection="1">
      <alignment horizontal="left" vertical="center"/>
      <protection locked="0"/>
    </xf>
    <xf numFmtId="180" fontId="9" fillId="0" borderId="1" xfId="0" applyNumberFormat="1" applyFont="1" applyBorder="1" applyAlignment="1" applyProtection="1">
      <alignment horizontal="left" vertical="center"/>
      <protection locked="0"/>
    </xf>
    <xf numFmtId="180" fontId="8" fillId="0" borderId="1" xfId="0" applyNumberFormat="1" applyFont="1" applyBorder="1" applyAlignment="1" applyProtection="1">
      <alignment horizontal="left" vertical="center"/>
      <protection locked="0"/>
    </xf>
    <xf numFmtId="180" fontId="8" fillId="0" borderId="1" xfId="0" applyNumberFormat="1" applyFont="1" applyFill="1" applyBorder="1" applyAlignment="1" applyProtection="1">
      <alignment horizontal="left" vertical="center"/>
      <protection locked="0"/>
    </xf>
    <xf numFmtId="180" fontId="9" fillId="0" borderId="1" xfId="0" applyNumberFormat="1" applyFont="1" applyFill="1" applyBorder="1" applyAlignment="1" applyProtection="1">
      <alignment horizontal="left" vertical="center"/>
      <protection locked="0"/>
    </xf>
    <xf numFmtId="180" fontId="5" fillId="0" borderId="0" xfId="0" applyNumberFormat="1" applyFont="1" applyAlignment="1">
      <alignment horizontal="left" vertical="center"/>
    </xf>
    <xf numFmtId="0" fontId="1" fillId="2" borderId="0" xfId="0" applyNumberFormat="1" applyFont="1" applyFill="1">
      <alignment vertical="center"/>
    </xf>
    <xf numFmtId="0" fontId="0" fillId="0" borderId="0" xfId="0" applyNumberFormat="1">
      <alignment vertical="center"/>
    </xf>
    <xf numFmtId="177" fontId="0" fillId="5" borderId="0" xfId="0" applyNumberFormat="1" applyFill="1">
      <alignment vertical="center"/>
    </xf>
    <xf numFmtId="0" fontId="0" fillId="5" borderId="0" xfId="0" applyNumberFormat="1" applyFill="1">
      <alignment vertical="center"/>
    </xf>
    <xf numFmtId="180" fontId="5" fillId="5" borderId="1" xfId="0" applyNumberFormat="1" applyFont="1" applyFill="1" applyBorder="1" applyAlignment="1" applyProtection="1">
      <alignment horizontal="left" vertical="center"/>
      <protection locked="0"/>
    </xf>
    <xf numFmtId="181" fontId="5" fillId="5" borderId="1" xfId="0" applyNumberFormat="1" applyFont="1" applyFill="1" applyBorder="1" applyProtection="1">
      <alignment vertical="center"/>
      <protection locked="0"/>
    </xf>
    <xf numFmtId="181" fontId="5" fillId="5" borderId="1" xfId="0" applyNumberFormat="1" applyFont="1" applyFill="1" applyBorder="1" applyAlignment="1" applyProtection="1">
      <alignment horizontal="right" vertical="center"/>
      <protection locked="0"/>
    </xf>
    <xf numFmtId="180" fontId="5" fillId="5" borderId="1" xfId="0" applyNumberFormat="1" applyFont="1" applyFill="1" applyBorder="1" applyProtection="1">
      <alignment vertical="center"/>
      <protection locked="0"/>
    </xf>
    <xf numFmtId="181" fontId="5" fillId="5" borderId="1" xfId="1" applyNumberFormat="1" applyFont="1" applyFill="1" applyBorder="1" applyProtection="1">
      <alignment vertical="center"/>
      <protection locked="0"/>
    </xf>
    <xf numFmtId="10" fontId="5" fillId="5" borderId="1" xfId="1" applyNumberFormat="1" applyFont="1" applyFill="1" applyBorder="1" applyProtection="1">
      <alignment vertical="center"/>
      <protection locked="0"/>
    </xf>
    <xf numFmtId="181" fontId="5" fillId="5" borderId="0" xfId="0" applyNumberFormat="1" applyFont="1" applyFill="1">
      <alignment vertical="center"/>
    </xf>
    <xf numFmtId="0" fontId="1" fillId="6" borderId="0" xfId="0" applyFont="1" applyFill="1">
      <alignment vertical="center"/>
    </xf>
  </cellXfs>
  <cellStyles count="2">
    <cellStyle name="百分比" xfId="1" builtinId="5"/>
    <cellStyle name="常规" xfId="0" builtinId="0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15"/>
  <sheetViews>
    <sheetView tabSelected="1" topLeftCell="G1" zoomScale="85" zoomScaleNormal="85" workbookViewId="0">
      <pane xSplit="2" ySplit="1" topLeftCell="I2" activePane="bottomRight" state="frozen"/>
      <selection activeCell="G1" sqref="G1"/>
      <selection pane="topRight" activeCell="I1" sqref="I1"/>
      <selection pane="bottomLeft" activeCell="G2" sqref="G2"/>
      <selection pane="bottomRight" activeCell="G1" sqref="G1"/>
    </sheetView>
  </sheetViews>
  <sheetFormatPr defaultRowHeight="13.5" x14ac:dyDescent="0.15"/>
  <cols>
    <col min="1" max="1" width="40.5" hidden="1" customWidth="1"/>
    <col min="2" max="2" width="10.75" hidden="1" customWidth="1"/>
    <col min="3" max="3" width="20.5" hidden="1" customWidth="1"/>
    <col min="4" max="4" width="14.5" hidden="1" customWidth="1"/>
    <col min="5" max="6" width="40.5" hidden="1" customWidth="1"/>
    <col min="7" max="7" width="15.875" bestFit="1" customWidth="1"/>
    <col min="8" max="8" width="42.5" bestFit="1" customWidth="1"/>
    <col min="9" max="9" width="18.25" bestFit="1" customWidth="1"/>
    <col min="10" max="10" width="15.75" bestFit="1" customWidth="1"/>
    <col min="11" max="11" width="22" bestFit="1" customWidth="1"/>
    <col min="12" max="12" width="20.75" bestFit="1" customWidth="1"/>
    <col min="13" max="13" width="18.25" bestFit="1" customWidth="1"/>
    <col min="14" max="15" width="25.75" bestFit="1" customWidth="1"/>
    <col min="16" max="16" width="27" bestFit="1" customWidth="1"/>
    <col min="17" max="17" width="24.5" bestFit="1" customWidth="1"/>
    <col min="18" max="18" width="23.25" bestFit="1" customWidth="1"/>
    <col min="19" max="19" width="29.5" bestFit="1" customWidth="1"/>
    <col min="20" max="20" width="22" bestFit="1" customWidth="1"/>
    <col min="21" max="21" width="28.25" bestFit="1" customWidth="1"/>
    <col min="22" max="22" width="19.5" bestFit="1" customWidth="1"/>
    <col min="23" max="23" width="27" bestFit="1" customWidth="1"/>
    <col min="24" max="24" width="33.25" bestFit="1" customWidth="1"/>
    <col min="25" max="25" width="17" bestFit="1" customWidth="1"/>
    <col min="26" max="26" width="23.25" bestFit="1" customWidth="1"/>
    <col min="27" max="27" width="9.625" bestFit="1" customWidth="1"/>
    <col min="28" max="29" width="17" bestFit="1" customWidth="1"/>
    <col min="30" max="30" width="18.25" bestFit="1" customWidth="1"/>
    <col min="31" max="31" width="15.75" bestFit="1" customWidth="1"/>
    <col min="32" max="33" width="17" bestFit="1" customWidth="1"/>
    <col min="34" max="34" width="15.75" style="64" bestFit="1" customWidth="1"/>
    <col min="35" max="35" width="9.625" bestFit="1" customWidth="1"/>
    <col min="36" max="36" width="20.5" bestFit="1" customWidth="1"/>
    <col min="37" max="37" width="63.75" bestFit="1" customWidth="1"/>
  </cols>
  <sheetData>
    <row r="1" spans="1:3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74" t="s">
        <v>18</v>
      </c>
      <c r="T1" s="74" t="s">
        <v>19</v>
      </c>
      <c r="U1" s="74" t="s">
        <v>20</v>
      </c>
      <c r="V1" s="74" t="s">
        <v>21</v>
      </c>
      <c r="W1" s="74" t="s">
        <v>22</v>
      </c>
      <c r="X1" s="7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74" t="s">
        <v>28</v>
      </c>
      <c r="AD1" s="74" t="s">
        <v>29</v>
      </c>
      <c r="AE1" s="1" t="s">
        <v>30</v>
      </c>
      <c r="AF1" s="74" t="s">
        <v>31</v>
      </c>
      <c r="AG1" s="74" t="s">
        <v>32</v>
      </c>
      <c r="AH1" s="74" t="s">
        <v>33</v>
      </c>
      <c r="AI1" s="1" t="s">
        <v>34</v>
      </c>
      <c r="AJ1" s="1" t="s">
        <v>35</v>
      </c>
      <c r="AK1" s="1" t="s">
        <v>36</v>
      </c>
    </row>
    <row r="2" spans="1:37" x14ac:dyDescent="0.15">
      <c r="A2" s="2" t="s">
        <v>2325</v>
      </c>
      <c r="B2">
        <v>317</v>
      </c>
      <c r="C2" s="3">
        <v>39508</v>
      </c>
      <c r="D2" s="2" t="s">
        <v>37</v>
      </c>
      <c r="E2" s="2" t="s">
        <v>2324</v>
      </c>
      <c r="F2" s="2" t="s">
        <v>38</v>
      </c>
      <c r="G2" s="2" t="s">
        <v>39</v>
      </c>
      <c r="H2" s="2" t="s">
        <v>40</v>
      </c>
      <c r="I2" s="65" t="b">
        <f>导出!I2=计算!I2</f>
        <v>1</v>
      </c>
      <c r="J2" s="65" t="b">
        <f>导出!J2=计算!J2</f>
        <v>1</v>
      </c>
      <c r="K2" s="65" t="b">
        <f>导出!K2=计算!K2</f>
        <v>1</v>
      </c>
      <c r="L2" s="65" t="b">
        <f>导出!L2=计算!L2</f>
        <v>1</v>
      </c>
      <c r="M2" s="65" t="b">
        <f>导出!M2=计算!M2</f>
        <v>1</v>
      </c>
      <c r="N2" s="65" t="b">
        <f>导出!N2=计算!N2</f>
        <v>0</v>
      </c>
      <c r="O2" s="65" t="b">
        <f>导出!O2=计算!O2</f>
        <v>1</v>
      </c>
      <c r="P2" s="65" t="b">
        <f>导出!P2=计算!P2</f>
        <v>1</v>
      </c>
      <c r="Q2" s="65" t="b">
        <f>导出!Q2=计算!Q2</f>
        <v>0</v>
      </c>
      <c r="R2" s="65" t="b">
        <f>导出!R2=计算!R2</f>
        <v>1</v>
      </c>
      <c r="S2" s="65" t="b">
        <f>导出!S2=计算!S2</f>
        <v>1</v>
      </c>
      <c r="T2" s="65" t="b">
        <f>导出!T2=计算!T2</f>
        <v>1</v>
      </c>
      <c r="U2" s="65" t="b">
        <f>导出!U2=计算!U2</f>
        <v>1</v>
      </c>
      <c r="V2" s="65" t="b">
        <f>导出!V2=计算!V2</f>
        <v>0</v>
      </c>
      <c r="W2" s="65" t="b">
        <f>导出!W2=计算!W2</f>
        <v>1</v>
      </c>
      <c r="X2" s="65" t="b">
        <f>导出!X2=计算!X2</f>
        <v>1</v>
      </c>
      <c r="Y2" s="65" t="b">
        <f>导出!Y2=计算!Y2</f>
        <v>1</v>
      </c>
      <c r="Z2" s="65" t="b">
        <f>导出!Z2=计算!Z2</f>
        <v>1</v>
      </c>
      <c r="AA2" s="65" t="b">
        <f>导出!AA2=计算!AA2</f>
        <v>0</v>
      </c>
      <c r="AB2" s="65" t="b">
        <f>导出!AB2=计算!AB2</f>
        <v>1</v>
      </c>
      <c r="AC2" s="65" t="b">
        <f>导出!AC2=计算!AC2</f>
        <v>1</v>
      </c>
      <c r="AD2" s="65" t="b">
        <f>导出!AD2=计算!AD2</f>
        <v>1</v>
      </c>
      <c r="AE2" s="65" t="b">
        <f>导出!AE2=计算!AE2</f>
        <v>0</v>
      </c>
      <c r="AF2" s="65" t="b">
        <f>导出!AF2=计算!AF2</f>
        <v>1</v>
      </c>
      <c r="AG2" s="65" t="b">
        <f>导出!AG2=计算!AG2</f>
        <v>1</v>
      </c>
      <c r="AH2" s="65" t="b">
        <f>导出!AH2=计算!AH2</f>
        <v>1</v>
      </c>
      <c r="AI2">
        <v>0</v>
      </c>
      <c r="AJ2" s="3">
        <v>41912.686249999999</v>
      </c>
      <c r="AK2" s="2" t="s">
        <v>2323</v>
      </c>
    </row>
    <row r="3" spans="1:37" x14ac:dyDescent="0.15">
      <c r="A3" s="2" t="s">
        <v>2322</v>
      </c>
      <c r="B3">
        <v>4</v>
      </c>
      <c r="C3" s="3">
        <v>39873</v>
      </c>
      <c r="D3" s="2" t="s">
        <v>37</v>
      </c>
      <c r="E3" s="2" t="s">
        <v>2321</v>
      </c>
      <c r="F3" s="2" t="s">
        <v>41</v>
      </c>
      <c r="G3" s="2" t="s">
        <v>42</v>
      </c>
      <c r="H3" s="2" t="s">
        <v>43</v>
      </c>
      <c r="I3" s="65" t="b">
        <f>导出!I3=计算!I3</f>
        <v>1</v>
      </c>
      <c r="J3" s="65" t="b">
        <f>导出!J3=计算!J3</f>
        <v>1</v>
      </c>
      <c r="K3" s="65" t="b">
        <f>导出!K3=计算!K3</f>
        <v>1</v>
      </c>
      <c r="L3" s="65" t="b">
        <f>导出!L3=计算!L3</f>
        <v>1</v>
      </c>
      <c r="M3" s="65" t="b">
        <f>导出!M3=计算!M3</f>
        <v>1</v>
      </c>
      <c r="N3" s="65" t="b">
        <f>导出!N3=计算!N3</f>
        <v>1</v>
      </c>
      <c r="O3" s="65" t="b">
        <f>导出!O3=计算!O3</f>
        <v>1</v>
      </c>
      <c r="P3" s="65" t="b">
        <f>导出!P3=计算!P3</f>
        <v>1</v>
      </c>
      <c r="Q3" s="65" t="b">
        <f>导出!Q3=计算!Q3</f>
        <v>1</v>
      </c>
      <c r="R3" s="65" t="b">
        <f>导出!R3=计算!R3</f>
        <v>1</v>
      </c>
      <c r="S3" s="65" t="b">
        <f>导出!S3=计算!S3</f>
        <v>1</v>
      </c>
      <c r="T3" s="65" t="b">
        <f>导出!T3=计算!T3</f>
        <v>1</v>
      </c>
      <c r="U3" s="65" t="b">
        <f>导出!U3=计算!U3</f>
        <v>1</v>
      </c>
      <c r="V3" s="65" t="b">
        <f>导出!V3=计算!V3</f>
        <v>1</v>
      </c>
      <c r="W3" s="65" t="b">
        <f>导出!W3=计算!W3</f>
        <v>1</v>
      </c>
      <c r="X3" s="65" t="b">
        <f>导出!X3=计算!X3</f>
        <v>1</v>
      </c>
      <c r="Y3" s="65" t="b">
        <f>导出!Y3=计算!Y3</f>
        <v>1</v>
      </c>
      <c r="Z3" s="65" t="b">
        <f>导出!Z3=计算!Z3</f>
        <v>1</v>
      </c>
      <c r="AA3" s="65" t="b">
        <f>导出!AA3=计算!AA3</f>
        <v>0</v>
      </c>
      <c r="AB3" s="65" t="b">
        <f>导出!AB3=计算!AB3</f>
        <v>1</v>
      </c>
      <c r="AC3" s="65" t="b">
        <f>导出!AC3=计算!AC3</f>
        <v>1</v>
      </c>
      <c r="AD3" s="65" t="b">
        <f>导出!AD3=计算!AD3</f>
        <v>1</v>
      </c>
      <c r="AE3" s="65" t="b">
        <f>导出!AE3=计算!AE3</f>
        <v>1</v>
      </c>
      <c r="AF3" s="65" t="b">
        <f>导出!AF3=计算!AF3</f>
        <v>1</v>
      </c>
      <c r="AG3" s="65" t="b">
        <f>导出!AG3=计算!AG3</f>
        <v>1</v>
      </c>
      <c r="AH3" s="65" t="b">
        <f>导出!AH3=计算!AH3</f>
        <v>1</v>
      </c>
      <c r="AI3">
        <v>0</v>
      </c>
      <c r="AJ3" s="3">
        <v>41912.6862384259</v>
      </c>
      <c r="AK3" s="2" t="s">
        <v>2320</v>
      </c>
    </row>
    <row r="4" spans="1:37" x14ac:dyDescent="0.15">
      <c r="A4" s="2" t="s">
        <v>2319</v>
      </c>
      <c r="B4">
        <v>9</v>
      </c>
      <c r="C4" s="3">
        <v>40179</v>
      </c>
      <c r="D4" s="2" t="s">
        <v>37</v>
      </c>
      <c r="E4" s="2" t="s">
        <v>2318</v>
      </c>
      <c r="F4" s="2" t="s">
        <v>41</v>
      </c>
      <c r="G4" s="2" t="s">
        <v>44</v>
      </c>
      <c r="H4" s="2" t="s">
        <v>45</v>
      </c>
      <c r="I4" s="65" t="b">
        <f>导出!I4=计算!I4</f>
        <v>1</v>
      </c>
      <c r="J4" s="65" t="b">
        <f>导出!J4=计算!J4</f>
        <v>1</v>
      </c>
      <c r="K4" s="65" t="b">
        <f>导出!K4=计算!K4</f>
        <v>1</v>
      </c>
      <c r="L4" s="65" t="b">
        <f>导出!L4=计算!L4</f>
        <v>1</v>
      </c>
      <c r="M4" s="65" t="b">
        <f>导出!M4=计算!M4</f>
        <v>1</v>
      </c>
      <c r="N4" s="65" t="b">
        <f>导出!N4=计算!N4</f>
        <v>0</v>
      </c>
      <c r="O4" s="65" t="b">
        <f>导出!O4=计算!O4</f>
        <v>1</v>
      </c>
      <c r="P4" s="65" t="b">
        <f>导出!P4=计算!P4</f>
        <v>1</v>
      </c>
      <c r="Q4" s="65" t="b">
        <f>导出!Q4=计算!Q4</f>
        <v>0</v>
      </c>
      <c r="R4" s="65" t="b">
        <f>导出!R4=计算!R4</f>
        <v>1</v>
      </c>
      <c r="S4" s="65" t="b">
        <f>导出!S4=计算!S4</f>
        <v>1</v>
      </c>
      <c r="T4" s="65" t="b">
        <f>导出!T4=计算!T4</f>
        <v>1</v>
      </c>
      <c r="U4" s="65" t="b">
        <f>导出!U4=计算!U4</f>
        <v>1</v>
      </c>
      <c r="V4" s="65" t="b">
        <f>导出!V4=计算!V4</f>
        <v>0</v>
      </c>
      <c r="W4" s="65" t="b">
        <f>导出!W4=计算!W4</f>
        <v>1</v>
      </c>
      <c r="X4" s="65" t="b">
        <f>导出!X4=计算!X4</f>
        <v>1</v>
      </c>
      <c r="Y4" s="65" t="b">
        <f>导出!Y4=计算!Y4</f>
        <v>1</v>
      </c>
      <c r="Z4" s="65" t="b">
        <f>导出!Z4=计算!Z4</f>
        <v>1</v>
      </c>
      <c r="AA4" s="65" t="b">
        <f>导出!AA4=计算!AA4</f>
        <v>0</v>
      </c>
      <c r="AB4" s="65" t="b">
        <f>导出!AB4=计算!AB4</f>
        <v>0</v>
      </c>
      <c r="AC4" s="65" t="b">
        <f>导出!AC4=计算!AC4</f>
        <v>1</v>
      </c>
      <c r="AD4" s="65" t="b">
        <f>导出!AD4=计算!AD4</f>
        <v>1</v>
      </c>
      <c r="AE4" s="65" t="b">
        <f>导出!AE4=计算!AE4</f>
        <v>0</v>
      </c>
      <c r="AF4" s="65" t="b">
        <f>导出!AF4=计算!AF4</f>
        <v>1</v>
      </c>
      <c r="AG4" s="65" t="b">
        <f>导出!AG4=计算!AG4</f>
        <v>1</v>
      </c>
      <c r="AH4" s="65" t="b">
        <f>导出!AH4=计算!AH4</f>
        <v>1</v>
      </c>
      <c r="AI4">
        <v>0</v>
      </c>
      <c r="AJ4" s="3">
        <v>41912.6862384259</v>
      </c>
      <c r="AK4" s="2" t="s">
        <v>2317</v>
      </c>
    </row>
    <row r="5" spans="1:37" x14ac:dyDescent="0.15">
      <c r="A5" s="2" t="s">
        <v>2316</v>
      </c>
      <c r="B5">
        <v>14</v>
      </c>
      <c r="C5" s="3">
        <v>40210</v>
      </c>
      <c r="D5" s="2" t="s">
        <v>37</v>
      </c>
      <c r="E5" s="2" t="s">
        <v>2315</v>
      </c>
      <c r="F5" s="2" t="s">
        <v>41</v>
      </c>
      <c r="G5" s="2" t="s">
        <v>46</v>
      </c>
      <c r="H5" s="2" t="s">
        <v>47</v>
      </c>
      <c r="I5" s="65" t="b">
        <f>导出!I5=计算!I5</f>
        <v>1</v>
      </c>
      <c r="J5" s="65" t="b">
        <f>导出!J5=计算!J5</f>
        <v>1</v>
      </c>
      <c r="K5" s="65" t="b">
        <f>导出!K5=计算!K5</f>
        <v>1</v>
      </c>
      <c r="L5" s="65" t="b">
        <f>导出!L5=计算!L5</f>
        <v>1</v>
      </c>
      <c r="M5" s="65" t="b">
        <f>导出!M5=计算!M5</f>
        <v>1</v>
      </c>
      <c r="N5" s="65" t="b">
        <f>导出!N5=计算!N5</f>
        <v>0</v>
      </c>
      <c r="O5" s="65" t="b">
        <f>导出!O5=计算!O5</f>
        <v>1</v>
      </c>
      <c r="P5" s="65" t="b">
        <f>导出!P5=计算!P5</f>
        <v>1</v>
      </c>
      <c r="Q5" s="65" t="b">
        <f>导出!Q5=计算!Q5</f>
        <v>0</v>
      </c>
      <c r="R5" s="65" t="b">
        <f>导出!R5=计算!R5</f>
        <v>1</v>
      </c>
      <c r="S5" s="65" t="b">
        <f>导出!S5=计算!S5</f>
        <v>1</v>
      </c>
      <c r="T5" s="65" t="b">
        <f>导出!T5=计算!T5</f>
        <v>1</v>
      </c>
      <c r="U5" s="65" t="b">
        <f>导出!U5=计算!U5</f>
        <v>1</v>
      </c>
      <c r="V5" s="65" t="b">
        <f>导出!V5=计算!V5</f>
        <v>0</v>
      </c>
      <c r="W5" s="65" t="b">
        <f>导出!W5=计算!W5</f>
        <v>1</v>
      </c>
      <c r="X5" s="65" t="b">
        <f>导出!X5=计算!X5</f>
        <v>1</v>
      </c>
      <c r="Y5" s="65" t="b">
        <f>导出!Y5=计算!Y5</f>
        <v>1</v>
      </c>
      <c r="Z5" s="65" t="b">
        <f>导出!Z5=计算!Z5</f>
        <v>0</v>
      </c>
      <c r="AA5" s="65" t="b">
        <f>导出!AA5=计算!AA5</f>
        <v>0</v>
      </c>
      <c r="AB5" s="65" t="b">
        <f>导出!AB5=计算!AB5</f>
        <v>0</v>
      </c>
      <c r="AC5" s="65" t="b">
        <f>导出!AC5=计算!AC5</f>
        <v>1</v>
      </c>
      <c r="AD5" s="65" t="b">
        <f>导出!AD5=计算!AD5</f>
        <v>1</v>
      </c>
      <c r="AE5" s="65" t="b">
        <f>导出!AE5=计算!AE5</f>
        <v>0</v>
      </c>
      <c r="AF5" s="65" t="b">
        <f>导出!AF5=计算!AF5</f>
        <v>0</v>
      </c>
      <c r="AG5" s="65" t="b">
        <f>导出!AG5=计算!AG5</f>
        <v>1</v>
      </c>
      <c r="AH5" s="65" t="b">
        <f>导出!AH5=计算!AH5</f>
        <v>1</v>
      </c>
      <c r="AI5">
        <v>0</v>
      </c>
      <c r="AJ5" s="3">
        <v>41912.6862384259</v>
      </c>
      <c r="AK5" s="2" t="s">
        <v>2314</v>
      </c>
    </row>
    <row r="6" spans="1:37" x14ac:dyDescent="0.15">
      <c r="A6" s="2" t="s">
        <v>2313</v>
      </c>
      <c r="B6">
        <v>18</v>
      </c>
      <c r="C6" s="3">
        <v>40238</v>
      </c>
      <c r="D6" s="2" t="s">
        <v>37</v>
      </c>
      <c r="E6" s="2" t="s">
        <v>2312</v>
      </c>
      <c r="F6" s="2" t="s">
        <v>41</v>
      </c>
      <c r="G6" s="2" t="s">
        <v>48</v>
      </c>
      <c r="H6" s="2" t="s">
        <v>49</v>
      </c>
      <c r="I6" s="65" t="b">
        <f>导出!I6=计算!I6</f>
        <v>1</v>
      </c>
      <c r="J6" s="65" t="b">
        <f>导出!J6=计算!J6</f>
        <v>1</v>
      </c>
      <c r="K6" s="65" t="b">
        <f>导出!K6=计算!K6</f>
        <v>1</v>
      </c>
      <c r="L6" s="65" t="b">
        <f>导出!L6=计算!L6</f>
        <v>1</v>
      </c>
      <c r="M6" s="65" t="b">
        <f>导出!M6=计算!M6</f>
        <v>1</v>
      </c>
      <c r="N6" s="65" t="b">
        <f>导出!N6=计算!N6</f>
        <v>1</v>
      </c>
      <c r="O6" s="65" t="b">
        <f>导出!O6=计算!O6</f>
        <v>1</v>
      </c>
      <c r="P6" s="65" t="b">
        <f>导出!P6=计算!P6</f>
        <v>1</v>
      </c>
      <c r="Q6" s="65" t="b">
        <f>导出!Q6=计算!Q6</f>
        <v>0</v>
      </c>
      <c r="R6" s="65" t="b">
        <f>导出!R6=计算!R6</f>
        <v>1</v>
      </c>
      <c r="S6" s="65" t="b">
        <f>导出!S6=计算!S6</f>
        <v>1</v>
      </c>
      <c r="T6" s="65" t="b">
        <f>导出!T6=计算!T6</f>
        <v>1</v>
      </c>
      <c r="U6" s="65" t="b">
        <f>导出!U6=计算!U6</f>
        <v>1</v>
      </c>
      <c r="V6" s="65" t="b">
        <f>导出!V6=计算!V6</f>
        <v>0</v>
      </c>
      <c r="W6" s="65" t="b">
        <f>导出!W6=计算!W6</f>
        <v>1</v>
      </c>
      <c r="X6" s="65" t="b">
        <f>导出!X6=计算!X6</f>
        <v>1</v>
      </c>
      <c r="Y6" s="65" t="b">
        <f>导出!Y6=计算!Y6</f>
        <v>1</v>
      </c>
      <c r="Z6" s="65" t="b">
        <f>导出!Z6=计算!Z6</f>
        <v>0</v>
      </c>
      <c r="AA6" s="65" t="b">
        <f>导出!AA6=计算!AA6</f>
        <v>0</v>
      </c>
      <c r="AB6" s="65" t="b">
        <f>导出!AB6=计算!AB6</f>
        <v>1</v>
      </c>
      <c r="AC6" s="65" t="b">
        <f>导出!AC6=计算!AC6</f>
        <v>1</v>
      </c>
      <c r="AD6" s="65" t="b">
        <f>导出!AD6=计算!AD6</f>
        <v>1</v>
      </c>
      <c r="AE6" s="65" t="b">
        <f>导出!AE6=计算!AE6</f>
        <v>1</v>
      </c>
      <c r="AF6" s="65" t="b">
        <f>导出!AF6=计算!AF6</f>
        <v>1</v>
      </c>
      <c r="AG6" s="65" t="b">
        <f>导出!AG6=计算!AG6</f>
        <v>1</v>
      </c>
      <c r="AH6" s="65" t="b">
        <f>导出!AH6=计算!AH6</f>
        <v>1</v>
      </c>
      <c r="AI6">
        <v>0</v>
      </c>
      <c r="AJ6" s="3">
        <v>41912.6862384259</v>
      </c>
      <c r="AK6" s="2" t="s">
        <v>2311</v>
      </c>
    </row>
    <row r="7" spans="1:37" x14ac:dyDescent="0.15">
      <c r="A7" s="2" t="s">
        <v>2310</v>
      </c>
      <c r="B7">
        <v>325</v>
      </c>
      <c r="C7" s="3">
        <v>40283</v>
      </c>
      <c r="D7" s="2" t="s">
        <v>37</v>
      </c>
      <c r="E7" s="2" t="s">
        <v>2309</v>
      </c>
      <c r="F7" s="2" t="s">
        <v>38</v>
      </c>
      <c r="G7" s="2" t="s">
        <v>50</v>
      </c>
      <c r="H7" s="2" t="s">
        <v>51</v>
      </c>
      <c r="I7" s="65" t="b">
        <f>导出!I7=计算!I7</f>
        <v>1</v>
      </c>
      <c r="J7" s="65" t="b">
        <f>导出!J7=计算!J7</f>
        <v>1</v>
      </c>
      <c r="K7" s="65" t="b">
        <f>导出!K7=计算!K7</f>
        <v>1</v>
      </c>
      <c r="L7" s="65" t="b">
        <f>导出!L7=计算!L7</f>
        <v>1</v>
      </c>
      <c r="M7" s="65" t="b">
        <f>导出!M7=计算!M7</f>
        <v>1</v>
      </c>
      <c r="N7" s="65" t="b">
        <f>导出!N7=计算!N7</f>
        <v>1</v>
      </c>
      <c r="O7" s="65" t="b">
        <f>导出!O7=计算!O7</f>
        <v>1</v>
      </c>
      <c r="P7" s="65" t="b">
        <f>导出!P7=计算!P7</f>
        <v>1</v>
      </c>
      <c r="Q7" s="65" t="b">
        <f>导出!Q7=计算!Q7</f>
        <v>1</v>
      </c>
      <c r="R7" s="65" t="b">
        <f>导出!R7=计算!R7</f>
        <v>1</v>
      </c>
      <c r="S7" s="65" t="b">
        <f>导出!S7=计算!S7</f>
        <v>1</v>
      </c>
      <c r="T7" s="65" t="b">
        <f>导出!T7=计算!T7</f>
        <v>1</v>
      </c>
      <c r="U7" s="65" t="b">
        <f>导出!U7=计算!U7</f>
        <v>1</v>
      </c>
      <c r="V7" s="65" t="b">
        <f>导出!V7=计算!V7</f>
        <v>0</v>
      </c>
      <c r="W7" s="65" t="b">
        <f>导出!W7=计算!W7</f>
        <v>1</v>
      </c>
      <c r="X7" s="65" t="b">
        <f>导出!X7=计算!X7</f>
        <v>1</v>
      </c>
      <c r="Y7" s="65" t="b">
        <f>导出!Y7=计算!Y7</f>
        <v>1</v>
      </c>
      <c r="Z7" s="65" t="b">
        <f>导出!Z7=计算!Z7</f>
        <v>1</v>
      </c>
      <c r="AA7" s="65" t="b">
        <f>导出!AA7=计算!AA7</f>
        <v>0</v>
      </c>
      <c r="AB7" s="65" t="b">
        <f>导出!AB7=计算!AB7</f>
        <v>1</v>
      </c>
      <c r="AC7" s="65" t="b">
        <f>导出!AC7=计算!AC7</f>
        <v>1</v>
      </c>
      <c r="AD7" s="65" t="b">
        <f>导出!AD7=计算!AD7</f>
        <v>1</v>
      </c>
      <c r="AE7" s="65" t="b">
        <f>导出!AE7=计算!AE7</f>
        <v>1</v>
      </c>
      <c r="AF7" s="65" t="b">
        <f>导出!AF7=计算!AF7</f>
        <v>1</v>
      </c>
      <c r="AG7" s="65" t="b">
        <f>导出!AG7=计算!AG7</f>
        <v>1</v>
      </c>
      <c r="AH7" s="65" t="b">
        <f>导出!AH7=计算!AH7</f>
        <v>1</v>
      </c>
      <c r="AI7">
        <v>0</v>
      </c>
      <c r="AJ7" s="3">
        <v>41912.686249999999</v>
      </c>
      <c r="AK7" s="2" t="s">
        <v>2308</v>
      </c>
    </row>
    <row r="8" spans="1:37" x14ac:dyDescent="0.15">
      <c r="A8" s="2" t="s">
        <v>2307</v>
      </c>
      <c r="B8">
        <v>340</v>
      </c>
      <c r="C8" s="3">
        <v>40467</v>
      </c>
      <c r="D8" s="2" t="s">
        <v>37</v>
      </c>
      <c r="E8" s="2" t="s">
        <v>2306</v>
      </c>
      <c r="F8" s="2" t="s">
        <v>38</v>
      </c>
      <c r="G8" s="2" t="s">
        <v>53</v>
      </c>
      <c r="H8" s="2" t="s">
        <v>54</v>
      </c>
      <c r="I8" s="65" t="b">
        <f>导出!I8=计算!I8</f>
        <v>1</v>
      </c>
      <c r="J8" s="65" t="b">
        <f>导出!J8=计算!J8</f>
        <v>1</v>
      </c>
      <c r="K8" s="65" t="b">
        <f>导出!K8=计算!K8</f>
        <v>1</v>
      </c>
      <c r="L8" s="65" t="b">
        <f>导出!L8=计算!L8</f>
        <v>1</v>
      </c>
      <c r="M8" s="65" t="b">
        <f>导出!M8=计算!M8</f>
        <v>1</v>
      </c>
      <c r="N8" s="65" t="b">
        <f>导出!N8=计算!N8</f>
        <v>1</v>
      </c>
      <c r="O8" s="65" t="b">
        <f>导出!O8=计算!O8</f>
        <v>1</v>
      </c>
      <c r="P8" s="65" t="b">
        <f>导出!P8=计算!P8</f>
        <v>1</v>
      </c>
      <c r="Q8" s="65" t="b">
        <f>导出!Q8=计算!Q8</f>
        <v>0</v>
      </c>
      <c r="R8" s="65" t="b">
        <f>导出!R8=计算!R8</f>
        <v>1</v>
      </c>
      <c r="S8" s="65" t="b">
        <f>导出!S8=计算!S8</f>
        <v>1</v>
      </c>
      <c r="T8" s="65" t="b">
        <f>导出!T8=计算!T8</f>
        <v>1</v>
      </c>
      <c r="U8" s="65" t="b">
        <f>导出!U8=计算!U8</f>
        <v>1</v>
      </c>
      <c r="V8" s="65" t="b">
        <f>导出!V8=计算!V8</f>
        <v>0</v>
      </c>
      <c r="W8" s="65" t="b">
        <f>导出!W8=计算!W8</f>
        <v>1</v>
      </c>
      <c r="X8" s="65" t="b">
        <f>导出!X8=计算!X8</f>
        <v>1</v>
      </c>
      <c r="Y8" s="65" t="b">
        <f>导出!Y8=计算!Y8</f>
        <v>1</v>
      </c>
      <c r="Z8" s="65" t="b">
        <f>导出!Z8=计算!Z8</f>
        <v>1</v>
      </c>
      <c r="AA8" s="65" t="b">
        <f>导出!AA8=计算!AA8</f>
        <v>0</v>
      </c>
      <c r="AB8" s="65" t="b">
        <f>导出!AB8=计算!AB8</f>
        <v>1</v>
      </c>
      <c r="AC8" s="65" t="b">
        <f>导出!AC8=计算!AC8</f>
        <v>1</v>
      </c>
      <c r="AD8" s="65" t="b">
        <f>导出!AD8=计算!AD8</f>
        <v>1</v>
      </c>
      <c r="AE8" s="65" t="b">
        <f>导出!AE8=计算!AE8</f>
        <v>1</v>
      </c>
      <c r="AF8" s="65" t="b">
        <f>导出!AF8=计算!AF8</f>
        <v>1</v>
      </c>
      <c r="AG8" s="65" t="b">
        <f>导出!AG8=计算!AG8</f>
        <v>1</v>
      </c>
      <c r="AH8" s="65" t="b">
        <f>导出!AH8=计算!AH8</f>
        <v>1</v>
      </c>
      <c r="AI8">
        <v>0</v>
      </c>
      <c r="AJ8" s="3">
        <v>41912.686249999999</v>
      </c>
      <c r="AK8" s="2" t="s">
        <v>2305</v>
      </c>
    </row>
    <row r="9" spans="1:37" x14ac:dyDescent="0.15">
      <c r="A9" s="2" t="s">
        <v>2304</v>
      </c>
      <c r="B9">
        <v>332</v>
      </c>
      <c r="C9" s="3">
        <v>40491</v>
      </c>
      <c r="D9" s="2" t="s">
        <v>37</v>
      </c>
      <c r="E9" s="2" t="s">
        <v>2303</v>
      </c>
      <c r="F9" s="2" t="s">
        <v>38</v>
      </c>
      <c r="G9" s="2" t="s">
        <v>55</v>
      </c>
      <c r="H9" s="2" t="s">
        <v>56</v>
      </c>
      <c r="I9" s="65" t="b">
        <f>导出!I9=计算!I9</f>
        <v>1</v>
      </c>
      <c r="J9" s="65" t="b">
        <f>导出!J9=计算!J9</f>
        <v>1</v>
      </c>
      <c r="K9" s="65" t="b">
        <f>导出!K9=计算!K9</f>
        <v>1</v>
      </c>
      <c r="L9" s="65" t="b">
        <f>导出!L9=计算!L9</f>
        <v>1</v>
      </c>
      <c r="M9" s="65" t="b">
        <f>导出!M9=计算!M9</f>
        <v>1</v>
      </c>
      <c r="N9" s="65" t="b">
        <f>导出!N9=计算!N9</f>
        <v>1</v>
      </c>
      <c r="O9" s="65" t="b">
        <f>导出!O9=计算!O9</f>
        <v>1</v>
      </c>
      <c r="P9" s="65" t="b">
        <f>导出!P9=计算!P9</f>
        <v>1</v>
      </c>
      <c r="Q9" s="65" t="b">
        <f>导出!Q9=计算!Q9</f>
        <v>0</v>
      </c>
      <c r="R9" s="65" t="b">
        <f>导出!R9=计算!R9</f>
        <v>1</v>
      </c>
      <c r="S9" s="65" t="b">
        <f>导出!S9=计算!S9</f>
        <v>1</v>
      </c>
      <c r="T9" s="65" t="b">
        <f>导出!T9=计算!T9</f>
        <v>1</v>
      </c>
      <c r="U9" s="65" t="b">
        <f>导出!U9=计算!U9</f>
        <v>1</v>
      </c>
      <c r="V9" s="65" t="b">
        <f>导出!V9=计算!V9</f>
        <v>0</v>
      </c>
      <c r="W9" s="65" t="b">
        <f>导出!W9=计算!W9</f>
        <v>1</v>
      </c>
      <c r="X9" s="65" t="b">
        <f>导出!X9=计算!X9</f>
        <v>1</v>
      </c>
      <c r="Y9" s="65" t="b">
        <f>导出!Y9=计算!Y9</f>
        <v>1</v>
      </c>
      <c r="Z9" s="65" t="b">
        <f>导出!Z9=计算!Z9</f>
        <v>1</v>
      </c>
      <c r="AA9" s="65" t="b">
        <f>导出!AA9=计算!AA9</f>
        <v>0</v>
      </c>
      <c r="AB9" s="65" t="b">
        <f>导出!AB9=计算!AB9</f>
        <v>1</v>
      </c>
      <c r="AC9" s="65" t="b">
        <f>导出!AC9=计算!AC9</f>
        <v>1</v>
      </c>
      <c r="AD9" s="65" t="b">
        <f>导出!AD9=计算!AD9</f>
        <v>1</v>
      </c>
      <c r="AE9" s="65" t="b">
        <f>导出!AE9=计算!AE9</f>
        <v>1</v>
      </c>
      <c r="AF9" s="65" t="b">
        <f>导出!AF9=计算!AF9</f>
        <v>1</v>
      </c>
      <c r="AG9" s="65" t="b">
        <f>导出!AG9=计算!AG9</f>
        <v>1</v>
      </c>
      <c r="AH9" s="65" t="b">
        <f>导出!AH9=计算!AH9</f>
        <v>1</v>
      </c>
      <c r="AI9">
        <v>0</v>
      </c>
      <c r="AJ9" s="3">
        <v>41912.686249999999</v>
      </c>
      <c r="AK9" s="2" t="s">
        <v>2302</v>
      </c>
    </row>
    <row r="10" spans="1:37" x14ac:dyDescent="0.15">
      <c r="A10" s="2" t="s">
        <v>2301</v>
      </c>
      <c r="B10">
        <v>19</v>
      </c>
      <c r="C10" s="3">
        <v>40544</v>
      </c>
      <c r="D10" s="2" t="s">
        <v>37</v>
      </c>
      <c r="E10" s="2" t="s">
        <v>2300</v>
      </c>
      <c r="F10" s="2" t="s">
        <v>41</v>
      </c>
      <c r="G10" s="2" t="s">
        <v>57</v>
      </c>
      <c r="H10" s="2" t="s">
        <v>58</v>
      </c>
      <c r="I10" s="65" t="b">
        <f>导出!I10=计算!I10</f>
        <v>1</v>
      </c>
      <c r="J10" s="65" t="b">
        <f>导出!J10=计算!J10</f>
        <v>1</v>
      </c>
      <c r="K10" s="65" t="b">
        <f>导出!K10=计算!K10</f>
        <v>1</v>
      </c>
      <c r="L10" s="65" t="b">
        <f>导出!L10=计算!L10</f>
        <v>1</v>
      </c>
      <c r="M10" s="65" t="b">
        <f>导出!M10=计算!M10</f>
        <v>1</v>
      </c>
      <c r="N10" s="65" t="b">
        <f>导出!N10=计算!N10</f>
        <v>1</v>
      </c>
      <c r="O10" s="65" t="b">
        <f>导出!O10=计算!O10</f>
        <v>1</v>
      </c>
      <c r="P10" s="65" t="b">
        <f>导出!P10=计算!P10</f>
        <v>1</v>
      </c>
      <c r="Q10" s="65" t="b">
        <f>导出!Q10=计算!Q10</f>
        <v>1</v>
      </c>
      <c r="R10" s="65" t="b">
        <f>导出!R10=计算!R10</f>
        <v>1</v>
      </c>
      <c r="S10" s="65" t="b">
        <f>导出!S10=计算!S10</f>
        <v>1</v>
      </c>
      <c r="T10" s="65" t="b">
        <f>导出!T10=计算!T10</f>
        <v>1</v>
      </c>
      <c r="U10" s="65" t="b">
        <f>导出!U10=计算!U10</f>
        <v>1</v>
      </c>
      <c r="V10" s="65" t="b">
        <f>导出!V10=计算!V10</f>
        <v>1</v>
      </c>
      <c r="W10" s="65" t="b">
        <f>导出!W10=计算!W10</f>
        <v>1</v>
      </c>
      <c r="X10" s="65" t="b">
        <f>导出!X10=计算!X10</f>
        <v>1</v>
      </c>
      <c r="Y10" s="65" t="b">
        <f>导出!Y10=计算!Y10</f>
        <v>1</v>
      </c>
      <c r="Z10" s="65" t="b">
        <f>导出!Z10=计算!Z10</f>
        <v>1</v>
      </c>
      <c r="AA10" s="65" t="b">
        <f>导出!AA10=计算!AA10</f>
        <v>0</v>
      </c>
      <c r="AB10" s="65" t="b">
        <f>导出!AB10=计算!AB10</f>
        <v>1</v>
      </c>
      <c r="AC10" s="65" t="b">
        <f>导出!AC10=计算!AC10</f>
        <v>1</v>
      </c>
      <c r="AD10" s="65" t="b">
        <f>导出!AD10=计算!AD10</f>
        <v>1</v>
      </c>
      <c r="AE10" s="65" t="b">
        <f>导出!AE10=计算!AE10</f>
        <v>1</v>
      </c>
      <c r="AF10" s="65" t="b">
        <f>导出!AF10=计算!AF10</f>
        <v>1</v>
      </c>
      <c r="AG10" s="65" t="b">
        <f>导出!AG10=计算!AG10</f>
        <v>1</v>
      </c>
      <c r="AH10" s="65" t="b">
        <f>导出!AH10=计算!AH10</f>
        <v>1</v>
      </c>
      <c r="AI10">
        <v>0</v>
      </c>
      <c r="AJ10" s="3">
        <v>41912.6862384259</v>
      </c>
      <c r="AK10" s="2" t="s">
        <v>2299</v>
      </c>
    </row>
    <row r="11" spans="1:37" x14ac:dyDescent="0.15">
      <c r="A11" s="2" t="s">
        <v>2298</v>
      </c>
      <c r="B11">
        <v>23</v>
      </c>
      <c r="C11" s="3">
        <v>40664</v>
      </c>
      <c r="D11" s="2" t="s">
        <v>37</v>
      </c>
      <c r="E11" s="2" t="s">
        <v>2297</v>
      </c>
      <c r="F11" s="2" t="s">
        <v>41</v>
      </c>
      <c r="G11" s="2" t="s">
        <v>59</v>
      </c>
      <c r="H11" s="2" t="s">
        <v>60</v>
      </c>
      <c r="I11" s="65" t="b">
        <f>导出!I11=计算!I11</f>
        <v>1</v>
      </c>
      <c r="J11" s="65" t="b">
        <f>导出!J11=计算!J11</f>
        <v>1</v>
      </c>
      <c r="K11" s="65" t="b">
        <f>导出!K11=计算!K11</f>
        <v>1</v>
      </c>
      <c r="L11" s="65" t="b">
        <f>导出!L11=计算!L11</f>
        <v>1</v>
      </c>
      <c r="M11" s="65" t="b">
        <f>导出!M11=计算!M11</f>
        <v>1</v>
      </c>
      <c r="N11" s="65" t="b">
        <f>导出!N11=计算!N11</f>
        <v>0</v>
      </c>
      <c r="O11" s="65" t="b">
        <f>导出!O11=计算!O11</f>
        <v>1</v>
      </c>
      <c r="P11" s="65" t="b">
        <f>导出!P11=计算!P11</f>
        <v>1</v>
      </c>
      <c r="Q11" s="65" t="b">
        <f>导出!Q11=计算!Q11</f>
        <v>0</v>
      </c>
      <c r="R11" s="65" t="b">
        <f>导出!R11=计算!R11</f>
        <v>1</v>
      </c>
      <c r="S11" s="65" t="b">
        <f>导出!S11=计算!S11</f>
        <v>1</v>
      </c>
      <c r="T11" s="65" t="b">
        <f>导出!T11=计算!T11</f>
        <v>1</v>
      </c>
      <c r="U11" s="65" t="b">
        <f>导出!U11=计算!U11</f>
        <v>1</v>
      </c>
      <c r="V11" s="65" t="b">
        <f>导出!V11=计算!V11</f>
        <v>0</v>
      </c>
      <c r="W11" s="65" t="b">
        <f>导出!W11=计算!W11</f>
        <v>1</v>
      </c>
      <c r="X11" s="65" t="b">
        <f>导出!X11=计算!X11</f>
        <v>1</v>
      </c>
      <c r="Y11" s="65" t="b">
        <f>导出!Y11=计算!Y11</f>
        <v>1</v>
      </c>
      <c r="Z11" s="65" t="b">
        <f>导出!Z11=计算!Z11</f>
        <v>0</v>
      </c>
      <c r="AA11" s="65" t="b">
        <f>导出!AA11=计算!AA11</f>
        <v>0</v>
      </c>
      <c r="AB11" s="65" t="b">
        <f>导出!AB11=计算!AB11</f>
        <v>0</v>
      </c>
      <c r="AC11" s="65" t="b">
        <f>导出!AC11=计算!AC11</f>
        <v>1</v>
      </c>
      <c r="AD11" s="65" t="b">
        <f>导出!AD11=计算!AD11</f>
        <v>1</v>
      </c>
      <c r="AE11" s="65" t="b">
        <f>导出!AE11=计算!AE11</f>
        <v>0</v>
      </c>
      <c r="AF11" s="65" t="b">
        <f>导出!AF11=计算!AF11</f>
        <v>1</v>
      </c>
      <c r="AG11" s="65" t="b">
        <f>导出!AG11=计算!AG11</f>
        <v>1</v>
      </c>
      <c r="AH11" s="65" t="b">
        <f>导出!AH11=计算!AH11</f>
        <v>1</v>
      </c>
      <c r="AI11">
        <v>0</v>
      </c>
      <c r="AJ11" s="3">
        <v>41912.6862384259</v>
      </c>
      <c r="AK11" s="2" t="s">
        <v>2296</v>
      </c>
    </row>
    <row r="12" spans="1:37" x14ac:dyDescent="0.15">
      <c r="A12" s="2" t="s">
        <v>2295</v>
      </c>
      <c r="B12">
        <v>341</v>
      </c>
      <c r="C12" s="3">
        <v>40683</v>
      </c>
      <c r="D12" s="2" t="s">
        <v>37</v>
      </c>
      <c r="E12" s="2" t="s">
        <v>2294</v>
      </c>
      <c r="F12" s="2" t="s">
        <v>38</v>
      </c>
      <c r="G12" s="2" t="s">
        <v>1683</v>
      </c>
      <c r="H12" s="2" t="s">
        <v>1682</v>
      </c>
      <c r="I12" s="65" t="b">
        <f>导出!I12=计算!I12</f>
        <v>1</v>
      </c>
      <c r="J12" s="65" t="b">
        <f>导出!J12=计算!J12</f>
        <v>1</v>
      </c>
      <c r="K12" s="65" t="b">
        <f>导出!K12=计算!K12</f>
        <v>1</v>
      </c>
      <c r="L12" s="65" t="b">
        <f>导出!L12=计算!L12</f>
        <v>1</v>
      </c>
      <c r="M12" s="65" t="b">
        <f>导出!M12=计算!M12</f>
        <v>1</v>
      </c>
      <c r="N12" s="65" t="b">
        <f>导出!N12=计算!N12</f>
        <v>1</v>
      </c>
      <c r="O12" s="65" t="b">
        <f>导出!O12=计算!O12</f>
        <v>1</v>
      </c>
      <c r="P12" s="65" t="b">
        <f>导出!P12=计算!P12</f>
        <v>1</v>
      </c>
      <c r="Q12" s="65" t="b">
        <f>导出!Q12=计算!Q12</f>
        <v>1</v>
      </c>
      <c r="R12" s="65" t="b">
        <f>导出!R12=计算!R12</f>
        <v>1</v>
      </c>
      <c r="S12" s="65" t="b">
        <f>导出!S12=计算!S12</f>
        <v>1</v>
      </c>
      <c r="T12" s="65" t="b">
        <f>导出!T12=计算!T12</f>
        <v>1</v>
      </c>
      <c r="U12" s="65" t="b">
        <f>导出!U12=计算!U12</f>
        <v>1</v>
      </c>
      <c r="V12" s="65" t="b">
        <f>导出!V12=计算!V12</f>
        <v>1</v>
      </c>
      <c r="W12" s="65" t="b">
        <f>导出!W12=计算!W12</f>
        <v>1</v>
      </c>
      <c r="X12" s="65" t="b">
        <f>导出!X12=计算!X12</f>
        <v>1</v>
      </c>
      <c r="Y12" s="65" t="b">
        <f>导出!Y12=计算!Y12</f>
        <v>1</v>
      </c>
      <c r="Z12" s="65" t="b">
        <f>导出!Z12=计算!Z12</f>
        <v>1</v>
      </c>
      <c r="AA12" s="65" t="b">
        <f>导出!AA12=计算!AA12</f>
        <v>1</v>
      </c>
      <c r="AB12" s="65" t="b">
        <f>导出!AB12=计算!AB12</f>
        <v>1</v>
      </c>
      <c r="AC12" s="65" t="b">
        <f>导出!AC12=计算!AC12</f>
        <v>1</v>
      </c>
      <c r="AD12" s="65" t="b">
        <f>导出!AD12=计算!AD12</f>
        <v>1</v>
      </c>
      <c r="AE12" s="65" t="b">
        <f>导出!AE12=计算!AE12</f>
        <v>1</v>
      </c>
      <c r="AF12" s="65" t="b">
        <f>导出!AF12=计算!AF12</f>
        <v>1</v>
      </c>
      <c r="AG12" s="65" t="b">
        <f>导出!AG12=计算!AG12</f>
        <v>1</v>
      </c>
      <c r="AH12" s="65" t="b">
        <f>导出!AH12=计算!AH12</f>
        <v>1</v>
      </c>
      <c r="AI12">
        <v>0</v>
      </c>
      <c r="AJ12" s="3">
        <v>41912.686249999999</v>
      </c>
      <c r="AK12" s="2" t="s">
        <v>2293</v>
      </c>
    </row>
    <row r="13" spans="1:37" x14ac:dyDescent="0.15">
      <c r="A13" s="2" t="s">
        <v>2292</v>
      </c>
      <c r="B13">
        <v>28</v>
      </c>
      <c r="C13" s="3">
        <v>40725</v>
      </c>
      <c r="D13" s="2" t="s">
        <v>37</v>
      </c>
      <c r="E13" s="2" t="s">
        <v>2291</v>
      </c>
      <c r="F13" s="2" t="s">
        <v>41</v>
      </c>
      <c r="G13" s="2" t="s">
        <v>63</v>
      </c>
      <c r="H13" s="2" t="s">
        <v>60</v>
      </c>
      <c r="I13" s="65" t="b">
        <f>导出!I13=计算!I13</f>
        <v>1</v>
      </c>
      <c r="J13" s="65" t="b">
        <f>导出!J13=计算!J13</f>
        <v>1</v>
      </c>
      <c r="K13" s="65" t="b">
        <f>导出!K13=计算!K13</f>
        <v>1</v>
      </c>
      <c r="L13" s="65" t="b">
        <f>导出!L13=计算!L13</f>
        <v>1</v>
      </c>
      <c r="M13" s="65" t="b">
        <f>导出!M13=计算!M13</f>
        <v>1</v>
      </c>
      <c r="N13" s="65" t="b">
        <f>导出!N13=计算!N13</f>
        <v>1</v>
      </c>
      <c r="O13" s="65" t="b">
        <f>导出!O13=计算!O13</f>
        <v>1</v>
      </c>
      <c r="P13" s="65" t="b">
        <f>导出!P13=计算!P13</f>
        <v>1</v>
      </c>
      <c r="Q13" s="65" t="b">
        <f>导出!Q13=计算!Q13</f>
        <v>1</v>
      </c>
      <c r="R13" s="65" t="b">
        <f>导出!R13=计算!R13</f>
        <v>1</v>
      </c>
      <c r="S13" s="65" t="b">
        <f>导出!S13=计算!S13</f>
        <v>1</v>
      </c>
      <c r="T13" s="65" t="b">
        <f>导出!T13=计算!T13</f>
        <v>1</v>
      </c>
      <c r="U13" s="65" t="b">
        <f>导出!U13=计算!U13</f>
        <v>1</v>
      </c>
      <c r="V13" s="65" t="b">
        <f>导出!V13=计算!V13</f>
        <v>1</v>
      </c>
      <c r="W13" s="65" t="b">
        <f>导出!W13=计算!W13</f>
        <v>1</v>
      </c>
      <c r="X13" s="65" t="b">
        <f>导出!X13=计算!X13</f>
        <v>1</v>
      </c>
      <c r="Y13" s="65" t="b">
        <f>导出!Y13=计算!Y13</f>
        <v>1</v>
      </c>
      <c r="Z13" s="65" t="b">
        <f>导出!Z13=计算!Z13</f>
        <v>1</v>
      </c>
      <c r="AA13" s="65" t="b">
        <f>导出!AA13=计算!AA13</f>
        <v>0</v>
      </c>
      <c r="AB13" s="65" t="b">
        <f>导出!AB13=计算!AB13</f>
        <v>1</v>
      </c>
      <c r="AC13" s="65" t="b">
        <f>导出!AC13=计算!AC13</f>
        <v>1</v>
      </c>
      <c r="AD13" s="65" t="b">
        <f>导出!AD13=计算!AD13</f>
        <v>1</v>
      </c>
      <c r="AE13" s="65" t="b">
        <f>导出!AE13=计算!AE13</f>
        <v>1</v>
      </c>
      <c r="AF13" s="65" t="b">
        <f>导出!AF13=计算!AF13</f>
        <v>1</v>
      </c>
      <c r="AG13" s="65" t="b">
        <f>导出!AG13=计算!AG13</f>
        <v>1</v>
      </c>
      <c r="AH13" s="65" t="b">
        <f>导出!AH13=计算!AH13</f>
        <v>1</v>
      </c>
      <c r="AI13">
        <v>0</v>
      </c>
      <c r="AJ13" s="3">
        <v>41912.6862384259</v>
      </c>
      <c r="AK13" s="2" t="s">
        <v>2290</v>
      </c>
    </row>
    <row r="14" spans="1:37" x14ac:dyDescent="0.15">
      <c r="A14" s="2" t="s">
        <v>2289</v>
      </c>
      <c r="B14">
        <v>27</v>
      </c>
      <c r="C14" s="3">
        <v>40725</v>
      </c>
      <c r="D14" s="2" t="s">
        <v>37</v>
      </c>
      <c r="E14" s="2" t="s">
        <v>2288</v>
      </c>
      <c r="F14" s="2" t="s">
        <v>41</v>
      </c>
      <c r="G14" s="2" t="s">
        <v>61</v>
      </c>
      <c r="H14" s="2" t="s">
        <v>62</v>
      </c>
      <c r="I14" s="65" t="b">
        <f>导出!I14=计算!I14</f>
        <v>1</v>
      </c>
      <c r="J14" s="65" t="b">
        <f>导出!J14=计算!J14</f>
        <v>1</v>
      </c>
      <c r="K14" s="65" t="b">
        <f>导出!K14=计算!K14</f>
        <v>1</v>
      </c>
      <c r="L14" s="65" t="b">
        <f>导出!L14=计算!L14</f>
        <v>1</v>
      </c>
      <c r="M14" s="65" t="b">
        <f>导出!M14=计算!M14</f>
        <v>1</v>
      </c>
      <c r="N14" s="65" t="b">
        <f>导出!N14=计算!N14</f>
        <v>1</v>
      </c>
      <c r="O14" s="65" t="b">
        <f>导出!O14=计算!O14</f>
        <v>1</v>
      </c>
      <c r="P14" s="65" t="b">
        <f>导出!P14=计算!P14</f>
        <v>1</v>
      </c>
      <c r="Q14" s="65" t="b">
        <f>导出!Q14=计算!Q14</f>
        <v>0</v>
      </c>
      <c r="R14" s="65" t="b">
        <f>导出!R14=计算!R14</f>
        <v>1</v>
      </c>
      <c r="S14" s="65" t="b">
        <f>导出!S14=计算!S14</f>
        <v>1</v>
      </c>
      <c r="T14" s="65" t="b">
        <f>导出!T14=计算!T14</f>
        <v>1</v>
      </c>
      <c r="U14" s="65" t="b">
        <f>导出!U14=计算!U14</f>
        <v>1</v>
      </c>
      <c r="V14" s="65" t="b">
        <f>导出!V14=计算!V14</f>
        <v>0</v>
      </c>
      <c r="W14" s="65" t="b">
        <f>导出!W14=计算!W14</f>
        <v>1</v>
      </c>
      <c r="X14" s="65" t="b">
        <f>导出!X14=计算!X14</f>
        <v>1</v>
      </c>
      <c r="Y14" s="65" t="b">
        <f>导出!Y14=计算!Y14</f>
        <v>1</v>
      </c>
      <c r="Z14" s="65" t="b">
        <f>导出!Z14=计算!Z14</f>
        <v>0</v>
      </c>
      <c r="AA14" s="65" t="b">
        <f>导出!AA14=计算!AA14</f>
        <v>0</v>
      </c>
      <c r="AB14" s="65" t="b">
        <f>导出!AB14=计算!AB14</f>
        <v>1</v>
      </c>
      <c r="AC14" s="65" t="b">
        <f>导出!AC14=计算!AC14</f>
        <v>1</v>
      </c>
      <c r="AD14" s="65" t="b">
        <f>导出!AD14=计算!AD14</f>
        <v>1</v>
      </c>
      <c r="AE14" s="65" t="b">
        <f>导出!AE14=计算!AE14</f>
        <v>1</v>
      </c>
      <c r="AF14" s="65" t="b">
        <f>导出!AF14=计算!AF14</f>
        <v>1</v>
      </c>
      <c r="AG14" s="65" t="b">
        <f>导出!AG14=计算!AG14</f>
        <v>1</v>
      </c>
      <c r="AH14" s="65" t="b">
        <f>导出!AH14=计算!AH14</f>
        <v>1</v>
      </c>
      <c r="AI14">
        <v>0</v>
      </c>
      <c r="AJ14" s="3">
        <v>41912.6862384259</v>
      </c>
      <c r="AK14" s="2" t="s">
        <v>2287</v>
      </c>
    </row>
    <row r="15" spans="1:37" x14ac:dyDescent="0.15">
      <c r="A15" s="2" t="s">
        <v>2286</v>
      </c>
      <c r="B15">
        <v>350</v>
      </c>
      <c r="C15" s="3">
        <v>40828</v>
      </c>
      <c r="D15" s="2" t="s">
        <v>37</v>
      </c>
      <c r="E15" s="2" t="s">
        <v>2285</v>
      </c>
      <c r="F15" s="2" t="s">
        <v>38</v>
      </c>
      <c r="G15" s="2" t="s">
        <v>64</v>
      </c>
      <c r="H15" s="2" t="s">
        <v>65</v>
      </c>
      <c r="I15" s="65" t="b">
        <f>导出!I15=计算!I15</f>
        <v>1</v>
      </c>
      <c r="J15" s="65" t="b">
        <f>导出!J15=计算!J15</f>
        <v>1</v>
      </c>
      <c r="K15" s="65" t="b">
        <f>导出!K15=计算!K15</f>
        <v>1</v>
      </c>
      <c r="L15" s="65" t="b">
        <f>导出!L15=计算!L15</f>
        <v>1</v>
      </c>
      <c r="M15" s="65" t="b">
        <f>导出!M15=计算!M15</f>
        <v>1</v>
      </c>
      <c r="N15" s="65" t="b">
        <f>导出!N15=计算!N15</f>
        <v>1</v>
      </c>
      <c r="O15" s="65" t="b">
        <f>导出!O15=计算!O15</f>
        <v>1</v>
      </c>
      <c r="P15" s="65" t="b">
        <f>导出!P15=计算!P15</f>
        <v>1</v>
      </c>
      <c r="Q15" s="65" t="b">
        <f>导出!Q15=计算!Q15</f>
        <v>0</v>
      </c>
      <c r="R15" s="65" t="b">
        <f>导出!R15=计算!R15</f>
        <v>1</v>
      </c>
      <c r="S15" s="65" t="b">
        <f>导出!S15=计算!S15</f>
        <v>1</v>
      </c>
      <c r="T15" s="65" t="b">
        <f>导出!T15=计算!T15</f>
        <v>1</v>
      </c>
      <c r="U15" s="65" t="b">
        <f>导出!U15=计算!U15</f>
        <v>1</v>
      </c>
      <c r="V15" s="65" t="b">
        <f>导出!V15=计算!V15</f>
        <v>0</v>
      </c>
      <c r="W15" s="65" t="b">
        <f>导出!W15=计算!W15</f>
        <v>1</v>
      </c>
      <c r="X15" s="65" t="b">
        <f>导出!X15=计算!X15</f>
        <v>1</v>
      </c>
      <c r="Y15" s="65" t="b">
        <f>导出!Y15=计算!Y15</f>
        <v>1</v>
      </c>
      <c r="Z15" s="65" t="b">
        <f>导出!Z15=计算!Z15</f>
        <v>1</v>
      </c>
      <c r="AA15" s="65" t="b">
        <f>导出!AA15=计算!AA15</f>
        <v>0</v>
      </c>
      <c r="AB15" s="65" t="b">
        <f>导出!AB15=计算!AB15</f>
        <v>0</v>
      </c>
      <c r="AC15" s="65" t="b">
        <f>导出!AC15=计算!AC15</f>
        <v>1</v>
      </c>
      <c r="AD15" s="65" t="b">
        <f>导出!AD15=计算!AD15</f>
        <v>1</v>
      </c>
      <c r="AE15" s="65" t="b">
        <f>导出!AE15=计算!AE15</f>
        <v>0</v>
      </c>
      <c r="AF15" s="65" t="b">
        <f>导出!AF15=计算!AF15</f>
        <v>1</v>
      </c>
      <c r="AG15" s="65" t="b">
        <f>导出!AG15=计算!AG15</f>
        <v>1</v>
      </c>
      <c r="AH15" s="65" t="b">
        <f>导出!AH15=计算!AH15</f>
        <v>1</v>
      </c>
      <c r="AI15">
        <v>0</v>
      </c>
      <c r="AJ15" s="3">
        <v>41912.686249999999</v>
      </c>
      <c r="AK15" s="2" t="s">
        <v>2284</v>
      </c>
    </row>
    <row r="16" spans="1:37" x14ac:dyDescent="0.15">
      <c r="A16" s="2" t="s">
        <v>2283</v>
      </c>
      <c r="B16">
        <v>374</v>
      </c>
      <c r="C16" s="3">
        <v>40907</v>
      </c>
      <c r="D16" s="2" t="s">
        <v>37</v>
      </c>
      <c r="E16" s="2" t="s">
        <v>2282</v>
      </c>
      <c r="F16" s="2" t="s">
        <v>38</v>
      </c>
      <c r="G16" s="2" t="s">
        <v>67</v>
      </c>
      <c r="H16" s="2" t="s">
        <v>68</v>
      </c>
      <c r="I16" s="65" t="b">
        <f>导出!I16=计算!I16</f>
        <v>1</v>
      </c>
      <c r="J16" s="65" t="b">
        <f>导出!J16=计算!J16</f>
        <v>1</v>
      </c>
      <c r="K16" s="65" t="b">
        <f>导出!K16=计算!K16</f>
        <v>1</v>
      </c>
      <c r="L16" s="65" t="b">
        <f>导出!L16=计算!L16</f>
        <v>1</v>
      </c>
      <c r="M16" s="65" t="b">
        <f>导出!M16=计算!M16</f>
        <v>1</v>
      </c>
      <c r="N16" s="65" t="b">
        <f>导出!N16=计算!N16</f>
        <v>1</v>
      </c>
      <c r="O16" s="65" t="b">
        <f>导出!O16=计算!O16</f>
        <v>1</v>
      </c>
      <c r="P16" s="65" t="b">
        <f>导出!P16=计算!P16</f>
        <v>1</v>
      </c>
      <c r="Q16" s="65" t="b">
        <f>导出!Q16=计算!Q16</f>
        <v>0</v>
      </c>
      <c r="R16" s="65" t="b">
        <f>导出!R16=计算!R16</f>
        <v>1</v>
      </c>
      <c r="S16" s="65" t="b">
        <f>导出!S16=计算!S16</f>
        <v>1</v>
      </c>
      <c r="T16" s="65" t="b">
        <f>导出!T16=计算!T16</f>
        <v>1</v>
      </c>
      <c r="U16" s="65" t="b">
        <f>导出!U16=计算!U16</f>
        <v>1</v>
      </c>
      <c r="V16" s="65" t="b">
        <f>导出!V16=计算!V16</f>
        <v>0</v>
      </c>
      <c r="W16" s="65" t="b">
        <f>导出!W16=计算!W16</f>
        <v>1</v>
      </c>
      <c r="X16" s="65" t="b">
        <f>导出!X16=计算!X16</f>
        <v>1</v>
      </c>
      <c r="Y16" s="65" t="b">
        <f>导出!Y16=计算!Y16</f>
        <v>1</v>
      </c>
      <c r="Z16" s="65" t="b">
        <f>导出!Z16=计算!Z16</f>
        <v>1</v>
      </c>
      <c r="AA16" s="65" t="b">
        <f>导出!AA16=计算!AA16</f>
        <v>0</v>
      </c>
      <c r="AB16" s="65" t="b">
        <f>导出!AB16=计算!AB16</f>
        <v>1</v>
      </c>
      <c r="AC16" s="65" t="b">
        <f>导出!AC16=计算!AC16</f>
        <v>1</v>
      </c>
      <c r="AD16" s="65" t="b">
        <f>导出!AD16=计算!AD16</f>
        <v>1</v>
      </c>
      <c r="AE16" s="65" t="b">
        <f>导出!AE16=计算!AE16</f>
        <v>0</v>
      </c>
      <c r="AF16" s="65" t="b">
        <f>导出!AF16=计算!AF16</f>
        <v>1</v>
      </c>
      <c r="AG16" s="65" t="b">
        <f>导出!AG16=计算!AG16</f>
        <v>1</v>
      </c>
      <c r="AH16" s="65" t="b">
        <f>导出!AH16=计算!AH16</f>
        <v>1</v>
      </c>
      <c r="AI16">
        <v>0</v>
      </c>
      <c r="AJ16" s="3">
        <v>41912.686249999999</v>
      </c>
      <c r="AK16" s="2" t="s">
        <v>2281</v>
      </c>
    </row>
    <row r="17" spans="1:37" x14ac:dyDescent="0.15">
      <c r="A17" s="2" t="s">
        <v>2280</v>
      </c>
      <c r="B17">
        <v>366</v>
      </c>
      <c r="C17" s="3">
        <v>40909</v>
      </c>
      <c r="D17" s="2" t="s">
        <v>37</v>
      </c>
      <c r="E17" s="2" t="s">
        <v>2279</v>
      </c>
      <c r="F17" s="2" t="s">
        <v>38</v>
      </c>
      <c r="G17" s="2" t="s">
        <v>70</v>
      </c>
      <c r="H17" s="2" t="s">
        <v>71</v>
      </c>
      <c r="I17" s="65" t="b">
        <f>导出!I17=计算!I17</f>
        <v>1</v>
      </c>
      <c r="J17" s="65" t="b">
        <f>导出!J17=计算!J17</f>
        <v>1</v>
      </c>
      <c r="K17" s="65" t="b">
        <f>导出!K17=计算!K17</f>
        <v>1</v>
      </c>
      <c r="L17" s="65" t="b">
        <f>导出!L17=计算!L17</f>
        <v>1</v>
      </c>
      <c r="M17" s="65" t="b">
        <f>导出!M17=计算!M17</f>
        <v>1</v>
      </c>
      <c r="N17" s="65" t="b">
        <f>导出!N17=计算!N17</f>
        <v>1</v>
      </c>
      <c r="O17" s="65" t="b">
        <f>导出!O17=计算!O17</f>
        <v>1</v>
      </c>
      <c r="P17" s="65" t="b">
        <f>导出!P17=计算!P17</f>
        <v>1</v>
      </c>
      <c r="Q17" s="65" t="b">
        <f>导出!Q17=计算!Q17</f>
        <v>0</v>
      </c>
      <c r="R17" s="65" t="b">
        <f>导出!R17=计算!R17</f>
        <v>1</v>
      </c>
      <c r="S17" s="65" t="b">
        <f>导出!S17=计算!S17</f>
        <v>1</v>
      </c>
      <c r="T17" s="65" t="b">
        <f>导出!T17=计算!T17</f>
        <v>1</v>
      </c>
      <c r="U17" s="65" t="b">
        <f>导出!U17=计算!U17</f>
        <v>1</v>
      </c>
      <c r="V17" s="65" t="b">
        <f>导出!V17=计算!V17</f>
        <v>0</v>
      </c>
      <c r="W17" s="65" t="b">
        <f>导出!W17=计算!W17</f>
        <v>1</v>
      </c>
      <c r="X17" s="65" t="b">
        <f>导出!X17=计算!X17</f>
        <v>1</v>
      </c>
      <c r="Y17" s="65" t="b">
        <f>导出!Y17=计算!Y17</f>
        <v>1</v>
      </c>
      <c r="Z17" s="65" t="b">
        <f>导出!Z17=计算!Z17</f>
        <v>1</v>
      </c>
      <c r="AA17" s="65" t="b">
        <f>导出!AA17=计算!AA17</f>
        <v>0</v>
      </c>
      <c r="AB17" s="65" t="b">
        <f>导出!AB17=计算!AB17</f>
        <v>1</v>
      </c>
      <c r="AC17" s="65" t="b">
        <f>导出!AC17=计算!AC17</f>
        <v>1</v>
      </c>
      <c r="AD17" s="65" t="b">
        <f>导出!AD17=计算!AD17</f>
        <v>1</v>
      </c>
      <c r="AE17" s="65" t="b">
        <f>导出!AE17=计算!AE17</f>
        <v>0</v>
      </c>
      <c r="AF17" s="65" t="b">
        <f>导出!AF17=计算!AF17</f>
        <v>1</v>
      </c>
      <c r="AG17" s="65" t="b">
        <f>导出!AG17=计算!AG17</f>
        <v>1</v>
      </c>
      <c r="AH17" s="65" t="b">
        <f>导出!AH17=计算!AH17</f>
        <v>1</v>
      </c>
      <c r="AI17">
        <v>0</v>
      </c>
      <c r="AJ17" s="3">
        <v>41912.686249999999</v>
      </c>
      <c r="AK17" s="2" t="s">
        <v>2278</v>
      </c>
    </row>
    <row r="18" spans="1:37" x14ac:dyDescent="0.15">
      <c r="A18" s="2" t="s">
        <v>2277</v>
      </c>
      <c r="B18">
        <v>33</v>
      </c>
      <c r="C18" s="3">
        <v>40909</v>
      </c>
      <c r="D18" s="2" t="s">
        <v>37</v>
      </c>
      <c r="E18" s="2" t="s">
        <v>2276</v>
      </c>
      <c r="F18" s="2" t="s">
        <v>41</v>
      </c>
      <c r="G18" s="2" t="s">
        <v>76</v>
      </c>
      <c r="H18" s="2" t="s">
        <v>77</v>
      </c>
      <c r="I18" s="65" t="b">
        <f>导出!I18=计算!I18</f>
        <v>1</v>
      </c>
      <c r="J18" s="65" t="b">
        <f>导出!J18=计算!J18</f>
        <v>1</v>
      </c>
      <c r="K18" s="65" t="b">
        <f>导出!K18=计算!K18</f>
        <v>1</v>
      </c>
      <c r="L18" s="65" t="b">
        <f>导出!L18=计算!L18</f>
        <v>1</v>
      </c>
      <c r="M18" s="65" t="b">
        <f>导出!M18=计算!M18</f>
        <v>1</v>
      </c>
      <c r="N18" s="65" t="b">
        <f>导出!N18=计算!N18</f>
        <v>0</v>
      </c>
      <c r="O18" s="65" t="b">
        <f>导出!O18=计算!O18</f>
        <v>1</v>
      </c>
      <c r="P18" s="65" t="b">
        <f>导出!P18=计算!P18</f>
        <v>1</v>
      </c>
      <c r="Q18" s="65" t="b">
        <f>导出!Q18=计算!Q18</f>
        <v>0</v>
      </c>
      <c r="R18" s="65" t="b">
        <f>导出!R18=计算!R18</f>
        <v>1</v>
      </c>
      <c r="S18" s="65" t="b">
        <f>导出!S18=计算!S18</f>
        <v>1</v>
      </c>
      <c r="T18" s="65" t="b">
        <f>导出!T18=计算!T18</f>
        <v>1</v>
      </c>
      <c r="U18" s="65" t="b">
        <f>导出!U18=计算!U18</f>
        <v>1</v>
      </c>
      <c r="V18" s="65" t="b">
        <f>导出!V18=计算!V18</f>
        <v>0</v>
      </c>
      <c r="W18" s="65" t="b">
        <f>导出!W18=计算!W18</f>
        <v>1</v>
      </c>
      <c r="X18" s="65" t="b">
        <f>导出!X18=计算!X18</f>
        <v>1</v>
      </c>
      <c r="Y18" s="65" t="b">
        <f>导出!Y18=计算!Y18</f>
        <v>1</v>
      </c>
      <c r="Z18" s="65" t="b">
        <f>导出!Z18=计算!Z18</f>
        <v>1</v>
      </c>
      <c r="AA18" s="65" t="b">
        <f>导出!AA18=计算!AA18</f>
        <v>0</v>
      </c>
      <c r="AB18" s="65" t="b">
        <f>导出!AB18=计算!AB18</f>
        <v>0</v>
      </c>
      <c r="AC18" s="65" t="b">
        <f>导出!AC18=计算!AC18</f>
        <v>1</v>
      </c>
      <c r="AD18" s="65" t="b">
        <f>导出!AD18=计算!AD18</f>
        <v>1</v>
      </c>
      <c r="AE18" s="65" t="b">
        <f>导出!AE18=计算!AE18</f>
        <v>0</v>
      </c>
      <c r="AF18" s="65" t="b">
        <f>导出!AF18=计算!AF18</f>
        <v>1</v>
      </c>
      <c r="AG18" s="65" t="b">
        <f>导出!AG18=计算!AG18</f>
        <v>1</v>
      </c>
      <c r="AH18" s="65" t="b">
        <f>导出!AH18=计算!AH18</f>
        <v>1</v>
      </c>
      <c r="AI18">
        <v>0</v>
      </c>
      <c r="AJ18" s="3">
        <v>41912.6862384259</v>
      </c>
      <c r="AK18" s="2" t="s">
        <v>2275</v>
      </c>
    </row>
    <row r="19" spans="1:37" x14ac:dyDescent="0.15">
      <c r="A19" s="2" t="s">
        <v>2274</v>
      </c>
      <c r="B19">
        <v>385</v>
      </c>
      <c r="C19" s="3">
        <v>40909</v>
      </c>
      <c r="D19" s="2" t="s">
        <v>37</v>
      </c>
      <c r="E19" s="2" t="s">
        <v>2273</v>
      </c>
      <c r="F19" s="2" t="s">
        <v>38</v>
      </c>
      <c r="G19" s="2" t="s">
        <v>74</v>
      </c>
      <c r="H19" s="2" t="s">
        <v>75</v>
      </c>
      <c r="I19" s="65" t="b">
        <f>导出!I19=计算!I19</f>
        <v>1</v>
      </c>
      <c r="J19" s="65" t="b">
        <f>导出!J19=计算!J19</f>
        <v>1</v>
      </c>
      <c r="K19" s="65" t="b">
        <f>导出!K19=计算!K19</f>
        <v>1</v>
      </c>
      <c r="L19" s="65" t="b">
        <f>导出!L19=计算!L19</f>
        <v>1</v>
      </c>
      <c r="M19" s="65" t="b">
        <f>导出!M19=计算!M19</f>
        <v>1</v>
      </c>
      <c r="N19" s="65" t="b">
        <f>导出!N19=计算!N19</f>
        <v>1</v>
      </c>
      <c r="O19" s="65" t="b">
        <f>导出!O19=计算!O19</f>
        <v>1</v>
      </c>
      <c r="P19" s="65" t="b">
        <f>导出!P19=计算!P19</f>
        <v>1</v>
      </c>
      <c r="Q19" s="65" t="b">
        <f>导出!Q19=计算!Q19</f>
        <v>1</v>
      </c>
      <c r="R19" s="65" t="b">
        <f>导出!R19=计算!R19</f>
        <v>1</v>
      </c>
      <c r="S19" s="65" t="b">
        <f>导出!S19=计算!S19</f>
        <v>1</v>
      </c>
      <c r="T19" s="65" t="b">
        <f>导出!T19=计算!T19</f>
        <v>1</v>
      </c>
      <c r="U19" s="65" t="b">
        <f>导出!U19=计算!U19</f>
        <v>1</v>
      </c>
      <c r="V19" s="65" t="b">
        <f>导出!V19=计算!V19</f>
        <v>0</v>
      </c>
      <c r="W19" s="65" t="b">
        <f>导出!W19=计算!W19</f>
        <v>1</v>
      </c>
      <c r="X19" s="65" t="b">
        <f>导出!X19=计算!X19</f>
        <v>1</v>
      </c>
      <c r="Y19" s="65" t="b">
        <f>导出!Y19=计算!Y19</f>
        <v>0</v>
      </c>
      <c r="Z19" s="65" t="b">
        <f>导出!Z19=计算!Z19</f>
        <v>1</v>
      </c>
      <c r="AA19" s="65" t="b">
        <f>导出!AA19=计算!AA19</f>
        <v>0</v>
      </c>
      <c r="AB19" s="65" t="b">
        <f>导出!AB19=计算!AB19</f>
        <v>0</v>
      </c>
      <c r="AC19" s="65" t="b">
        <f>导出!AC19=计算!AC19</f>
        <v>1</v>
      </c>
      <c r="AD19" s="65" t="b">
        <f>导出!AD19=计算!AD19</f>
        <v>1</v>
      </c>
      <c r="AE19" s="65" t="b">
        <f>导出!AE19=计算!AE19</f>
        <v>0</v>
      </c>
      <c r="AF19" s="65" t="b">
        <f>导出!AF19=计算!AF19</f>
        <v>1</v>
      </c>
      <c r="AG19" s="65" t="b">
        <f>导出!AG19=计算!AG19</f>
        <v>1</v>
      </c>
      <c r="AH19" s="65" t="b">
        <f>导出!AH19=计算!AH19</f>
        <v>1</v>
      </c>
      <c r="AI19">
        <v>0</v>
      </c>
      <c r="AJ19" s="3">
        <v>41912.686249999999</v>
      </c>
      <c r="AK19" s="2" t="s">
        <v>2272</v>
      </c>
    </row>
    <row r="20" spans="1:37" x14ac:dyDescent="0.15">
      <c r="A20" s="2" t="s">
        <v>2271</v>
      </c>
      <c r="B20">
        <v>359</v>
      </c>
      <c r="C20" s="3">
        <v>40909</v>
      </c>
      <c r="D20" s="2" t="s">
        <v>37</v>
      </c>
      <c r="E20" s="2" t="s">
        <v>2270</v>
      </c>
      <c r="F20" s="2" t="s">
        <v>38</v>
      </c>
      <c r="G20" s="2" t="s">
        <v>72</v>
      </c>
      <c r="H20" s="2" t="s">
        <v>73</v>
      </c>
      <c r="I20" s="65" t="b">
        <f>导出!I20=计算!I20</f>
        <v>1</v>
      </c>
      <c r="J20" s="65" t="b">
        <f>导出!J20=计算!J20</f>
        <v>1</v>
      </c>
      <c r="K20" s="65" t="b">
        <f>导出!K20=计算!K20</f>
        <v>1</v>
      </c>
      <c r="L20" s="65" t="b">
        <f>导出!L20=计算!L20</f>
        <v>1</v>
      </c>
      <c r="M20" s="65" t="b">
        <f>导出!M20=计算!M20</f>
        <v>1</v>
      </c>
      <c r="N20" s="65" t="b">
        <f>导出!N20=计算!N20</f>
        <v>1</v>
      </c>
      <c r="O20" s="65" t="b">
        <f>导出!O20=计算!O20</f>
        <v>1</v>
      </c>
      <c r="P20" s="65" t="b">
        <f>导出!P20=计算!P20</f>
        <v>1</v>
      </c>
      <c r="Q20" s="65" t="b">
        <f>导出!Q20=计算!Q20</f>
        <v>1</v>
      </c>
      <c r="R20" s="65" t="b">
        <f>导出!R20=计算!R20</f>
        <v>1</v>
      </c>
      <c r="S20" s="65" t="b">
        <f>导出!S20=计算!S20</f>
        <v>1</v>
      </c>
      <c r="T20" s="65" t="b">
        <f>导出!T20=计算!T20</f>
        <v>1</v>
      </c>
      <c r="U20" s="65" t="b">
        <f>导出!U20=计算!U20</f>
        <v>1</v>
      </c>
      <c r="V20" s="65" t="b">
        <f>导出!V20=计算!V20</f>
        <v>0</v>
      </c>
      <c r="W20" s="65" t="b">
        <f>导出!W20=计算!W20</f>
        <v>1</v>
      </c>
      <c r="X20" s="65" t="b">
        <f>导出!X20=计算!X20</f>
        <v>1</v>
      </c>
      <c r="Y20" s="65" t="b">
        <f>导出!Y20=计算!Y20</f>
        <v>1</v>
      </c>
      <c r="Z20" s="65" t="b">
        <f>导出!Z20=计算!Z20</f>
        <v>1</v>
      </c>
      <c r="AA20" s="65" t="b">
        <f>导出!AA20=计算!AA20</f>
        <v>0</v>
      </c>
      <c r="AB20" s="65" t="b">
        <f>导出!AB20=计算!AB20</f>
        <v>1</v>
      </c>
      <c r="AC20" s="65" t="b">
        <f>导出!AC20=计算!AC20</f>
        <v>1</v>
      </c>
      <c r="AD20" s="65" t="b">
        <f>导出!AD20=计算!AD20</f>
        <v>1</v>
      </c>
      <c r="AE20" s="65" t="b">
        <f>导出!AE20=计算!AE20</f>
        <v>0</v>
      </c>
      <c r="AF20" s="65" t="b">
        <f>导出!AF20=计算!AF20</f>
        <v>1</v>
      </c>
      <c r="AG20" s="65" t="b">
        <f>导出!AG20=计算!AG20</f>
        <v>1</v>
      </c>
      <c r="AH20" s="65" t="b">
        <f>导出!AH20=计算!AH20</f>
        <v>1</v>
      </c>
      <c r="AI20">
        <v>0</v>
      </c>
      <c r="AJ20" s="3">
        <v>41912.686249999999</v>
      </c>
      <c r="AK20" s="2" t="s">
        <v>2269</v>
      </c>
    </row>
    <row r="21" spans="1:37" x14ac:dyDescent="0.15">
      <c r="A21" s="2" t="s">
        <v>2268</v>
      </c>
      <c r="B21">
        <v>395</v>
      </c>
      <c r="C21" s="3">
        <v>40940</v>
      </c>
      <c r="D21" s="2" t="s">
        <v>37</v>
      </c>
      <c r="E21" s="2" t="s">
        <v>2267</v>
      </c>
      <c r="F21" s="2" t="s">
        <v>38</v>
      </c>
      <c r="G21" s="2" t="s">
        <v>78</v>
      </c>
      <c r="H21" s="2" t="s">
        <v>79</v>
      </c>
      <c r="I21" s="65" t="b">
        <f>导出!I21=计算!I21</f>
        <v>1</v>
      </c>
      <c r="J21" s="65" t="b">
        <f>导出!J21=计算!J21</f>
        <v>1</v>
      </c>
      <c r="K21" s="65" t="b">
        <f>导出!K21=计算!K21</f>
        <v>1</v>
      </c>
      <c r="L21" s="65" t="b">
        <f>导出!L21=计算!L21</f>
        <v>1</v>
      </c>
      <c r="M21" s="65" t="b">
        <f>导出!M21=计算!M21</f>
        <v>1</v>
      </c>
      <c r="N21" s="65" t="b">
        <f>导出!N21=计算!N21</f>
        <v>1</v>
      </c>
      <c r="O21" s="65" t="b">
        <f>导出!O21=计算!O21</f>
        <v>1</v>
      </c>
      <c r="P21" s="65" t="b">
        <f>导出!P21=计算!P21</f>
        <v>1</v>
      </c>
      <c r="Q21" s="65" t="b">
        <f>导出!Q21=计算!Q21</f>
        <v>1</v>
      </c>
      <c r="R21" s="65" t="b">
        <f>导出!R21=计算!R21</f>
        <v>1</v>
      </c>
      <c r="S21" s="65" t="b">
        <f>导出!S21=计算!S21</f>
        <v>1</v>
      </c>
      <c r="T21" s="65" t="b">
        <f>导出!T21=计算!T21</f>
        <v>1</v>
      </c>
      <c r="U21" s="65" t="b">
        <f>导出!U21=计算!U21</f>
        <v>1</v>
      </c>
      <c r="V21" s="65" t="b">
        <f>导出!V21=计算!V21</f>
        <v>0</v>
      </c>
      <c r="W21" s="65" t="b">
        <f>导出!W21=计算!W21</f>
        <v>1</v>
      </c>
      <c r="X21" s="65" t="b">
        <f>导出!X21=计算!X21</f>
        <v>1</v>
      </c>
      <c r="Y21" s="65" t="b">
        <f>导出!Y21=计算!Y21</f>
        <v>0</v>
      </c>
      <c r="Z21" s="65" t="b">
        <f>导出!Z21=计算!Z21</f>
        <v>1</v>
      </c>
      <c r="AA21" s="65" t="b">
        <f>导出!AA21=计算!AA21</f>
        <v>0</v>
      </c>
      <c r="AB21" s="65" t="b">
        <f>导出!AB21=计算!AB21</f>
        <v>1</v>
      </c>
      <c r="AC21" s="65" t="b">
        <f>导出!AC21=计算!AC21</f>
        <v>1</v>
      </c>
      <c r="AD21" s="65" t="b">
        <f>导出!AD21=计算!AD21</f>
        <v>1</v>
      </c>
      <c r="AE21" s="65" t="b">
        <f>导出!AE21=计算!AE21</f>
        <v>0</v>
      </c>
      <c r="AF21" s="65" t="b">
        <f>导出!AF21=计算!AF21</f>
        <v>1</v>
      </c>
      <c r="AG21" s="65" t="b">
        <f>导出!AG21=计算!AG21</f>
        <v>1</v>
      </c>
      <c r="AH21" s="65" t="b">
        <f>导出!AH21=计算!AH21</f>
        <v>1</v>
      </c>
      <c r="AI21">
        <v>0</v>
      </c>
      <c r="AJ21" s="3">
        <v>41912.686249999999</v>
      </c>
      <c r="AK21" s="2" t="s">
        <v>2266</v>
      </c>
    </row>
    <row r="22" spans="1:37" x14ac:dyDescent="0.15">
      <c r="A22" s="2" t="s">
        <v>2265</v>
      </c>
      <c r="B22">
        <v>419</v>
      </c>
      <c r="C22" s="3">
        <v>40940</v>
      </c>
      <c r="D22" s="2" t="s">
        <v>37</v>
      </c>
      <c r="E22" s="2" t="s">
        <v>2264</v>
      </c>
      <c r="F22" s="2" t="s">
        <v>38</v>
      </c>
      <c r="G22" s="2" t="s">
        <v>81</v>
      </c>
      <c r="H22" s="2" t="s">
        <v>82</v>
      </c>
      <c r="I22" s="65" t="b">
        <f>导出!I22=计算!I22</f>
        <v>1</v>
      </c>
      <c r="J22" s="65" t="b">
        <f>导出!J22=计算!J22</f>
        <v>1</v>
      </c>
      <c r="K22" s="65" t="b">
        <f>导出!K22=计算!K22</f>
        <v>1</v>
      </c>
      <c r="L22" s="65" t="b">
        <f>导出!L22=计算!L22</f>
        <v>1</v>
      </c>
      <c r="M22" s="65" t="b">
        <f>导出!M22=计算!M22</f>
        <v>1</v>
      </c>
      <c r="N22" s="65" t="b">
        <f>导出!N22=计算!N22</f>
        <v>1</v>
      </c>
      <c r="O22" s="65" t="b">
        <f>导出!O22=计算!O22</f>
        <v>1</v>
      </c>
      <c r="P22" s="65" t="b">
        <f>导出!P22=计算!P22</f>
        <v>1</v>
      </c>
      <c r="Q22" s="65" t="b">
        <f>导出!Q22=计算!Q22</f>
        <v>1</v>
      </c>
      <c r="R22" s="65" t="b">
        <f>导出!R22=计算!R22</f>
        <v>1</v>
      </c>
      <c r="S22" s="65" t="b">
        <f>导出!S22=计算!S22</f>
        <v>1</v>
      </c>
      <c r="T22" s="65" t="b">
        <f>导出!T22=计算!T22</f>
        <v>1</v>
      </c>
      <c r="U22" s="65" t="b">
        <f>导出!U22=计算!U22</f>
        <v>1</v>
      </c>
      <c r="V22" s="65" t="b">
        <f>导出!V22=计算!V22</f>
        <v>0</v>
      </c>
      <c r="W22" s="65" t="b">
        <f>导出!W22=计算!W22</f>
        <v>1</v>
      </c>
      <c r="X22" s="65" t="b">
        <f>导出!X22=计算!X22</f>
        <v>1</v>
      </c>
      <c r="Y22" s="65" t="b">
        <f>导出!Y22=计算!Y22</f>
        <v>0</v>
      </c>
      <c r="Z22" s="65" t="b">
        <f>导出!Z22=计算!Z22</f>
        <v>1</v>
      </c>
      <c r="AA22" s="65" t="b">
        <f>导出!AA22=计算!AA22</f>
        <v>0</v>
      </c>
      <c r="AB22" s="65" t="b">
        <f>导出!AB22=计算!AB22</f>
        <v>1</v>
      </c>
      <c r="AC22" s="65" t="b">
        <f>导出!AC22=计算!AC22</f>
        <v>1</v>
      </c>
      <c r="AD22" s="65" t="b">
        <f>导出!AD22=计算!AD22</f>
        <v>1</v>
      </c>
      <c r="AE22" s="65" t="b">
        <f>导出!AE22=计算!AE22</f>
        <v>1</v>
      </c>
      <c r="AF22" s="65" t="b">
        <f>导出!AF22=计算!AF22</f>
        <v>1</v>
      </c>
      <c r="AG22" s="65" t="b">
        <f>导出!AG22=计算!AG22</f>
        <v>1</v>
      </c>
      <c r="AH22" s="65" t="b">
        <f>导出!AH22=计算!AH22</f>
        <v>1</v>
      </c>
      <c r="AI22">
        <v>0</v>
      </c>
      <c r="AJ22" s="3">
        <v>41912.686249999999</v>
      </c>
      <c r="AK22" s="2" t="s">
        <v>2263</v>
      </c>
    </row>
    <row r="23" spans="1:37" x14ac:dyDescent="0.15">
      <c r="A23" s="2" t="s">
        <v>2262</v>
      </c>
      <c r="B23">
        <v>404</v>
      </c>
      <c r="C23" s="3">
        <v>40940</v>
      </c>
      <c r="D23" s="2" t="s">
        <v>37</v>
      </c>
      <c r="E23" s="2" t="s">
        <v>2261</v>
      </c>
      <c r="F23" s="2" t="s">
        <v>38</v>
      </c>
      <c r="G23" s="2" t="s">
        <v>85</v>
      </c>
      <c r="H23" s="2" t="s">
        <v>86</v>
      </c>
      <c r="I23" s="65" t="b">
        <f>导出!I23=计算!I23</f>
        <v>1</v>
      </c>
      <c r="J23" s="65" t="b">
        <f>导出!J23=计算!J23</f>
        <v>1</v>
      </c>
      <c r="K23" s="65" t="b">
        <f>导出!K23=计算!K23</f>
        <v>1</v>
      </c>
      <c r="L23" s="65" t="b">
        <f>导出!L23=计算!L23</f>
        <v>1</v>
      </c>
      <c r="M23" s="65" t="b">
        <f>导出!M23=计算!M23</f>
        <v>1</v>
      </c>
      <c r="N23" s="65" t="b">
        <f>导出!N23=计算!N23</f>
        <v>1</v>
      </c>
      <c r="O23" s="65" t="b">
        <f>导出!O23=计算!O23</f>
        <v>1</v>
      </c>
      <c r="P23" s="65" t="b">
        <f>导出!P23=计算!P23</f>
        <v>1</v>
      </c>
      <c r="Q23" s="65" t="b">
        <f>导出!Q23=计算!Q23</f>
        <v>0</v>
      </c>
      <c r="R23" s="65" t="b">
        <f>导出!R23=计算!R23</f>
        <v>1</v>
      </c>
      <c r="S23" s="65" t="b">
        <f>导出!S23=计算!S23</f>
        <v>1</v>
      </c>
      <c r="T23" s="65" t="b">
        <f>导出!T23=计算!T23</f>
        <v>1</v>
      </c>
      <c r="U23" s="65" t="b">
        <f>导出!U23=计算!U23</f>
        <v>1</v>
      </c>
      <c r="V23" s="65" t="b">
        <f>导出!V23=计算!V23</f>
        <v>0</v>
      </c>
      <c r="W23" s="65" t="b">
        <f>导出!W23=计算!W23</f>
        <v>1</v>
      </c>
      <c r="X23" s="65" t="b">
        <f>导出!X23=计算!X23</f>
        <v>1</v>
      </c>
      <c r="Y23" s="65" t="b">
        <f>导出!Y23=计算!Y23</f>
        <v>1</v>
      </c>
      <c r="Z23" s="65" t="b">
        <f>导出!Z23=计算!Z23</f>
        <v>1</v>
      </c>
      <c r="AA23" s="65" t="b">
        <f>导出!AA23=计算!AA23</f>
        <v>0</v>
      </c>
      <c r="AB23" s="65" t="b">
        <f>导出!AB23=计算!AB23</f>
        <v>1</v>
      </c>
      <c r="AC23" s="65" t="b">
        <f>导出!AC23=计算!AC23</f>
        <v>1</v>
      </c>
      <c r="AD23" s="65" t="b">
        <f>导出!AD23=计算!AD23</f>
        <v>1</v>
      </c>
      <c r="AE23" s="65" t="b">
        <f>导出!AE23=计算!AE23</f>
        <v>0</v>
      </c>
      <c r="AF23" s="65" t="b">
        <f>导出!AF23=计算!AF23</f>
        <v>1</v>
      </c>
      <c r="AG23" s="65" t="b">
        <f>导出!AG23=计算!AG23</f>
        <v>1</v>
      </c>
      <c r="AH23" s="65" t="b">
        <f>导出!AH23=计算!AH23</f>
        <v>1</v>
      </c>
      <c r="AI23">
        <v>0</v>
      </c>
      <c r="AJ23" s="3">
        <v>41912.686249999999</v>
      </c>
      <c r="AK23" s="2" t="s">
        <v>2260</v>
      </c>
    </row>
    <row r="24" spans="1:37" x14ac:dyDescent="0.15">
      <c r="A24" s="2" t="s">
        <v>2259</v>
      </c>
      <c r="B24">
        <v>411</v>
      </c>
      <c r="C24" s="3">
        <v>40940</v>
      </c>
      <c r="D24" s="2" t="s">
        <v>37</v>
      </c>
      <c r="E24" s="2" t="s">
        <v>2258</v>
      </c>
      <c r="F24" s="2" t="s">
        <v>38</v>
      </c>
      <c r="G24" s="2" t="s">
        <v>87</v>
      </c>
      <c r="H24" s="2" t="s">
        <v>88</v>
      </c>
      <c r="I24" s="65" t="b">
        <f>导出!I24=计算!I24</f>
        <v>1</v>
      </c>
      <c r="J24" s="65" t="b">
        <f>导出!J24=计算!J24</f>
        <v>1</v>
      </c>
      <c r="K24" s="65" t="b">
        <f>导出!K24=计算!K24</f>
        <v>1</v>
      </c>
      <c r="L24" s="65" t="b">
        <f>导出!L24=计算!L24</f>
        <v>1</v>
      </c>
      <c r="M24" s="65" t="b">
        <f>导出!M24=计算!M24</f>
        <v>1</v>
      </c>
      <c r="N24" s="65" t="b">
        <f>导出!N24=计算!N24</f>
        <v>1</v>
      </c>
      <c r="O24" s="65" t="b">
        <f>导出!O24=计算!O24</f>
        <v>1</v>
      </c>
      <c r="P24" s="65" t="b">
        <f>导出!P24=计算!P24</f>
        <v>1</v>
      </c>
      <c r="Q24" s="65" t="b">
        <f>导出!Q24=计算!Q24</f>
        <v>1</v>
      </c>
      <c r="R24" s="65" t="b">
        <f>导出!R24=计算!R24</f>
        <v>1</v>
      </c>
      <c r="S24" s="65" t="b">
        <f>导出!S24=计算!S24</f>
        <v>1</v>
      </c>
      <c r="T24" s="65" t="b">
        <f>导出!T24=计算!T24</f>
        <v>1</v>
      </c>
      <c r="U24" s="65" t="b">
        <f>导出!U24=计算!U24</f>
        <v>1</v>
      </c>
      <c r="V24" s="65" t="b">
        <f>导出!V24=计算!V24</f>
        <v>0</v>
      </c>
      <c r="W24" s="65" t="b">
        <f>导出!W24=计算!W24</f>
        <v>1</v>
      </c>
      <c r="X24" s="65" t="b">
        <f>导出!X24=计算!X24</f>
        <v>1</v>
      </c>
      <c r="Y24" s="65" t="b">
        <f>导出!Y24=计算!Y24</f>
        <v>1</v>
      </c>
      <c r="Z24" s="65" t="b">
        <f>导出!Z24=计算!Z24</f>
        <v>1</v>
      </c>
      <c r="AA24" s="65" t="b">
        <f>导出!AA24=计算!AA24</f>
        <v>0</v>
      </c>
      <c r="AB24" s="65" t="b">
        <f>导出!AB24=计算!AB24</f>
        <v>1</v>
      </c>
      <c r="AC24" s="65" t="b">
        <f>导出!AC24=计算!AC24</f>
        <v>1</v>
      </c>
      <c r="AD24" s="65" t="b">
        <f>导出!AD24=计算!AD24</f>
        <v>1</v>
      </c>
      <c r="AE24" s="65" t="b">
        <f>导出!AE24=计算!AE24</f>
        <v>1</v>
      </c>
      <c r="AF24" s="65" t="b">
        <f>导出!AF24=计算!AF24</f>
        <v>1</v>
      </c>
      <c r="AG24" s="65" t="b">
        <f>导出!AG24=计算!AG24</f>
        <v>1</v>
      </c>
      <c r="AH24" s="65" t="b">
        <f>导出!AH24=计算!AH24</f>
        <v>1</v>
      </c>
      <c r="AI24">
        <v>0</v>
      </c>
      <c r="AJ24" s="3">
        <v>41912.686249999999</v>
      </c>
      <c r="AK24" s="2" t="s">
        <v>2257</v>
      </c>
    </row>
    <row r="25" spans="1:37" x14ac:dyDescent="0.15">
      <c r="A25" s="2" t="s">
        <v>2256</v>
      </c>
      <c r="B25">
        <v>38</v>
      </c>
      <c r="C25" s="3">
        <v>40940</v>
      </c>
      <c r="D25" s="2" t="s">
        <v>37</v>
      </c>
      <c r="E25" s="2" t="s">
        <v>2255</v>
      </c>
      <c r="F25" s="2" t="s">
        <v>41</v>
      </c>
      <c r="G25" s="2" t="s">
        <v>83</v>
      </c>
      <c r="H25" s="2" t="s">
        <v>84</v>
      </c>
      <c r="I25" s="65" t="b">
        <f>导出!I25=计算!I25</f>
        <v>1</v>
      </c>
      <c r="J25" s="65" t="b">
        <f>导出!J25=计算!J25</f>
        <v>1</v>
      </c>
      <c r="K25" s="65" t="b">
        <f>导出!K25=计算!K25</f>
        <v>1</v>
      </c>
      <c r="L25" s="65" t="b">
        <f>导出!L25=计算!L25</f>
        <v>1</v>
      </c>
      <c r="M25" s="65" t="b">
        <f>导出!M25=计算!M25</f>
        <v>1</v>
      </c>
      <c r="N25" s="65" t="b">
        <f>导出!N25=计算!N25</f>
        <v>1</v>
      </c>
      <c r="O25" s="65" t="b">
        <f>导出!O25=计算!O25</f>
        <v>1</v>
      </c>
      <c r="P25" s="65" t="b">
        <f>导出!P25=计算!P25</f>
        <v>1</v>
      </c>
      <c r="Q25" s="65" t="b">
        <f>导出!Q25=计算!Q25</f>
        <v>1</v>
      </c>
      <c r="R25" s="65" t="b">
        <f>导出!R25=计算!R25</f>
        <v>1</v>
      </c>
      <c r="S25" s="65" t="b">
        <f>导出!S25=计算!S25</f>
        <v>1</v>
      </c>
      <c r="T25" s="65" t="b">
        <f>导出!T25=计算!T25</f>
        <v>1</v>
      </c>
      <c r="U25" s="65" t="b">
        <f>导出!U25=计算!U25</f>
        <v>1</v>
      </c>
      <c r="V25" s="65" t="b">
        <f>导出!V25=计算!V25</f>
        <v>0</v>
      </c>
      <c r="W25" s="65" t="b">
        <f>导出!W25=计算!W25</f>
        <v>1</v>
      </c>
      <c r="X25" s="65" t="b">
        <f>导出!X25=计算!X25</f>
        <v>1</v>
      </c>
      <c r="Y25" s="65" t="b">
        <f>导出!Y25=计算!Y25</f>
        <v>1</v>
      </c>
      <c r="Z25" s="65" t="b">
        <f>导出!Z25=计算!Z25</f>
        <v>1</v>
      </c>
      <c r="AA25" s="65" t="b">
        <f>导出!AA25=计算!AA25</f>
        <v>0</v>
      </c>
      <c r="AB25" s="65" t="b">
        <f>导出!AB25=计算!AB25</f>
        <v>1</v>
      </c>
      <c r="AC25" s="65" t="b">
        <f>导出!AC25=计算!AC25</f>
        <v>1</v>
      </c>
      <c r="AD25" s="65" t="b">
        <f>导出!AD25=计算!AD25</f>
        <v>1</v>
      </c>
      <c r="AE25" s="65" t="b">
        <f>导出!AE25=计算!AE25</f>
        <v>1</v>
      </c>
      <c r="AF25" s="65" t="b">
        <f>导出!AF25=计算!AF25</f>
        <v>1</v>
      </c>
      <c r="AG25" s="65" t="b">
        <f>导出!AG25=计算!AG25</f>
        <v>1</v>
      </c>
      <c r="AH25" s="65" t="b">
        <f>导出!AH25=计算!AH25</f>
        <v>1</v>
      </c>
      <c r="AI25">
        <v>0</v>
      </c>
      <c r="AJ25" s="3">
        <v>41912.6862384259</v>
      </c>
      <c r="AK25" s="2" t="s">
        <v>2254</v>
      </c>
    </row>
    <row r="26" spans="1:37" x14ac:dyDescent="0.15">
      <c r="A26" s="2" t="s">
        <v>2253</v>
      </c>
      <c r="B26">
        <v>43</v>
      </c>
      <c r="C26" s="3">
        <v>40969</v>
      </c>
      <c r="D26" s="2" t="s">
        <v>37</v>
      </c>
      <c r="E26" s="2" t="s">
        <v>2252</v>
      </c>
      <c r="F26" s="2" t="s">
        <v>41</v>
      </c>
      <c r="G26" s="2" t="s">
        <v>91</v>
      </c>
      <c r="H26" s="2" t="s">
        <v>92</v>
      </c>
      <c r="I26" s="65" t="b">
        <f>导出!I26=计算!I26</f>
        <v>1</v>
      </c>
      <c r="J26" s="65" t="b">
        <f>导出!J26=计算!J26</f>
        <v>1</v>
      </c>
      <c r="K26" s="65" t="b">
        <f>导出!K26=计算!K26</f>
        <v>1</v>
      </c>
      <c r="L26" s="65" t="b">
        <f>导出!L26=计算!L26</f>
        <v>1</v>
      </c>
      <c r="M26" s="65" t="b">
        <f>导出!M26=计算!M26</f>
        <v>1</v>
      </c>
      <c r="N26" s="65" t="b">
        <f>导出!N26=计算!N26</f>
        <v>1</v>
      </c>
      <c r="O26" s="65" t="b">
        <f>导出!O26=计算!O26</f>
        <v>1</v>
      </c>
      <c r="P26" s="65" t="b">
        <f>导出!P26=计算!P26</f>
        <v>1</v>
      </c>
      <c r="Q26" s="65" t="b">
        <f>导出!Q26=计算!Q26</f>
        <v>1</v>
      </c>
      <c r="R26" s="65" t="b">
        <f>导出!R26=计算!R26</f>
        <v>1</v>
      </c>
      <c r="S26" s="65" t="b">
        <f>导出!S26=计算!S26</f>
        <v>1</v>
      </c>
      <c r="T26" s="65" t="b">
        <f>导出!T26=计算!T26</f>
        <v>1</v>
      </c>
      <c r="U26" s="65" t="b">
        <f>导出!U26=计算!U26</f>
        <v>1</v>
      </c>
      <c r="V26" s="65" t="b">
        <f>导出!V26=计算!V26</f>
        <v>0</v>
      </c>
      <c r="W26" s="65" t="b">
        <f>导出!W26=计算!W26</f>
        <v>1</v>
      </c>
      <c r="X26" s="65" t="b">
        <f>导出!X26=计算!X26</f>
        <v>1</v>
      </c>
      <c r="Y26" s="65" t="b">
        <f>导出!Y26=计算!Y26</f>
        <v>1</v>
      </c>
      <c r="Z26" s="65" t="b">
        <f>导出!Z26=计算!Z26</f>
        <v>1</v>
      </c>
      <c r="AA26" s="65" t="b">
        <f>导出!AA26=计算!AA26</f>
        <v>1</v>
      </c>
      <c r="AB26" s="65" t="b">
        <f>导出!AB26=计算!AB26</f>
        <v>1</v>
      </c>
      <c r="AC26" s="65" t="b">
        <f>导出!AC26=计算!AC26</f>
        <v>1</v>
      </c>
      <c r="AD26" s="65" t="b">
        <f>导出!AD26=计算!AD26</f>
        <v>1</v>
      </c>
      <c r="AE26" s="65" t="b">
        <f>导出!AE26=计算!AE26</f>
        <v>1</v>
      </c>
      <c r="AF26" s="65" t="b">
        <f>导出!AF26=计算!AF26</f>
        <v>1</v>
      </c>
      <c r="AG26" s="65" t="b">
        <f>导出!AG26=计算!AG26</f>
        <v>1</v>
      </c>
      <c r="AH26" s="65" t="b">
        <f>导出!AH26=计算!AH26</f>
        <v>1</v>
      </c>
      <c r="AI26">
        <v>0</v>
      </c>
      <c r="AJ26" s="3">
        <v>41912.6862384259</v>
      </c>
      <c r="AK26" s="2" t="s">
        <v>2251</v>
      </c>
    </row>
    <row r="27" spans="1:37" x14ac:dyDescent="0.15">
      <c r="A27" s="2" t="s">
        <v>2250</v>
      </c>
      <c r="B27">
        <v>428</v>
      </c>
      <c r="C27" s="3">
        <v>40969</v>
      </c>
      <c r="D27" s="2" t="s">
        <v>37</v>
      </c>
      <c r="E27" s="2" t="s">
        <v>2249</v>
      </c>
      <c r="F27" s="2" t="s">
        <v>38</v>
      </c>
      <c r="G27" s="2" t="s">
        <v>89</v>
      </c>
      <c r="H27" s="2" t="s">
        <v>90</v>
      </c>
      <c r="I27" s="65" t="b">
        <f>导出!I27=计算!I27</f>
        <v>1</v>
      </c>
      <c r="J27" s="65" t="b">
        <f>导出!J27=计算!J27</f>
        <v>1</v>
      </c>
      <c r="K27" s="65" t="b">
        <f>导出!K27=计算!K27</f>
        <v>1</v>
      </c>
      <c r="L27" s="65" t="b">
        <f>导出!L27=计算!L27</f>
        <v>1</v>
      </c>
      <c r="M27" s="65" t="b">
        <f>导出!M27=计算!M27</f>
        <v>1</v>
      </c>
      <c r="N27" s="65" t="b">
        <f>导出!N27=计算!N27</f>
        <v>1</v>
      </c>
      <c r="O27" s="65" t="b">
        <f>导出!O27=计算!O27</f>
        <v>1</v>
      </c>
      <c r="P27" s="65" t="b">
        <f>导出!P27=计算!P27</f>
        <v>1</v>
      </c>
      <c r="Q27" s="65" t="b">
        <f>导出!Q27=计算!Q27</f>
        <v>1</v>
      </c>
      <c r="R27" s="65" t="b">
        <f>导出!R27=计算!R27</f>
        <v>1</v>
      </c>
      <c r="S27" s="65" t="b">
        <f>导出!S27=计算!S27</f>
        <v>1</v>
      </c>
      <c r="T27" s="65" t="b">
        <f>导出!T27=计算!T27</f>
        <v>1</v>
      </c>
      <c r="U27" s="65" t="b">
        <f>导出!U27=计算!U27</f>
        <v>1</v>
      </c>
      <c r="V27" s="65" t="b">
        <f>导出!V27=计算!V27</f>
        <v>0</v>
      </c>
      <c r="W27" s="65" t="b">
        <f>导出!W27=计算!W27</f>
        <v>1</v>
      </c>
      <c r="X27" s="65" t="b">
        <f>导出!X27=计算!X27</f>
        <v>1</v>
      </c>
      <c r="Y27" s="65" t="b">
        <f>导出!Y27=计算!Y27</f>
        <v>1</v>
      </c>
      <c r="Z27" s="65" t="b">
        <f>导出!Z27=计算!Z27</f>
        <v>1</v>
      </c>
      <c r="AA27" s="65" t="b">
        <f>导出!AA27=计算!AA27</f>
        <v>0</v>
      </c>
      <c r="AB27" s="65" t="b">
        <f>导出!AB27=计算!AB27</f>
        <v>1</v>
      </c>
      <c r="AC27" s="65" t="b">
        <f>导出!AC27=计算!AC27</f>
        <v>1</v>
      </c>
      <c r="AD27" s="65" t="b">
        <f>导出!AD27=计算!AD27</f>
        <v>1</v>
      </c>
      <c r="AE27" s="65" t="b">
        <f>导出!AE27=计算!AE27</f>
        <v>1</v>
      </c>
      <c r="AF27" s="65" t="b">
        <f>导出!AF27=计算!AF27</f>
        <v>1</v>
      </c>
      <c r="AG27" s="65" t="b">
        <f>导出!AG27=计算!AG27</f>
        <v>1</v>
      </c>
      <c r="AH27" s="65" t="b">
        <f>导出!AH27=计算!AH27</f>
        <v>1</v>
      </c>
      <c r="AI27">
        <v>0</v>
      </c>
      <c r="AJ27" s="3">
        <v>41912.686249999999</v>
      </c>
      <c r="AK27" s="2" t="s">
        <v>2248</v>
      </c>
    </row>
    <row r="28" spans="1:37" x14ac:dyDescent="0.15">
      <c r="A28" s="2" t="s">
        <v>2247</v>
      </c>
      <c r="B28">
        <v>438</v>
      </c>
      <c r="C28" s="3">
        <v>40988</v>
      </c>
      <c r="D28" s="2" t="s">
        <v>37</v>
      </c>
      <c r="E28" s="2" t="s">
        <v>2246</v>
      </c>
      <c r="F28" s="2" t="s">
        <v>38</v>
      </c>
      <c r="G28" s="2" t="s">
        <v>93</v>
      </c>
      <c r="H28" s="2" t="s">
        <v>94</v>
      </c>
      <c r="I28" s="65" t="b">
        <f>导出!I28=计算!I28</f>
        <v>1</v>
      </c>
      <c r="J28" s="65" t="b">
        <f>导出!J28=计算!J28</f>
        <v>1</v>
      </c>
      <c r="K28" s="65" t="b">
        <f>导出!K28=计算!K28</f>
        <v>1</v>
      </c>
      <c r="L28" s="65" t="b">
        <f>导出!L28=计算!L28</f>
        <v>1</v>
      </c>
      <c r="M28" s="65" t="b">
        <f>导出!M28=计算!M28</f>
        <v>1</v>
      </c>
      <c r="N28" s="65" t="b">
        <f>导出!N28=计算!N28</f>
        <v>0</v>
      </c>
      <c r="O28" s="65" t="b">
        <f>导出!O28=计算!O28</f>
        <v>1</v>
      </c>
      <c r="P28" s="65" t="b">
        <f>导出!P28=计算!P28</f>
        <v>1</v>
      </c>
      <c r="Q28" s="65" t="b">
        <f>导出!Q28=计算!Q28</f>
        <v>0</v>
      </c>
      <c r="R28" s="65" t="b">
        <f>导出!R28=计算!R28</f>
        <v>1</v>
      </c>
      <c r="S28" s="65" t="b">
        <f>导出!S28=计算!S28</f>
        <v>1</v>
      </c>
      <c r="T28" s="65" t="b">
        <f>导出!T28=计算!T28</f>
        <v>1</v>
      </c>
      <c r="U28" s="65" t="b">
        <f>导出!U28=计算!U28</f>
        <v>1</v>
      </c>
      <c r="V28" s="65" t="b">
        <f>导出!V28=计算!V28</f>
        <v>0</v>
      </c>
      <c r="W28" s="65" t="b">
        <f>导出!W28=计算!W28</f>
        <v>1</v>
      </c>
      <c r="X28" s="65" t="b">
        <f>导出!X28=计算!X28</f>
        <v>1</v>
      </c>
      <c r="Y28" s="65" t="b">
        <f>导出!Y28=计算!Y28</f>
        <v>1</v>
      </c>
      <c r="Z28" s="65" t="b">
        <f>导出!Z28=计算!Z28</f>
        <v>1</v>
      </c>
      <c r="AA28" s="65" t="b">
        <f>导出!AA28=计算!AA28</f>
        <v>0</v>
      </c>
      <c r="AB28" s="65" t="b">
        <f>导出!AB28=计算!AB28</f>
        <v>0</v>
      </c>
      <c r="AC28" s="65" t="b">
        <f>导出!AC28=计算!AC28</f>
        <v>1</v>
      </c>
      <c r="AD28" s="65" t="b">
        <f>导出!AD28=计算!AD28</f>
        <v>1</v>
      </c>
      <c r="AE28" s="65" t="b">
        <f>导出!AE28=计算!AE28</f>
        <v>0</v>
      </c>
      <c r="AF28" s="65" t="b">
        <f>导出!AF28=计算!AF28</f>
        <v>1</v>
      </c>
      <c r="AG28" s="65" t="b">
        <f>导出!AG28=计算!AG28</f>
        <v>1</v>
      </c>
      <c r="AH28" s="65" t="b">
        <f>导出!AH28=计算!AH28</f>
        <v>1</v>
      </c>
      <c r="AI28">
        <v>0</v>
      </c>
      <c r="AJ28" s="3">
        <v>41912.686249999999</v>
      </c>
      <c r="AK28" s="2" t="s">
        <v>2245</v>
      </c>
    </row>
    <row r="29" spans="1:37" x14ac:dyDescent="0.15">
      <c r="A29" s="2" t="s">
        <v>2244</v>
      </c>
      <c r="B29">
        <v>447</v>
      </c>
      <c r="C29" s="3">
        <v>40988</v>
      </c>
      <c r="D29" s="2" t="s">
        <v>37</v>
      </c>
      <c r="E29" s="2" t="s">
        <v>2243</v>
      </c>
      <c r="F29" s="2" t="s">
        <v>38</v>
      </c>
      <c r="G29" s="2" t="s">
        <v>95</v>
      </c>
      <c r="H29" s="2" t="s">
        <v>96</v>
      </c>
      <c r="I29" s="65" t="b">
        <f>导出!I29=计算!I29</f>
        <v>1</v>
      </c>
      <c r="J29" s="65" t="b">
        <f>导出!J29=计算!J29</f>
        <v>1</v>
      </c>
      <c r="K29" s="65" t="b">
        <f>导出!K29=计算!K29</f>
        <v>1</v>
      </c>
      <c r="L29" s="65" t="b">
        <f>导出!L29=计算!L29</f>
        <v>1</v>
      </c>
      <c r="M29" s="65" t="b">
        <f>导出!M29=计算!M29</f>
        <v>1</v>
      </c>
      <c r="N29" s="65" t="b">
        <f>导出!N29=计算!N29</f>
        <v>1</v>
      </c>
      <c r="O29" s="65" t="b">
        <f>导出!O29=计算!O29</f>
        <v>1</v>
      </c>
      <c r="P29" s="65" t="b">
        <f>导出!P29=计算!P29</f>
        <v>1</v>
      </c>
      <c r="Q29" s="65" t="b">
        <f>导出!Q29=计算!Q29</f>
        <v>0</v>
      </c>
      <c r="R29" s="65" t="b">
        <f>导出!R29=计算!R29</f>
        <v>1</v>
      </c>
      <c r="S29" s="65" t="b">
        <f>导出!S29=计算!S29</f>
        <v>1</v>
      </c>
      <c r="T29" s="65" t="b">
        <f>导出!T29=计算!T29</f>
        <v>1</v>
      </c>
      <c r="U29" s="65" t="b">
        <f>导出!U29=计算!U29</f>
        <v>1</v>
      </c>
      <c r="V29" s="65" t="b">
        <f>导出!V29=计算!V29</f>
        <v>0</v>
      </c>
      <c r="W29" s="65" t="b">
        <f>导出!W29=计算!W29</f>
        <v>1</v>
      </c>
      <c r="X29" s="65" t="b">
        <f>导出!X29=计算!X29</f>
        <v>1</v>
      </c>
      <c r="Y29" s="65" t="b">
        <f>导出!Y29=计算!Y29</f>
        <v>1</v>
      </c>
      <c r="Z29" s="65" t="b">
        <f>导出!Z29=计算!Z29</f>
        <v>1</v>
      </c>
      <c r="AA29" s="65" t="b">
        <f>导出!AA29=计算!AA29</f>
        <v>0</v>
      </c>
      <c r="AB29" s="65" t="b">
        <f>导出!AB29=计算!AB29</f>
        <v>0</v>
      </c>
      <c r="AC29" s="65" t="b">
        <f>导出!AC29=计算!AC29</f>
        <v>1</v>
      </c>
      <c r="AD29" s="65" t="b">
        <f>导出!AD29=计算!AD29</f>
        <v>1</v>
      </c>
      <c r="AE29" s="65" t="b">
        <f>导出!AE29=计算!AE29</f>
        <v>0</v>
      </c>
      <c r="AF29" s="65" t="b">
        <f>导出!AF29=计算!AF29</f>
        <v>1</v>
      </c>
      <c r="AG29" s="65" t="b">
        <f>导出!AG29=计算!AG29</f>
        <v>1</v>
      </c>
      <c r="AH29" s="65" t="b">
        <f>导出!AH29=计算!AH29</f>
        <v>1</v>
      </c>
      <c r="AI29">
        <v>0</v>
      </c>
      <c r="AJ29" s="3">
        <v>41912.686249999999</v>
      </c>
      <c r="AK29" s="2" t="s">
        <v>2242</v>
      </c>
    </row>
    <row r="30" spans="1:37" x14ac:dyDescent="0.15">
      <c r="A30" s="2" t="s">
        <v>2241</v>
      </c>
      <c r="B30">
        <v>455</v>
      </c>
      <c r="C30" s="3">
        <v>40989</v>
      </c>
      <c r="D30" s="2" t="s">
        <v>37</v>
      </c>
      <c r="E30" s="2" t="s">
        <v>2240</v>
      </c>
      <c r="F30" s="2" t="s">
        <v>38</v>
      </c>
      <c r="G30" s="2" t="s">
        <v>98</v>
      </c>
      <c r="H30" s="2" t="s">
        <v>99</v>
      </c>
      <c r="I30" s="65" t="b">
        <f>导出!I30=计算!I30</f>
        <v>1</v>
      </c>
      <c r="J30" s="65" t="b">
        <f>导出!J30=计算!J30</f>
        <v>1</v>
      </c>
      <c r="K30" s="65" t="b">
        <f>导出!K30=计算!K30</f>
        <v>1</v>
      </c>
      <c r="L30" s="65" t="b">
        <f>导出!L30=计算!L30</f>
        <v>1</v>
      </c>
      <c r="M30" s="65" t="b">
        <f>导出!M30=计算!M30</f>
        <v>1</v>
      </c>
      <c r="N30" s="65" t="b">
        <f>导出!N30=计算!N30</f>
        <v>1</v>
      </c>
      <c r="O30" s="65" t="b">
        <f>导出!O30=计算!O30</f>
        <v>1</v>
      </c>
      <c r="P30" s="65" t="b">
        <f>导出!P30=计算!P30</f>
        <v>1</v>
      </c>
      <c r="Q30" s="65" t="b">
        <f>导出!Q30=计算!Q30</f>
        <v>0</v>
      </c>
      <c r="R30" s="65" t="b">
        <f>导出!R30=计算!R30</f>
        <v>1</v>
      </c>
      <c r="S30" s="65" t="b">
        <f>导出!S30=计算!S30</f>
        <v>1</v>
      </c>
      <c r="T30" s="65" t="b">
        <f>导出!T30=计算!T30</f>
        <v>1</v>
      </c>
      <c r="U30" s="65" t="b">
        <f>导出!U30=计算!U30</f>
        <v>1</v>
      </c>
      <c r="V30" s="65" t="b">
        <f>导出!V30=计算!V30</f>
        <v>0</v>
      </c>
      <c r="W30" s="65" t="b">
        <f>导出!W30=计算!W30</f>
        <v>1</v>
      </c>
      <c r="X30" s="65" t="b">
        <f>导出!X30=计算!X30</f>
        <v>1</v>
      </c>
      <c r="Y30" s="65" t="b">
        <f>导出!Y30=计算!Y30</f>
        <v>1</v>
      </c>
      <c r="Z30" s="65" t="b">
        <f>导出!Z30=计算!Z30</f>
        <v>1</v>
      </c>
      <c r="AA30" s="65" t="b">
        <f>导出!AA30=计算!AA30</f>
        <v>0</v>
      </c>
      <c r="AB30" s="65" t="b">
        <f>导出!AB30=计算!AB30</f>
        <v>1</v>
      </c>
      <c r="AC30" s="65" t="b">
        <f>导出!AC30=计算!AC30</f>
        <v>1</v>
      </c>
      <c r="AD30" s="65" t="b">
        <f>导出!AD30=计算!AD30</f>
        <v>1</v>
      </c>
      <c r="AE30" s="65" t="b">
        <f>导出!AE30=计算!AE30</f>
        <v>1</v>
      </c>
      <c r="AF30" s="65" t="b">
        <f>导出!AF30=计算!AF30</f>
        <v>1</v>
      </c>
      <c r="AG30" s="65" t="b">
        <f>导出!AG30=计算!AG30</f>
        <v>1</v>
      </c>
      <c r="AH30" s="65" t="b">
        <f>导出!AH30=计算!AH30</f>
        <v>1</v>
      </c>
      <c r="AI30">
        <v>0</v>
      </c>
      <c r="AJ30" s="3">
        <v>41912.686249999999</v>
      </c>
      <c r="AK30" s="2" t="s">
        <v>2239</v>
      </c>
    </row>
    <row r="31" spans="1:37" x14ac:dyDescent="0.15">
      <c r="A31" s="2" t="s">
        <v>2238</v>
      </c>
      <c r="B31">
        <v>463</v>
      </c>
      <c r="C31" s="3">
        <v>40998</v>
      </c>
      <c r="D31" s="2" t="s">
        <v>37</v>
      </c>
      <c r="E31" s="2" t="s">
        <v>2237</v>
      </c>
      <c r="F31" s="2" t="s">
        <v>38</v>
      </c>
      <c r="G31" s="2" t="s">
        <v>101</v>
      </c>
      <c r="H31" s="2" t="s">
        <v>102</v>
      </c>
      <c r="I31" s="65" t="b">
        <f>导出!I31=计算!I31</f>
        <v>1</v>
      </c>
      <c r="J31" s="65" t="b">
        <f>导出!J31=计算!J31</f>
        <v>1</v>
      </c>
      <c r="K31" s="65" t="b">
        <f>导出!K31=计算!K31</f>
        <v>1</v>
      </c>
      <c r="L31" s="65" t="b">
        <f>导出!L31=计算!L31</f>
        <v>1</v>
      </c>
      <c r="M31" s="65" t="b">
        <f>导出!M31=计算!M31</f>
        <v>1</v>
      </c>
      <c r="N31" s="65" t="b">
        <f>导出!N31=计算!N31</f>
        <v>1</v>
      </c>
      <c r="O31" s="65" t="b">
        <f>导出!O31=计算!O31</f>
        <v>1</v>
      </c>
      <c r="P31" s="65" t="b">
        <f>导出!P31=计算!P31</f>
        <v>1</v>
      </c>
      <c r="Q31" s="65" t="b">
        <f>导出!Q31=计算!Q31</f>
        <v>0</v>
      </c>
      <c r="R31" s="65" t="b">
        <f>导出!R31=计算!R31</f>
        <v>1</v>
      </c>
      <c r="S31" s="65" t="b">
        <f>导出!S31=计算!S31</f>
        <v>1</v>
      </c>
      <c r="T31" s="65" t="b">
        <f>导出!T31=计算!T31</f>
        <v>1</v>
      </c>
      <c r="U31" s="65" t="b">
        <f>导出!U31=计算!U31</f>
        <v>1</v>
      </c>
      <c r="V31" s="65" t="b">
        <f>导出!V31=计算!V31</f>
        <v>0</v>
      </c>
      <c r="W31" s="65" t="b">
        <f>导出!W31=计算!W31</f>
        <v>1</v>
      </c>
      <c r="X31" s="65" t="b">
        <f>导出!X31=计算!X31</f>
        <v>1</v>
      </c>
      <c r="Y31" s="65" t="b">
        <f>导出!Y31=计算!Y31</f>
        <v>1</v>
      </c>
      <c r="Z31" s="65" t="b">
        <f>导出!Z31=计算!Z31</f>
        <v>1</v>
      </c>
      <c r="AA31" s="65" t="b">
        <f>导出!AA31=计算!AA31</f>
        <v>1</v>
      </c>
      <c r="AB31" s="65" t="b">
        <f>导出!AB31=计算!AB31</f>
        <v>1</v>
      </c>
      <c r="AC31" s="65" t="b">
        <f>导出!AC31=计算!AC31</f>
        <v>1</v>
      </c>
      <c r="AD31" s="65" t="b">
        <f>导出!AD31=计算!AD31</f>
        <v>1</v>
      </c>
      <c r="AE31" s="65" t="b">
        <f>导出!AE31=计算!AE31</f>
        <v>1</v>
      </c>
      <c r="AF31" s="65" t="b">
        <f>导出!AF31=计算!AF31</f>
        <v>1</v>
      </c>
      <c r="AG31" s="65" t="b">
        <f>导出!AG31=计算!AG31</f>
        <v>1</v>
      </c>
      <c r="AH31" s="65" t="b">
        <f>导出!AH31=计算!AH31</f>
        <v>1</v>
      </c>
      <c r="AI31">
        <v>0</v>
      </c>
      <c r="AJ31" s="3">
        <v>41912.686249999999</v>
      </c>
      <c r="AK31" s="2" t="s">
        <v>2236</v>
      </c>
    </row>
    <row r="32" spans="1:37" x14ac:dyDescent="0.15">
      <c r="A32" s="2" t="s">
        <v>2235</v>
      </c>
      <c r="B32">
        <v>479</v>
      </c>
      <c r="C32" s="3">
        <v>41000</v>
      </c>
      <c r="D32" s="2" t="s">
        <v>37</v>
      </c>
      <c r="E32" s="2" t="s">
        <v>2234</v>
      </c>
      <c r="F32" s="2" t="s">
        <v>38</v>
      </c>
      <c r="G32" s="2" t="s">
        <v>108</v>
      </c>
      <c r="H32" s="2" t="s">
        <v>109</v>
      </c>
      <c r="I32" s="65" t="b">
        <f>导出!I32=计算!I32</f>
        <v>1</v>
      </c>
      <c r="J32" s="65" t="b">
        <f>导出!J32=计算!J32</f>
        <v>1</v>
      </c>
      <c r="K32" s="65" t="b">
        <f>导出!K32=计算!K32</f>
        <v>1</v>
      </c>
      <c r="L32" s="65" t="b">
        <f>导出!L32=计算!L32</f>
        <v>1</v>
      </c>
      <c r="M32" s="65" t="b">
        <f>导出!M32=计算!M32</f>
        <v>1</v>
      </c>
      <c r="N32" s="65" t="b">
        <f>导出!N32=计算!N32</f>
        <v>1</v>
      </c>
      <c r="O32" s="65" t="b">
        <f>导出!O32=计算!O32</f>
        <v>1</v>
      </c>
      <c r="P32" s="65" t="b">
        <f>导出!P32=计算!P32</f>
        <v>1</v>
      </c>
      <c r="Q32" s="65" t="b">
        <f>导出!Q32=计算!Q32</f>
        <v>1</v>
      </c>
      <c r="R32" s="65" t="b">
        <f>导出!R32=计算!R32</f>
        <v>1</v>
      </c>
      <c r="S32" s="65" t="b">
        <f>导出!S32=计算!S32</f>
        <v>1</v>
      </c>
      <c r="T32" s="65" t="b">
        <f>导出!T32=计算!T32</f>
        <v>1</v>
      </c>
      <c r="U32" s="65" t="b">
        <f>导出!U32=计算!U32</f>
        <v>1</v>
      </c>
      <c r="V32" s="65" t="b">
        <f>导出!V32=计算!V32</f>
        <v>0</v>
      </c>
      <c r="W32" s="65" t="b">
        <f>导出!W32=计算!W32</f>
        <v>1</v>
      </c>
      <c r="X32" s="65" t="b">
        <f>导出!X32=计算!X32</f>
        <v>1</v>
      </c>
      <c r="Y32" s="65" t="b">
        <f>导出!Y32=计算!Y32</f>
        <v>1</v>
      </c>
      <c r="Z32" s="65" t="b">
        <f>导出!Z32=计算!Z32</f>
        <v>1</v>
      </c>
      <c r="AA32" s="65" t="b">
        <f>导出!AA32=计算!AA32</f>
        <v>0</v>
      </c>
      <c r="AB32" s="65" t="b">
        <f>导出!AB32=计算!AB32</f>
        <v>1</v>
      </c>
      <c r="AC32" s="65" t="b">
        <f>导出!AC32=计算!AC32</f>
        <v>1</v>
      </c>
      <c r="AD32" s="65" t="b">
        <f>导出!AD32=计算!AD32</f>
        <v>1</v>
      </c>
      <c r="AE32" s="65" t="b">
        <f>导出!AE32=计算!AE32</f>
        <v>0</v>
      </c>
      <c r="AF32" s="65" t="b">
        <f>导出!AF32=计算!AF32</f>
        <v>1</v>
      </c>
      <c r="AG32" s="65" t="b">
        <f>导出!AG32=计算!AG32</f>
        <v>1</v>
      </c>
      <c r="AH32" s="65" t="b">
        <f>导出!AH32=计算!AH32</f>
        <v>1</v>
      </c>
      <c r="AI32">
        <v>0</v>
      </c>
      <c r="AJ32" s="3">
        <v>41912.686249999999</v>
      </c>
      <c r="AK32" s="2" t="s">
        <v>2233</v>
      </c>
    </row>
    <row r="33" spans="1:37" x14ac:dyDescent="0.15">
      <c r="A33" s="2" t="s">
        <v>2232</v>
      </c>
      <c r="B33">
        <v>47</v>
      </c>
      <c r="C33" s="3">
        <v>41000</v>
      </c>
      <c r="D33" s="2" t="s">
        <v>37</v>
      </c>
      <c r="E33" s="2" t="s">
        <v>2231</v>
      </c>
      <c r="F33" s="2" t="s">
        <v>41</v>
      </c>
      <c r="G33" s="2" t="s">
        <v>106</v>
      </c>
      <c r="H33" s="2" t="s">
        <v>107</v>
      </c>
      <c r="I33" s="65" t="b">
        <f>导出!I33=计算!I33</f>
        <v>1</v>
      </c>
      <c r="J33" s="65" t="b">
        <f>导出!J33=计算!J33</f>
        <v>1</v>
      </c>
      <c r="K33" s="65" t="b">
        <f>导出!K33=计算!K33</f>
        <v>1</v>
      </c>
      <c r="L33" s="65" t="b">
        <f>导出!L33=计算!L33</f>
        <v>1</v>
      </c>
      <c r="M33" s="65" t="b">
        <f>导出!M33=计算!M33</f>
        <v>1</v>
      </c>
      <c r="N33" s="65" t="b">
        <f>导出!N33=计算!N33</f>
        <v>1</v>
      </c>
      <c r="O33" s="65" t="b">
        <f>导出!O33=计算!O33</f>
        <v>1</v>
      </c>
      <c r="P33" s="65" t="b">
        <f>导出!P33=计算!P33</f>
        <v>1</v>
      </c>
      <c r="Q33" s="65" t="b">
        <f>导出!Q33=计算!Q33</f>
        <v>0</v>
      </c>
      <c r="R33" s="65" t="b">
        <f>导出!R33=计算!R33</f>
        <v>1</v>
      </c>
      <c r="S33" s="65" t="b">
        <f>导出!S33=计算!S33</f>
        <v>1</v>
      </c>
      <c r="T33" s="65" t="b">
        <f>导出!T33=计算!T33</f>
        <v>1</v>
      </c>
      <c r="U33" s="65" t="b">
        <f>导出!U33=计算!U33</f>
        <v>1</v>
      </c>
      <c r="V33" s="65" t="b">
        <f>导出!V33=计算!V33</f>
        <v>0</v>
      </c>
      <c r="W33" s="65" t="b">
        <f>导出!W33=计算!W33</f>
        <v>1</v>
      </c>
      <c r="X33" s="65" t="b">
        <f>导出!X33=计算!X33</f>
        <v>1</v>
      </c>
      <c r="Y33" s="65" t="b">
        <f>导出!Y33=计算!Y33</f>
        <v>1</v>
      </c>
      <c r="Z33" s="65" t="b">
        <f>导出!Z33=计算!Z33</f>
        <v>1</v>
      </c>
      <c r="AA33" s="65" t="b">
        <f>导出!AA33=计算!AA33</f>
        <v>1</v>
      </c>
      <c r="AB33" s="65" t="b">
        <f>导出!AB33=计算!AB33</f>
        <v>1</v>
      </c>
      <c r="AC33" s="65" t="b">
        <f>导出!AC33=计算!AC33</f>
        <v>1</v>
      </c>
      <c r="AD33" s="65" t="b">
        <f>导出!AD33=计算!AD33</f>
        <v>1</v>
      </c>
      <c r="AE33" s="65" t="b">
        <f>导出!AE33=计算!AE33</f>
        <v>1</v>
      </c>
      <c r="AF33" s="65" t="b">
        <f>导出!AF33=计算!AF33</f>
        <v>1</v>
      </c>
      <c r="AG33" s="65" t="b">
        <f>导出!AG33=计算!AG33</f>
        <v>1</v>
      </c>
      <c r="AH33" s="65" t="b">
        <f>导出!AH33=计算!AH33</f>
        <v>1</v>
      </c>
      <c r="AI33">
        <v>0</v>
      </c>
      <c r="AJ33" s="3">
        <v>41912.6862384259</v>
      </c>
      <c r="AK33" s="2" t="s">
        <v>2230</v>
      </c>
    </row>
    <row r="34" spans="1:37" x14ac:dyDescent="0.15">
      <c r="A34" s="2" t="s">
        <v>2229</v>
      </c>
      <c r="B34">
        <v>430</v>
      </c>
      <c r="C34" s="3">
        <v>41000</v>
      </c>
      <c r="D34" s="2" t="s">
        <v>37</v>
      </c>
      <c r="E34" s="2" t="s">
        <v>2228</v>
      </c>
      <c r="F34" s="2" t="s">
        <v>38</v>
      </c>
      <c r="G34" s="2" t="s">
        <v>104</v>
      </c>
      <c r="H34" s="2" t="s">
        <v>105</v>
      </c>
      <c r="I34" s="65" t="b">
        <f>导出!I34=计算!I34</f>
        <v>1</v>
      </c>
      <c r="J34" s="65" t="b">
        <f>导出!J34=计算!J34</f>
        <v>1</v>
      </c>
      <c r="K34" s="65" t="b">
        <f>导出!K34=计算!K34</f>
        <v>1</v>
      </c>
      <c r="L34" s="65" t="b">
        <f>导出!L34=计算!L34</f>
        <v>1</v>
      </c>
      <c r="M34" s="65" t="b">
        <f>导出!M34=计算!M34</f>
        <v>1</v>
      </c>
      <c r="N34" s="65" t="b">
        <f>导出!N34=计算!N34</f>
        <v>1</v>
      </c>
      <c r="O34" s="65" t="b">
        <f>导出!O34=计算!O34</f>
        <v>1</v>
      </c>
      <c r="P34" s="65" t="b">
        <f>导出!P34=计算!P34</f>
        <v>1</v>
      </c>
      <c r="Q34" s="65" t="b">
        <f>导出!Q34=计算!Q34</f>
        <v>1</v>
      </c>
      <c r="R34" s="65" t="b">
        <f>导出!R34=计算!R34</f>
        <v>1</v>
      </c>
      <c r="S34" s="65" t="b">
        <f>导出!S34=计算!S34</f>
        <v>1</v>
      </c>
      <c r="T34" s="65" t="b">
        <f>导出!T34=计算!T34</f>
        <v>1</v>
      </c>
      <c r="U34" s="65" t="b">
        <f>导出!U34=计算!U34</f>
        <v>1</v>
      </c>
      <c r="V34" s="65" t="b">
        <f>导出!V34=计算!V34</f>
        <v>1</v>
      </c>
      <c r="W34" s="65" t="b">
        <f>导出!W34=计算!W34</f>
        <v>1</v>
      </c>
      <c r="X34" s="65" t="b">
        <f>导出!X34=计算!X34</f>
        <v>1</v>
      </c>
      <c r="Y34" s="65" t="b">
        <f>导出!Y34=计算!Y34</f>
        <v>1</v>
      </c>
      <c r="Z34" s="65" t="b">
        <f>导出!Z34=计算!Z34</f>
        <v>1</v>
      </c>
      <c r="AA34" s="65" t="b">
        <f>导出!AA34=计算!AA34</f>
        <v>0</v>
      </c>
      <c r="AB34" s="65" t="b">
        <f>导出!AB34=计算!AB34</f>
        <v>1</v>
      </c>
      <c r="AC34" s="65" t="b">
        <f>导出!AC34=计算!AC34</f>
        <v>1</v>
      </c>
      <c r="AD34" s="65" t="b">
        <f>导出!AD34=计算!AD34</f>
        <v>1</v>
      </c>
      <c r="AE34" s="65" t="b">
        <f>导出!AE34=计算!AE34</f>
        <v>1</v>
      </c>
      <c r="AF34" s="65" t="b">
        <f>导出!AF34=计算!AF34</f>
        <v>1</v>
      </c>
      <c r="AG34" s="65" t="b">
        <f>导出!AG34=计算!AG34</f>
        <v>1</v>
      </c>
      <c r="AH34" s="65" t="b">
        <f>导出!AH34=计算!AH34</f>
        <v>1</v>
      </c>
      <c r="AI34">
        <v>0</v>
      </c>
      <c r="AJ34" s="3">
        <v>41912.686249999999</v>
      </c>
      <c r="AK34" s="2" t="s">
        <v>2227</v>
      </c>
    </row>
    <row r="35" spans="1:37" x14ac:dyDescent="0.15">
      <c r="A35" s="2" t="s">
        <v>2226</v>
      </c>
      <c r="B35">
        <v>471</v>
      </c>
      <c r="C35" s="3">
        <v>41006</v>
      </c>
      <c r="D35" s="2" t="s">
        <v>37</v>
      </c>
      <c r="E35" s="2" t="s">
        <v>2225</v>
      </c>
      <c r="F35" s="2" t="s">
        <v>38</v>
      </c>
      <c r="G35" s="2" t="s">
        <v>110</v>
      </c>
      <c r="H35" s="2" t="s">
        <v>111</v>
      </c>
      <c r="I35" s="65" t="b">
        <f>导出!I35=计算!I35</f>
        <v>1</v>
      </c>
      <c r="J35" s="65" t="b">
        <f>导出!J35=计算!J35</f>
        <v>1</v>
      </c>
      <c r="K35" s="65" t="b">
        <f>导出!K35=计算!K35</f>
        <v>1</v>
      </c>
      <c r="L35" s="65" t="b">
        <f>导出!L35=计算!L35</f>
        <v>1</v>
      </c>
      <c r="M35" s="65" t="b">
        <f>导出!M35=计算!M35</f>
        <v>1</v>
      </c>
      <c r="N35" s="65" t="b">
        <f>导出!N35=计算!N35</f>
        <v>1</v>
      </c>
      <c r="O35" s="65" t="b">
        <f>导出!O35=计算!O35</f>
        <v>1</v>
      </c>
      <c r="P35" s="65" t="b">
        <f>导出!P35=计算!P35</f>
        <v>1</v>
      </c>
      <c r="Q35" s="65" t="b">
        <f>导出!Q35=计算!Q35</f>
        <v>0</v>
      </c>
      <c r="R35" s="65" t="b">
        <f>导出!R35=计算!R35</f>
        <v>1</v>
      </c>
      <c r="S35" s="65" t="b">
        <f>导出!S35=计算!S35</f>
        <v>1</v>
      </c>
      <c r="T35" s="65" t="b">
        <f>导出!T35=计算!T35</f>
        <v>1</v>
      </c>
      <c r="U35" s="65" t="b">
        <f>导出!U35=计算!U35</f>
        <v>1</v>
      </c>
      <c r="V35" s="65" t="b">
        <f>导出!V35=计算!V35</f>
        <v>0</v>
      </c>
      <c r="W35" s="65" t="b">
        <f>导出!W35=计算!W35</f>
        <v>1</v>
      </c>
      <c r="X35" s="65" t="b">
        <f>导出!X35=计算!X35</f>
        <v>1</v>
      </c>
      <c r="Y35" s="65" t="b">
        <f>导出!Y35=计算!Y35</f>
        <v>1</v>
      </c>
      <c r="Z35" s="65" t="b">
        <f>导出!Z35=计算!Z35</f>
        <v>1</v>
      </c>
      <c r="AA35" s="65" t="b">
        <f>导出!AA35=计算!AA35</f>
        <v>0</v>
      </c>
      <c r="AB35" s="65" t="b">
        <f>导出!AB35=计算!AB35</f>
        <v>1</v>
      </c>
      <c r="AC35" s="65" t="b">
        <f>导出!AC35=计算!AC35</f>
        <v>1</v>
      </c>
      <c r="AD35" s="65" t="b">
        <f>导出!AD35=计算!AD35</f>
        <v>1</v>
      </c>
      <c r="AE35" s="65" t="b">
        <f>导出!AE35=计算!AE35</f>
        <v>0</v>
      </c>
      <c r="AF35" s="65" t="b">
        <f>导出!AF35=计算!AF35</f>
        <v>1</v>
      </c>
      <c r="AG35" s="65" t="b">
        <f>导出!AG35=计算!AG35</f>
        <v>1</v>
      </c>
      <c r="AH35" s="65" t="b">
        <f>导出!AH35=计算!AH35</f>
        <v>1</v>
      </c>
      <c r="AI35">
        <v>0</v>
      </c>
      <c r="AJ35" s="3">
        <v>41912.686249999999</v>
      </c>
      <c r="AK35" s="2" t="s">
        <v>2224</v>
      </c>
    </row>
    <row r="36" spans="1:37" x14ac:dyDescent="0.15">
      <c r="A36" s="2" t="s">
        <v>2223</v>
      </c>
      <c r="B36">
        <v>503</v>
      </c>
      <c r="C36" s="3">
        <v>41030</v>
      </c>
      <c r="D36" s="2" t="s">
        <v>37</v>
      </c>
      <c r="E36" s="2" t="s">
        <v>2222</v>
      </c>
      <c r="F36" s="2" t="s">
        <v>38</v>
      </c>
      <c r="G36" s="2" t="s">
        <v>114</v>
      </c>
      <c r="H36" s="2" t="s">
        <v>115</v>
      </c>
      <c r="I36" s="65" t="b">
        <f>导出!I36=计算!I36</f>
        <v>1</v>
      </c>
      <c r="J36" s="65" t="b">
        <f>导出!J36=计算!J36</f>
        <v>1</v>
      </c>
      <c r="K36" s="65" t="b">
        <f>导出!K36=计算!K36</f>
        <v>1</v>
      </c>
      <c r="L36" s="65" t="b">
        <f>导出!L36=计算!L36</f>
        <v>1</v>
      </c>
      <c r="M36" s="65" t="b">
        <f>导出!M36=计算!M36</f>
        <v>1</v>
      </c>
      <c r="N36" s="65" t="b">
        <f>导出!N36=计算!N36</f>
        <v>1</v>
      </c>
      <c r="O36" s="65" t="b">
        <f>导出!O36=计算!O36</f>
        <v>1</v>
      </c>
      <c r="P36" s="65" t="b">
        <f>导出!P36=计算!P36</f>
        <v>1</v>
      </c>
      <c r="Q36" s="65" t="b">
        <f>导出!Q36=计算!Q36</f>
        <v>0</v>
      </c>
      <c r="R36" s="65" t="b">
        <f>导出!R36=计算!R36</f>
        <v>1</v>
      </c>
      <c r="S36" s="65" t="b">
        <f>导出!S36=计算!S36</f>
        <v>1</v>
      </c>
      <c r="T36" s="65" t="b">
        <f>导出!T36=计算!T36</f>
        <v>1</v>
      </c>
      <c r="U36" s="65" t="b">
        <f>导出!U36=计算!U36</f>
        <v>1</v>
      </c>
      <c r="V36" s="65" t="b">
        <f>导出!V36=计算!V36</f>
        <v>0</v>
      </c>
      <c r="W36" s="65" t="b">
        <f>导出!W36=计算!W36</f>
        <v>1</v>
      </c>
      <c r="X36" s="65" t="b">
        <f>导出!X36=计算!X36</f>
        <v>1</v>
      </c>
      <c r="Y36" s="65" t="b">
        <f>导出!Y36=计算!Y36</f>
        <v>1</v>
      </c>
      <c r="Z36" s="65" t="b">
        <f>导出!Z36=计算!Z36</f>
        <v>1</v>
      </c>
      <c r="AA36" s="65" t="b">
        <f>导出!AA36=计算!AA36</f>
        <v>0</v>
      </c>
      <c r="AB36" s="65" t="b">
        <f>导出!AB36=计算!AB36</f>
        <v>1</v>
      </c>
      <c r="AC36" s="65" t="b">
        <f>导出!AC36=计算!AC36</f>
        <v>1</v>
      </c>
      <c r="AD36" s="65" t="b">
        <f>导出!AD36=计算!AD36</f>
        <v>1</v>
      </c>
      <c r="AE36" s="65" t="b">
        <f>导出!AE36=计算!AE36</f>
        <v>0</v>
      </c>
      <c r="AF36" s="65" t="b">
        <f>导出!AF36=计算!AF36</f>
        <v>1</v>
      </c>
      <c r="AG36" s="65" t="b">
        <f>导出!AG36=计算!AG36</f>
        <v>1</v>
      </c>
      <c r="AH36" s="65" t="b">
        <f>导出!AH36=计算!AH36</f>
        <v>1</v>
      </c>
      <c r="AI36">
        <v>0</v>
      </c>
      <c r="AJ36" s="3">
        <v>41912.686249999999</v>
      </c>
      <c r="AK36" s="2" t="s">
        <v>2221</v>
      </c>
    </row>
    <row r="37" spans="1:37" x14ac:dyDescent="0.15">
      <c r="A37" s="2" t="s">
        <v>2220</v>
      </c>
      <c r="B37">
        <v>519</v>
      </c>
      <c r="C37" s="3">
        <v>41030</v>
      </c>
      <c r="D37" s="2" t="s">
        <v>37</v>
      </c>
      <c r="E37" s="2" t="s">
        <v>2219</v>
      </c>
      <c r="F37" s="2" t="s">
        <v>38</v>
      </c>
      <c r="G37" s="2" t="s">
        <v>112</v>
      </c>
      <c r="H37" s="2" t="s">
        <v>113</v>
      </c>
      <c r="I37" s="65" t="b">
        <f>导出!I37=计算!I37</f>
        <v>1</v>
      </c>
      <c r="J37" s="65" t="b">
        <f>导出!J37=计算!J37</f>
        <v>1</v>
      </c>
      <c r="K37" s="65" t="b">
        <f>导出!K37=计算!K37</f>
        <v>1</v>
      </c>
      <c r="L37" s="65" t="b">
        <f>导出!L37=计算!L37</f>
        <v>1</v>
      </c>
      <c r="M37" s="65" t="b">
        <f>导出!M37=计算!M37</f>
        <v>1</v>
      </c>
      <c r="N37" s="65" t="b">
        <f>导出!N37=计算!N37</f>
        <v>0</v>
      </c>
      <c r="O37" s="65" t="b">
        <f>导出!O37=计算!O37</f>
        <v>1</v>
      </c>
      <c r="P37" s="65" t="b">
        <f>导出!P37=计算!P37</f>
        <v>1</v>
      </c>
      <c r="Q37" s="65" t="b">
        <f>导出!Q37=计算!Q37</f>
        <v>0</v>
      </c>
      <c r="R37" s="65" t="b">
        <f>导出!R37=计算!R37</f>
        <v>1</v>
      </c>
      <c r="S37" s="65" t="b">
        <f>导出!S37=计算!S37</f>
        <v>1</v>
      </c>
      <c r="T37" s="65" t="b">
        <f>导出!T37=计算!T37</f>
        <v>1</v>
      </c>
      <c r="U37" s="65" t="b">
        <f>导出!U37=计算!U37</f>
        <v>1</v>
      </c>
      <c r="V37" s="65" t="b">
        <f>导出!V37=计算!V37</f>
        <v>0</v>
      </c>
      <c r="W37" s="65" t="b">
        <f>导出!W37=计算!W37</f>
        <v>1</v>
      </c>
      <c r="X37" s="65" t="b">
        <f>导出!X37=计算!X37</f>
        <v>1</v>
      </c>
      <c r="Y37" s="65" t="b">
        <f>导出!Y37=计算!Y37</f>
        <v>1</v>
      </c>
      <c r="Z37" s="65" t="b">
        <f>导出!Z37=计算!Z37</f>
        <v>1</v>
      </c>
      <c r="AA37" s="65" t="b">
        <f>导出!AA37=计算!AA37</f>
        <v>0</v>
      </c>
      <c r="AB37" s="65" t="b">
        <f>导出!AB37=计算!AB37</f>
        <v>1</v>
      </c>
      <c r="AC37" s="65" t="b">
        <f>导出!AC37=计算!AC37</f>
        <v>1</v>
      </c>
      <c r="AD37" s="65" t="b">
        <f>导出!AD37=计算!AD37</f>
        <v>1</v>
      </c>
      <c r="AE37" s="65" t="b">
        <f>导出!AE37=计算!AE37</f>
        <v>0</v>
      </c>
      <c r="AF37" s="65" t="b">
        <f>导出!AF37=计算!AF37</f>
        <v>1</v>
      </c>
      <c r="AG37" s="65" t="b">
        <f>导出!AG37=计算!AG37</f>
        <v>1</v>
      </c>
      <c r="AH37" s="65" t="b">
        <f>导出!AH37=计算!AH37</f>
        <v>1</v>
      </c>
      <c r="AI37">
        <v>0</v>
      </c>
      <c r="AJ37" s="3">
        <v>41912.686249999999</v>
      </c>
      <c r="AK37" s="2" t="s">
        <v>2218</v>
      </c>
    </row>
    <row r="38" spans="1:37" x14ac:dyDescent="0.15">
      <c r="A38" s="2" t="s">
        <v>2217</v>
      </c>
      <c r="B38">
        <v>487</v>
      </c>
      <c r="C38" s="3">
        <v>41031</v>
      </c>
      <c r="D38" s="2" t="s">
        <v>37</v>
      </c>
      <c r="E38" s="2" t="s">
        <v>2216</v>
      </c>
      <c r="F38" s="2" t="s">
        <v>38</v>
      </c>
      <c r="G38" s="2" t="s">
        <v>116</v>
      </c>
      <c r="H38" s="2" t="s">
        <v>117</v>
      </c>
      <c r="I38" s="65" t="b">
        <f>导出!I38=计算!I38</f>
        <v>1</v>
      </c>
      <c r="J38" s="65" t="b">
        <f>导出!J38=计算!J38</f>
        <v>1</v>
      </c>
      <c r="K38" s="65" t="b">
        <f>导出!K38=计算!K38</f>
        <v>1</v>
      </c>
      <c r="L38" s="65" t="b">
        <f>导出!L38=计算!L38</f>
        <v>1</v>
      </c>
      <c r="M38" s="65" t="b">
        <f>导出!M38=计算!M38</f>
        <v>1</v>
      </c>
      <c r="N38" s="65" t="b">
        <f>导出!N38=计算!N38</f>
        <v>1</v>
      </c>
      <c r="O38" s="65" t="b">
        <f>导出!O38=计算!O38</f>
        <v>1</v>
      </c>
      <c r="P38" s="65" t="b">
        <f>导出!P38=计算!P38</f>
        <v>1</v>
      </c>
      <c r="Q38" s="65" t="b">
        <f>导出!Q38=计算!Q38</f>
        <v>1</v>
      </c>
      <c r="R38" s="65" t="b">
        <f>导出!R38=计算!R38</f>
        <v>1</v>
      </c>
      <c r="S38" s="65" t="b">
        <f>导出!S38=计算!S38</f>
        <v>1</v>
      </c>
      <c r="T38" s="65" t="b">
        <f>导出!T38=计算!T38</f>
        <v>1</v>
      </c>
      <c r="U38" s="65" t="b">
        <f>导出!U38=计算!U38</f>
        <v>1</v>
      </c>
      <c r="V38" s="65" t="b">
        <f>导出!V38=计算!V38</f>
        <v>0</v>
      </c>
      <c r="W38" s="65" t="b">
        <f>导出!W38=计算!W38</f>
        <v>1</v>
      </c>
      <c r="X38" s="65" t="b">
        <f>导出!X38=计算!X38</f>
        <v>1</v>
      </c>
      <c r="Y38" s="65" t="b">
        <f>导出!Y38=计算!Y38</f>
        <v>1</v>
      </c>
      <c r="Z38" s="65" t="b">
        <f>导出!Z38=计算!Z38</f>
        <v>1</v>
      </c>
      <c r="AA38" s="65" t="b">
        <f>导出!AA38=计算!AA38</f>
        <v>0</v>
      </c>
      <c r="AB38" s="65" t="b">
        <f>导出!AB38=计算!AB38</f>
        <v>1</v>
      </c>
      <c r="AC38" s="65" t="b">
        <f>导出!AC38=计算!AC38</f>
        <v>1</v>
      </c>
      <c r="AD38" s="65" t="b">
        <f>导出!AD38=计算!AD38</f>
        <v>1</v>
      </c>
      <c r="AE38" s="65" t="b">
        <f>导出!AE38=计算!AE38</f>
        <v>1</v>
      </c>
      <c r="AF38" s="65" t="b">
        <f>导出!AF38=计算!AF38</f>
        <v>1</v>
      </c>
      <c r="AG38" s="65" t="b">
        <f>导出!AG38=计算!AG38</f>
        <v>1</v>
      </c>
      <c r="AH38" s="65" t="b">
        <f>导出!AH38=计算!AH38</f>
        <v>1</v>
      </c>
      <c r="AI38">
        <v>0</v>
      </c>
      <c r="AJ38" s="3">
        <v>41912.686249999999</v>
      </c>
      <c r="AK38" s="2" t="s">
        <v>2215</v>
      </c>
    </row>
    <row r="39" spans="1:37" x14ac:dyDescent="0.15">
      <c r="A39" s="2" t="s">
        <v>2214</v>
      </c>
      <c r="B39">
        <v>496</v>
      </c>
      <c r="C39" s="3">
        <v>41039</v>
      </c>
      <c r="D39" s="2" t="s">
        <v>37</v>
      </c>
      <c r="E39" s="2" t="s">
        <v>2213</v>
      </c>
      <c r="F39" s="2" t="s">
        <v>38</v>
      </c>
      <c r="G39" s="2" t="s">
        <v>118</v>
      </c>
      <c r="H39" s="2" t="s">
        <v>119</v>
      </c>
      <c r="I39" s="65" t="b">
        <f>导出!I39=计算!I39</f>
        <v>1</v>
      </c>
      <c r="J39" s="65" t="b">
        <f>导出!J39=计算!J39</f>
        <v>1</v>
      </c>
      <c r="K39" s="65" t="b">
        <f>导出!K39=计算!K39</f>
        <v>1</v>
      </c>
      <c r="L39" s="65" t="b">
        <f>导出!L39=计算!L39</f>
        <v>1</v>
      </c>
      <c r="M39" s="65" t="b">
        <f>导出!M39=计算!M39</f>
        <v>1</v>
      </c>
      <c r="N39" s="65" t="b">
        <f>导出!N39=计算!N39</f>
        <v>1</v>
      </c>
      <c r="O39" s="65" t="b">
        <f>导出!O39=计算!O39</f>
        <v>1</v>
      </c>
      <c r="P39" s="65" t="b">
        <f>导出!P39=计算!P39</f>
        <v>1</v>
      </c>
      <c r="Q39" s="65" t="b">
        <f>导出!Q39=计算!Q39</f>
        <v>1</v>
      </c>
      <c r="R39" s="65" t="b">
        <f>导出!R39=计算!R39</f>
        <v>1</v>
      </c>
      <c r="S39" s="65" t="b">
        <f>导出!S39=计算!S39</f>
        <v>1</v>
      </c>
      <c r="T39" s="65" t="b">
        <f>导出!T39=计算!T39</f>
        <v>1</v>
      </c>
      <c r="U39" s="65" t="b">
        <f>导出!U39=计算!U39</f>
        <v>1</v>
      </c>
      <c r="V39" s="65" t="b">
        <f>导出!V39=计算!V39</f>
        <v>0</v>
      </c>
      <c r="W39" s="65" t="b">
        <f>导出!W39=计算!W39</f>
        <v>1</v>
      </c>
      <c r="X39" s="65" t="b">
        <f>导出!X39=计算!X39</f>
        <v>1</v>
      </c>
      <c r="Y39" s="65" t="b">
        <f>导出!Y39=计算!Y39</f>
        <v>1</v>
      </c>
      <c r="Z39" s="65" t="b">
        <f>导出!Z39=计算!Z39</f>
        <v>1</v>
      </c>
      <c r="AA39" s="65" t="b">
        <f>导出!AA39=计算!AA39</f>
        <v>0</v>
      </c>
      <c r="AB39" s="65" t="b">
        <f>导出!AB39=计算!AB39</f>
        <v>1</v>
      </c>
      <c r="AC39" s="65" t="b">
        <f>导出!AC39=计算!AC39</f>
        <v>1</v>
      </c>
      <c r="AD39" s="65" t="b">
        <f>导出!AD39=计算!AD39</f>
        <v>1</v>
      </c>
      <c r="AE39" s="65" t="b">
        <f>导出!AE39=计算!AE39</f>
        <v>1</v>
      </c>
      <c r="AF39" s="65" t="b">
        <f>导出!AF39=计算!AF39</f>
        <v>1</v>
      </c>
      <c r="AG39" s="65" t="b">
        <f>导出!AG39=计算!AG39</f>
        <v>1</v>
      </c>
      <c r="AH39" s="65" t="b">
        <f>导出!AH39=计算!AH39</f>
        <v>1</v>
      </c>
      <c r="AI39">
        <v>0</v>
      </c>
      <c r="AJ39" s="3">
        <v>41912.686249999999</v>
      </c>
      <c r="AK39" s="2" t="s">
        <v>2212</v>
      </c>
    </row>
    <row r="40" spans="1:37" x14ac:dyDescent="0.15">
      <c r="A40" s="2" t="s">
        <v>2211</v>
      </c>
      <c r="B40">
        <v>511</v>
      </c>
      <c r="C40" s="3">
        <v>41050</v>
      </c>
      <c r="D40" s="2" t="s">
        <v>37</v>
      </c>
      <c r="E40" s="2" t="s">
        <v>2210</v>
      </c>
      <c r="F40" s="2" t="s">
        <v>38</v>
      </c>
      <c r="G40" s="2" t="s">
        <v>120</v>
      </c>
      <c r="H40" s="2" t="s">
        <v>121</v>
      </c>
      <c r="I40" s="65" t="b">
        <f>导出!I40=计算!I40</f>
        <v>1</v>
      </c>
      <c r="J40" s="65" t="b">
        <f>导出!J40=计算!J40</f>
        <v>1</v>
      </c>
      <c r="K40" s="65" t="b">
        <f>导出!K40=计算!K40</f>
        <v>1</v>
      </c>
      <c r="L40" s="65" t="b">
        <f>导出!L40=计算!L40</f>
        <v>1</v>
      </c>
      <c r="M40" s="65" t="b">
        <f>导出!M40=计算!M40</f>
        <v>1</v>
      </c>
      <c r="N40" s="65" t="b">
        <f>导出!N40=计算!N40</f>
        <v>1</v>
      </c>
      <c r="O40" s="65" t="b">
        <f>导出!O40=计算!O40</f>
        <v>1</v>
      </c>
      <c r="P40" s="65" t="b">
        <f>导出!P40=计算!P40</f>
        <v>1</v>
      </c>
      <c r="Q40" s="65" t="b">
        <f>导出!Q40=计算!Q40</f>
        <v>0</v>
      </c>
      <c r="R40" s="65" t="b">
        <f>导出!R40=计算!R40</f>
        <v>1</v>
      </c>
      <c r="S40" s="65" t="b">
        <f>导出!S40=计算!S40</f>
        <v>1</v>
      </c>
      <c r="T40" s="65" t="b">
        <f>导出!T40=计算!T40</f>
        <v>1</v>
      </c>
      <c r="U40" s="65" t="b">
        <f>导出!U40=计算!U40</f>
        <v>1</v>
      </c>
      <c r="V40" s="65" t="b">
        <f>导出!V40=计算!V40</f>
        <v>0</v>
      </c>
      <c r="W40" s="65" t="b">
        <f>导出!W40=计算!W40</f>
        <v>1</v>
      </c>
      <c r="X40" s="65" t="b">
        <f>导出!X40=计算!X40</f>
        <v>1</v>
      </c>
      <c r="Y40" s="65" t="b">
        <f>导出!Y40=计算!Y40</f>
        <v>1</v>
      </c>
      <c r="Z40" s="65" t="b">
        <f>导出!Z40=计算!Z40</f>
        <v>1</v>
      </c>
      <c r="AA40" s="65" t="b">
        <f>导出!AA40=计算!AA40</f>
        <v>0</v>
      </c>
      <c r="AB40" s="65" t="b">
        <f>导出!AB40=计算!AB40</f>
        <v>1</v>
      </c>
      <c r="AC40" s="65" t="b">
        <f>导出!AC40=计算!AC40</f>
        <v>1</v>
      </c>
      <c r="AD40" s="65" t="b">
        <f>导出!AD40=计算!AD40</f>
        <v>1</v>
      </c>
      <c r="AE40" s="65" t="b">
        <f>导出!AE40=计算!AE40</f>
        <v>0</v>
      </c>
      <c r="AF40" s="65" t="b">
        <f>导出!AF40=计算!AF40</f>
        <v>1</v>
      </c>
      <c r="AG40" s="65" t="b">
        <f>导出!AG40=计算!AG40</f>
        <v>1</v>
      </c>
      <c r="AH40" s="65" t="b">
        <f>导出!AH40=计算!AH40</f>
        <v>1</v>
      </c>
      <c r="AI40">
        <v>0</v>
      </c>
      <c r="AJ40" s="3">
        <v>41912.686249999999</v>
      </c>
      <c r="AK40" s="2" t="s">
        <v>2209</v>
      </c>
    </row>
    <row r="41" spans="1:37" x14ac:dyDescent="0.15">
      <c r="A41" s="2" t="s">
        <v>2208</v>
      </c>
      <c r="B41">
        <v>50</v>
      </c>
      <c r="C41" s="3">
        <v>41061</v>
      </c>
      <c r="D41" s="2" t="s">
        <v>37</v>
      </c>
      <c r="E41" s="2" t="s">
        <v>2207</v>
      </c>
      <c r="F41" s="2" t="s">
        <v>41</v>
      </c>
      <c r="G41" s="2" t="s">
        <v>122</v>
      </c>
      <c r="H41" s="2" t="s">
        <v>123</v>
      </c>
      <c r="I41" s="65" t="b">
        <f>导出!I41=计算!I41</f>
        <v>1</v>
      </c>
      <c r="J41" s="65" t="b">
        <f>导出!J41=计算!J41</f>
        <v>1</v>
      </c>
      <c r="K41" s="65" t="b">
        <f>导出!K41=计算!K41</f>
        <v>1</v>
      </c>
      <c r="L41" s="65" t="b">
        <f>导出!L41=计算!L41</f>
        <v>1</v>
      </c>
      <c r="M41" s="65" t="b">
        <f>导出!M41=计算!M41</f>
        <v>1</v>
      </c>
      <c r="N41" s="65" t="b">
        <f>导出!N41=计算!N41</f>
        <v>1</v>
      </c>
      <c r="O41" s="65" t="b">
        <f>导出!O41=计算!O41</f>
        <v>1</v>
      </c>
      <c r="P41" s="65" t="b">
        <f>导出!P41=计算!P41</f>
        <v>1</v>
      </c>
      <c r="Q41" s="65" t="b">
        <f>导出!Q41=计算!Q41</f>
        <v>1</v>
      </c>
      <c r="R41" s="65" t="b">
        <f>导出!R41=计算!R41</f>
        <v>1</v>
      </c>
      <c r="S41" s="65" t="b">
        <f>导出!S41=计算!S41</f>
        <v>1</v>
      </c>
      <c r="T41" s="65" t="b">
        <f>导出!T41=计算!T41</f>
        <v>1</v>
      </c>
      <c r="U41" s="65" t="b">
        <f>导出!U41=计算!U41</f>
        <v>1</v>
      </c>
      <c r="V41" s="65" t="b">
        <f>导出!V41=计算!V41</f>
        <v>0</v>
      </c>
      <c r="W41" s="65" t="b">
        <f>导出!W41=计算!W41</f>
        <v>1</v>
      </c>
      <c r="X41" s="65" t="b">
        <f>导出!X41=计算!X41</f>
        <v>1</v>
      </c>
      <c r="Y41" s="65" t="b">
        <f>导出!Y41=计算!Y41</f>
        <v>1</v>
      </c>
      <c r="Z41" s="65" t="b">
        <f>导出!Z41=计算!Z41</f>
        <v>1</v>
      </c>
      <c r="AA41" s="65" t="b">
        <f>导出!AA41=计算!AA41</f>
        <v>1</v>
      </c>
      <c r="AB41" s="65" t="b">
        <f>导出!AB41=计算!AB41</f>
        <v>1</v>
      </c>
      <c r="AC41" s="65" t="b">
        <f>导出!AC41=计算!AC41</f>
        <v>1</v>
      </c>
      <c r="AD41" s="65" t="b">
        <f>导出!AD41=计算!AD41</f>
        <v>1</v>
      </c>
      <c r="AE41" s="65" t="b">
        <f>导出!AE41=计算!AE41</f>
        <v>1</v>
      </c>
      <c r="AF41" s="65" t="b">
        <f>导出!AF41=计算!AF41</f>
        <v>1</v>
      </c>
      <c r="AG41" s="65" t="b">
        <f>导出!AG41=计算!AG41</f>
        <v>1</v>
      </c>
      <c r="AH41" s="65" t="b">
        <f>导出!AH41=计算!AH41</f>
        <v>1</v>
      </c>
      <c r="AI41">
        <v>0</v>
      </c>
      <c r="AJ41" s="3">
        <v>41912.6862384259</v>
      </c>
      <c r="AK41" s="2" t="s">
        <v>2206</v>
      </c>
    </row>
    <row r="42" spans="1:37" x14ac:dyDescent="0.15">
      <c r="A42" s="2" t="s">
        <v>2205</v>
      </c>
      <c r="B42">
        <v>528</v>
      </c>
      <c r="C42" s="3">
        <v>41073</v>
      </c>
      <c r="D42" s="2" t="s">
        <v>37</v>
      </c>
      <c r="E42" s="2" t="s">
        <v>2204</v>
      </c>
      <c r="F42" s="2" t="s">
        <v>38</v>
      </c>
      <c r="G42" s="2" t="s">
        <v>124</v>
      </c>
      <c r="H42" s="2" t="s">
        <v>125</v>
      </c>
      <c r="I42" s="65" t="b">
        <f>导出!I42=计算!I42</f>
        <v>1</v>
      </c>
      <c r="J42" s="65" t="b">
        <f>导出!J42=计算!J42</f>
        <v>1</v>
      </c>
      <c r="K42" s="65" t="b">
        <f>导出!K42=计算!K42</f>
        <v>1</v>
      </c>
      <c r="L42" s="65" t="b">
        <f>导出!L42=计算!L42</f>
        <v>1</v>
      </c>
      <c r="M42" s="65" t="b">
        <f>导出!M42=计算!M42</f>
        <v>1</v>
      </c>
      <c r="N42" s="65" t="b">
        <f>导出!N42=计算!N42</f>
        <v>0</v>
      </c>
      <c r="O42" s="65" t="b">
        <f>导出!O42=计算!O42</f>
        <v>1</v>
      </c>
      <c r="P42" s="65" t="b">
        <f>导出!P42=计算!P42</f>
        <v>1</v>
      </c>
      <c r="Q42" s="65" t="b">
        <f>导出!Q42=计算!Q42</f>
        <v>0</v>
      </c>
      <c r="R42" s="65" t="b">
        <f>导出!R42=计算!R42</f>
        <v>1</v>
      </c>
      <c r="S42" s="65" t="b">
        <f>导出!S42=计算!S42</f>
        <v>1</v>
      </c>
      <c r="T42" s="65" t="b">
        <f>导出!T42=计算!T42</f>
        <v>1</v>
      </c>
      <c r="U42" s="65" t="b">
        <f>导出!U42=计算!U42</f>
        <v>1</v>
      </c>
      <c r="V42" s="65" t="b">
        <f>导出!V42=计算!V42</f>
        <v>0</v>
      </c>
      <c r="W42" s="65" t="b">
        <f>导出!W42=计算!W42</f>
        <v>1</v>
      </c>
      <c r="X42" s="65" t="b">
        <f>导出!X42=计算!X42</f>
        <v>1</v>
      </c>
      <c r="Y42" s="65" t="b">
        <f>导出!Y42=计算!Y42</f>
        <v>1</v>
      </c>
      <c r="Z42" s="65" t="b">
        <f>导出!Z42=计算!Z42</f>
        <v>1</v>
      </c>
      <c r="AA42" s="65" t="b">
        <f>导出!AA42=计算!AA42</f>
        <v>0</v>
      </c>
      <c r="AB42" s="65" t="b">
        <f>导出!AB42=计算!AB42</f>
        <v>0</v>
      </c>
      <c r="AC42" s="65" t="b">
        <f>导出!AC42=计算!AC42</f>
        <v>1</v>
      </c>
      <c r="AD42" s="65" t="b">
        <f>导出!AD42=计算!AD42</f>
        <v>1</v>
      </c>
      <c r="AE42" s="65" t="b">
        <f>导出!AE42=计算!AE42</f>
        <v>0</v>
      </c>
      <c r="AF42" s="65" t="b">
        <f>导出!AF42=计算!AF42</f>
        <v>1</v>
      </c>
      <c r="AG42" s="65" t="b">
        <f>导出!AG42=计算!AG42</f>
        <v>1</v>
      </c>
      <c r="AH42" s="65" t="b">
        <f>导出!AH42=计算!AH42</f>
        <v>1</v>
      </c>
      <c r="AI42">
        <v>0</v>
      </c>
      <c r="AJ42" s="3">
        <v>41912.686249999999</v>
      </c>
      <c r="AK42" s="2" t="s">
        <v>2203</v>
      </c>
    </row>
    <row r="43" spans="1:37" x14ac:dyDescent="0.15">
      <c r="A43" s="2" t="s">
        <v>2202</v>
      </c>
      <c r="B43">
        <v>54</v>
      </c>
      <c r="C43" s="3">
        <v>41091</v>
      </c>
      <c r="D43" s="2" t="s">
        <v>37</v>
      </c>
      <c r="E43" s="2" t="s">
        <v>2201</v>
      </c>
      <c r="F43" s="2" t="s">
        <v>41</v>
      </c>
      <c r="G43" s="2" t="s">
        <v>127</v>
      </c>
      <c r="H43" s="2" t="s">
        <v>128</v>
      </c>
      <c r="I43" s="65" t="b">
        <f>导出!I43=计算!I43</f>
        <v>1</v>
      </c>
      <c r="J43" s="65" t="b">
        <f>导出!J43=计算!J43</f>
        <v>1</v>
      </c>
      <c r="K43" s="65" t="b">
        <f>导出!K43=计算!K43</f>
        <v>1</v>
      </c>
      <c r="L43" s="65" t="b">
        <f>导出!L43=计算!L43</f>
        <v>1</v>
      </c>
      <c r="M43" s="65" t="b">
        <f>导出!M43=计算!M43</f>
        <v>1</v>
      </c>
      <c r="N43" s="65" t="b">
        <f>导出!N43=计算!N43</f>
        <v>1</v>
      </c>
      <c r="O43" s="65" t="b">
        <f>导出!O43=计算!O43</f>
        <v>1</v>
      </c>
      <c r="P43" s="65" t="b">
        <f>导出!P43=计算!P43</f>
        <v>1</v>
      </c>
      <c r="Q43" s="65" t="b">
        <f>导出!Q43=计算!Q43</f>
        <v>0</v>
      </c>
      <c r="R43" s="65" t="b">
        <f>导出!R43=计算!R43</f>
        <v>1</v>
      </c>
      <c r="S43" s="65" t="b">
        <f>导出!S43=计算!S43</f>
        <v>1</v>
      </c>
      <c r="T43" s="65" t="b">
        <f>导出!T43=计算!T43</f>
        <v>1</v>
      </c>
      <c r="U43" s="65" t="b">
        <f>导出!U43=计算!U43</f>
        <v>1</v>
      </c>
      <c r="V43" s="65" t="b">
        <f>导出!V43=计算!V43</f>
        <v>0</v>
      </c>
      <c r="W43" s="65" t="b">
        <f>导出!W43=计算!W43</f>
        <v>1</v>
      </c>
      <c r="X43" s="65" t="b">
        <f>导出!X43=计算!X43</f>
        <v>1</v>
      </c>
      <c r="Y43" s="65" t="b">
        <f>导出!Y43=计算!Y43</f>
        <v>1</v>
      </c>
      <c r="Z43" s="65" t="b">
        <f>导出!Z43=计算!Z43</f>
        <v>1</v>
      </c>
      <c r="AA43" s="65" t="b">
        <f>导出!AA43=计算!AA43</f>
        <v>1</v>
      </c>
      <c r="AB43" s="65" t="b">
        <f>导出!AB43=计算!AB43</f>
        <v>1</v>
      </c>
      <c r="AC43" s="65" t="b">
        <f>导出!AC43=计算!AC43</f>
        <v>1</v>
      </c>
      <c r="AD43" s="65" t="b">
        <f>导出!AD43=计算!AD43</f>
        <v>1</v>
      </c>
      <c r="AE43" s="65" t="b">
        <f>导出!AE43=计算!AE43</f>
        <v>1</v>
      </c>
      <c r="AF43" s="65" t="b">
        <f>导出!AF43=计算!AF43</f>
        <v>1</v>
      </c>
      <c r="AG43" s="65" t="b">
        <f>导出!AG43=计算!AG43</f>
        <v>1</v>
      </c>
      <c r="AH43" s="65" t="b">
        <f>导出!AH43=计算!AH43</f>
        <v>1</v>
      </c>
      <c r="AI43">
        <v>0</v>
      </c>
      <c r="AJ43" s="3">
        <v>41912.6862384259</v>
      </c>
      <c r="AK43" s="2" t="s">
        <v>2200</v>
      </c>
    </row>
    <row r="44" spans="1:37" x14ac:dyDescent="0.15">
      <c r="A44" s="2" t="s">
        <v>2199</v>
      </c>
      <c r="B44">
        <v>561</v>
      </c>
      <c r="C44" s="3">
        <v>41091</v>
      </c>
      <c r="D44" s="2" t="s">
        <v>37</v>
      </c>
      <c r="E44" s="2" t="s">
        <v>2198</v>
      </c>
      <c r="F44" s="2" t="s">
        <v>38</v>
      </c>
      <c r="G44" s="2" t="s">
        <v>126</v>
      </c>
      <c r="H44" s="2" t="s">
        <v>75</v>
      </c>
      <c r="I44" s="65" t="b">
        <f>导出!I44=计算!I44</f>
        <v>1</v>
      </c>
      <c r="J44" s="65" t="b">
        <f>导出!J44=计算!J44</f>
        <v>1</v>
      </c>
      <c r="K44" s="65" t="b">
        <f>导出!K44=计算!K44</f>
        <v>1</v>
      </c>
      <c r="L44" s="65" t="b">
        <f>导出!L44=计算!L44</f>
        <v>1</v>
      </c>
      <c r="M44" s="65" t="b">
        <f>导出!M44=计算!M44</f>
        <v>1</v>
      </c>
      <c r="N44" s="65" t="b">
        <f>导出!N44=计算!N44</f>
        <v>1</v>
      </c>
      <c r="O44" s="65" t="b">
        <f>导出!O44=计算!O44</f>
        <v>1</v>
      </c>
      <c r="P44" s="65" t="b">
        <f>导出!P44=计算!P44</f>
        <v>1</v>
      </c>
      <c r="Q44" s="65" t="b">
        <f>导出!Q44=计算!Q44</f>
        <v>1</v>
      </c>
      <c r="R44" s="65" t="b">
        <f>导出!R44=计算!R44</f>
        <v>1</v>
      </c>
      <c r="S44" s="65" t="b">
        <f>导出!S44=计算!S44</f>
        <v>1</v>
      </c>
      <c r="T44" s="65" t="b">
        <f>导出!T44=计算!T44</f>
        <v>1</v>
      </c>
      <c r="U44" s="65" t="b">
        <f>导出!U44=计算!U44</f>
        <v>1</v>
      </c>
      <c r="V44" s="65" t="b">
        <f>导出!V44=计算!V44</f>
        <v>0</v>
      </c>
      <c r="W44" s="65" t="b">
        <f>导出!W44=计算!W44</f>
        <v>1</v>
      </c>
      <c r="X44" s="65" t="b">
        <f>导出!X44=计算!X44</f>
        <v>1</v>
      </c>
      <c r="Y44" s="65" t="b">
        <f>导出!Y44=计算!Y44</f>
        <v>1</v>
      </c>
      <c r="Z44" s="65" t="b">
        <f>导出!Z44=计算!Z44</f>
        <v>1</v>
      </c>
      <c r="AA44" s="65" t="b">
        <f>导出!AA44=计算!AA44</f>
        <v>0</v>
      </c>
      <c r="AB44" s="65" t="b">
        <f>导出!AB44=计算!AB44</f>
        <v>1</v>
      </c>
      <c r="AC44" s="65" t="b">
        <f>导出!AC44=计算!AC44</f>
        <v>1</v>
      </c>
      <c r="AD44" s="65" t="b">
        <f>导出!AD44=计算!AD44</f>
        <v>1</v>
      </c>
      <c r="AE44" s="65" t="b">
        <f>导出!AE44=计算!AE44</f>
        <v>1</v>
      </c>
      <c r="AF44" s="65" t="b">
        <f>导出!AF44=计算!AF44</f>
        <v>1</v>
      </c>
      <c r="AG44" s="65" t="b">
        <f>导出!AG44=计算!AG44</f>
        <v>1</v>
      </c>
      <c r="AH44" s="65" t="b">
        <f>导出!AH44=计算!AH44</f>
        <v>1</v>
      </c>
      <c r="AI44">
        <v>0</v>
      </c>
      <c r="AJ44" s="3">
        <v>41912.686249999999</v>
      </c>
      <c r="AK44" s="2" t="s">
        <v>2197</v>
      </c>
    </row>
    <row r="45" spans="1:37" x14ac:dyDescent="0.15">
      <c r="A45" s="2" t="s">
        <v>2196</v>
      </c>
      <c r="B45">
        <v>569</v>
      </c>
      <c r="C45" s="3">
        <v>41091</v>
      </c>
      <c r="D45" s="2" t="s">
        <v>37</v>
      </c>
      <c r="E45" s="2" t="s">
        <v>2195</v>
      </c>
      <c r="F45" s="2" t="s">
        <v>38</v>
      </c>
      <c r="G45" s="2" t="s">
        <v>131</v>
      </c>
      <c r="H45" s="2" t="s">
        <v>132</v>
      </c>
      <c r="I45" s="65" t="b">
        <f>导出!I45=计算!I45</f>
        <v>1</v>
      </c>
      <c r="J45" s="65" t="b">
        <f>导出!J45=计算!J45</f>
        <v>1</v>
      </c>
      <c r="K45" s="65" t="b">
        <f>导出!K45=计算!K45</f>
        <v>1</v>
      </c>
      <c r="L45" s="65" t="b">
        <f>导出!L45=计算!L45</f>
        <v>1</v>
      </c>
      <c r="M45" s="65" t="b">
        <f>导出!M45=计算!M45</f>
        <v>1</v>
      </c>
      <c r="N45" s="65" t="b">
        <f>导出!N45=计算!N45</f>
        <v>1</v>
      </c>
      <c r="O45" s="65" t="b">
        <f>导出!O45=计算!O45</f>
        <v>1</v>
      </c>
      <c r="P45" s="65" t="b">
        <f>导出!P45=计算!P45</f>
        <v>1</v>
      </c>
      <c r="Q45" s="65" t="b">
        <f>导出!Q45=计算!Q45</f>
        <v>0</v>
      </c>
      <c r="R45" s="65" t="b">
        <f>导出!R45=计算!R45</f>
        <v>1</v>
      </c>
      <c r="S45" s="65" t="b">
        <f>导出!S45=计算!S45</f>
        <v>1</v>
      </c>
      <c r="T45" s="65" t="b">
        <f>导出!T45=计算!T45</f>
        <v>1</v>
      </c>
      <c r="U45" s="65" t="b">
        <f>导出!U45=计算!U45</f>
        <v>1</v>
      </c>
      <c r="V45" s="65" t="b">
        <f>导出!V45=计算!V45</f>
        <v>0</v>
      </c>
      <c r="W45" s="65" t="b">
        <f>导出!W45=计算!W45</f>
        <v>1</v>
      </c>
      <c r="X45" s="65" t="b">
        <f>导出!X45=计算!X45</f>
        <v>1</v>
      </c>
      <c r="Y45" s="65" t="b">
        <f>导出!Y45=计算!Y45</f>
        <v>1</v>
      </c>
      <c r="Z45" s="65" t="b">
        <f>导出!Z45=计算!Z45</f>
        <v>1</v>
      </c>
      <c r="AA45" s="65" t="b">
        <f>导出!AA45=计算!AA45</f>
        <v>0</v>
      </c>
      <c r="AB45" s="65" t="b">
        <f>导出!AB45=计算!AB45</f>
        <v>1</v>
      </c>
      <c r="AC45" s="65" t="b">
        <f>导出!AC45=计算!AC45</f>
        <v>1</v>
      </c>
      <c r="AD45" s="65" t="b">
        <f>导出!AD45=计算!AD45</f>
        <v>1</v>
      </c>
      <c r="AE45" s="65" t="b">
        <f>导出!AE45=计算!AE45</f>
        <v>1</v>
      </c>
      <c r="AF45" s="65" t="b">
        <f>导出!AF45=计算!AF45</f>
        <v>1</v>
      </c>
      <c r="AG45" s="65" t="b">
        <f>导出!AG45=计算!AG45</f>
        <v>1</v>
      </c>
      <c r="AH45" s="65" t="b">
        <f>导出!AH45=计算!AH45</f>
        <v>1</v>
      </c>
      <c r="AI45">
        <v>0</v>
      </c>
      <c r="AJ45" s="3">
        <v>41912.686249999999</v>
      </c>
      <c r="AK45" s="2" t="s">
        <v>2194</v>
      </c>
    </row>
    <row r="46" spans="1:37" x14ac:dyDescent="0.15">
      <c r="A46" s="2" t="s">
        <v>2193</v>
      </c>
      <c r="B46">
        <v>545</v>
      </c>
      <c r="C46" s="3">
        <v>41091</v>
      </c>
      <c r="D46" s="2" t="s">
        <v>37</v>
      </c>
      <c r="E46" s="2" t="s">
        <v>2192</v>
      </c>
      <c r="F46" s="2" t="s">
        <v>38</v>
      </c>
      <c r="G46" s="2" t="s">
        <v>129</v>
      </c>
      <c r="H46" s="2" t="s">
        <v>130</v>
      </c>
      <c r="I46" s="65" t="b">
        <f>导出!I46=计算!I46</f>
        <v>1</v>
      </c>
      <c r="J46" s="65" t="b">
        <f>导出!J46=计算!J46</f>
        <v>1</v>
      </c>
      <c r="K46" s="65" t="b">
        <f>导出!K46=计算!K46</f>
        <v>1</v>
      </c>
      <c r="L46" s="65" t="b">
        <f>导出!L46=计算!L46</f>
        <v>1</v>
      </c>
      <c r="M46" s="65" t="b">
        <f>导出!M46=计算!M46</f>
        <v>1</v>
      </c>
      <c r="N46" s="65" t="b">
        <f>导出!N46=计算!N46</f>
        <v>0</v>
      </c>
      <c r="O46" s="65" t="b">
        <f>导出!O46=计算!O46</f>
        <v>1</v>
      </c>
      <c r="P46" s="65" t="b">
        <f>导出!P46=计算!P46</f>
        <v>1</v>
      </c>
      <c r="Q46" s="65" t="b">
        <f>导出!Q46=计算!Q46</f>
        <v>0</v>
      </c>
      <c r="R46" s="65" t="b">
        <f>导出!R46=计算!R46</f>
        <v>1</v>
      </c>
      <c r="S46" s="65" t="b">
        <f>导出!S46=计算!S46</f>
        <v>1</v>
      </c>
      <c r="T46" s="65" t="b">
        <f>导出!T46=计算!T46</f>
        <v>1</v>
      </c>
      <c r="U46" s="65" t="b">
        <f>导出!U46=计算!U46</f>
        <v>1</v>
      </c>
      <c r="V46" s="65" t="b">
        <f>导出!V46=计算!V46</f>
        <v>0</v>
      </c>
      <c r="W46" s="65" t="b">
        <f>导出!W46=计算!W46</f>
        <v>1</v>
      </c>
      <c r="X46" s="65" t="b">
        <f>导出!X46=计算!X46</f>
        <v>1</v>
      </c>
      <c r="Y46" s="65" t="b">
        <f>导出!Y46=计算!Y46</f>
        <v>1</v>
      </c>
      <c r="Z46" s="65" t="b">
        <f>导出!Z46=计算!Z46</f>
        <v>1</v>
      </c>
      <c r="AA46" s="65" t="b">
        <f>导出!AA46=计算!AA46</f>
        <v>0</v>
      </c>
      <c r="AB46" s="65" t="b">
        <f>导出!AB46=计算!AB46</f>
        <v>0</v>
      </c>
      <c r="AC46" s="65" t="b">
        <f>导出!AC46=计算!AC46</f>
        <v>1</v>
      </c>
      <c r="AD46" s="65" t="b">
        <f>导出!AD46=计算!AD46</f>
        <v>1</v>
      </c>
      <c r="AE46" s="65" t="b">
        <f>导出!AE46=计算!AE46</f>
        <v>0</v>
      </c>
      <c r="AF46" s="65" t="b">
        <f>导出!AF46=计算!AF46</f>
        <v>1</v>
      </c>
      <c r="AG46" s="65" t="b">
        <f>导出!AG46=计算!AG46</f>
        <v>1</v>
      </c>
      <c r="AH46" s="65" t="b">
        <f>导出!AH46=计算!AH46</f>
        <v>1</v>
      </c>
      <c r="AI46">
        <v>0</v>
      </c>
      <c r="AJ46" s="3">
        <v>41912.686249999999</v>
      </c>
      <c r="AK46" s="2" t="s">
        <v>2191</v>
      </c>
    </row>
    <row r="47" spans="1:37" x14ac:dyDescent="0.15">
      <c r="A47" s="2" t="s">
        <v>2190</v>
      </c>
      <c r="B47">
        <v>536</v>
      </c>
      <c r="C47" s="3">
        <v>41092</v>
      </c>
      <c r="D47" s="2" t="s">
        <v>37</v>
      </c>
      <c r="E47" s="2" t="s">
        <v>2189</v>
      </c>
      <c r="F47" s="2" t="s">
        <v>38</v>
      </c>
      <c r="G47" s="2" t="s">
        <v>133</v>
      </c>
      <c r="H47" s="2" t="s">
        <v>134</v>
      </c>
      <c r="I47" s="65" t="b">
        <f>导出!I47=计算!I47</f>
        <v>1</v>
      </c>
      <c r="J47" s="65" t="b">
        <f>导出!J47=计算!J47</f>
        <v>1</v>
      </c>
      <c r="K47" s="65" t="b">
        <f>导出!K47=计算!K47</f>
        <v>1</v>
      </c>
      <c r="L47" s="65" t="b">
        <f>导出!L47=计算!L47</f>
        <v>1</v>
      </c>
      <c r="M47" s="65" t="b">
        <f>导出!M47=计算!M47</f>
        <v>1</v>
      </c>
      <c r="N47" s="65" t="b">
        <f>导出!N47=计算!N47</f>
        <v>1</v>
      </c>
      <c r="O47" s="65" t="b">
        <f>导出!O47=计算!O47</f>
        <v>1</v>
      </c>
      <c r="P47" s="65" t="b">
        <f>导出!P47=计算!P47</f>
        <v>1</v>
      </c>
      <c r="Q47" s="65" t="b">
        <f>导出!Q47=计算!Q47</f>
        <v>0</v>
      </c>
      <c r="R47" s="65" t="b">
        <f>导出!R47=计算!R47</f>
        <v>1</v>
      </c>
      <c r="S47" s="65" t="b">
        <f>导出!S47=计算!S47</f>
        <v>1</v>
      </c>
      <c r="T47" s="65" t="b">
        <f>导出!T47=计算!T47</f>
        <v>1</v>
      </c>
      <c r="U47" s="65" t="b">
        <f>导出!U47=计算!U47</f>
        <v>1</v>
      </c>
      <c r="V47" s="65" t="b">
        <f>导出!V47=计算!V47</f>
        <v>0</v>
      </c>
      <c r="W47" s="65" t="b">
        <f>导出!W47=计算!W47</f>
        <v>1</v>
      </c>
      <c r="X47" s="65" t="b">
        <f>导出!X47=计算!X47</f>
        <v>1</v>
      </c>
      <c r="Y47" s="65" t="b">
        <f>导出!Y47=计算!Y47</f>
        <v>1</v>
      </c>
      <c r="Z47" s="65" t="b">
        <f>导出!Z47=计算!Z47</f>
        <v>1</v>
      </c>
      <c r="AA47" s="65" t="b">
        <f>导出!AA47=计算!AA47</f>
        <v>0</v>
      </c>
      <c r="AB47" s="65" t="b">
        <f>导出!AB47=计算!AB47</f>
        <v>1</v>
      </c>
      <c r="AC47" s="65" t="b">
        <f>导出!AC47=计算!AC47</f>
        <v>1</v>
      </c>
      <c r="AD47" s="65" t="b">
        <f>导出!AD47=计算!AD47</f>
        <v>1</v>
      </c>
      <c r="AE47" s="65" t="b">
        <f>导出!AE47=计算!AE47</f>
        <v>1</v>
      </c>
      <c r="AF47" s="65" t="b">
        <f>导出!AF47=计算!AF47</f>
        <v>1</v>
      </c>
      <c r="AG47" s="65" t="b">
        <f>导出!AG47=计算!AG47</f>
        <v>1</v>
      </c>
      <c r="AH47" s="65" t="b">
        <f>导出!AH47=计算!AH47</f>
        <v>1</v>
      </c>
      <c r="AI47">
        <v>0</v>
      </c>
      <c r="AJ47" s="3">
        <v>41912.686249999999</v>
      </c>
      <c r="AK47" s="2" t="s">
        <v>2188</v>
      </c>
    </row>
    <row r="48" spans="1:37" x14ac:dyDescent="0.15">
      <c r="A48" s="2" t="s">
        <v>2187</v>
      </c>
      <c r="B48">
        <v>578</v>
      </c>
      <c r="C48" s="3">
        <v>41108</v>
      </c>
      <c r="D48" s="2" t="s">
        <v>37</v>
      </c>
      <c r="E48" s="2" t="s">
        <v>2186</v>
      </c>
      <c r="F48" s="2" t="s">
        <v>38</v>
      </c>
      <c r="G48" s="2" t="s">
        <v>135</v>
      </c>
      <c r="H48" s="2" t="s">
        <v>136</v>
      </c>
      <c r="I48" s="65" t="b">
        <f>导出!I48=计算!I48</f>
        <v>1</v>
      </c>
      <c r="J48" s="65" t="b">
        <f>导出!J48=计算!J48</f>
        <v>1</v>
      </c>
      <c r="K48" s="65" t="b">
        <f>导出!K48=计算!K48</f>
        <v>1</v>
      </c>
      <c r="L48" s="65" t="b">
        <f>导出!L48=计算!L48</f>
        <v>1</v>
      </c>
      <c r="M48" s="65" t="b">
        <f>导出!M48=计算!M48</f>
        <v>1</v>
      </c>
      <c r="N48" s="65" t="b">
        <f>导出!N48=计算!N48</f>
        <v>1</v>
      </c>
      <c r="O48" s="65" t="b">
        <f>导出!O48=计算!O48</f>
        <v>1</v>
      </c>
      <c r="P48" s="65" t="b">
        <f>导出!P48=计算!P48</f>
        <v>1</v>
      </c>
      <c r="Q48" s="65" t="b">
        <f>导出!Q48=计算!Q48</f>
        <v>0</v>
      </c>
      <c r="R48" s="65" t="b">
        <f>导出!R48=计算!R48</f>
        <v>1</v>
      </c>
      <c r="S48" s="65" t="b">
        <f>导出!S48=计算!S48</f>
        <v>1</v>
      </c>
      <c r="T48" s="65" t="b">
        <f>导出!T48=计算!T48</f>
        <v>1</v>
      </c>
      <c r="U48" s="65" t="b">
        <f>导出!U48=计算!U48</f>
        <v>1</v>
      </c>
      <c r="V48" s="65" t="b">
        <f>导出!V48=计算!V48</f>
        <v>0</v>
      </c>
      <c r="W48" s="65" t="b">
        <f>导出!W48=计算!W48</f>
        <v>1</v>
      </c>
      <c r="X48" s="65" t="b">
        <f>导出!X48=计算!X48</f>
        <v>1</v>
      </c>
      <c r="Y48" s="65" t="b">
        <f>导出!Y48=计算!Y48</f>
        <v>1</v>
      </c>
      <c r="Z48" s="65" t="b">
        <f>导出!Z48=计算!Z48</f>
        <v>1</v>
      </c>
      <c r="AA48" s="65" t="b">
        <f>导出!AA48=计算!AA48</f>
        <v>0</v>
      </c>
      <c r="AB48" s="65" t="b">
        <f>导出!AB48=计算!AB48</f>
        <v>1</v>
      </c>
      <c r="AC48" s="65" t="b">
        <f>导出!AC48=计算!AC48</f>
        <v>1</v>
      </c>
      <c r="AD48" s="65" t="b">
        <f>导出!AD48=计算!AD48</f>
        <v>1</v>
      </c>
      <c r="AE48" s="65" t="b">
        <f>导出!AE48=计算!AE48</f>
        <v>1</v>
      </c>
      <c r="AF48" s="65" t="b">
        <f>导出!AF48=计算!AF48</f>
        <v>1</v>
      </c>
      <c r="AG48" s="65" t="b">
        <f>导出!AG48=计算!AG48</f>
        <v>1</v>
      </c>
      <c r="AH48" s="65" t="b">
        <f>导出!AH48=计算!AH48</f>
        <v>1</v>
      </c>
      <c r="AI48">
        <v>0</v>
      </c>
      <c r="AJ48" s="3">
        <v>41912.686249999999</v>
      </c>
      <c r="AK48" s="2" t="s">
        <v>2185</v>
      </c>
    </row>
    <row r="49" spans="1:37" x14ac:dyDescent="0.15">
      <c r="A49" s="2" t="s">
        <v>2184</v>
      </c>
      <c r="B49">
        <v>585</v>
      </c>
      <c r="C49" s="3">
        <v>41113</v>
      </c>
      <c r="D49" s="2" t="s">
        <v>37</v>
      </c>
      <c r="E49" s="2" t="s">
        <v>2183</v>
      </c>
      <c r="F49" s="2" t="s">
        <v>38</v>
      </c>
      <c r="G49" s="2" t="s">
        <v>137</v>
      </c>
      <c r="H49" s="2" t="s">
        <v>138</v>
      </c>
      <c r="I49" s="65" t="b">
        <f>导出!I49=计算!I49</f>
        <v>1</v>
      </c>
      <c r="J49" s="65" t="b">
        <f>导出!J49=计算!J49</f>
        <v>1</v>
      </c>
      <c r="K49" s="65" t="b">
        <f>导出!K49=计算!K49</f>
        <v>1</v>
      </c>
      <c r="L49" s="65" t="b">
        <f>导出!L49=计算!L49</f>
        <v>1</v>
      </c>
      <c r="M49" s="65" t="b">
        <f>导出!M49=计算!M49</f>
        <v>1</v>
      </c>
      <c r="N49" s="65" t="b">
        <f>导出!N49=计算!N49</f>
        <v>1</v>
      </c>
      <c r="O49" s="65" t="b">
        <f>导出!O49=计算!O49</f>
        <v>1</v>
      </c>
      <c r="P49" s="65" t="b">
        <f>导出!P49=计算!P49</f>
        <v>1</v>
      </c>
      <c r="Q49" s="65" t="b">
        <f>导出!Q49=计算!Q49</f>
        <v>1</v>
      </c>
      <c r="R49" s="65" t="b">
        <f>导出!R49=计算!R49</f>
        <v>1</v>
      </c>
      <c r="S49" s="65" t="b">
        <f>导出!S49=计算!S49</f>
        <v>1</v>
      </c>
      <c r="T49" s="65" t="b">
        <f>导出!T49=计算!T49</f>
        <v>1</v>
      </c>
      <c r="U49" s="65" t="b">
        <f>导出!U49=计算!U49</f>
        <v>1</v>
      </c>
      <c r="V49" s="65" t="b">
        <f>导出!V49=计算!V49</f>
        <v>0</v>
      </c>
      <c r="W49" s="65" t="b">
        <f>导出!W49=计算!W49</f>
        <v>1</v>
      </c>
      <c r="X49" s="65" t="b">
        <f>导出!X49=计算!X49</f>
        <v>1</v>
      </c>
      <c r="Y49" s="65" t="b">
        <f>导出!Y49=计算!Y49</f>
        <v>1</v>
      </c>
      <c r="Z49" s="65" t="b">
        <f>导出!Z49=计算!Z49</f>
        <v>1</v>
      </c>
      <c r="AA49" s="65" t="b">
        <f>导出!AA49=计算!AA49</f>
        <v>0</v>
      </c>
      <c r="AB49" s="65" t="b">
        <f>导出!AB49=计算!AB49</f>
        <v>1</v>
      </c>
      <c r="AC49" s="65" t="b">
        <f>导出!AC49=计算!AC49</f>
        <v>1</v>
      </c>
      <c r="AD49" s="65" t="b">
        <f>导出!AD49=计算!AD49</f>
        <v>1</v>
      </c>
      <c r="AE49" s="65" t="b">
        <f>导出!AE49=计算!AE49</f>
        <v>0</v>
      </c>
      <c r="AF49" s="65" t="b">
        <f>导出!AF49=计算!AF49</f>
        <v>1</v>
      </c>
      <c r="AG49" s="65" t="b">
        <f>导出!AG49=计算!AG49</f>
        <v>1</v>
      </c>
      <c r="AH49" s="65" t="b">
        <f>导出!AH49=计算!AH49</f>
        <v>1</v>
      </c>
      <c r="AI49">
        <v>0</v>
      </c>
      <c r="AJ49" s="3">
        <v>41912.686249999999</v>
      </c>
      <c r="AK49" s="2" t="s">
        <v>2182</v>
      </c>
    </row>
    <row r="50" spans="1:37" x14ac:dyDescent="0.15">
      <c r="A50" s="2" t="s">
        <v>2181</v>
      </c>
      <c r="B50">
        <v>593</v>
      </c>
      <c r="C50" s="3">
        <v>41113</v>
      </c>
      <c r="D50" s="2" t="s">
        <v>37</v>
      </c>
      <c r="E50" s="2" t="s">
        <v>2180</v>
      </c>
      <c r="F50" s="2" t="s">
        <v>38</v>
      </c>
      <c r="G50" s="2" t="s">
        <v>139</v>
      </c>
      <c r="H50" s="2" t="s">
        <v>140</v>
      </c>
      <c r="I50" s="65" t="b">
        <f>导出!I50=计算!I50</f>
        <v>1</v>
      </c>
      <c r="J50" s="65" t="b">
        <f>导出!J50=计算!J50</f>
        <v>1</v>
      </c>
      <c r="K50" s="65" t="b">
        <f>导出!K50=计算!K50</f>
        <v>1</v>
      </c>
      <c r="L50" s="65" t="b">
        <f>导出!L50=计算!L50</f>
        <v>1</v>
      </c>
      <c r="M50" s="65" t="b">
        <f>导出!M50=计算!M50</f>
        <v>1</v>
      </c>
      <c r="N50" s="65" t="b">
        <f>导出!N50=计算!N50</f>
        <v>1</v>
      </c>
      <c r="O50" s="65" t="b">
        <f>导出!O50=计算!O50</f>
        <v>1</v>
      </c>
      <c r="P50" s="65" t="b">
        <f>导出!P50=计算!P50</f>
        <v>1</v>
      </c>
      <c r="Q50" s="65" t="b">
        <f>导出!Q50=计算!Q50</f>
        <v>0</v>
      </c>
      <c r="R50" s="65" t="b">
        <f>导出!R50=计算!R50</f>
        <v>1</v>
      </c>
      <c r="S50" s="65" t="b">
        <f>导出!S50=计算!S50</f>
        <v>1</v>
      </c>
      <c r="T50" s="65" t="b">
        <f>导出!T50=计算!T50</f>
        <v>1</v>
      </c>
      <c r="U50" s="65" t="b">
        <f>导出!U50=计算!U50</f>
        <v>1</v>
      </c>
      <c r="V50" s="65" t="b">
        <f>导出!V50=计算!V50</f>
        <v>0</v>
      </c>
      <c r="W50" s="65" t="b">
        <f>导出!W50=计算!W50</f>
        <v>1</v>
      </c>
      <c r="X50" s="65" t="b">
        <f>导出!X50=计算!X50</f>
        <v>1</v>
      </c>
      <c r="Y50" s="65" t="b">
        <f>导出!Y50=计算!Y50</f>
        <v>1</v>
      </c>
      <c r="Z50" s="65" t="b">
        <f>导出!Z50=计算!Z50</f>
        <v>1</v>
      </c>
      <c r="AA50" s="65" t="b">
        <f>导出!AA50=计算!AA50</f>
        <v>0</v>
      </c>
      <c r="AB50" s="65" t="b">
        <f>导出!AB50=计算!AB50</f>
        <v>1</v>
      </c>
      <c r="AC50" s="65" t="b">
        <f>导出!AC50=计算!AC50</f>
        <v>1</v>
      </c>
      <c r="AD50" s="65" t="b">
        <f>导出!AD50=计算!AD50</f>
        <v>1</v>
      </c>
      <c r="AE50" s="65" t="b">
        <f>导出!AE50=计算!AE50</f>
        <v>1</v>
      </c>
      <c r="AF50" s="65" t="b">
        <f>导出!AF50=计算!AF50</f>
        <v>1</v>
      </c>
      <c r="AG50" s="65" t="b">
        <f>导出!AG50=计算!AG50</f>
        <v>1</v>
      </c>
      <c r="AH50" s="65" t="b">
        <f>导出!AH50=计算!AH50</f>
        <v>1</v>
      </c>
      <c r="AI50">
        <v>0</v>
      </c>
      <c r="AJ50" s="3">
        <v>41912.686261574097</v>
      </c>
      <c r="AK50" s="2" t="s">
        <v>2179</v>
      </c>
    </row>
    <row r="51" spans="1:37" x14ac:dyDescent="0.15">
      <c r="A51" s="2" t="s">
        <v>2178</v>
      </c>
      <c r="B51">
        <v>554</v>
      </c>
      <c r="C51" s="3">
        <v>41117</v>
      </c>
      <c r="D51" s="2" t="s">
        <v>37</v>
      </c>
      <c r="E51" s="2" t="s">
        <v>2177</v>
      </c>
      <c r="F51" s="2" t="s">
        <v>38</v>
      </c>
      <c r="G51" s="2" t="s">
        <v>141</v>
      </c>
      <c r="H51" s="2" t="s">
        <v>142</v>
      </c>
      <c r="I51" s="65" t="b">
        <f>导出!I51=计算!I51</f>
        <v>1</v>
      </c>
      <c r="J51" s="65" t="b">
        <f>导出!J51=计算!J51</f>
        <v>1</v>
      </c>
      <c r="K51" s="65" t="b">
        <f>导出!K51=计算!K51</f>
        <v>1</v>
      </c>
      <c r="L51" s="65" t="b">
        <f>导出!L51=计算!L51</f>
        <v>1</v>
      </c>
      <c r="M51" s="65" t="b">
        <f>导出!M51=计算!M51</f>
        <v>1</v>
      </c>
      <c r="N51" s="65" t="b">
        <f>导出!N51=计算!N51</f>
        <v>1</v>
      </c>
      <c r="O51" s="65" t="b">
        <f>导出!O51=计算!O51</f>
        <v>1</v>
      </c>
      <c r="P51" s="65" t="b">
        <f>导出!P51=计算!P51</f>
        <v>1</v>
      </c>
      <c r="Q51" s="65" t="b">
        <f>导出!Q51=计算!Q51</f>
        <v>0</v>
      </c>
      <c r="R51" s="65" t="b">
        <f>导出!R51=计算!R51</f>
        <v>1</v>
      </c>
      <c r="S51" s="65" t="b">
        <f>导出!S51=计算!S51</f>
        <v>1</v>
      </c>
      <c r="T51" s="65" t="b">
        <f>导出!T51=计算!T51</f>
        <v>1</v>
      </c>
      <c r="U51" s="65" t="b">
        <f>导出!U51=计算!U51</f>
        <v>1</v>
      </c>
      <c r="V51" s="65" t="b">
        <f>导出!V51=计算!V51</f>
        <v>0</v>
      </c>
      <c r="W51" s="65" t="b">
        <f>导出!W51=计算!W51</f>
        <v>1</v>
      </c>
      <c r="X51" s="65" t="b">
        <f>导出!X51=计算!X51</f>
        <v>1</v>
      </c>
      <c r="Y51" s="65" t="b">
        <f>导出!Y51=计算!Y51</f>
        <v>1</v>
      </c>
      <c r="Z51" s="65" t="b">
        <f>导出!Z51=计算!Z51</f>
        <v>1</v>
      </c>
      <c r="AA51" s="65" t="b">
        <f>导出!AA51=计算!AA51</f>
        <v>0</v>
      </c>
      <c r="AB51" s="65" t="b">
        <f>导出!AB51=计算!AB51</f>
        <v>1</v>
      </c>
      <c r="AC51" s="65" t="b">
        <f>导出!AC51=计算!AC51</f>
        <v>1</v>
      </c>
      <c r="AD51" s="65" t="b">
        <f>导出!AD51=计算!AD51</f>
        <v>1</v>
      </c>
      <c r="AE51" s="65" t="b">
        <f>导出!AE51=计算!AE51</f>
        <v>0</v>
      </c>
      <c r="AF51" s="65" t="b">
        <f>导出!AF51=计算!AF51</f>
        <v>1</v>
      </c>
      <c r="AG51" s="65" t="b">
        <f>导出!AG51=计算!AG51</f>
        <v>1</v>
      </c>
      <c r="AH51" s="65" t="b">
        <f>导出!AH51=计算!AH51</f>
        <v>1</v>
      </c>
      <c r="AI51">
        <v>0</v>
      </c>
      <c r="AJ51" s="3">
        <v>41912.686249999999</v>
      </c>
      <c r="AK51" s="2" t="s">
        <v>2176</v>
      </c>
    </row>
    <row r="52" spans="1:37" x14ac:dyDescent="0.15">
      <c r="A52" s="2" t="s">
        <v>2175</v>
      </c>
      <c r="B52">
        <v>59</v>
      </c>
      <c r="C52" s="3">
        <v>41122</v>
      </c>
      <c r="D52" s="2" t="s">
        <v>37</v>
      </c>
      <c r="E52" s="2" t="s">
        <v>2174</v>
      </c>
      <c r="F52" s="2" t="s">
        <v>41</v>
      </c>
      <c r="G52" s="2" t="s">
        <v>143</v>
      </c>
      <c r="H52" s="2" t="s">
        <v>144</v>
      </c>
      <c r="I52" s="65" t="b">
        <f>导出!I52=计算!I52</f>
        <v>1</v>
      </c>
      <c r="J52" s="65" t="b">
        <f>导出!J52=计算!J52</f>
        <v>1</v>
      </c>
      <c r="K52" s="65" t="b">
        <f>导出!K52=计算!K52</f>
        <v>1</v>
      </c>
      <c r="L52" s="65" t="b">
        <f>导出!L52=计算!L52</f>
        <v>1</v>
      </c>
      <c r="M52" s="65" t="b">
        <f>导出!M52=计算!M52</f>
        <v>1</v>
      </c>
      <c r="N52" s="65" t="b">
        <f>导出!N52=计算!N52</f>
        <v>0</v>
      </c>
      <c r="O52" s="65" t="b">
        <f>导出!O52=计算!O52</f>
        <v>1</v>
      </c>
      <c r="P52" s="65" t="b">
        <f>导出!P52=计算!P52</f>
        <v>1</v>
      </c>
      <c r="Q52" s="65" t="b">
        <f>导出!Q52=计算!Q52</f>
        <v>0</v>
      </c>
      <c r="R52" s="65" t="b">
        <f>导出!R52=计算!R52</f>
        <v>1</v>
      </c>
      <c r="S52" s="65" t="b">
        <f>导出!S52=计算!S52</f>
        <v>1</v>
      </c>
      <c r="T52" s="65" t="b">
        <f>导出!T52=计算!T52</f>
        <v>1</v>
      </c>
      <c r="U52" s="65" t="b">
        <f>导出!U52=计算!U52</f>
        <v>1</v>
      </c>
      <c r="V52" s="65" t="b">
        <f>导出!V52=计算!V52</f>
        <v>0</v>
      </c>
      <c r="W52" s="65" t="b">
        <f>导出!W52=计算!W52</f>
        <v>1</v>
      </c>
      <c r="X52" s="65" t="b">
        <f>导出!X52=计算!X52</f>
        <v>1</v>
      </c>
      <c r="Y52" s="65" t="b">
        <f>导出!Y52=计算!Y52</f>
        <v>1</v>
      </c>
      <c r="Z52" s="65" t="b">
        <f>导出!Z52=计算!Z52</f>
        <v>1</v>
      </c>
      <c r="AA52" s="65" t="b">
        <f>导出!AA52=计算!AA52</f>
        <v>0</v>
      </c>
      <c r="AB52" s="65" t="b">
        <f>导出!AB52=计算!AB52</f>
        <v>0</v>
      </c>
      <c r="AC52" s="65" t="b">
        <f>导出!AC52=计算!AC52</f>
        <v>1</v>
      </c>
      <c r="AD52" s="65" t="b">
        <f>导出!AD52=计算!AD52</f>
        <v>1</v>
      </c>
      <c r="AE52" s="65" t="b">
        <f>导出!AE52=计算!AE52</f>
        <v>0</v>
      </c>
      <c r="AF52" s="65" t="b">
        <f>导出!AF52=计算!AF52</f>
        <v>1</v>
      </c>
      <c r="AG52" s="65" t="b">
        <f>导出!AG52=计算!AG52</f>
        <v>1</v>
      </c>
      <c r="AH52" s="65" t="b">
        <f>导出!AH52=计算!AH52</f>
        <v>1</v>
      </c>
      <c r="AI52">
        <v>0</v>
      </c>
      <c r="AJ52" s="3">
        <v>41912.6862384259</v>
      </c>
      <c r="AK52" s="2" t="s">
        <v>2173</v>
      </c>
    </row>
    <row r="53" spans="1:37" x14ac:dyDescent="0.15">
      <c r="A53" s="2" t="s">
        <v>2172</v>
      </c>
      <c r="B53">
        <v>601</v>
      </c>
      <c r="C53" s="3">
        <v>41128</v>
      </c>
      <c r="D53" s="2" t="s">
        <v>37</v>
      </c>
      <c r="E53" s="2" t="s">
        <v>2171</v>
      </c>
      <c r="F53" s="2" t="s">
        <v>38</v>
      </c>
      <c r="G53" s="2" t="s">
        <v>145</v>
      </c>
      <c r="H53" s="2" t="s">
        <v>146</v>
      </c>
      <c r="I53" s="65" t="b">
        <f>导出!I53=计算!I53</f>
        <v>1</v>
      </c>
      <c r="J53" s="65" t="b">
        <f>导出!J53=计算!J53</f>
        <v>1</v>
      </c>
      <c r="K53" s="65" t="b">
        <f>导出!K53=计算!K53</f>
        <v>1</v>
      </c>
      <c r="L53" s="65" t="b">
        <f>导出!L53=计算!L53</f>
        <v>1</v>
      </c>
      <c r="M53" s="65" t="b">
        <f>导出!M53=计算!M53</f>
        <v>1</v>
      </c>
      <c r="N53" s="65" t="b">
        <f>导出!N53=计算!N53</f>
        <v>1</v>
      </c>
      <c r="O53" s="65" t="b">
        <f>导出!O53=计算!O53</f>
        <v>1</v>
      </c>
      <c r="P53" s="65" t="b">
        <f>导出!P53=计算!P53</f>
        <v>1</v>
      </c>
      <c r="Q53" s="65" t="b">
        <f>导出!Q53=计算!Q53</f>
        <v>0</v>
      </c>
      <c r="R53" s="65" t="b">
        <f>导出!R53=计算!R53</f>
        <v>1</v>
      </c>
      <c r="S53" s="65" t="b">
        <f>导出!S53=计算!S53</f>
        <v>1</v>
      </c>
      <c r="T53" s="65" t="b">
        <f>导出!T53=计算!T53</f>
        <v>1</v>
      </c>
      <c r="U53" s="65" t="b">
        <f>导出!U53=计算!U53</f>
        <v>1</v>
      </c>
      <c r="V53" s="65" t="b">
        <f>导出!V53=计算!V53</f>
        <v>0</v>
      </c>
      <c r="W53" s="65" t="b">
        <f>导出!W53=计算!W53</f>
        <v>1</v>
      </c>
      <c r="X53" s="65" t="b">
        <f>导出!X53=计算!X53</f>
        <v>1</v>
      </c>
      <c r="Y53" s="65" t="b">
        <f>导出!Y53=计算!Y53</f>
        <v>1</v>
      </c>
      <c r="Z53" s="65" t="b">
        <f>导出!Z53=计算!Z53</f>
        <v>1</v>
      </c>
      <c r="AA53" s="65" t="b">
        <f>导出!AA53=计算!AA53</f>
        <v>0</v>
      </c>
      <c r="AB53" s="65" t="b">
        <f>导出!AB53=计算!AB53</f>
        <v>0</v>
      </c>
      <c r="AC53" s="65" t="b">
        <f>导出!AC53=计算!AC53</f>
        <v>1</v>
      </c>
      <c r="AD53" s="65" t="b">
        <f>导出!AD53=计算!AD53</f>
        <v>1</v>
      </c>
      <c r="AE53" s="65" t="b">
        <f>导出!AE53=计算!AE53</f>
        <v>0</v>
      </c>
      <c r="AF53" s="65" t="b">
        <f>导出!AF53=计算!AF53</f>
        <v>1</v>
      </c>
      <c r="AG53" s="65" t="b">
        <f>导出!AG53=计算!AG53</f>
        <v>1</v>
      </c>
      <c r="AH53" s="65" t="b">
        <f>导出!AH53=计算!AH53</f>
        <v>1</v>
      </c>
      <c r="AI53">
        <v>0</v>
      </c>
      <c r="AJ53" s="3">
        <v>41912.686261574097</v>
      </c>
      <c r="AK53" s="2" t="s">
        <v>2170</v>
      </c>
    </row>
    <row r="54" spans="1:37" x14ac:dyDescent="0.15">
      <c r="A54" s="2" t="s">
        <v>2169</v>
      </c>
      <c r="B54">
        <v>612</v>
      </c>
      <c r="C54" s="3">
        <v>41130</v>
      </c>
      <c r="D54" s="2" t="s">
        <v>37</v>
      </c>
      <c r="E54" s="2" t="s">
        <v>2168</v>
      </c>
      <c r="F54" s="2" t="s">
        <v>38</v>
      </c>
      <c r="G54" s="2" t="s">
        <v>147</v>
      </c>
      <c r="H54" s="2" t="s">
        <v>148</v>
      </c>
      <c r="I54" s="65" t="b">
        <f>导出!I54=计算!I54</f>
        <v>1</v>
      </c>
      <c r="J54" s="65" t="b">
        <f>导出!J54=计算!J54</f>
        <v>1</v>
      </c>
      <c r="K54" s="65" t="b">
        <f>导出!K54=计算!K54</f>
        <v>1</v>
      </c>
      <c r="L54" s="65" t="b">
        <f>导出!L54=计算!L54</f>
        <v>1</v>
      </c>
      <c r="M54" s="65" t="b">
        <f>导出!M54=计算!M54</f>
        <v>1</v>
      </c>
      <c r="N54" s="65" t="b">
        <f>导出!N54=计算!N54</f>
        <v>1</v>
      </c>
      <c r="O54" s="65" t="b">
        <f>导出!O54=计算!O54</f>
        <v>1</v>
      </c>
      <c r="P54" s="65" t="b">
        <f>导出!P54=计算!P54</f>
        <v>1</v>
      </c>
      <c r="Q54" s="65" t="b">
        <f>导出!Q54=计算!Q54</f>
        <v>0</v>
      </c>
      <c r="R54" s="65" t="b">
        <f>导出!R54=计算!R54</f>
        <v>1</v>
      </c>
      <c r="S54" s="65" t="b">
        <f>导出!S54=计算!S54</f>
        <v>1</v>
      </c>
      <c r="T54" s="65" t="b">
        <f>导出!T54=计算!T54</f>
        <v>1</v>
      </c>
      <c r="U54" s="65" t="b">
        <f>导出!U54=计算!U54</f>
        <v>1</v>
      </c>
      <c r="V54" s="65" t="b">
        <f>导出!V54=计算!V54</f>
        <v>0</v>
      </c>
      <c r="W54" s="65" t="b">
        <f>导出!W54=计算!W54</f>
        <v>1</v>
      </c>
      <c r="X54" s="65" t="b">
        <f>导出!X54=计算!X54</f>
        <v>1</v>
      </c>
      <c r="Y54" s="65" t="b">
        <f>导出!Y54=计算!Y54</f>
        <v>0</v>
      </c>
      <c r="Z54" s="65" t="b">
        <f>导出!Z54=计算!Z54</f>
        <v>1</v>
      </c>
      <c r="AA54" s="65" t="b">
        <f>导出!AA54=计算!AA54</f>
        <v>0</v>
      </c>
      <c r="AB54" s="65" t="b">
        <f>导出!AB54=计算!AB54</f>
        <v>0</v>
      </c>
      <c r="AC54" s="65" t="b">
        <f>导出!AC54=计算!AC54</f>
        <v>1</v>
      </c>
      <c r="AD54" s="65" t="b">
        <f>导出!AD54=计算!AD54</f>
        <v>1</v>
      </c>
      <c r="AE54" s="65" t="b">
        <f>导出!AE54=计算!AE54</f>
        <v>0</v>
      </c>
      <c r="AF54" s="65" t="b">
        <f>导出!AF54=计算!AF54</f>
        <v>1</v>
      </c>
      <c r="AG54" s="65" t="b">
        <f>导出!AG54=计算!AG54</f>
        <v>1</v>
      </c>
      <c r="AH54" s="65" t="b">
        <f>导出!AH54=计算!AH54</f>
        <v>1</v>
      </c>
      <c r="AI54">
        <v>0</v>
      </c>
      <c r="AJ54" s="3">
        <v>41912.686261574097</v>
      </c>
      <c r="AK54" s="2" t="s">
        <v>2167</v>
      </c>
    </row>
    <row r="55" spans="1:37" x14ac:dyDescent="0.15">
      <c r="A55" s="2" t="s">
        <v>2166</v>
      </c>
      <c r="B55">
        <v>620</v>
      </c>
      <c r="C55" s="3">
        <v>41130</v>
      </c>
      <c r="D55" s="2" t="s">
        <v>37</v>
      </c>
      <c r="E55" s="2" t="s">
        <v>2165</v>
      </c>
      <c r="F55" s="2" t="s">
        <v>38</v>
      </c>
      <c r="G55" s="2" t="s">
        <v>149</v>
      </c>
      <c r="H55" s="2" t="s">
        <v>150</v>
      </c>
      <c r="I55" s="65" t="b">
        <f>导出!I55=计算!I55</f>
        <v>1</v>
      </c>
      <c r="J55" s="65" t="b">
        <f>导出!J55=计算!J55</f>
        <v>1</v>
      </c>
      <c r="K55" s="65" t="b">
        <f>导出!K55=计算!K55</f>
        <v>1</v>
      </c>
      <c r="L55" s="65" t="b">
        <f>导出!L55=计算!L55</f>
        <v>1</v>
      </c>
      <c r="M55" s="65" t="b">
        <f>导出!M55=计算!M55</f>
        <v>1</v>
      </c>
      <c r="N55" s="65" t="b">
        <f>导出!N55=计算!N55</f>
        <v>1</v>
      </c>
      <c r="O55" s="65" t="b">
        <f>导出!O55=计算!O55</f>
        <v>1</v>
      </c>
      <c r="P55" s="65" t="b">
        <f>导出!P55=计算!P55</f>
        <v>1</v>
      </c>
      <c r="Q55" s="65" t="b">
        <f>导出!Q55=计算!Q55</f>
        <v>0</v>
      </c>
      <c r="R55" s="65" t="b">
        <f>导出!R55=计算!R55</f>
        <v>1</v>
      </c>
      <c r="S55" s="65" t="b">
        <f>导出!S55=计算!S55</f>
        <v>1</v>
      </c>
      <c r="T55" s="65" t="b">
        <f>导出!T55=计算!T55</f>
        <v>1</v>
      </c>
      <c r="U55" s="65" t="b">
        <f>导出!U55=计算!U55</f>
        <v>1</v>
      </c>
      <c r="V55" s="65" t="b">
        <f>导出!V55=计算!V55</f>
        <v>0</v>
      </c>
      <c r="W55" s="65" t="b">
        <f>导出!W55=计算!W55</f>
        <v>1</v>
      </c>
      <c r="X55" s="65" t="b">
        <f>导出!X55=计算!X55</f>
        <v>1</v>
      </c>
      <c r="Y55" s="65" t="b">
        <f>导出!Y55=计算!Y55</f>
        <v>1</v>
      </c>
      <c r="Z55" s="65" t="b">
        <f>导出!Z55=计算!Z55</f>
        <v>1</v>
      </c>
      <c r="AA55" s="65" t="b">
        <f>导出!AA55=计算!AA55</f>
        <v>0</v>
      </c>
      <c r="AB55" s="65" t="b">
        <f>导出!AB55=计算!AB55</f>
        <v>1</v>
      </c>
      <c r="AC55" s="65" t="b">
        <f>导出!AC55=计算!AC55</f>
        <v>1</v>
      </c>
      <c r="AD55" s="65" t="b">
        <f>导出!AD55=计算!AD55</f>
        <v>1</v>
      </c>
      <c r="AE55" s="65" t="b">
        <f>导出!AE55=计算!AE55</f>
        <v>1</v>
      </c>
      <c r="AF55" s="65" t="b">
        <f>导出!AF55=计算!AF55</f>
        <v>1</v>
      </c>
      <c r="AG55" s="65" t="b">
        <f>导出!AG55=计算!AG55</f>
        <v>1</v>
      </c>
      <c r="AH55" s="65" t="b">
        <f>导出!AH55=计算!AH55</f>
        <v>1</v>
      </c>
      <c r="AI55">
        <v>0</v>
      </c>
      <c r="AJ55" s="3">
        <v>41912.686261574097</v>
      </c>
      <c r="AK55" s="2" t="s">
        <v>2164</v>
      </c>
    </row>
    <row r="56" spans="1:37" x14ac:dyDescent="0.15">
      <c r="A56" s="2" t="s">
        <v>2163</v>
      </c>
      <c r="B56">
        <v>64</v>
      </c>
      <c r="C56" s="3">
        <v>41153</v>
      </c>
      <c r="D56" s="2" t="s">
        <v>37</v>
      </c>
      <c r="E56" s="2" t="s">
        <v>2162</v>
      </c>
      <c r="F56" s="2" t="s">
        <v>41</v>
      </c>
      <c r="G56" s="2" t="s">
        <v>151</v>
      </c>
      <c r="H56" s="2" t="s">
        <v>152</v>
      </c>
      <c r="I56" s="65" t="b">
        <f>导出!I56=计算!I56</f>
        <v>1</v>
      </c>
      <c r="J56" s="65" t="b">
        <f>导出!J56=计算!J56</f>
        <v>1</v>
      </c>
      <c r="K56" s="65" t="b">
        <f>导出!K56=计算!K56</f>
        <v>1</v>
      </c>
      <c r="L56" s="65" t="b">
        <f>导出!L56=计算!L56</f>
        <v>1</v>
      </c>
      <c r="M56" s="65" t="b">
        <f>导出!M56=计算!M56</f>
        <v>1</v>
      </c>
      <c r="N56" s="65" t="b">
        <f>导出!N56=计算!N56</f>
        <v>1</v>
      </c>
      <c r="O56" s="65" t="b">
        <f>导出!O56=计算!O56</f>
        <v>1</v>
      </c>
      <c r="P56" s="65" t="b">
        <f>导出!P56=计算!P56</f>
        <v>1</v>
      </c>
      <c r="Q56" s="65" t="b">
        <f>导出!Q56=计算!Q56</f>
        <v>0</v>
      </c>
      <c r="R56" s="65" t="b">
        <f>导出!R56=计算!R56</f>
        <v>1</v>
      </c>
      <c r="S56" s="65" t="b">
        <f>导出!S56=计算!S56</f>
        <v>1</v>
      </c>
      <c r="T56" s="65" t="b">
        <f>导出!T56=计算!T56</f>
        <v>1</v>
      </c>
      <c r="U56" s="65" t="b">
        <f>导出!U56=计算!U56</f>
        <v>1</v>
      </c>
      <c r="V56" s="65" t="b">
        <f>导出!V56=计算!V56</f>
        <v>0</v>
      </c>
      <c r="W56" s="65" t="b">
        <f>导出!W56=计算!W56</f>
        <v>1</v>
      </c>
      <c r="X56" s="65" t="b">
        <f>导出!X56=计算!X56</f>
        <v>1</v>
      </c>
      <c r="Y56" s="65" t="b">
        <f>导出!Y56=计算!Y56</f>
        <v>1</v>
      </c>
      <c r="Z56" s="65" t="b">
        <f>导出!Z56=计算!Z56</f>
        <v>1</v>
      </c>
      <c r="AA56" s="65" t="b">
        <f>导出!AA56=计算!AA56</f>
        <v>1</v>
      </c>
      <c r="AB56" s="65" t="b">
        <f>导出!AB56=计算!AB56</f>
        <v>1</v>
      </c>
      <c r="AC56" s="65" t="b">
        <f>导出!AC56=计算!AC56</f>
        <v>1</v>
      </c>
      <c r="AD56" s="65" t="b">
        <f>导出!AD56=计算!AD56</f>
        <v>1</v>
      </c>
      <c r="AE56" s="65" t="b">
        <f>导出!AE56=计算!AE56</f>
        <v>1</v>
      </c>
      <c r="AF56" s="65" t="b">
        <f>导出!AF56=计算!AF56</f>
        <v>1</v>
      </c>
      <c r="AG56" s="65" t="b">
        <f>导出!AG56=计算!AG56</f>
        <v>1</v>
      </c>
      <c r="AH56" s="65" t="b">
        <f>导出!AH56=计算!AH56</f>
        <v>1</v>
      </c>
      <c r="AI56">
        <v>0</v>
      </c>
      <c r="AJ56" s="3">
        <v>41912.6862384259</v>
      </c>
      <c r="AK56" s="2" t="s">
        <v>2161</v>
      </c>
    </row>
    <row r="57" spans="1:37" x14ac:dyDescent="0.15">
      <c r="A57" s="2" t="s">
        <v>2160</v>
      </c>
      <c r="B57">
        <v>628</v>
      </c>
      <c r="C57" s="3">
        <v>41155</v>
      </c>
      <c r="D57" s="2" t="s">
        <v>37</v>
      </c>
      <c r="E57" s="2" t="s">
        <v>2159</v>
      </c>
      <c r="F57" s="2" t="s">
        <v>38</v>
      </c>
      <c r="G57" s="2" t="s">
        <v>153</v>
      </c>
      <c r="H57" s="2" t="s">
        <v>154</v>
      </c>
      <c r="I57" s="65" t="b">
        <f>导出!I57=计算!I57</f>
        <v>1</v>
      </c>
      <c r="J57" s="65" t="b">
        <f>导出!J57=计算!J57</f>
        <v>1</v>
      </c>
      <c r="K57" s="65" t="b">
        <f>导出!K57=计算!K57</f>
        <v>1</v>
      </c>
      <c r="L57" s="65" t="b">
        <f>导出!L57=计算!L57</f>
        <v>1</v>
      </c>
      <c r="M57" s="65" t="b">
        <f>导出!M57=计算!M57</f>
        <v>1</v>
      </c>
      <c r="N57" s="65" t="b">
        <f>导出!N57=计算!N57</f>
        <v>1</v>
      </c>
      <c r="O57" s="65" t="b">
        <f>导出!O57=计算!O57</f>
        <v>1</v>
      </c>
      <c r="P57" s="65" t="b">
        <f>导出!P57=计算!P57</f>
        <v>1</v>
      </c>
      <c r="Q57" s="65" t="b">
        <f>导出!Q57=计算!Q57</f>
        <v>0</v>
      </c>
      <c r="R57" s="65" t="b">
        <f>导出!R57=计算!R57</f>
        <v>1</v>
      </c>
      <c r="S57" s="65" t="b">
        <f>导出!S57=计算!S57</f>
        <v>1</v>
      </c>
      <c r="T57" s="65" t="b">
        <f>导出!T57=计算!T57</f>
        <v>1</v>
      </c>
      <c r="U57" s="65" t="b">
        <f>导出!U57=计算!U57</f>
        <v>1</v>
      </c>
      <c r="V57" s="65" t="b">
        <f>导出!V57=计算!V57</f>
        <v>0</v>
      </c>
      <c r="W57" s="65" t="b">
        <f>导出!W57=计算!W57</f>
        <v>1</v>
      </c>
      <c r="X57" s="65" t="b">
        <f>导出!X57=计算!X57</f>
        <v>1</v>
      </c>
      <c r="Y57" s="65" t="b">
        <f>导出!Y57=计算!Y57</f>
        <v>1</v>
      </c>
      <c r="Z57" s="65" t="b">
        <f>导出!Z57=计算!Z57</f>
        <v>1</v>
      </c>
      <c r="AA57" s="65" t="b">
        <f>导出!AA57=计算!AA57</f>
        <v>0</v>
      </c>
      <c r="AB57" s="65" t="b">
        <f>导出!AB57=计算!AB57</f>
        <v>1</v>
      </c>
      <c r="AC57" s="65" t="b">
        <f>导出!AC57=计算!AC57</f>
        <v>1</v>
      </c>
      <c r="AD57" s="65" t="b">
        <f>导出!AD57=计算!AD57</f>
        <v>1</v>
      </c>
      <c r="AE57" s="65" t="b">
        <f>导出!AE57=计算!AE57</f>
        <v>1</v>
      </c>
      <c r="AF57" s="65" t="b">
        <f>导出!AF57=计算!AF57</f>
        <v>1</v>
      </c>
      <c r="AG57" s="65" t="b">
        <f>导出!AG57=计算!AG57</f>
        <v>1</v>
      </c>
      <c r="AH57" s="65" t="b">
        <f>导出!AH57=计算!AH57</f>
        <v>1</v>
      </c>
      <c r="AI57">
        <v>0</v>
      </c>
      <c r="AJ57" s="3">
        <v>41912.686261574097</v>
      </c>
      <c r="AK57" s="2" t="s">
        <v>2158</v>
      </c>
    </row>
    <row r="58" spans="1:37" x14ac:dyDescent="0.15">
      <c r="A58" s="2" t="s">
        <v>2157</v>
      </c>
      <c r="B58">
        <v>637</v>
      </c>
      <c r="C58" s="3">
        <v>41155</v>
      </c>
      <c r="D58" s="2" t="s">
        <v>37</v>
      </c>
      <c r="E58" s="2" t="s">
        <v>2156</v>
      </c>
      <c r="F58" s="2" t="s">
        <v>38</v>
      </c>
      <c r="G58" s="2" t="s">
        <v>155</v>
      </c>
      <c r="H58" s="2" t="s">
        <v>156</v>
      </c>
      <c r="I58" s="65" t="b">
        <f>导出!I58=计算!I58</f>
        <v>1</v>
      </c>
      <c r="J58" s="65" t="b">
        <f>导出!J58=计算!J58</f>
        <v>1</v>
      </c>
      <c r="K58" s="65" t="b">
        <f>导出!K58=计算!K58</f>
        <v>1</v>
      </c>
      <c r="L58" s="65" t="b">
        <f>导出!L58=计算!L58</f>
        <v>1</v>
      </c>
      <c r="M58" s="65" t="b">
        <f>导出!M58=计算!M58</f>
        <v>1</v>
      </c>
      <c r="N58" s="65" t="b">
        <f>导出!N58=计算!N58</f>
        <v>1</v>
      </c>
      <c r="O58" s="65" t="b">
        <f>导出!O58=计算!O58</f>
        <v>1</v>
      </c>
      <c r="P58" s="65" t="b">
        <f>导出!P58=计算!P58</f>
        <v>1</v>
      </c>
      <c r="Q58" s="65" t="b">
        <f>导出!Q58=计算!Q58</f>
        <v>0</v>
      </c>
      <c r="R58" s="65" t="b">
        <f>导出!R58=计算!R58</f>
        <v>1</v>
      </c>
      <c r="S58" s="65" t="b">
        <f>导出!S58=计算!S58</f>
        <v>1</v>
      </c>
      <c r="T58" s="65" t="b">
        <f>导出!T58=计算!T58</f>
        <v>1</v>
      </c>
      <c r="U58" s="65" t="b">
        <f>导出!U58=计算!U58</f>
        <v>1</v>
      </c>
      <c r="V58" s="65" t="b">
        <f>导出!V58=计算!V58</f>
        <v>0</v>
      </c>
      <c r="W58" s="65" t="b">
        <f>导出!W58=计算!W58</f>
        <v>1</v>
      </c>
      <c r="X58" s="65" t="b">
        <f>导出!X58=计算!X58</f>
        <v>1</v>
      </c>
      <c r="Y58" s="65" t="b">
        <f>导出!Y58=计算!Y58</f>
        <v>1</v>
      </c>
      <c r="Z58" s="65" t="b">
        <f>导出!Z58=计算!Z58</f>
        <v>1</v>
      </c>
      <c r="AA58" s="65" t="b">
        <f>导出!AA58=计算!AA58</f>
        <v>0</v>
      </c>
      <c r="AB58" s="65" t="b">
        <f>导出!AB58=计算!AB58</f>
        <v>0</v>
      </c>
      <c r="AC58" s="65" t="b">
        <f>导出!AC58=计算!AC58</f>
        <v>1</v>
      </c>
      <c r="AD58" s="65" t="b">
        <f>导出!AD58=计算!AD58</f>
        <v>1</v>
      </c>
      <c r="AE58" s="65" t="b">
        <f>导出!AE58=计算!AE58</f>
        <v>0</v>
      </c>
      <c r="AF58" s="65" t="b">
        <f>导出!AF58=计算!AF58</f>
        <v>1</v>
      </c>
      <c r="AG58" s="65" t="b">
        <f>导出!AG58=计算!AG58</f>
        <v>1</v>
      </c>
      <c r="AH58" s="65" t="b">
        <f>导出!AH58=计算!AH58</f>
        <v>1</v>
      </c>
      <c r="AI58">
        <v>0</v>
      </c>
      <c r="AJ58" s="3">
        <v>41912.686261574097</v>
      </c>
      <c r="AK58" s="2" t="s">
        <v>2155</v>
      </c>
    </row>
    <row r="59" spans="1:37" x14ac:dyDescent="0.15">
      <c r="A59" s="2" t="s">
        <v>2154</v>
      </c>
      <c r="B59">
        <v>648</v>
      </c>
      <c r="C59" s="3">
        <v>41172</v>
      </c>
      <c r="D59" s="2" t="s">
        <v>37</v>
      </c>
      <c r="E59" s="2" t="s">
        <v>2153</v>
      </c>
      <c r="F59" s="2" t="s">
        <v>38</v>
      </c>
      <c r="G59" s="2" t="s">
        <v>157</v>
      </c>
      <c r="H59" s="2" t="s">
        <v>158</v>
      </c>
      <c r="I59" s="65" t="b">
        <f>导出!I59=计算!I59</f>
        <v>1</v>
      </c>
      <c r="J59" s="65" t="b">
        <f>导出!J59=计算!J59</f>
        <v>1</v>
      </c>
      <c r="K59" s="65" t="b">
        <f>导出!K59=计算!K59</f>
        <v>1</v>
      </c>
      <c r="L59" s="65" t="b">
        <f>导出!L59=计算!L59</f>
        <v>1</v>
      </c>
      <c r="M59" s="65" t="b">
        <f>导出!M59=计算!M59</f>
        <v>1</v>
      </c>
      <c r="N59" s="65" t="b">
        <f>导出!N59=计算!N59</f>
        <v>1</v>
      </c>
      <c r="O59" s="65" t="b">
        <f>导出!O59=计算!O59</f>
        <v>1</v>
      </c>
      <c r="P59" s="65" t="b">
        <f>导出!P59=计算!P59</f>
        <v>1</v>
      </c>
      <c r="Q59" s="65" t="b">
        <f>导出!Q59=计算!Q59</f>
        <v>0</v>
      </c>
      <c r="R59" s="65" t="b">
        <f>导出!R59=计算!R59</f>
        <v>1</v>
      </c>
      <c r="S59" s="65" t="b">
        <f>导出!S59=计算!S59</f>
        <v>1</v>
      </c>
      <c r="T59" s="65" t="b">
        <f>导出!T59=计算!T59</f>
        <v>1</v>
      </c>
      <c r="U59" s="65" t="b">
        <f>导出!U59=计算!U59</f>
        <v>1</v>
      </c>
      <c r="V59" s="65" t="b">
        <f>导出!V59=计算!V59</f>
        <v>0</v>
      </c>
      <c r="W59" s="65" t="b">
        <f>导出!W59=计算!W59</f>
        <v>1</v>
      </c>
      <c r="X59" s="65" t="b">
        <f>导出!X59=计算!X59</f>
        <v>1</v>
      </c>
      <c r="Y59" s="65" t="b">
        <f>导出!Y59=计算!Y59</f>
        <v>0</v>
      </c>
      <c r="Z59" s="65" t="b">
        <f>导出!Z59=计算!Z59</f>
        <v>1</v>
      </c>
      <c r="AA59" s="65" t="b">
        <f>导出!AA59=计算!AA59</f>
        <v>0</v>
      </c>
      <c r="AB59" s="65" t="b">
        <f>导出!AB59=计算!AB59</f>
        <v>1</v>
      </c>
      <c r="AC59" s="65" t="b">
        <f>导出!AC59=计算!AC59</f>
        <v>1</v>
      </c>
      <c r="AD59" s="65" t="b">
        <f>导出!AD59=计算!AD59</f>
        <v>1</v>
      </c>
      <c r="AE59" s="65" t="b">
        <f>导出!AE59=计算!AE59</f>
        <v>1</v>
      </c>
      <c r="AF59" s="65" t="b">
        <f>导出!AF59=计算!AF59</f>
        <v>1</v>
      </c>
      <c r="AG59" s="65" t="b">
        <f>导出!AG59=计算!AG59</f>
        <v>1</v>
      </c>
      <c r="AH59" s="65" t="b">
        <f>导出!AH59=计算!AH59</f>
        <v>1</v>
      </c>
      <c r="AI59">
        <v>0</v>
      </c>
      <c r="AJ59" s="3">
        <v>41912.686261574097</v>
      </c>
      <c r="AK59" s="2" t="s">
        <v>2152</v>
      </c>
    </row>
    <row r="60" spans="1:37" x14ac:dyDescent="0.15">
      <c r="A60" s="2" t="s">
        <v>2151</v>
      </c>
      <c r="B60">
        <v>69</v>
      </c>
      <c r="C60" s="3">
        <v>41183</v>
      </c>
      <c r="D60" s="2" t="s">
        <v>37</v>
      </c>
      <c r="E60" s="2" t="s">
        <v>2150</v>
      </c>
      <c r="F60" s="2" t="s">
        <v>41</v>
      </c>
      <c r="G60" s="2" t="s">
        <v>160</v>
      </c>
      <c r="H60" s="2" t="s">
        <v>161</v>
      </c>
      <c r="I60" s="65" t="b">
        <f>导出!I60=计算!I60</f>
        <v>1</v>
      </c>
      <c r="J60" s="65" t="b">
        <f>导出!J60=计算!J60</f>
        <v>1</v>
      </c>
      <c r="K60" s="65" t="b">
        <f>导出!K60=计算!K60</f>
        <v>1</v>
      </c>
      <c r="L60" s="65" t="b">
        <f>导出!L60=计算!L60</f>
        <v>1</v>
      </c>
      <c r="M60" s="65" t="b">
        <f>导出!M60=计算!M60</f>
        <v>1</v>
      </c>
      <c r="N60" s="65" t="b">
        <f>导出!N60=计算!N60</f>
        <v>1</v>
      </c>
      <c r="O60" s="65" t="b">
        <f>导出!O60=计算!O60</f>
        <v>1</v>
      </c>
      <c r="P60" s="65" t="b">
        <f>导出!P60=计算!P60</f>
        <v>1</v>
      </c>
      <c r="Q60" s="65" t="b">
        <f>导出!Q60=计算!Q60</f>
        <v>1</v>
      </c>
      <c r="R60" s="65" t="b">
        <f>导出!R60=计算!R60</f>
        <v>1</v>
      </c>
      <c r="S60" s="65" t="b">
        <f>导出!S60=计算!S60</f>
        <v>1</v>
      </c>
      <c r="T60" s="65" t="b">
        <f>导出!T60=计算!T60</f>
        <v>1</v>
      </c>
      <c r="U60" s="65" t="b">
        <f>导出!U60=计算!U60</f>
        <v>1</v>
      </c>
      <c r="V60" s="65" t="b">
        <f>导出!V60=计算!V60</f>
        <v>0</v>
      </c>
      <c r="W60" s="65" t="b">
        <f>导出!W60=计算!W60</f>
        <v>1</v>
      </c>
      <c r="X60" s="65" t="b">
        <f>导出!X60=计算!X60</f>
        <v>1</v>
      </c>
      <c r="Y60" s="65" t="b">
        <f>导出!Y60=计算!Y60</f>
        <v>1</v>
      </c>
      <c r="Z60" s="65" t="b">
        <f>导出!Z60=计算!Z60</f>
        <v>1</v>
      </c>
      <c r="AA60" s="65" t="b">
        <f>导出!AA60=计算!AA60</f>
        <v>0</v>
      </c>
      <c r="AB60" s="65" t="b">
        <f>导出!AB60=计算!AB60</f>
        <v>1</v>
      </c>
      <c r="AC60" s="65" t="b">
        <f>导出!AC60=计算!AC60</f>
        <v>1</v>
      </c>
      <c r="AD60" s="65" t="b">
        <f>导出!AD60=计算!AD60</f>
        <v>1</v>
      </c>
      <c r="AE60" s="65" t="b">
        <f>导出!AE60=计算!AE60</f>
        <v>1</v>
      </c>
      <c r="AF60" s="65" t="b">
        <f>导出!AF60=计算!AF60</f>
        <v>1</v>
      </c>
      <c r="AG60" s="65" t="b">
        <f>导出!AG60=计算!AG60</f>
        <v>1</v>
      </c>
      <c r="AH60" s="65" t="b">
        <f>导出!AH60=计算!AH60</f>
        <v>1</v>
      </c>
      <c r="AI60">
        <v>0</v>
      </c>
      <c r="AJ60" s="3">
        <v>41912.6862384259</v>
      </c>
      <c r="AK60" s="2" t="s">
        <v>2149</v>
      </c>
    </row>
    <row r="61" spans="1:37" x14ac:dyDescent="0.15">
      <c r="A61" s="2" t="s">
        <v>2148</v>
      </c>
      <c r="B61">
        <v>71</v>
      </c>
      <c r="C61" s="3">
        <v>41183</v>
      </c>
      <c r="D61" s="2" t="s">
        <v>37</v>
      </c>
      <c r="E61" s="2" t="s">
        <v>2147</v>
      </c>
      <c r="F61" s="2" t="s">
        <v>41</v>
      </c>
      <c r="G61" s="2" t="s">
        <v>162</v>
      </c>
      <c r="H61" s="2" t="s">
        <v>161</v>
      </c>
      <c r="I61" s="65" t="b">
        <f>导出!I61=计算!I61</f>
        <v>1</v>
      </c>
      <c r="J61" s="65" t="b">
        <f>导出!J61=计算!J61</f>
        <v>1</v>
      </c>
      <c r="K61" s="65" t="b">
        <f>导出!K61=计算!K61</f>
        <v>1</v>
      </c>
      <c r="L61" s="65" t="b">
        <f>导出!L61=计算!L61</f>
        <v>1</v>
      </c>
      <c r="M61" s="65" t="b">
        <f>导出!M61=计算!M61</f>
        <v>1</v>
      </c>
      <c r="N61" s="65" t="b">
        <f>导出!N61=计算!N61</f>
        <v>1</v>
      </c>
      <c r="O61" s="65" t="b">
        <f>导出!O61=计算!O61</f>
        <v>1</v>
      </c>
      <c r="P61" s="65" t="b">
        <f>导出!P61=计算!P61</f>
        <v>1</v>
      </c>
      <c r="Q61" s="65" t="b">
        <f>导出!Q61=计算!Q61</f>
        <v>0</v>
      </c>
      <c r="R61" s="65" t="b">
        <f>导出!R61=计算!R61</f>
        <v>1</v>
      </c>
      <c r="S61" s="65" t="b">
        <f>导出!S61=计算!S61</f>
        <v>1</v>
      </c>
      <c r="T61" s="65" t="b">
        <f>导出!T61=计算!T61</f>
        <v>1</v>
      </c>
      <c r="U61" s="65" t="b">
        <f>导出!U61=计算!U61</f>
        <v>1</v>
      </c>
      <c r="V61" s="65" t="b">
        <f>导出!V61=计算!V61</f>
        <v>1</v>
      </c>
      <c r="W61" s="65" t="b">
        <f>导出!W61=计算!W61</f>
        <v>1</v>
      </c>
      <c r="X61" s="65" t="b">
        <f>导出!X61=计算!X61</f>
        <v>1</v>
      </c>
      <c r="Y61" s="65" t="b">
        <f>导出!Y61=计算!Y61</f>
        <v>1</v>
      </c>
      <c r="Z61" s="65" t="b">
        <f>导出!Z61=计算!Z61</f>
        <v>1</v>
      </c>
      <c r="AA61" s="65" t="b">
        <f>导出!AA61=计算!AA61</f>
        <v>1</v>
      </c>
      <c r="AB61" s="65" t="b">
        <f>导出!AB61=计算!AB61</f>
        <v>1</v>
      </c>
      <c r="AC61" s="65" t="b">
        <f>导出!AC61=计算!AC61</f>
        <v>1</v>
      </c>
      <c r="AD61" s="65" t="b">
        <f>导出!AD61=计算!AD61</f>
        <v>1</v>
      </c>
      <c r="AE61" s="65" t="b">
        <f>导出!AE61=计算!AE61</f>
        <v>1</v>
      </c>
      <c r="AF61" s="65" t="b">
        <f>导出!AF61=计算!AF61</f>
        <v>1</v>
      </c>
      <c r="AG61" s="65" t="b">
        <f>导出!AG61=计算!AG61</f>
        <v>1</v>
      </c>
      <c r="AH61" s="65" t="b">
        <f>导出!AH61=计算!AH61</f>
        <v>1</v>
      </c>
      <c r="AI61">
        <v>0</v>
      </c>
      <c r="AJ61" s="3">
        <v>41912.6862384259</v>
      </c>
      <c r="AK61" s="2" t="s">
        <v>2146</v>
      </c>
    </row>
    <row r="62" spans="1:37" x14ac:dyDescent="0.15">
      <c r="A62" s="2" t="s">
        <v>2145</v>
      </c>
      <c r="B62">
        <v>76</v>
      </c>
      <c r="C62" s="3">
        <v>41214</v>
      </c>
      <c r="D62" s="2" t="s">
        <v>37</v>
      </c>
      <c r="E62" s="2" t="s">
        <v>2144</v>
      </c>
      <c r="F62" s="2" t="s">
        <v>41</v>
      </c>
      <c r="G62" s="2" t="s">
        <v>163</v>
      </c>
      <c r="H62" s="2" t="s">
        <v>164</v>
      </c>
      <c r="I62" s="65" t="b">
        <f>导出!I62=计算!I62</f>
        <v>1</v>
      </c>
      <c r="J62" s="65" t="b">
        <f>导出!J62=计算!J62</f>
        <v>1</v>
      </c>
      <c r="K62" s="65" t="b">
        <f>导出!K62=计算!K62</f>
        <v>1</v>
      </c>
      <c r="L62" s="65" t="b">
        <f>导出!L62=计算!L62</f>
        <v>1</v>
      </c>
      <c r="M62" s="65" t="b">
        <f>导出!M62=计算!M62</f>
        <v>1</v>
      </c>
      <c r="N62" s="65" t="b">
        <f>导出!N62=计算!N62</f>
        <v>1</v>
      </c>
      <c r="O62" s="65" t="b">
        <f>导出!O62=计算!O62</f>
        <v>1</v>
      </c>
      <c r="P62" s="65" t="b">
        <f>导出!P62=计算!P62</f>
        <v>1</v>
      </c>
      <c r="Q62" s="65" t="b">
        <f>导出!Q62=计算!Q62</f>
        <v>0</v>
      </c>
      <c r="R62" s="65" t="b">
        <f>导出!R62=计算!R62</f>
        <v>1</v>
      </c>
      <c r="S62" s="65" t="b">
        <f>导出!S62=计算!S62</f>
        <v>1</v>
      </c>
      <c r="T62" s="65" t="b">
        <f>导出!T62=计算!T62</f>
        <v>1</v>
      </c>
      <c r="U62" s="65" t="b">
        <f>导出!U62=计算!U62</f>
        <v>1</v>
      </c>
      <c r="V62" s="65" t="b">
        <f>导出!V62=计算!V62</f>
        <v>0</v>
      </c>
      <c r="W62" s="65" t="b">
        <f>导出!W62=计算!W62</f>
        <v>1</v>
      </c>
      <c r="X62" s="65" t="b">
        <f>导出!X62=计算!X62</f>
        <v>1</v>
      </c>
      <c r="Y62" s="65" t="b">
        <f>导出!Y62=计算!Y62</f>
        <v>1</v>
      </c>
      <c r="Z62" s="65" t="b">
        <f>导出!Z62=计算!Z62</f>
        <v>1</v>
      </c>
      <c r="AA62" s="65" t="b">
        <f>导出!AA62=计算!AA62</f>
        <v>0</v>
      </c>
      <c r="AB62" s="65" t="b">
        <f>导出!AB62=计算!AB62</f>
        <v>1</v>
      </c>
      <c r="AC62" s="65" t="b">
        <f>导出!AC62=计算!AC62</f>
        <v>1</v>
      </c>
      <c r="AD62" s="65" t="b">
        <f>导出!AD62=计算!AD62</f>
        <v>1</v>
      </c>
      <c r="AE62" s="65" t="b">
        <f>导出!AE62=计算!AE62</f>
        <v>1</v>
      </c>
      <c r="AF62" s="65" t="b">
        <f>导出!AF62=计算!AF62</f>
        <v>1</v>
      </c>
      <c r="AG62" s="65" t="b">
        <f>导出!AG62=计算!AG62</f>
        <v>1</v>
      </c>
      <c r="AH62" s="65" t="b">
        <f>导出!AH62=计算!AH62</f>
        <v>1</v>
      </c>
      <c r="AI62">
        <v>0</v>
      </c>
      <c r="AJ62" s="3">
        <v>41912.6862384259</v>
      </c>
      <c r="AK62" s="2" t="s">
        <v>2143</v>
      </c>
    </row>
    <row r="63" spans="1:37" x14ac:dyDescent="0.15">
      <c r="A63" s="2" t="s">
        <v>2142</v>
      </c>
      <c r="B63">
        <v>656</v>
      </c>
      <c r="C63" s="3">
        <v>41242</v>
      </c>
      <c r="D63" s="2" t="s">
        <v>37</v>
      </c>
      <c r="E63" s="2" t="s">
        <v>2141</v>
      </c>
      <c r="F63" s="2" t="s">
        <v>38</v>
      </c>
      <c r="G63" s="2" t="s">
        <v>165</v>
      </c>
      <c r="H63" s="2" t="s">
        <v>166</v>
      </c>
      <c r="I63" s="65" t="b">
        <f>导出!I63=计算!I63</f>
        <v>1</v>
      </c>
      <c r="J63" s="65" t="b">
        <f>导出!J63=计算!J63</f>
        <v>1</v>
      </c>
      <c r="K63" s="65" t="b">
        <f>导出!K63=计算!K63</f>
        <v>1</v>
      </c>
      <c r="L63" s="65" t="b">
        <f>导出!L63=计算!L63</f>
        <v>1</v>
      </c>
      <c r="M63" s="65" t="b">
        <f>导出!M63=计算!M63</f>
        <v>1</v>
      </c>
      <c r="N63" s="65" t="b">
        <f>导出!N63=计算!N63</f>
        <v>1</v>
      </c>
      <c r="O63" s="65" t="b">
        <f>导出!O63=计算!O63</f>
        <v>1</v>
      </c>
      <c r="P63" s="65" t="b">
        <f>导出!P63=计算!P63</f>
        <v>1</v>
      </c>
      <c r="Q63" s="65" t="b">
        <f>导出!Q63=计算!Q63</f>
        <v>0</v>
      </c>
      <c r="R63" s="65" t="b">
        <f>导出!R63=计算!R63</f>
        <v>1</v>
      </c>
      <c r="S63" s="65" t="b">
        <f>导出!S63=计算!S63</f>
        <v>1</v>
      </c>
      <c r="T63" s="65" t="b">
        <f>导出!T63=计算!T63</f>
        <v>1</v>
      </c>
      <c r="U63" s="65" t="b">
        <f>导出!U63=计算!U63</f>
        <v>1</v>
      </c>
      <c r="V63" s="65" t="b">
        <f>导出!V63=计算!V63</f>
        <v>0</v>
      </c>
      <c r="W63" s="65" t="b">
        <f>导出!W63=计算!W63</f>
        <v>1</v>
      </c>
      <c r="X63" s="65" t="b">
        <f>导出!X63=计算!X63</f>
        <v>1</v>
      </c>
      <c r="Y63" s="65" t="b">
        <f>导出!Y63=计算!Y63</f>
        <v>1</v>
      </c>
      <c r="Z63" s="65" t="b">
        <f>导出!Z63=计算!Z63</f>
        <v>1</v>
      </c>
      <c r="AA63" s="65" t="b">
        <f>导出!AA63=计算!AA63</f>
        <v>0</v>
      </c>
      <c r="AB63" s="65" t="b">
        <f>导出!AB63=计算!AB63</f>
        <v>1</v>
      </c>
      <c r="AC63" s="65" t="b">
        <f>导出!AC63=计算!AC63</f>
        <v>1</v>
      </c>
      <c r="AD63" s="65" t="b">
        <f>导出!AD63=计算!AD63</f>
        <v>1</v>
      </c>
      <c r="AE63" s="65" t="b">
        <f>导出!AE63=计算!AE63</f>
        <v>0</v>
      </c>
      <c r="AF63" s="65" t="b">
        <f>导出!AF63=计算!AF63</f>
        <v>1</v>
      </c>
      <c r="AG63" s="65" t="b">
        <f>导出!AG63=计算!AG63</f>
        <v>1</v>
      </c>
      <c r="AH63" s="65" t="b">
        <f>导出!AH63=计算!AH63</f>
        <v>1</v>
      </c>
      <c r="AI63">
        <v>0</v>
      </c>
      <c r="AJ63" s="3">
        <v>41912.686261574097</v>
      </c>
      <c r="AK63" s="2" t="s">
        <v>2140</v>
      </c>
    </row>
    <row r="64" spans="1:37" x14ac:dyDescent="0.15">
      <c r="A64" s="2" t="s">
        <v>2139</v>
      </c>
      <c r="B64">
        <v>87</v>
      </c>
      <c r="C64" s="3">
        <v>41244</v>
      </c>
      <c r="D64" s="2" t="s">
        <v>37</v>
      </c>
      <c r="E64" s="2" t="s">
        <v>2138</v>
      </c>
      <c r="F64" s="2" t="s">
        <v>41</v>
      </c>
      <c r="G64" s="2" t="s">
        <v>167</v>
      </c>
      <c r="H64" s="2" t="s">
        <v>168</v>
      </c>
      <c r="I64" s="65" t="b">
        <f>导出!I64=计算!I64</f>
        <v>1</v>
      </c>
      <c r="J64" s="65" t="b">
        <f>导出!J64=计算!J64</f>
        <v>1</v>
      </c>
      <c r="K64" s="65" t="b">
        <f>导出!K64=计算!K64</f>
        <v>1</v>
      </c>
      <c r="L64" s="65" t="b">
        <f>导出!L64=计算!L64</f>
        <v>1</v>
      </c>
      <c r="M64" s="65" t="b">
        <f>导出!M64=计算!M64</f>
        <v>1</v>
      </c>
      <c r="N64" s="65" t="b">
        <f>导出!N64=计算!N64</f>
        <v>0</v>
      </c>
      <c r="O64" s="65" t="b">
        <f>导出!O64=计算!O64</f>
        <v>1</v>
      </c>
      <c r="P64" s="65" t="b">
        <f>导出!P64=计算!P64</f>
        <v>1</v>
      </c>
      <c r="Q64" s="65" t="b">
        <f>导出!Q64=计算!Q64</f>
        <v>0</v>
      </c>
      <c r="R64" s="65" t="b">
        <f>导出!R64=计算!R64</f>
        <v>1</v>
      </c>
      <c r="S64" s="65" t="b">
        <f>导出!S64=计算!S64</f>
        <v>1</v>
      </c>
      <c r="T64" s="65" t="b">
        <f>导出!T64=计算!T64</f>
        <v>1</v>
      </c>
      <c r="U64" s="65" t="b">
        <f>导出!U64=计算!U64</f>
        <v>1</v>
      </c>
      <c r="V64" s="65" t="b">
        <f>导出!V64=计算!V64</f>
        <v>0</v>
      </c>
      <c r="W64" s="65" t="b">
        <f>导出!W64=计算!W64</f>
        <v>1</v>
      </c>
      <c r="X64" s="65" t="b">
        <f>导出!X64=计算!X64</f>
        <v>1</v>
      </c>
      <c r="Y64" s="65" t="b">
        <f>导出!Y64=计算!Y64</f>
        <v>1</v>
      </c>
      <c r="Z64" s="65" t="b">
        <f>导出!Z64=计算!Z64</f>
        <v>1</v>
      </c>
      <c r="AA64" s="65" t="b">
        <f>导出!AA64=计算!AA64</f>
        <v>0</v>
      </c>
      <c r="AB64" s="65" t="b">
        <f>导出!AB64=计算!AB64</f>
        <v>1</v>
      </c>
      <c r="AC64" s="65" t="b">
        <f>导出!AC64=计算!AC64</f>
        <v>1</v>
      </c>
      <c r="AD64" s="65" t="b">
        <f>导出!AD64=计算!AD64</f>
        <v>1</v>
      </c>
      <c r="AE64" s="65" t="b">
        <f>导出!AE64=计算!AE64</f>
        <v>1</v>
      </c>
      <c r="AF64" s="65" t="b">
        <f>导出!AF64=计算!AF64</f>
        <v>1</v>
      </c>
      <c r="AG64" s="65" t="b">
        <f>导出!AG64=计算!AG64</f>
        <v>1</v>
      </c>
      <c r="AH64" s="65" t="b">
        <f>导出!AH64=计算!AH64</f>
        <v>1</v>
      </c>
      <c r="AI64">
        <v>0</v>
      </c>
      <c r="AJ64" s="3">
        <v>41912.6862384259</v>
      </c>
      <c r="AK64" s="2" t="s">
        <v>2137</v>
      </c>
    </row>
    <row r="65" spans="1:37" x14ac:dyDescent="0.15">
      <c r="A65" s="2" t="s">
        <v>2136</v>
      </c>
      <c r="B65">
        <v>81</v>
      </c>
      <c r="C65" s="3">
        <v>41244</v>
      </c>
      <c r="D65" s="2" t="s">
        <v>37</v>
      </c>
      <c r="E65" s="2" t="s">
        <v>2135</v>
      </c>
      <c r="F65" s="2" t="s">
        <v>41</v>
      </c>
      <c r="G65" s="2" t="s">
        <v>169</v>
      </c>
      <c r="H65" s="2" t="s">
        <v>170</v>
      </c>
      <c r="I65" s="65" t="b">
        <f>导出!I65=计算!I65</f>
        <v>1</v>
      </c>
      <c r="J65" s="65" t="b">
        <f>导出!J65=计算!J65</f>
        <v>1</v>
      </c>
      <c r="K65" s="65" t="b">
        <f>导出!K65=计算!K65</f>
        <v>1</v>
      </c>
      <c r="L65" s="65" t="b">
        <f>导出!L65=计算!L65</f>
        <v>1</v>
      </c>
      <c r="M65" s="65" t="b">
        <f>导出!M65=计算!M65</f>
        <v>1</v>
      </c>
      <c r="N65" s="65" t="b">
        <f>导出!N65=计算!N65</f>
        <v>1</v>
      </c>
      <c r="O65" s="65" t="b">
        <f>导出!O65=计算!O65</f>
        <v>1</v>
      </c>
      <c r="P65" s="65" t="b">
        <f>导出!P65=计算!P65</f>
        <v>1</v>
      </c>
      <c r="Q65" s="65" t="b">
        <f>导出!Q65=计算!Q65</f>
        <v>1</v>
      </c>
      <c r="R65" s="65" t="b">
        <f>导出!R65=计算!R65</f>
        <v>1</v>
      </c>
      <c r="S65" s="65" t="b">
        <f>导出!S65=计算!S65</f>
        <v>1</v>
      </c>
      <c r="T65" s="65" t="b">
        <f>导出!T65=计算!T65</f>
        <v>1</v>
      </c>
      <c r="U65" s="65" t="b">
        <f>导出!U65=计算!U65</f>
        <v>1</v>
      </c>
      <c r="V65" s="65" t="b">
        <f>导出!V65=计算!V65</f>
        <v>0</v>
      </c>
      <c r="W65" s="65" t="b">
        <f>导出!W65=计算!W65</f>
        <v>1</v>
      </c>
      <c r="X65" s="65" t="b">
        <f>导出!X65=计算!X65</f>
        <v>1</v>
      </c>
      <c r="Y65" s="65" t="b">
        <f>导出!Y65=计算!Y65</f>
        <v>1</v>
      </c>
      <c r="Z65" s="65" t="b">
        <f>导出!Z65=计算!Z65</f>
        <v>1</v>
      </c>
      <c r="AA65" s="65" t="b">
        <f>导出!AA65=计算!AA65</f>
        <v>0</v>
      </c>
      <c r="AB65" s="65" t="b">
        <f>导出!AB65=计算!AB65</f>
        <v>1</v>
      </c>
      <c r="AC65" s="65" t="b">
        <f>导出!AC65=计算!AC65</f>
        <v>1</v>
      </c>
      <c r="AD65" s="65" t="b">
        <f>导出!AD65=计算!AD65</f>
        <v>1</v>
      </c>
      <c r="AE65" s="65" t="b">
        <f>导出!AE65=计算!AE65</f>
        <v>1</v>
      </c>
      <c r="AF65" s="65" t="b">
        <f>导出!AF65=计算!AF65</f>
        <v>1</v>
      </c>
      <c r="AG65" s="65" t="b">
        <f>导出!AG65=计算!AG65</f>
        <v>1</v>
      </c>
      <c r="AH65" s="65" t="b">
        <f>导出!AH65=计算!AH65</f>
        <v>1</v>
      </c>
      <c r="AI65">
        <v>0</v>
      </c>
      <c r="AJ65" s="3">
        <v>41912.6862384259</v>
      </c>
      <c r="AK65" s="2" t="s">
        <v>2134</v>
      </c>
    </row>
    <row r="66" spans="1:37" x14ac:dyDescent="0.15">
      <c r="A66" s="2" t="s">
        <v>2133</v>
      </c>
      <c r="B66">
        <v>89</v>
      </c>
      <c r="C66" s="3">
        <v>41244</v>
      </c>
      <c r="D66" s="2" t="s">
        <v>37</v>
      </c>
      <c r="E66" s="2" t="s">
        <v>2132</v>
      </c>
      <c r="F66" s="2" t="s">
        <v>41</v>
      </c>
      <c r="G66" s="2" t="s">
        <v>171</v>
      </c>
      <c r="H66" s="2" t="s">
        <v>172</v>
      </c>
      <c r="I66" s="65" t="b">
        <f>导出!I66=计算!I66</f>
        <v>1</v>
      </c>
      <c r="J66" s="65" t="b">
        <f>导出!J66=计算!J66</f>
        <v>1</v>
      </c>
      <c r="K66" s="65" t="b">
        <f>导出!K66=计算!K66</f>
        <v>1</v>
      </c>
      <c r="L66" s="65" t="b">
        <f>导出!L66=计算!L66</f>
        <v>1</v>
      </c>
      <c r="M66" s="65" t="b">
        <f>导出!M66=计算!M66</f>
        <v>1</v>
      </c>
      <c r="N66" s="65" t="b">
        <f>导出!N66=计算!N66</f>
        <v>1</v>
      </c>
      <c r="O66" s="65" t="b">
        <f>导出!O66=计算!O66</f>
        <v>1</v>
      </c>
      <c r="P66" s="65" t="b">
        <f>导出!P66=计算!P66</f>
        <v>1</v>
      </c>
      <c r="Q66" s="65" t="b">
        <f>导出!Q66=计算!Q66</f>
        <v>1</v>
      </c>
      <c r="R66" s="65" t="b">
        <f>导出!R66=计算!R66</f>
        <v>1</v>
      </c>
      <c r="S66" s="65" t="b">
        <f>导出!S66=计算!S66</f>
        <v>1</v>
      </c>
      <c r="T66" s="65" t="b">
        <f>导出!T66=计算!T66</f>
        <v>1</v>
      </c>
      <c r="U66" s="65" t="b">
        <f>导出!U66=计算!U66</f>
        <v>1</v>
      </c>
      <c r="V66" s="65" t="b">
        <f>导出!V66=计算!V66</f>
        <v>1</v>
      </c>
      <c r="W66" s="65" t="b">
        <f>导出!W66=计算!W66</f>
        <v>1</v>
      </c>
      <c r="X66" s="65" t="b">
        <f>导出!X66=计算!X66</f>
        <v>1</v>
      </c>
      <c r="Y66" s="65" t="b">
        <f>导出!Y66=计算!Y66</f>
        <v>1</v>
      </c>
      <c r="Z66" s="65" t="b">
        <f>导出!Z66=计算!Z66</f>
        <v>1</v>
      </c>
      <c r="AA66" s="65" t="b">
        <f>导出!AA66=计算!AA66</f>
        <v>1</v>
      </c>
      <c r="AB66" s="65" t="b">
        <f>导出!AB66=计算!AB66</f>
        <v>1</v>
      </c>
      <c r="AC66" s="65" t="b">
        <f>导出!AC66=计算!AC66</f>
        <v>1</v>
      </c>
      <c r="AD66" s="65" t="b">
        <f>导出!AD66=计算!AD66</f>
        <v>1</v>
      </c>
      <c r="AE66" s="65" t="b">
        <f>导出!AE66=计算!AE66</f>
        <v>1</v>
      </c>
      <c r="AF66" s="65" t="b">
        <f>导出!AF66=计算!AF66</f>
        <v>1</v>
      </c>
      <c r="AG66" s="65" t="b">
        <f>导出!AG66=计算!AG66</f>
        <v>1</v>
      </c>
      <c r="AH66" s="65" t="b">
        <f>导出!AH66=计算!AH66</f>
        <v>1</v>
      </c>
      <c r="AI66">
        <v>0</v>
      </c>
      <c r="AJ66" s="3">
        <v>41912.6862384259</v>
      </c>
      <c r="AK66" s="2" t="s">
        <v>2131</v>
      </c>
    </row>
    <row r="67" spans="1:37" x14ac:dyDescent="0.15">
      <c r="A67" s="2" t="s">
        <v>2130</v>
      </c>
      <c r="B67">
        <v>82</v>
      </c>
      <c r="C67" s="3">
        <v>41244</v>
      </c>
      <c r="D67" s="2" t="s">
        <v>37</v>
      </c>
      <c r="E67" s="2" t="s">
        <v>2129</v>
      </c>
      <c r="F67" s="2" t="s">
        <v>41</v>
      </c>
      <c r="G67" s="2" t="s">
        <v>175</v>
      </c>
      <c r="H67" s="2" t="s">
        <v>170</v>
      </c>
      <c r="I67" s="65" t="b">
        <f>导出!I67=计算!I67</f>
        <v>1</v>
      </c>
      <c r="J67" s="65" t="b">
        <f>导出!J67=计算!J67</f>
        <v>1</v>
      </c>
      <c r="K67" s="65" t="b">
        <f>导出!K67=计算!K67</f>
        <v>1</v>
      </c>
      <c r="L67" s="65" t="b">
        <f>导出!L67=计算!L67</f>
        <v>1</v>
      </c>
      <c r="M67" s="65" t="b">
        <f>导出!M67=计算!M67</f>
        <v>1</v>
      </c>
      <c r="N67" s="65" t="b">
        <f>导出!N67=计算!N67</f>
        <v>1</v>
      </c>
      <c r="O67" s="65" t="b">
        <f>导出!O67=计算!O67</f>
        <v>1</v>
      </c>
      <c r="P67" s="65" t="b">
        <f>导出!P67=计算!P67</f>
        <v>1</v>
      </c>
      <c r="Q67" s="65" t="b">
        <f>导出!Q67=计算!Q67</f>
        <v>1</v>
      </c>
      <c r="R67" s="65" t="b">
        <f>导出!R67=计算!R67</f>
        <v>1</v>
      </c>
      <c r="S67" s="65" t="b">
        <f>导出!S67=计算!S67</f>
        <v>1</v>
      </c>
      <c r="T67" s="65" t="b">
        <f>导出!T67=计算!T67</f>
        <v>1</v>
      </c>
      <c r="U67" s="65" t="b">
        <f>导出!U67=计算!U67</f>
        <v>1</v>
      </c>
      <c r="V67" s="65" t="b">
        <f>导出!V67=计算!V67</f>
        <v>1</v>
      </c>
      <c r="W67" s="65" t="b">
        <f>导出!W67=计算!W67</f>
        <v>1</v>
      </c>
      <c r="X67" s="65" t="b">
        <f>导出!X67=计算!X67</f>
        <v>1</v>
      </c>
      <c r="Y67" s="65" t="b">
        <f>导出!Y67=计算!Y67</f>
        <v>1</v>
      </c>
      <c r="Z67" s="65" t="b">
        <f>导出!Z67=计算!Z67</f>
        <v>1</v>
      </c>
      <c r="AA67" s="65" t="b">
        <f>导出!AA67=计算!AA67</f>
        <v>0</v>
      </c>
      <c r="AB67" s="65" t="b">
        <f>导出!AB67=计算!AB67</f>
        <v>1</v>
      </c>
      <c r="AC67" s="65" t="b">
        <f>导出!AC67=计算!AC67</f>
        <v>1</v>
      </c>
      <c r="AD67" s="65" t="b">
        <f>导出!AD67=计算!AD67</f>
        <v>1</v>
      </c>
      <c r="AE67" s="65" t="b">
        <f>导出!AE67=计算!AE67</f>
        <v>1</v>
      </c>
      <c r="AF67" s="65" t="b">
        <f>导出!AF67=计算!AF67</f>
        <v>1</v>
      </c>
      <c r="AG67" s="65" t="b">
        <f>导出!AG67=计算!AG67</f>
        <v>1</v>
      </c>
      <c r="AH67" s="65" t="b">
        <f>导出!AH67=计算!AH67</f>
        <v>1</v>
      </c>
      <c r="AI67">
        <v>0</v>
      </c>
      <c r="AJ67" s="3">
        <v>41912.6862384259</v>
      </c>
      <c r="AK67" s="2" t="s">
        <v>2128</v>
      </c>
    </row>
    <row r="68" spans="1:37" x14ac:dyDescent="0.15">
      <c r="A68" s="2" t="s">
        <v>2127</v>
      </c>
      <c r="B68">
        <v>94</v>
      </c>
      <c r="C68" s="3">
        <v>41244</v>
      </c>
      <c r="D68" s="2" t="s">
        <v>37</v>
      </c>
      <c r="E68" s="2" t="s">
        <v>2126</v>
      </c>
      <c r="F68" s="2" t="s">
        <v>41</v>
      </c>
      <c r="G68" s="2" t="s">
        <v>173</v>
      </c>
      <c r="H68" s="2" t="s">
        <v>174</v>
      </c>
      <c r="I68" s="65" t="b">
        <f>导出!I68=计算!I68</f>
        <v>1</v>
      </c>
      <c r="J68" s="65" t="b">
        <f>导出!J68=计算!J68</f>
        <v>1</v>
      </c>
      <c r="K68" s="65" t="b">
        <f>导出!K68=计算!K68</f>
        <v>1</v>
      </c>
      <c r="L68" s="65" t="b">
        <f>导出!L68=计算!L68</f>
        <v>1</v>
      </c>
      <c r="M68" s="65" t="b">
        <f>导出!M68=计算!M68</f>
        <v>1</v>
      </c>
      <c r="N68" s="65" t="b">
        <f>导出!N68=计算!N68</f>
        <v>0</v>
      </c>
      <c r="O68" s="65" t="b">
        <f>导出!O68=计算!O68</f>
        <v>1</v>
      </c>
      <c r="P68" s="65" t="b">
        <f>导出!P68=计算!P68</f>
        <v>1</v>
      </c>
      <c r="Q68" s="65" t="b">
        <f>导出!Q68=计算!Q68</f>
        <v>0</v>
      </c>
      <c r="R68" s="65" t="b">
        <f>导出!R68=计算!R68</f>
        <v>1</v>
      </c>
      <c r="S68" s="65" t="b">
        <f>导出!S68=计算!S68</f>
        <v>1</v>
      </c>
      <c r="T68" s="65" t="b">
        <f>导出!T68=计算!T68</f>
        <v>1</v>
      </c>
      <c r="U68" s="65" t="b">
        <f>导出!U68=计算!U68</f>
        <v>1</v>
      </c>
      <c r="V68" s="65" t="b">
        <f>导出!V68=计算!V68</f>
        <v>0</v>
      </c>
      <c r="W68" s="65" t="b">
        <f>导出!W68=计算!W68</f>
        <v>1</v>
      </c>
      <c r="X68" s="65" t="b">
        <f>导出!X68=计算!X68</f>
        <v>1</v>
      </c>
      <c r="Y68" s="65" t="b">
        <f>导出!Y68=计算!Y68</f>
        <v>1</v>
      </c>
      <c r="Z68" s="65" t="b">
        <f>导出!Z68=计算!Z68</f>
        <v>1</v>
      </c>
      <c r="AA68" s="65" t="b">
        <f>导出!AA68=计算!AA68</f>
        <v>1</v>
      </c>
      <c r="AB68" s="65" t="b">
        <f>导出!AB68=计算!AB68</f>
        <v>1</v>
      </c>
      <c r="AC68" s="65" t="b">
        <f>导出!AC68=计算!AC68</f>
        <v>1</v>
      </c>
      <c r="AD68" s="65" t="b">
        <f>导出!AD68=计算!AD68</f>
        <v>1</v>
      </c>
      <c r="AE68" s="65" t="b">
        <f>导出!AE68=计算!AE68</f>
        <v>1</v>
      </c>
      <c r="AF68" s="65" t="b">
        <f>导出!AF68=计算!AF68</f>
        <v>1</v>
      </c>
      <c r="AG68" s="65" t="b">
        <f>导出!AG68=计算!AG68</f>
        <v>1</v>
      </c>
      <c r="AH68" s="65" t="b">
        <f>导出!AH68=计算!AH68</f>
        <v>1</v>
      </c>
      <c r="AI68">
        <v>0</v>
      </c>
      <c r="AJ68" s="3">
        <v>41912.6862384259</v>
      </c>
      <c r="AK68" s="2" t="s">
        <v>2125</v>
      </c>
    </row>
    <row r="69" spans="1:37" x14ac:dyDescent="0.15">
      <c r="A69" s="2" t="s">
        <v>2124</v>
      </c>
      <c r="B69">
        <v>99</v>
      </c>
      <c r="C69" s="3">
        <v>41275</v>
      </c>
      <c r="D69" s="2" t="s">
        <v>37</v>
      </c>
      <c r="E69" s="2" t="s">
        <v>2123</v>
      </c>
      <c r="F69" s="2" t="s">
        <v>41</v>
      </c>
      <c r="G69" s="2" t="s">
        <v>176</v>
      </c>
      <c r="H69" s="2" t="s">
        <v>177</v>
      </c>
      <c r="I69" s="65" t="b">
        <f>导出!I69=计算!I69</f>
        <v>1</v>
      </c>
      <c r="J69" s="65" t="b">
        <f>导出!J69=计算!J69</f>
        <v>1</v>
      </c>
      <c r="K69" s="65" t="b">
        <f>导出!K69=计算!K69</f>
        <v>1</v>
      </c>
      <c r="L69" s="65" t="b">
        <f>导出!L69=计算!L69</f>
        <v>1</v>
      </c>
      <c r="M69" s="65" t="b">
        <f>导出!M69=计算!M69</f>
        <v>1</v>
      </c>
      <c r="N69" s="65" t="b">
        <f>导出!N69=计算!N69</f>
        <v>0</v>
      </c>
      <c r="O69" s="65" t="b">
        <f>导出!O69=计算!O69</f>
        <v>1</v>
      </c>
      <c r="P69" s="65" t="b">
        <f>导出!P69=计算!P69</f>
        <v>1</v>
      </c>
      <c r="Q69" s="65" t="b">
        <f>导出!Q69=计算!Q69</f>
        <v>0</v>
      </c>
      <c r="R69" s="65" t="b">
        <f>导出!R69=计算!R69</f>
        <v>1</v>
      </c>
      <c r="S69" s="65" t="b">
        <f>导出!S69=计算!S69</f>
        <v>1</v>
      </c>
      <c r="T69" s="65" t="b">
        <f>导出!T69=计算!T69</f>
        <v>1</v>
      </c>
      <c r="U69" s="65" t="b">
        <f>导出!U69=计算!U69</f>
        <v>1</v>
      </c>
      <c r="V69" s="65" t="b">
        <f>导出!V69=计算!V69</f>
        <v>0</v>
      </c>
      <c r="W69" s="65" t="b">
        <f>导出!W69=计算!W69</f>
        <v>1</v>
      </c>
      <c r="X69" s="65" t="b">
        <f>导出!X69=计算!X69</f>
        <v>1</v>
      </c>
      <c r="Y69" s="65" t="b">
        <f>导出!Y69=计算!Y69</f>
        <v>1</v>
      </c>
      <c r="Z69" s="65" t="b">
        <f>导出!Z69=计算!Z69</f>
        <v>1</v>
      </c>
      <c r="AA69" s="65" t="b">
        <f>导出!AA69=计算!AA69</f>
        <v>0</v>
      </c>
      <c r="AB69" s="65" t="b">
        <f>导出!AB69=计算!AB69</f>
        <v>0</v>
      </c>
      <c r="AC69" s="65" t="b">
        <f>导出!AC69=计算!AC69</f>
        <v>1</v>
      </c>
      <c r="AD69" s="65" t="b">
        <f>导出!AD69=计算!AD69</f>
        <v>1</v>
      </c>
      <c r="AE69" s="65" t="b">
        <f>导出!AE69=计算!AE69</f>
        <v>0</v>
      </c>
      <c r="AF69" s="65" t="b">
        <f>导出!AF69=计算!AF69</f>
        <v>1</v>
      </c>
      <c r="AG69" s="65" t="b">
        <f>导出!AG69=计算!AG69</f>
        <v>1</v>
      </c>
      <c r="AH69" s="65" t="b">
        <f>导出!AH69=计算!AH69</f>
        <v>1</v>
      </c>
      <c r="AI69">
        <v>0</v>
      </c>
      <c r="AJ69" s="3">
        <v>41912.6862384259</v>
      </c>
      <c r="AK69" s="2" t="s">
        <v>2122</v>
      </c>
    </row>
    <row r="70" spans="1:37" x14ac:dyDescent="0.15">
      <c r="A70" s="2" t="s">
        <v>2121</v>
      </c>
      <c r="B70">
        <v>665</v>
      </c>
      <c r="C70" s="3">
        <v>41284</v>
      </c>
      <c r="D70" s="2" t="s">
        <v>37</v>
      </c>
      <c r="E70" s="2" t="s">
        <v>2120</v>
      </c>
      <c r="F70" s="2" t="s">
        <v>38</v>
      </c>
      <c r="G70" s="2" t="s">
        <v>178</v>
      </c>
      <c r="H70" s="2" t="s">
        <v>179</v>
      </c>
      <c r="I70" s="65" t="b">
        <f>导出!I70=计算!I70</f>
        <v>1</v>
      </c>
      <c r="J70" s="65" t="b">
        <f>导出!J70=计算!J70</f>
        <v>1</v>
      </c>
      <c r="K70" s="65" t="b">
        <f>导出!K70=计算!K70</f>
        <v>1</v>
      </c>
      <c r="L70" s="65" t="b">
        <f>导出!L70=计算!L70</f>
        <v>1</v>
      </c>
      <c r="M70" s="65" t="b">
        <f>导出!M70=计算!M70</f>
        <v>1</v>
      </c>
      <c r="N70" s="65" t="b">
        <f>导出!N70=计算!N70</f>
        <v>1</v>
      </c>
      <c r="O70" s="65" t="b">
        <f>导出!O70=计算!O70</f>
        <v>1</v>
      </c>
      <c r="P70" s="65" t="b">
        <f>导出!P70=计算!P70</f>
        <v>1</v>
      </c>
      <c r="Q70" s="65" t="b">
        <f>导出!Q70=计算!Q70</f>
        <v>0</v>
      </c>
      <c r="R70" s="65" t="b">
        <f>导出!R70=计算!R70</f>
        <v>1</v>
      </c>
      <c r="S70" s="65" t="b">
        <f>导出!S70=计算!S70</f>
        <v>1</v>
      </c>
      <c r="T70" s="65" t="b">
        <f>导出!T70=计算!T70</f>
        <v>1</v>
      </c>
      <c r="U70" s="65" t="b">
        <f>导出!U70=计算!U70</f>
        <v>1</v>
      </c>
      <c r="V70" s="65" t="b">
        <f>导出!V70=计算!V70</f>
        <v>0</v>
      </c>
      <c r="W70" s="65" t="b">
        <f>导出!W70=计算!W70</f>
        <v>1</v>
      </c>
      <c r="X70" s="65" t="b">
        <f>导出!X70=计算!X70</f>
        <v>1</v>
      </c>
      <c r="Y70" s="65" t="b">
        <f>导出!Y70=计算!Y70</f>
        <v>1</v>
      </c>
      <c r="Z70" s="65" t="b">
        <f>导出!Z70=计算!Z70</f>
        <v>1</v>
      </c>
      <c r="AA70" s="65" t="b">
        <f>导出!AA70=计算!AA70</f>
        <v>0</v>
      </c>
      <c r="AB70" s="65" t="b">
        <f>导出!AB70=计算!AB70</f>
        <v>1</v>
      </c>
      <c r="AC70" s="65" t="b">
        <f>导出!AC70=计算!AC70</f>
        <v>1</v>
      </c>
      <c r="AD70" s="65" t="b">
        <f>导出!AD70=计算!AD70</f>
        <v>1</v>
      </c>
      <c r="AE70" s="65" t="b">
        <f>导出!AE70=计算!AE70</f>
        <v>1</v>
      </c>
      <c r="AF70" s="65" t="b">
        <f>导出!AF70=计算!AF70</f>
        <v>1</v>
      </c>
      <c r="AG70" s="65" t="b">
        <f>导出!AG70=计算!AG70</f>
        <v>1</v>
      </c>
      <c r="AH70" s="65" t="b">
        <f>导出!AH70=计算!AH70</f>
        <v>1</v>
      </c>
      <c r="AI70">
        <v>0</v>
      </c>
      <c r="AJ70" s="3">
        <v>41912.686261574097</v>
      </c>
      <c r="AK70" s="2" t="s">
        <v>2119</v>
      </c>
    </row>
    <row r="71" spans="1:37" x14ac:dyDescent="0.15">
      <c r="A71" s="2" t="s">
        <v>2118</v>
      </c>
      <c r="B71">
        <v>682</v>
      </c>
      <c r="C71" s="3">
        <v>41294</v>
      </c>
      <c r="D71" s="2" t="s">
        <v>37</v>
      </c>
      <c r="E71" s="2" t="s">
        <v>2117</v>
      </c>
      <c r="F71" s="2" t="s">
        <v>38</v>
      </c>
      <c r="G71" s="2" t="s">
        <v>180</v>
      </c>
      <c r="H71" s="2" t="s">
        <v>181</v>
      </c>
      <c r="I71" s="65" t="b">
        <f>导出!I71=计算!I71</f>
        <v>1</v>
      </c>
      <c r="J71" s="65" t="b">
        <f>导出!J71=计算!J71</f>
        <v>1</v>
      </c>
      <c r="K71" s="65" t="b">
        <f>导出!K71=计算!K71</f>
        <v>1</v>
      </c>
      <c r="L71" s="65" t="b">
        <f>导出!L71=计算!L71</f>
        <v>1</v>
      </c>
      <c r="M71" s="65" t="b">
        <f>导出!M71=计算!M71</f>
        <v>1</v>
      </c>
      <c r="N71" s="65" t="b">
        <f>导出!N71=计算!N71</f>
        <v>1</v>
      </c>
      <c r="O71" s="65" t="b">
        <f>导出!O71=计算!O71</f>
        <v>1</v>
      </c>
      <c r="P71" s="65" t="b">
        <f>导出!P71=计算!P71</f>
        <v>1</v>
      </c>
      <c r="Q71" s="65" t="b">
        <f>导出!Q71=计算!Q71</f>
        <v>0</v>
      </c>
      <c r="R71" s="65" t="b">
        <f>导出!R71=计算!R71</f>
        <v>1</v>
      </c>
      <c r="S71" s="65" t="b">
        <f>导出!S71=计算!S71</f>
        <v>1</v>
      </c>
      <c r="T71" s="65" t="b">
        <f>导出!T71=计算!T71</f>
        <v>1</v>
      </c>
      <c r="U71" s="65" t="b">
        <f>导出!U71=计算!U71</f>
        <v>1</v>
      </c>
      <c r="V71" s="65" t="b">
        <f>导出!V71=计算!V71</f>
        <v>0</v>
      </c>
      <c r="W71" s="65" t="b">
        <f>导出!W71=计算!W71</f>
        <v>1</v>
      </c>
      <c r="X71" s="65" t="b">
        <f>导出!X71=计算!X71</f>
        <v>1</v>
      </c>
      <c r="Y71" s="65" t="b">
        <f>导出!Y71=计算!Y71</f>
        <v>1</v>
      </c>
      <c r="Z71" s="65" t="b">
        <f>导出!Z71=计算!Z71</f>
        <v>1</v>
      </c>
      <c r="AA71" s="65" t="b">
        <f>导出!AA71=计算!AA71</f>
        <v>0</v>
      </c>
      <c r="AB71" s="65" t="b">
        <f>导出!AB71=计算!AB71</f>
        <v>1</v>
      </c>
      <c r="AC71" s="65" t="b">
        <f>导出!AC71=计算!AC71</f>
        <v>1</v>
      </c>
      <c r="AD71" s="65" t="b">
        <f>导出!AD71=计算!AD71</f>
        <v>1</v>
      </c>
      <c r="AE71" s="65" t="b">
        <f>导出!AE71=计算!AE71</f>
        <v>0</v>
      </c>
      <c r="AF71" s="65" t="b">
        <f>导出!AF71=计算!AF71</f>
        <v>1</v>
      </c>
      <c r="AG71" s="65" t="b">
        <f>导出!AG71=计算!AG71</f>
        <v>1</v>
      </c>
      <c r="AH71" s="65" t="b">
        <f>导出!AH71=计算!AH71</f>
        <v>1</v>
      </c>
      <c r="AI71">
        <v>0</v>
      </c>
      <c r="AJ71" s="3">
        <v>41912.686261574097</v>
      </c>
      <c r="AK71" s="2" t="s">
        <v>2116</v>
      </c>
    </row>
    <row r="72" spans="1:37" x14ac:dyDescent="0.15">
      <c r="A72" s="2" t="s">
        <v>2115</v>
      </c>
      <c r="B72">
        <v>698</v>
      </c>
      <c r="C72" s="3">
        <v>41294</v>
      </c>
      <c r="D72" s="2" t="s">
        <v>37</v>
      </c>
      <c r="E72" s="2" t="s">
        <v>2114</v>
      </c>
      <c r="F72" s="2" t="s">
        <v>38</v>
      </c>
      <c r="G72" s="2" t="s">
        <v>182</v>
      </c>
      <c r="H72" s="2" t="s">
        <v>183</v>
      </c>
      <c r="I72" s="65" t="b">
        <f>导出!I72=计算!I72</f>
        <v>1</v>
      </c>
      <c r="J72" s="65" t="b">
        <f>导出!J72=计算!J72</f>
        <v>1</v>
      </c>
      <c r="K72" s="65" t="b">
        <f>导出!K72=计算!K72</f>
        <v>1</v>
      </c>
      <c r="L72" s="65" t="b">
        <f>导出!L72=计算!L72</f>
        <v>1</v>
      </c>
      <c r="M72" s="65" t="b">
        <f>导出!M72=计算!M72</f>
        <v>1</v>
      </c>
      <c r="N72" s="65" t="b">
        <f>导出!N72=计算!N72</f>
        <v>1</v>
      </c>
      <c r="O72" s="65" t="b">
        <f>导出!O72=计算!O72</f>
        <v>1</v>
      </c>
      <c r="P72" s="65" t="b">
        <f>导出!P72=计算!P72</f>
        <v>1</v>
      </c>
      <c r="Q72" s="65" t="b">
        <f>导出!Q72=计算!Q72</f>
        <v>0</v>
      </c>
      <c r="R72" s="65" t="b">
        <f>导出!R72=计算!R72</f>
        <v>1</v>
      </c>
      <c r="S72" s="65" t="b">
        <f>导出!S72=计算!S72</f>
        <v>1</v>
      </c>
      <c r="T72" s="65" t="b">
        <f>导出!T72=计算!T72</f>
        <v>1</v>
      </c>
      <c r="U72" s="65" t="b">
        <f>导出!U72=计算!U72</f>
        <v>1</v>
      </c>
      <c r="V72" s="65" t="b">
        <f>导出!V72=计算!V72</f>
        <v>0</v>
      </c>
      <c r="W72" s="65" t="b">
        <f>导出!W72=计算!W72</f>
        <v>1</v>
      </c>
      <c r="X72" s="65" t="b">
        <f>导出!X72=计算!X72</f>
        <v>1</v>
      </c>
      <c r="Y72" s="65" t="b">
        <f>导出!Y72=计算!Y72</f>
        <v>1</v>
      </c>
      <c r="Z72" s="65" t="b">
        <f>导出!Z72=计算!Z72</f>
        <v>1</v>
      </c>
      <c r="AA72" s="65" t="b">
        <f>导出!AA72=计算!AA72</f>
        <v>1</v>
      </c>
      <c r="AB72" s="65" t="b">
        <f>导出!AB72=计算!AB72</f>
        <v>1</v>
      </c>
      <c r="AC72" s="65" t="b">
        <f>导出!AC72=计算!AC72</f>
        <v>1</v>
      </c>
      <c r="AD72" s="65" t="b">
        <f>导出!AD72=计算!AD72</f>
        <v>1</v>
      </c>
      <c r="AE72" s="65" t="b">
        <f>导出!AE72=计算!AE72</f>
        <v>1</v>
      </c>
      <c r="AF72" s="65" t="b">
        <f>导出!AF72=计算!AF72</f>
        <v>1</v>
      </c>
      <c r="AG72" s="65" t="b">
        <f>导出!AG72=计算!AG72</f>
        <v>1</v>
      </c>
      <c r="AH72" s="65" t="b">
        <f>导出!AH72=计算!AH72</f>
        <v>1</v>
      </c>
      <c r="AI72">
        <v>0</v>
      </c>
      <c r="AJ72" s="3">
        <v>41912.686261574097</v>
      </c>
      <c r="AK72" s="2" t="s">
        <v>2113</v>
      </c>
    </row>
    <row r="73" spans="1:37" x14ac:dyDescent="0.15">
      <c r="A73" s="2" t="s">
        <v>2112</v>
      </c>
      <c r="B73">
        <v>674</v>
      </c>
      <c r="C73" s="3">
        <v>41297</v>
      </c>
      <c r="D73" s="2" t="s">
        <v>37</v>
      </c>
      <c r="E73" s="2" t="s">
        <v>2111</v>
      </c>
      <c r="F73" s="2" t="s">
        <v>38</v>
      </c>
      <c r="G73" s="2" t="s">
        <v>184</v>
      </c>
      <c r="H73" s="2" t="s">
        <v>185</v>
      </c>
      <c r="I73" s="65" t="b">
        <f>导出!I73=计算!I73</f>
        <v>1</v>
      </c>
      <c r="J73" s="65" t="b">
        <f>导出!J73=计算!J73</f>
        <v>1</v>
      </c>
      <c r="K73" s="65" t="b">
        <f>导出!K73=计算!K73</f>
        <v>1</v>
      </c>
      <c r="L73" s="65" t="b">
        <f>导出!L73=计算!L73</f>
        <v>1</v>
      </c>
      <c r="M73" s="65" t="b">
        <f>导出!M73=计算!M73</f>
        <v>1</v>
      </c>
      <c r="N73" s="65" t="b">
        <f>导出!N73=计算!N73</f>
        <v>1</v>
      </c>
      <c r="O73" s="65" t="b">
        <f>导出!O73=计算!O73</f>
        <v>1</v>
      </c>
      <c r="P73" s="65" t="b">
        <f>导出!P73=计算!P73</f>
        <v>1</v>
      </c>
      <c r="Q73" s="65" t="b">
        <f>导出!Q73=计算!Q73</f>
        <v>0</v>
      </c>
      <c r="R73" s="65" t="b">
        <f>导出!R73=计算!R73</f>
        <v>1</v>
      </c>
      <c r="S73" s="65" t="b">
        <f>导出!S73=计算!S73</f>
        <v>1</v>
      </c>
      <c r="T73" s="65" t="b">
        <f>导出!T73=计算!T73</f>
        <v>1</v>
      </c>
      <c r="U73" s="65" t="b">
        <f>导出!U73=计算!U73</f>
        <v>1</v>
      </c>
      <c r="V73" s="65" t="b">
        <f>导出!V73=计算!V73</f>
        <v>0</v>
      </c>
      <c r="W73" s="65" t="b">
        <f>导出!W73=计算!W73</f>
        <v>1</v>
      </c>
      <c r="X73" s="65" t="b">
        <f>导出!X73=计算!X73</f>
        <v>1</v>
      </c>
      <c r="Y73" s="65" t="b">
        <f>导出!Y73=计算!Y73</f>
        <v>1</v>
      </c>
      <c r="Z73" s="65" t="b">
        <f>导出!Z73=计算!Z73</f>
        <v>1</v>
      </c>
      <c r="AA73" s="65" t="b">
        <f>导出!AA73=计算!AA73</f>
        <v>0</v>
      </c>
      <c r="AB73" s="65" t="b">
        <f>导出!AB73=计算!AB73</f>
        <v>1</v>
      </c>
      <c r="AC73" s="65" t="b">
        <f>导出!AC73=计算!AC73</f>
        <v>1</v>
      </c>
      <c r="AD73" s="65" t="b">
        <f>导出!AD73=计算!AD73</f>
        <v>1</v>
      </c>
      <c r="AE73" s="65" t="b">
        <f>导出!AE73=计算!AE73</f>
        <v>0</v>
      </c>
      <c r="AF73" s="65" t="b">
        <f>导出!AF73=计算!AF73</f>
        <v>1</v>
      </c>
      <c r="AG73" s="65" t="b">
        <f>导出!AG73=计算!AG73</f>
        <v>1</v>
      </c>
      <c r="AH73" s="65" t="b">
        <f>导出!AH73=计算!AH73</f>
        <v>1</v>
      </c>
      <c r="AI73">
        <v>0</v>
      </c>
      <c r="AJ73" s="3">
        <v>41912.686261574097</v>
      </c>
      <c r="AK73" s="2" t="s">
        <v>2110</v>
      </c>
    </row>
    <row r="74" spans="1:37" x14ac:dyDescent="0.15">
      <c r="A74" s="2" t="s">
        <v>2109</v>
      </c>
      <c r="B74">
        <v>705</v>
      </c>
      <c r="C74" s="3">
        <v>41299</v>
      </c>
      <c r="D74" s="2" t="s">
        <v>37</v>
      </c>
      <c r="E74" s="2" t="s">
        <v>2108</v>
      </c>
      <c r="F74" s="2" t="s">
        <v>38</v>
      </c>
      <c r="G74" s="2" t="s">
        <v>186</v>
      </c>
      <c r="H74" s="2" t="s">
        <v>187</v>
      </c>
      <c r="I74" s="65" t="b">
        <f>导出!I74=计算!I74</f>
        <v>1</v>
      </c>
      <c r="J74" s="65" t="b">
        <f>导出!J74=计算!J74</f>
        <v>1</v>
      </c>
      <c r="K74" s="65" t="b">
        <f>导出!K74=计算!K74</f>
        <v>1</v>
      </c>
      <c r="L74" s="65" t="b">
        <f>导出!L74=计算!L74</f>
        <v>1</v>
      </c>
      <c r="M74" s="65" t="b">
        <f>导出!M74=计算!M74</f>
        <v>1</v>
      </c>
      <c r="N74" s="65" t="b">
        <f>导出!N74=计算!N74</f>
        <v>1</v>
      </c>
      <c r="O74" s="65" t="b">
        <f>导出!O74=计算!O74</f>
        <v>1</v>
      </c>
      <c r="P74" s="65" t="b">
        <f>导出!P74=计算!P74</f>
        <v>1</v>
      </c>
      <c r="Q74" s="65" t="b">
        <f>导出!Q74=计算!Q74</f>
        <v>1</v>
      </c>
      <c r="R74" s="65" t="b">
        <f>导出!R74=计算!R74</f>
        <v>1</v>
      </c>
      <c r="S74" s="65" t="b">
        <f>导出!S74=计算!S74</f>
        <v>1</v>
      </c>
      <c r="T74" s="65" t="b">
        <f>导出!T74=计算!T74</f>
        <v>1</v>
      </c>
      <c r="U74" s="65" t="b">
        <f>导出!U74=计算!U74</f>
        <v>1</v>
      </c>
      <c r="V74" s="65" t="b">
        <f>导出!V74=计算!V74</f>
        <v>0</v>
      </c>
      <c r="W74" s="65" t="b">
        <f>导出!W74=计算!W74</f>
        <v>1</v>
      </c>
      <c r="X74" s="65" t="b">
        <f>导出!X74=计算!X74</f>
        <v>1</v>
      </c>
      <c r="Y74" s="65" t="b">
        <f>导出!Y74=计算!Y74</f>
        <v>1</v>
      </c>
      <c r="Z74" s="65" t="b">
        <f>导出!Z74=计算!Z74</f>
        <v>1</v>
      </c>
      <c r="AA74" s="65" t="b">
        <f>导出!AA74=计算!AA74</f>
        <v>0</v>
      </c>
      <c r="AB74" s="65" t="b">
        <f>导出!AB74=计算!AB74</f>
        <v>1</v>
      </c>
      <c r="AC74" s="65" t="b">
        <f>导出!AC74=计算!AC74</f>
        <v>1</v>
      </c>
      <c r="AD74" s="65" t="b">
        <f>导出!AD74=计算!AD74</f>
        <v>1</v>
      </c>
      <c r="AE74" s="65" t="b">
        <f>导出!AE74=计算!AE74</f>
        <v>0</v>
      </c>
      <c r="AF74" s="65" t="b">
        <f>导出!AF74=计算!AF74</f>
        <v>1</v>
      </c>
      <c r="AG74" s="65" t="b">
        <f>导出!AG74=计算!AG74</f>
        <v>1</v>
      </c>
      <c r="AH74" s="65" t="b">
        <f>导出!AH74=计算!AH74</f>
        <v>1</v>
      </c>
      <c r="AI74">
        <v>0</v>
      </c>
      <c r="AJ74" s="3">
        <v>41912.686261574097</v>
      </c>
      <c r="AK74" s="2" t="s">
        <v>2107</v>
      </c>
    </row>
    <row r="75" spans="1:37" x14ac:dyDescent="0.15">
      <c r="A75" s="2" t="s">
        <v>2106</v>
      </c>
      <c r="B75">
        <v>690</v>
      </c>
      <c r="C75" s="3">
        <v>41299</v>
      </c>
      <c r="D75" s="2" t="s">
        <v>37</v>
      </c>
      <c r="E75" s="2" t="s">
        <v>2105</v>
      </c>
      <c r="F75" s="2" t="s">
        <v>38</v>
      </c>
      <c r="G75" s="2" t="s">
        <v>188</v>
      </c>
      <c r="H75" s="2" t="s">
        <v>189</v>
      </c>
      <c r="I75" s="65" t="b">
        <f>导出!I75=计算!I75</f>
        <v>1</v>
      </c>
      <c r="J75" s="65" t="b">
        <f>导出!J75=计算!J75</f>
        <v>1</v>
      </c>
      <c r="K75" s="65" t="b">
        <f>导出!K75=计算!K75</f>
        <v>1</v>
      </c>
      <c r="L75" s="65" t="b">
        <f>导出!L75=计算!L75</f>
        <v>1</v>
      </c>
      <c r="M75" s="65" t="b">
        <f>导出!M75=计算!M75</f>
        <v>1</v>
      </c>
      <c r="N75" s="65" t="b">
        <f>导出!N75=计算!N75</f>
        <v>1</v>
      </c>
      <c r="O75" s="65" t="b">
        <f>导出!O75=计算!O75</f>
        <v>1</v>
      </c>
      <c r="P75" s="65" t="b">
        <f>导出!P75=计算!P75</f>
        <v>1</v>
      </c>
      <c r="Q75" s="65" t="b">
        <f>导出!Q75=计算!Q75</f>
        <v>1</v>
      </c>
      <c r="R75" s="65" t="b">
        <f>导出!R75=计算!R75</f>
        <v>1</v>
      </c>
      <c r="S75" s="65" t="b">
        <f>导出!S75=计算!S75</f>
        <v>1</v>
      </c>
      <c r="T75" s="65" t="b">
        <f>导出!T75=计算!T75</f>
        <v>1</v>
      </c>
      <c r="U75" s="65" t="b">
        <f>导出!U75=计算!U75</f>
        <v>1</v>
      </c>
      <c r="V75" s="65" t="b">
        <f>导出!V75=计算!V75</f>
        <v>0</v>
      </c>
      <c r="W75" s="65" t="b">
        <f>导出!W75=计算!W75</f>
        <v>1</v>
      </c>
      <c r="X75" s="65" t="b">
        <f>导出!X75=计算!X75</f>
        <v>1</v>
      </c>
      <c r="Y75" s="65" t="b">
        <f>导出!Y75=计算!Y75</f>
        <v>1</v>
      </c>
      <c r="Z75" s="65" t="b">
        <f>导出!Z75=计算!Z75</f>
        <v>1</v>
      </c>
      <c r="AA75" s="65" t="b">
        <f>导出!AA75=计算!AA75</f>
        <v>0</v>
      </c>
      <c r="AB75" s="65" t="b">
        <f>导出!AB75=计算!AB75</f>
        <v>1</v>
      </c>
      <c r="AC75" s="65" t="b">
        <f>导出!AC75=计算!AC75</f>
        <v>1</v>
      </c>
      <c r="AD75" s="65" t="b">
        <f>导出!AD75=计算!AD75</f>
        <v>1</v>
      </c>
      <c r="AE75" s="65" t="b">
        <f>导出!AE75=计算!AE75</f>
        <v>1</v>
      </c>
      <c r="AF75" s="65" t="b">
        <f>导出!AF75=计算!AF75</f>
        <v>1</v>
      </c>
      <c r="AG75" s="65" t="b">
        <f>导出!AG75=计算!AG75</f>
        <v>1</v>
      </c>
      <c r="AH75" s="65" t="b">
        <f>导出!AH75=计算!AH75</f>
        <v>1</v>
      </c>
      <c r="AI75">
        <v>0</v>
      </c>
      <c r="AJ75" s="3">
        <v>41912.686261574097</v>
      </c>
      <c r="AK75" s="2" t="s">
        <v>2104</v>
      </c>
    </row>
    <row r="76" spans="1:37" x14ac:dyDescent="0.15">
      <c r="A76" s="2" t="s">
        <v>2103</v>
      </c>
      <c r="B76">
        <v>713</v>
      </c>
      <c r="C76" s="3">
        <v>41303</v>
      </c>
      <c r="D76" s="2" t="s">
        <v>37</v>
      </c>
      <c r="E76" s="2" t="s">
        <v>2102</v>
      </c>
      <c r="F76" s="2" t="s">
        <v>38</v>
      </c>
      <c r="G76" s="2" t="s">
        <v>190</v>
      </c>
      <c r="H76" s="2" t="s">
        <v>191</v>
      </c>
      <c r="I76" s="65" t="b">
        <f>导出!I76=计算!I76</f>
        <v>1</v>
      </c>
      <c r="J76" s="65" t="b">
        <f>导出!J76=计算!J76</f>
        <v>1</v>
      </c>
      <c r="K76" s="65" t="b">
        <f>导出!K76=计算!K76</f>
        <v>1</v>
      </c>
      <c r="L76" s="65" t="b">
        <f>导出!L76=计算!L76</f>
        <v>1</v>
      </c>
      <c r="M76" s="65" t="b">
        <f>导出!M76=计算!M76</f>
        <v>1</v>
      </c>
      <c r="N76" s="65" t="b">
        <f>导出!N76=计算!N76</f>
        <v>1</v>
      </c>
      <c r="O76" s="65" t="b">
        <f>导出!O76=计算!O76</f>
        <v>1</v>
      </c>
      <c r="P76" s="65" t="b">
        <f>导出!P76=计算!P76</f>
        <v>1</v>
      </c>
      <c r="Q76" s="65" t="b">
        <f>导出!Q76=计算!Q76</f>
        <v>0</v>
      </c>
      <c r="R76" s="65" t="b">
        <f>导出!R76=计算!R76</f>
        <v>1</v>
      </c>
      <c r="S76" s="65" t="b">
        <f>导出!S76=计算!S76</f>
        <v>1</v>
      </c>
      <c r="T76" s="65" t="b">
        <f>导出!T76=计算!T76</f>
        <v>1</v>
      </c>
      <c r="U76" s="65" t="b">
        <f>导出!U76=计算!U76</f>
        <v>1</v>
      </c>
      <c r="V76" s="65" t="b">
        <f>导出!V76=计算!V76</f>
        <v>0</v>
      </c>
      <c r="W76" s="65" t="b">
        <f>导出!W76=计算!W76</f>
        <v>1</v>
      </c>
      <c r="X76" s="65" t="b">
        <f>导出!X76=计算!X76</f>
        <v>1</v>
      </c>
      <c r="Y76" s="65" t="b">
        <f>导出!Y76=计算!Y76</f>
        <v>1</v>
      </c>
      <c r="Z76" s="65" t="b">
        <f>导出!Z76=计算!Z76</f>
        <v>1</v>
      </c>
      <c r="AA76" s="65" t="b">
        <f>导出!AA76=计算!AA76</f>
        <v>0</v>
      </c>
      <c r="AB76" s="65" t="b">
        <f>导出!AB76=计算!AB76</f>
        <v>1</v>
      </c>
      <c r="AC76" s="65" t="b">
        <f>导出!AC76=计算!AC76</f>
        <v>1</v>
      </c>
      <c r="AD76" s="65" t="b">
        <f>导出!AD76=计算!AD76</f>
        <v>1</v>
      </c>
      <c r="AE76" s="65" t="b">
        <f>导出!AE76=计算!AE76</f>
        <v>1</v>
      </c>
      <c r="AF76" s="65" t="b">
        <f>导出!AF76=计算!AF76</f>
        <v>1</v>
      </c>
      <c r="AG76" s="65" t="b">
        <f>导出!AG76=计算!AG76</f>
        <v>1</v>
      </c>
      <c r="AH76" s="65" t="b">
        <f>导出!AH76=计算!AH76</f>
        <v>1</v>
      </c>
      <c r="AI76">
        <v>0</v>
      </c>
      <c r="AJ76" s="3">
        <v>41912.686261574097</v>
      </c>
      <c r="AK76" s="2" t="s">
        <v>2101</v>
      </c>
    </row>
    <row r="77" spans="1:37" x14ac:dyDescent="0.15">
      <c r="A77" s="2" t="s">
        <v>2100</v>
      </c>
      <c r="B77">
        <v>722</v>
      </c>
      <c r="C77" s="3">
        <v>41304</v>
      </c>
      <c r="D77" s="2" t="s">
        <v>37</v>
      </c>
      <c r="E77" s="2" t="s">
        <v>2099</v>
      </c>
      <c r="F77" s="2" t="s">
        <v>38</v>
      </c>
      <c r="G77" s="2" t="s">
        <v>192</v>
      </c>
      <c r="H77" s="2" t="s">
        <v>193</v>
      </c>
      <c r="I77" s="65" t="b">
        <f>导出!I77=计算!I77</f>
        <v>1</v>
      </c>
      <c r="J77" s="65" t="b">
        <f>导出!J77=计算!J77</f>
        <v>1</v>
      </c>
      <c r="K77" s="65" t="b">
        <f>导出!K77=计算!K77</f>
        <v>1</v>
      </c>
      <c r="L77" s="65" t="b">
        <f>导出!L77=计算!L77</f>
        <v>1</v>
      </c>
      <c r="M77" s="65" t="b">
        <f>导出!M77=计算!M77</f>
        <v>1</v>
      </c>
      <c r="N77" s="65" t="b">
        <f>导出!N77=计算!N77</f>
        <v>1</v>
      </c>
      <c r="O77" s="65" t="b">
        <f>导出!O77=计算!O77</f>
        <v>1</v>
      </c>
      <c r="P77" s="65" t="b">
        <f>导出!P77=计算!P77</f>
        <v>1</v>
      </c>
      <c r="Q77" s="65" t="b">
        <f>导出!Q77=计算!Q77</f>
        <v>0</v>
      </c>
      <c r="R77" s="65" t="b">
        <f>导出!R77=计算!R77</f>
        <v>1</v>
      </c>
      <c r="S77" s="65" t="b">
        <f>导出!S77=计算!S77</f>
        <v>1</v>
      </c>
      <c r="T77" s="65" t="b">
        <f>导出!T77=计算!T77</f>
        <v>1</v>
      </c>
      <c r="U77" s="65" t="b">
        <f>导出!U77=计算!U77</f>
        <v>1</v>
      </c>
      <c r="V77" s="65" t="b">
        <f>导出!V77=计算!V77</f>
        <v>0</v>
      </c>
      <c r="W77" s="65" t="b">
        <f>导出!W77=计算!W77</f>
        <v>1</v>
      </c>
      <c r="X77" s="65" t="b">
        <f>导出!X77=计算!X77</f>
        <v>1</v>
      </c>
      <c r="Y77" s="65" t="b">
        <f>导出!Y77=计算!Y77</f>
        <v>1</v>
      </c>
      <c r="Z77" s="65" t="b">
        <f>导出!Z77=计算!Z77</f>
        <v>1</v>
      </c>
      <c r="AA77" s="65" t="b">
        <f>导出!AA77=计算!AA77</f>
        <v>0</v>
      </c>
      <c r="AB77" s="65" t="b">
        <f>导出!AB77=计算!AB77</f>
        <v>1</v>
      </c>
      <c r="AC77" s="65" t="b">
        <f>导出!AC77=计算!AC77</f>
        <v>1</v>
      </c>
      <c r="AD77" s="65" t="b">
        <f>导出!AD77=计算!AD77</f>
        <v>1</v>
      </c>
      <c r="AE77" s="65" t="b">
        <f>导出!AE77=计算!AE77</f>
        <v>1</v>
      </c>
      <c r="AF77" s="65" t="b">
        <f>导出!AF77=计算!AF77</f>
        <v>1</v>
      </c>
      <c r="AG77" s="65" t="b">
        <f>导出!AG77=计算!AG77</f>
        <v>1</v>
      </c>
      <c r="AH77" s="65" t="b">
        <f>导出!AH77=计算!AH77</f>
        <v>1</v>
      </c>
      <c r="AI77">
        <v>0</v>
      </c>
      <c r="AJ77" s="3">
        <v>41912.686261574097</v>
      </c>
      <c r="AK77" s="2" t="s">
        <v>2098</v>
      </c>
    </row>
    <row r="78" spans="1:37" x14ac:dyDescent="0.15">
      <c r="A78" s="2" t="s">
        <v>2097</v>
      </c>
      <c r="B78">
        <v>104</v>
      </c>
      <c r="C78" s="3">
        <v>41306</v>
      </c>
      <c r="D78" s="2" t="s">
        <v>37</v>
      </c>
      <c r="E78" s="2" t="s">
        <v>2096</v>
      </c>
      <c r="F78" s="2" t="s">
        <v>41</v>
      </c>
      <c r="G78" s="2" t="s">
        <v>194</v>
      </c>
      <c r="H78" s="2" t="s">
        <v>195</v>
      </c>
      <c r="I78" s="65" t="b">
        <f>导出!I78=计算!I78</f>
        <v>1</v>
      </c>
      <c r="J78" s="65" t="b">
        <f>导出!J78=计算!J78</f>
        <v>1</v>
      </c>
      <c r="K78" s="65" t="b">
        <f>导出!K78=计算!K78</f>
        <v>1</v>
      </c>
      <c r="L78" s="65" t="b">
        <f>导出!L78=计算!L78</f>
        <v>1</v>
      </c>
      <c r="M78" s="65" t="b">
        <f>导出!M78=计算!M78</f>
        <v>1</v>
      </c>
      <c r="N78" s="65" t="b">
        <f>导出!N78=计算!N78</f>
        <v>1</v>
      </c>
      <c r="O78" s="65" t="b">
        <f>导出!O78=计算!O78</f>
        <v>1</v>
      </c>
      <c r="P78" s="65" t="b">
        <f>导出!P78=计算!P78</f>
        <v>1</v>
      </c>
      <c r="Q78" s="65" t="b">
        <f>导出!Q78=计算!Q78</f>
        <v>1</v>
      </c>
      <c r="R78" s="65" t="b">
        <f>导出!R78=计算!R78</f>
        <v>1</v>
      </c>
      <c r="S78" s="65" t="b">
        <f>导出!S78=计算!S78</f>
        <v>1</v>
      </c>
      <c r="T78" s="65" t="b">
        <f>导出!T78=计算!T78</f>
        <v>1</v>
      </c>
      <c r="U78" s="65" t="b">
        <f>导出!U78=计算!U78</f>
        <v>1</v>
      </c>
      <c r="V78" s="65" t="b">
        <f>导出!V78=计算!V78</f>
        <v>0</v>
      </c>
      <c r="W78" s="65" t="b">
        <f>导出!W78=计算!W78</f>
        <v>1</v>
      </c>
      <c r="X78" s="65" t="b">
        <f>导出!X78=计算!X78</f>
        <v>1</v>
      </c>
      <c r="Y78" s="65" t="b">
        <f>导出!Y78=计算!Y78</f>
        <v>1</v>
      </c>
      <c r="Z78" s="65" t="b">
        <f>导出!Z78=计算!Z78</f>
        <v>1</v>
      </c>
      <c r="AA78" s="65" t="b">
        <f>导出!AA78=计算!AA78</f>
        <v>0</v>
      </c>
      <c r="AB78" s="65" t="b">
        <f>导出!AB78=计算!AB78</f>
        <v>1</v>
      </c>
      <c r="AC78" s="65" t="b">
        <f>导出!AC78=计算!AC78</f>
        <v>1</v>
      </c>
      <c r="AD78" s="65" t="b">
        <f>导出!AD78=计算!AD78</f>
        <v>1</v>
      </c>
      <c r="AE78" s="65" t="b">
        <f>导出!AE78=计算!AE78</f>
        <v>1</v>
      </c>
      <c r="AF78" s="65" t="b">
        <f>导出!AF78=计算!AF78</f>
        <v>1</v>
      </c>
      <c r="AG78" s="65" t="b">
        <f>导出!AG78=计算!AG78</f>
        <v>1</v>
      </c>
      <c r="AH78" s="65" t="b">
        <f>导出!AH78=计算!AH78</f>
        <v>1</v>
      </c>
      <c r="AI78">
        <v>0</v>
      </c>
      <c r="AJ78" s="3">
        <v>41912.6862384259</v>
      </c>
      <c r="AK78" s="2" t="s">
        <v>2095</v>
      </c>
    </row>
    <row r="79" spans="1:37" x14ac:dyDescent="0.15">
      <c r="A79" s="2" t="s">
        <v>2094</v>
      </c>
      <c r="B79">
        <v>730</v>
      </c>
      <c r="C79" s="3">
        <v>41330</v>
      </c>
      <c r="D79" s="2" t="s">
        <v>37</v>
      </c>
      <c r="E79" s="2" t="s">
        <v>2093</v>
      </c>
      <c r="F79" s="2" t="s">
        <v>38</v>
      </c>
      <c r="G79" s="2" t="s">
        <v>196</v>
      </c>
      <c r="H79" s="2" t="s">
        <v>197</v>
      </c>
      <c r="I79" s="65" t="b">
        <f>导出!I79=计算!I79</f>
        <v>1</v>
      </c>
      <c r="J79" s="65" t="b">
        <f>导出!J79=计算!J79</f>
        <v>1</v>
      </c>
      <c r="K79" s="65" t="b">
        <f>导出!K79=计算!K79</f>
        <v>1</v>
      </c>
      <c r="L79" s="65" t="b">
        <f>导出!L79=计算!L79</f>
        <v>1</v>
      </c>
      <c r="M79" s="65" t="b">
        <f>导出!M79=计算!M79</f>
        <v>1</v>
      </c>
      <c r="N79" s="65" t="b">
        <f>导出!N79=计算!N79</f>
        <v>1</v>
      </c>
      <c r="O79" s="65" t="b">
        <f>导出!O79=计算!O79</f>
        <v>1</v>
      </c>
      <c r="P79" s="65" t="b">
        <f>导出!P79=计算!P79</f>
        <v>1</v>
      </c>
      <c r="Q79" s="65" t="b">
        <f>导出!Q79=计算!Q79</f>
        <v>0</v>
      </c>
      <c r="R79" s="65" t="b">
        <f>导出!R79=计算!R79</f>
        <v>1</v>
      </c>
      <c r="S79" s="65" t="b">
        <f>导出!S79=计算!S79</f>
        <v>1</v>
      </c>
      <c r="T79" s="65" t="b">
        <f>导出!T79=计算!T79</f>
        <v>1</v>
      </c>
      <c r="U79" s="65" t="b">
        <f>导出!U79=计算!U79</f>
        <v>1</v>
      </c>
      <c r="V79" s="65" t="b">
        <f>导出!V79=计算!V79</f>
        <v>0</v>
      </c>
      <c r="W79" s="65" t="b">
        <f>导出!W79=计算!W79</f>
        <v>1</v>
      </c>
      <c r="X79" s="65" t="b">
        <f>导出!X79=计算!X79</f>
        <v>1</v>
      </c>
      <c r="Y79" s="65" t="b">
        <f>导出!Y79=计算!Y79</f>
        <v>1</v>
      </c>
      <c r="Z79" s="65" t="b">
        <f>导出!Z79=计算!Z79</f>
        <v>1</v>
      </c>
      <c r="AA79" s="65" t="b">
        <f>导出!AA79=计算!AA79</f>
        <v>0</v>
      </c>
      <c r="AB79" s="65" t="b">
        <f>导出!AB79=计算!AB79</f>
        <v>1</v>
      </c>
      <c r="AC79" s="65" t="b">
        <f>导出!AC79=计算!AC79</f>
        <v>1</v>
      </c>
      <c r="AD79" s="65" t="b">
        <f>导出!AD79=计算!AD79</f>
        <v>1</v>
      </c>
      <c r="AE79" s="65" t="b">
        <f>导出!AE79=计算!AE79</f>
        <v>1</v>
      </c>
      <c r="AF79" s="65" t="b">
        <f>导出!AF79=计算!AF79</f>
        <v>1</v>
      </c>
      <c r="AG79" s="65" t="b">
        <f>导出!AG79=计算!AG79</f>
        <v>1</v>
      </c>
      <c r="AH79" s="65" t="b">
        <f>导出!AH79=计算!AH79</f>
        <v>1</v>
      </c>
      <c r="AI79">
        <v>0</v>
      </c>
      <c r="AJ79" s="3">
        <v>41912.686261574097</v>
      </c>
      <c r="AK79" s="2" t="s">
        <v>2092</v>
      </c>
    </row>
    <row r="80" spans="1:37" x14ac:dyDescent="0.15">
      <c r="A80" s="2" t="s">
        <v>2091</v>
      </c>
      <c r="B80">
        <v>737</v>
      </c>
      <c r="C80" s="3">
        <v>41334</v>
      </c>
      <c r="D80" s="2" t="s">
        <v>37</v>
      </c>
      <c r="E80" s="2" t="s">
        <v>2090</v>
      </c>
      <c r="F80" s="2" t="s">
        <v>38</v>
      </c>
      <c r="G80" s="2" t="s">
        <v>198</v>
      </c>
      <c r="H80" s="2" t="s">
        <v>199</v>
      </c>
      <c r="I80" s="65" t="b">
        <f>导出!I80=计算!I80</f>
        <v>1</v>
      </c>
      <c r="J80" s="65" t="b">
        <f>导出!J80=计算!J80</f>
        <v>1</v>
      </c>
      <c r="K80" s="65" t="b">
        <f>导出!K80=计算!K80</f>
        <v>1</v>
      </c>
      <c r="L80" s="65" t="b">
        <f>导出!L80=计算!L80</f>
        <v>1</v>
      </c>
      <c r="M80" s="65" t="b">
        <f>导出!M80=计算!M80</f>
        <v>1</v>
      </c>
      <c r="N80" s="65" t="b">
        <f>导出!N80=计算!N80</f>
        <v>1</v>
      </c>
      <c r="O80" s="65" t="b">
        <f>导出!O80=计算!O80</f>
        <v>1</v>
      </c>
      <c r="P80" s="65" t="b">
        <f>导出!P80=计算!P80</f>
        <v>1</v>
      </c>
      <c r="Q80" s="65" t="b">
        <f>导出!Q80=计算!Q80</f>
        <v>0</v>
      </c>
      <c r="R80" s="65" t="b">
        <f>导出!R80=计算!R80</f>
        <v>1</v>
      </c>
      <c r="S80" s="65" t="b">
        <f>导出!S80=计算!S80</f>
        <v>1</v>
      </c>
      <c r="T80" s="65" t="b">
        <f>导出!T80=计算!T80</f>
        <v>1</v>
      </c>
      <c r="U80" s="65" t="b">
        <f>导出!U80=计算!U80</f>
        <v>1</v>
      </c>
      <c r="V80" s="65" t="b">
        <f>导出!V80=计算!V80</f>
        <v>0</v>
      </c>
      <c r="W80" s="65" t="b">
        <f>导出!W80=计算!W80</f>
        <v>1</v>
      </c>
      <c r="X80" s="65" t="b">
        <f>导出!X80=计算!X80</f>
        <v>1</v>
      </c>
      <c r="Y80" s="65" t="b">
        <f>导出!Y80=计算!Y80</f>
        <v>1</v>
      </c>
      <c r="Z80" s="65" t="b">
        <f>导出!Z80=计算!Z80</f>
        <v>0</v>
      </c>
      <c r="AA80" s="65" t="b">
        <f>导出!AA80=计算!AA80</f>
        <v>1</v>
      </c>
      <c r="AB80" s="65" t="b">
        <f>导出!AB80=计算!AB80</f>
        <v>1</v>
      </c>
      <c r="AC80" s="65" t="b">
        <f>导出!AC80=计算!AC80</f>
        <v>1</v>
      </c>
      <c r="AD80" s="65" t="b">
        <f>导出!AD80=计算!AD80</f>
        <v>1</v>
      </c>
      <c r="AE80" s="65" t="b">
        <f>导出!AE80=计算!AE80</f>
        <v>1</v>
      </c>
      <c r="AF80" s="65" t="b">
        <f>导出!AF80=计算!AF80</f>
        <v>1</v>
      </c>
      <c r="AG80" s="65" t="b">
        <f>导出!AG80=计算!AG80</f>
        <v>1</v>
      </c>
      <c r="AH80" s="65" t="b">
        <f>导出!AH80=计算!AH80</f>
        <v>1</v>
      </c>
      <c r="AI80">
        <v>0</v>
      </c>
      <c r="AJ80" s="3">
        <v>41912.686261574097</v>
      </c>
      <c r="AK80" s="2" t="s">
        <v>2089</v>
      </c>
    </row>
    <row r="81" spans="1:37" x14ac:dyDescent="0.15">
      <c r="A81" s="2" t="s">
        <v>2088</v>
      </c>
      <c r="B81">
        <v>108</v>
      </c>
      <c r="C81" s="3">
        <v>41334</v>
      </c>
      <c r="D81" s="2" t="s">
        <v>37</v>
      </c>
      <c r="E81" s="2" t="s">
        <v>2087</v>
      </c>
      <c r="F81" s="2" t="s">
        <v>41</v>
      </c>
      <c r="G81" s="2" t="s">
        <v>200</v>
      </c>
      <c r="H81" s="2" t="s">
        <v>201</v>
      </c>
      <c r="I81" s="65" t="b">
        <f>导出!I81=计算!I81</f>
        <v>1</v>
      </c>
      <c r="J81" s="65" t="b">
        <f>导出!J81=计算!J81</f>
        <v>1</v>
      </c>
      <c r="K81" s="65" t="b">
        <f>导出!K81=计算!K81</f>
        <v>1</v>
      </c>
      <c r="L81" s="65" t="b">
        <f>导出!L81=计算!L81</f>
        <v>1</v>
      </c>
      <c r="M81" s="65" t="b">
        <f>导出!M81=计算!M81</f>
        <v>1</v>
      </c>
      <c r="N81" s="65" t="b">
        <f>导出!N81=计算!N81</f>
        <v>0</v>
      </c>
      <c r="O81" s="65" t="b">
        <f>导出!O81=计算!O81</f>
        <v>1</v>
      </c>
      <c r="P81" s="65" t="b">
        <f>导出!P81=计算!P81</f>
        <v>1</v>
      </c>
      <c r="Q81" s="65" t="b">
        <f>导出!Q81=计算!Q81</f>
        <v>0</v>
      </c>
      <c r="R81" s="65" t="b">
        <f>导出!R81=计算!R81</f>
        <v>1</v>
      </c>
      <c r="S81" s="65" t="b">
        <f>导出!S81=计算!S81</f>
        <v>1</v>
      </c>
      <c r="T81" s="65" t="b">
        <f>导出!T81=计算!T81</f>
        <v>1</v>
      </c>
      <c r="U81" s="65" t="b">
        <f>导出!U81=计算!U81</f>
        <v>1</v>
      </c>
      <c r="V81" s="65" t="b">
        <f>导出!V81=计算!V81</f>
        <v>0</v>
      </c>
      <c r="W81" s="65" t="b">
        <f>导出!W81=计算!W81</f>
        <v>1</v>
      </c>
      <c r="X81" s="65" t="b">
        <f>导出!X81=计算!X81</f>
        <v>1</v>
      </c>
      <c r="Y81" s="65" t="b">
        <f>导出!Y81=计算!Y81</f>
        <v>1</v>
      </c>
      <c r="Z81" s="65" t="b">
        <f>导出!Z81=计算!Z81</f>
        <v>1</v>
      </c>
      <c r="AA81" s="65" t="b">
        <f>导出!AA81=计算!AA81</f>
        <v>1</v>
      </c>
      <c r="AB81" s="65" t="b">
        <f>导出!AB81=计算!AB81</f>
        <v>1</v>
      </c>
      <c r="AC81" s="65" t="b">
        <f>导出!AC81=计算!AC81</f>
        <v>1</v>
      </c>
      <c r="AD81" s="65" t="b">
        <f>导出!AD81=计算!AD81</f>
        <v>1</v>
      </c>
      <c r="AE81" s="65" t="b">
        <f>导出!AE81=计算!AE81</f>
        <v>1</v>
      </c>
      <c r="AF81" s="65" t="b">
        <f>导出!AF81=计算!AF81</f>
        <v>1</v>
      </c>
      <c r="AG81" s="65" t="b">
        <f>导出!AG81=计算!AG81</f>
        <v>1</v>
      </c>
      <c r="AH81" s="65" t="b">
        <f>导出!AH81=计算!AH81</f>
        <v>1</v>
      </c>
      <c r="AI81">
        <v>0</v>
      </c>
      <c r="AJ81" s="3">
        <v>41912.6862384259</v>
      </c>
      <c r="AK81" s="2" t="s">
        <v>2086</v>
      </c>
    </row>
    <row r="82" spans="1:37" x14ac:dyDescent="0.15">
      <c r="A82" s="2" t="s">
        <v>2085</v>
      </c>
      <c r="B82">
        <v>748</v>
      </c>
      <c r="C82" s="3">
        <v>41361</v>
      </c>
      <c r="D82" s="2" t="s">
        <v>37</v>
      </c>
      <c r="E82" s="2" t="s">
        <v>2084</v>
      </c>
      <c r="F82" s="2" t="s">
        <v>38</v>
      </c>
      <c r="G82" s="2" t="s">
        <v>202</v>
      </c>
      <c r="H82" s="2" t="s">
        <v>203</v>
      </c>
      <c r="I82" s="65" t="b">
        <f>导出!I82=计算!I82</f>
        <v>1</v>
      </c>
      <c r="J82" s="65" t="b">
        <f>导出!J82=计算!J82</f>
        <v>1</v>
      </c>
      <c r="K82" s="65" t="b">
        <f>导出!K82=计算!K82</f>
        <v>1</v>
      </c>
      <c r="L82" s="65" t="b">
        <f>导出!L82=计算!L82</f>
        <v>1</v>
      </c>
      <c r="M82" s="65" t="b">
        <f>导出!M82=计算!M82</f>
        <v>1</v>
      </c>
      <c r="N82" s="65" t="b">
        <f>导出!N82=计算!N82</f>
        <v>1</v>
      </c>
      <c r="O82" s="65" t="b">
        <f>导出!O82=计算!O82</f>
        <v>1</v>
      </c>
      <c r="P82" s="65" t="b">
        <f>导出!P82=计算!P82</f>
        <v>1</v>
      </c>
      <c r="Q82" s="65" t="b">
        <f>导出!Q82=计算!Q82</f>
        <v>1</v>
      </c>
      <c r="R82" s="65" t="b">
        <f>导出!R82=计算!R82</f>
        <v>1</v>
      </c>
      <c r="S82" s="65" t="b">
        <f>导出!S82=计算!S82</f>
        <v>1</v>
      </c>
      <c r="T82" s="65" t="b">
        <f>导出!T82=计算!T82</f>
        <v>1</v>
      </c>
      <c r="U82" s="65" t="b">
        <f>导出!U82=计算!U82</f>
        <v>1</v>
      </c>
      <c r="V82" s="65" t="b">
        <f>导出!V82=计算!V82</f>
        <v>1</v>
      </c>
      <c r="W82" s="65" t="b">
        <f>导出!W82=计算!W82</f>
        <v>1</v>
      </c>
      <c r="X82" s="65" t="b">
        <f>导出!X82=计算!X82</f>
        <v>1</v>
      </c>
      <c r="Y82" s="65" t="b">
        <f>导出!Y82=计算!Y82</f>
        <v>1</v>
      </c>
      <c r="Z82" s="65" t="b">
        <f>导出!Z82=计算!Z82</f>
        <v>1</v>
      </c>
      <c r="AA82" s="65" t="b">
        <f>导出!AA82=计算!AA82</f>
        <v>0</v>
      </c>
      <c r="AB82" s="65" t="b">
        <f>导出!AB82=计算!AB82</f>
        <v>1</v>
      </c>
      <c r="AC82" s="65" t="b">
        <f>导出!AC82=计算!AC82</f>
        <v>1</v>
      </c>
      <c r="AD82" s="65" t="b">
        <f>导出!AD82=计算!AD82</f>
        <v>1</v>
      </c>
      <c r="AE82" s="65" t="b">
        <f>导出!AE82=计算!AE82</f>
        <v>1</v>
      </c>
      <c r="AF82" s="65" t="b">
        <f>导出!AF82=计算!AF82</f>
        <v>1</v>
      </c>
      <c r="AG82" s="65" t="b">
        <f>导出!AG82=计算!AG82</f>
        <v>1</v>
      </c>
      <c r="AH82" s="65" t="b">
        <f>导出!AH82=计算!AH82</f>
        <v>1</v>
      </c>
      <c r="AI82">
        <v>0</v>
      </c>
      <c r="AJ82" s="3">
        <v>41912.686261574097</v>
      </c>
      <c r="AK82" s="2" t="s">
        <v>2083</v>
      </c>
    </row>
    <row r="83" spans="1:37" x14ac:dyDescent="0.15">
      <c r="A83" s="2" t="s">
        <v>2082</v>
      </c>
      <c r="B83">
        <v>756</v>
      </c>
      <c r="C83" s="3">
        <v>41361</v>
      </c>
      <c r="D83" s="2" t="s">
        <v>37</v>
      </c>
      <c r="E83" s="2" t="s">
        <v>2081</v>
      </c>
      <c r="F83" s="2" t="s">
        <v>38</v>
      </c>
      <c r="G83" s="2" t="s">
        <v>204</v>
      </c>
      <c r="H83" s="2" t="s">
        <v>205</v>
      </c>
      <c r="I83" s="65" t="b">
        <f>导出!I83=计算!I83</f>
        <v>1</v>
      </c>
      <c r="J83" s="65" t="b">
        <f>导出!J83=计算!J83</f>
        <v>1</v>
      </c>
      <c r="K83" s="65" t="b">
        <f>导出!K83=计算!K83</f>
        <v>1</v>
      </c>
      <c r="L83" s="65" t="b">
        <f>导出!L83=计算!L83</f>
        <v>1</v>
      </c>
      <c r="M83" s="65" t="b">
        <f>导出!M83=计算!M83</f>
        <v>1</v>
      </c>
      <c r="N83" s="65" t="b">
        <f>导出!N83=计算!N83</f>
        <v>1</v>
      </c>
      <c r="O83" s="65" t="b">
        <f>导出!O83=计算!O83</f>
        <v>1</v>
      </c>
      <c r="P83" s="65" t="b">
        <f>导出!P83=计算!P83</f>
        <v>1</v>
      </c>
      <c r="Q83" s="65" t="b">
        <f>导出!Q83=计算!Q83</f>
        <v>1</v>
      </c>
      <c r="R83" s="65" t="b">
        <f>导出!R83=计算!R83</f>
        <v>1</v>
      </c>
      <c r="S83" s="65" t="b">
        <f>导出!S83=计算!S83</f>
        <v>1</v>
      </c>
      <c r="T83" s="65" t="b">
        <f>导出!T83=计算!T83</f>
        <v>1</v>
      </c>
      <c r="U83" s="65" t="b">
        <f>导出!U83=计算!U83</f>
        <v>1</v>
      </c>
      <c r="V83" s="65" t="b">
        <f>导出!V83=计算!V83</f>
        <v>0</v>
      </c>
      <c r="W83" s="65" t="b">
        <f>导出!W83=计算!W83</f>
        <v>1</v>
      </c>
      <c r="X83" s="65" t="b">
        <f>导出!X83=计算!X83</f>
        <v>1</v>
      </c>
      <c r="Y83" s="65" t="b">
        <f>导出!Y83=计算!Y83</f>
        <v>1</v>
      </c>
      <c r="Z83" s="65" t="b">
        <f>导出!Z83=计算!Z83</f>
        <v>1</v>
      </c>
      <c r="AA83" s="65" t="b">
        <f>导出!AA83=计算!AA83</f>
        <v>0</v>
      </c>
      <c r="AB83" s="65" t="b">
        <f>导出!AB83=计算!AB83</f>
        <v>1</v>
      </c>
      <c r="AC83" s="65" t="b">
        <f>导出!AC83=计算!AC83</f>
        <v>1</v>
      </c>
      <c r="AD83" s="65" t="b">
        <f>导出!AD83=计算!AD83</f>
        <v>1</v>
      </c>
      <c r="AE83" s="65" t="b">
        <f>导出!AE83=计算!AE83</f>
        <v>1</v>
      </c>
      <c r="AF83" s="65" t="b">
        <f>导出!AF83=计算!AF83</f>
        <v>1</v>
      </c>
      <c r="AG83" s="65" t="b">
        <f>导出!AG83=计算!AG83</f>
        <v>1</v>
      </c>
      <c r="AH83" s="65" t="b">
        <f>导出!AH83=计算!AH83</f>
        <v>1</v>
      </c>
      <c r="AI83">
        <v>0</v>
      </c>
      <c r="AJ83" s="3">
        <v>41912.686261574097</v>
      </c>
      <c r="AK83" s="2" t="s">
        <v>2080</v>
      </c>
    </row>
    <row r="84" spans="1:37" x14ac:dyDescent="0.15">
      <c r="A84" s="2" t="s">
        <v>2079</v>
      </c>
      <c r="B84">
        <v>746</v>
      </c>
      <c r="C84" s="3">
        <v>41361</v>
      </c>
      <c r="D84" s="2" t="s">
        <v>37</v>
      </c>
      <c r="E84" s="2" t="s">
        <v>2078</v>
      </c>
      <c r="F84" s="2" t="s">
        <v>38</v>
      </c>
      <c r="G84" s="2" t="s">
        <v>206</v>
      </c>
      <c r="H84" s="2" t="s">
        <v>207</v>
      </c>
      <c r="I84" s="65" t="b">
        <f>导出!I84=计算!I84</f>
        <v>1</v>
      </c>
      <c r="J84" s="65" t="b">
        <f>导出!J84=计算!J84</f>
        <v>1</v>
      </c>
      <c r="K84" s="65" t="b">
        <f>导出!K84=计算!K84</f>
        <v>1</v>
      </c>
      <c r="L84" s="65" t="b">
        <f>导出!L84=计算!L84</f>
        <v>1</v>
      </c>
      <c r="M84" s="65" t="b">
        <f>导出!M84=计算!M84</f>
        <v>1</v>
      </c>
      <c r="N84" s="65" t="b">
        <f>导出!N84=计算!N84</f>
        <v>1</v>
      </c>
      <c r="O84" s="65" t="b">
        <f>导出!O84=计算!O84</f>
        <v>1</v>
      </c>
      <c r="P84" s="65" t="b">
        <f>导出!P84=计算!P84</f>
        <v>1</v>
      </c>
      <c r="Q84" s="65" t="b">
        <f>导出!Q84=计算!Q84</f>
        <v>0</v>
      </c>
      <c r="R84" s="65" t="b">
        <f>导出!R84=计算!R84</f>
        <v>1</v>
      </c>
      <c r="S84" s="65" t="b">
        <f>导出!S84=计算!S84</f>
        <v>1</v>
      </c>
      <c r="T84" s="65" t="b">
        <f>导出!T84=计算!T84</f>
        <v>1</v>
      </c>
      <c r="U84" s="65" t="b">
        <f>导出!U84=计算!U84</f>
        <v>1</v>
      </c>
      <c r="V84" s="65" t="b">
        <f>导出!V84=计算!V84</f>
        <v>0</v>
      </c>
      <c r="W84" s="65" t="b">
        <f>导出!W84=计算!W84</f>
        <v>1</v>
      </c>
      <c r="X84" s="65" t="b">
        <f>导出!X84=计算!X84</f>
        <v>1</v>
      </c>
      <c r="Y84" s="65" t="b">
        <f>导出!Y84=计算!Y84</f>
        <v>1</v>
      </c>
      <c r="Z84" s="65" t="b">
        <f>导出!Z84=计算!Z84</f>
        <v>1</v>
      </c>
      <c r="AA84" s="65" t="b">
        <f>导出!AA84=计算!AA84</f>
        <v>0</v>
      </c>
      <c r="AB84" s="65" t="b">
        <f>导出!AB84=计算!AB84</f>
        <v>1</v>
      </c>
      <c r="AC84" s="65" t="b">
        <f>导出!AC84=计算!AC84</f>
        <v>1</v>
      </c>
      <c r="AD84" s="65" t="b">
        <f>导出!AD84=计算!AD84</f>
        <v>1</v>
      </c>
      <c r="AE84" s="65" t="b">
        <f>导出!AE84=计算!AE84</f>
        <v>0</v>
      </c>
      <c r="AF84" s="65" t="b">
        <f>导出!AF84=计算!AF84</f>
        <v>1</v>
      </c>
      <c r="AG84" s="65" t="b">
        <f>导出!AG84=计算!AG84</f>
        <v>1</v>
      </c>
      <c r="AH84" s="65" t="b">
        <f>导出!AH84=计算!AH84</f>
        <v>1</v>
      </c>
      <c r="AI84">
        <v>0</v>
      </c>
      <c r="AJ84" s="3">
        <v>41912.686261574097</v>
      </c>
      <c r="AK84" s="2" t="s">
        <v>2077</v>
      </c>
    </row>
    <row r="85" spans="1:37" x14ac:dyDescent="0.15">
      <c r="A85" s="2" t="s">
        <v>2076</v>
      </c>
      <c r="B85">
        <v>113</v>
      </c>
      <c r="C85" s="3">
        <v>41365</v>
      </c>
      <c r="D85" s="2" t="s">
        <v>37</v>
      </c>
      <c r="E85" s="2" t="s">
        <v>2075</v>
      </c>
      <c r="F85" s="2" t="s">
        <v>41</v>
      </c>
      <c r="G85" s="2" t="s">
        <v>210</v>
      </c>
      <c r="H85" s="2" t="s">
        <v>211</v>
      </c>
      <c r="I85" s="65" t="b">
        <f>导出!I85=计算!I85</f>
        <v>1</v>
      </c>
      <c r="J85" s="65" t="b">
        <f>导出!J85=计算!J85</f>
        <v>1</v>
      </c>
      <c r="K85" s="65" t="b">
        <f>导出!K85=计算!K85</f>
        <v>1</v>
      </c>
      <c r="L85" s="65" t="b">
        <f>导出!L85=计算!L85</f>
        <v>1</v>
      </c>
      <c r="M85" s="65" t="b">
        <f>导出!M85=计算!M85</f>
        <v>1</v>
      </c>
      <c r="N85" s="65" t="b">
        <f>导出!N85=计算!N85</f>
        <v>1</v>
      </c>
      <c r="O85" s="65" t="b">
        <f>导出!O85=计算!O85</f>
        <v>1</v>
      </c>
      <c r="P85" s="65" t="b">
        <f>导出!P85=计算!P85</f>
        <v>1</v>
      </c>
      <c r="Q85" s="65" t="b">
        <f>导出!Q85=计算!Q85</f>
        <v>0</v>
      </c>
      <c r="R85" s="65" t="b">
        <f>导出!R85=计算!R85</f>
        <v>1</v>
      </c>
      <c r="S85" s="65" t="b">
        <f>导出!S85=计算!S85</f>
        <v>1</v>
      </c>
      <c r="T85" s="65" t="b">
        <f>导出!T85=计算!T85</f>
        <v>1</v>
      </c>
      <c r="U85" s="65" t="b">
        <f>导出!U85=计算!U85</f>
        <v>1</v>
      </c>
      <c r="V85" s="65" t="b">
        <f>导出!V85=计算!V85</f>
        <v>0</v>
      </c>
      <c r="W85" s="65" t="b">
        <f>导出!W85=计算!W85</f>
        <v>1</v>
      </c>
      <c r="X85" s="65" t="b">
        <f>导出!X85=计算!X85</f>
        <v>1</v>
      </c>
      <c r="Y85" s="65" t="b">
        <f>导出!Y85=计算!Y85</f>
        <v>1</v>
      </c>
      <c r="Z85" s="65" t="b">
        <f>导出!Z85=计算!Z85</f>
        <v>1</v>
      </c>
      <c r="AA85" s="65" t="b">
        <f>导出!AA85=计算!AA85</f>
        <v>0</v>
      </c>
      <c r="AB85" s="65" t="b">
        <f>导出!AB85=计算!AB85</f>
        <v>0</v>
      </c>
      <c r="AC85" s="65" t="b">
        <f>导出!AC85=计算!AC85</f>
        <v>1</v>
      </c>
      <c r="AD85" s="65" t="b">
        <f>导出!AD85=计算!AD85</f>
        <v>1</v>
      </c>
      <c r="AE85" s="65" t="b">
        <f>导出!AE85=计算!AE85</f>
        <v>0</v>
      </c>
      <c r="AF85" s="65" t="b">
        <f>导出!AF85=计算!AF85</f>
        <v>1</v>
      </c>
      <c r="AG85" s="65" t="b">
        <f>导出!AG85=计算!AG85</f>
        <v>1</v>
      </c>
      <c r="AH85" s="65" t="b">
        <f>导出!AH85=计算!AH85</f>
        <v>1</v>
      </c>
      <c r="AI85">
        <v>0</v>
      </c>
      <c r="AJ85" s="3">
        <v>41912.6862384259</v>
      </c>
      <c r="AK85" s="2" t="s">
        <v>2074</v>
      </c>
    </row>
    <row r="86" spans="1:37" x14ac:dyDescent="0.15">
      <c r="A86" s="2" t="s">
        <v>2073</v>
      </c>
      <c r="B86">
        <v>771</v>
      </c>
      <c r="C86" s="3">
        <v>41365</v>
      </c>
      <c r="D86" s="2" t="s">
        <v>37</v>
      </c>
      <c r="E86" s="2" t="s">
        <v>2072</v>
      </c>
      <c r="F86" s="2" t="s">
        <v>38</v>
      </c>
      <c r="G86" s="2" t="s">
        <v>208</v>
      </c>
      <c r="H86" s="2" t="s">
        <v>209</v>
      </c>
      <c r="I86" s="65" t="b">
        <f>导出!I86=计算!I86</f>
        <v>1</v>
      </c>
      <c r="J86" s="65" t="b">
        <f>导出!J86=计算!J86</f>
        <v>1</v>
      </c>
      <c r="K86" s="65" t="b">
        <f>导出!K86=计算!K86</f>
        <v>1</v>
      </c>
      <c r="L86" s="65" t="b">
        <f>导出!L86=计算!L86</f>
        <v>1</v>
      </c>
      <c r="M86" s="65" t="b">
        <f>导出!M86=计算!M86</f>
        <v>1</v>
      </c>
      <c r="N86" s="65" t="b">
        <f>导出!N86=计算!N86</f>
        <v>1</v>
      </c>
      <c r="O86" s="65" t="b">
        <f>导出!O86=计算!O86</f>
        <v>1</v>
      </c>
      <c r="P86" s="65" t="b">
        <f>导出!P86=计算!P86</f>
        <v>1</v>
      </c>
      <c r="Q86" s="65" t="b">
        <f>导出!Q86=计算!Q86</f>
        <v>0</v>
      </c>
      <c r="R86" s="65" t="b">
        <f>导出!R86=计算!R86</f>
        <v>1</v>
      </c>
      <c r="S86" s="65" t="b">
        <f>导出!S86=计算!S86</f>
        <v>1</v>
      </c>
      <c r="T86" s="65" t="b">
        <f>导出!T86=计算!T86</f>
        <v>1</v>
      </c>
      <c r="U86" s="65" t="b">
        <f>导出!U86=计算!U86</f>
        <v>1</v>
      </c>
      <c r="V86" s="65" t="b">
        <f>导出!V86=计算!V86</f>
        <v>0</v>
      </c>
      <c r="W86" s="65" t="b">
        <f>导出!W86=计算!W86</f>
        <v>1</v>
      </c>
      <c r="X86" s="65" t="b">
        <f>导出!X86=计算!X86</f>
        <v>1</v>
      </c>
      <c r="Y86" s="65" t="b">
        <f>导出!Y86=计算!Y86</f>
        <v>1</v>
      </c>
      <c r="Z86" s="65" t="b">
        <f>导出!Z86=计算!Z86</f>
        <v>1</v>
      </c>
      <c r="AA86" s="65" t="b">
        <f>导出!AA86=计算!AA86</f>
        <v>0</v>
      </c>
      <c r="AB86" s="65" t="b">
        <f>导出!AB86=计算!AB86</f>
        <v>1</v>
      </c>
      <c r="AC86" s="65" t="b">
        <f>导出!AC86=计算!AC86</f>
        <v>1</v>
      </c>
      <c r="AD86" s="65" t="b">
        <f>导出!AD86=计算!AD86</f>
        <v>1</v>
      </c>
      <c r="AE86" s="65" t="b">
        <f>导出!AE86=计算!AE86</f>
        <v>1</v>
      </c>
      <c r="AF86" s="65" t="b">
        <f>导出!AF86=计算!AF86</f>
        <v>1</v>
      </c>
      <c r="AG86" s="65" t="b">
        <f>导出!AG86=计算!AG86</f>
        <v>1</v>
      </c>
      <c r="AH86" s="65" t="b">
        <f>导出!AH86=计算!AH86</f>
        <v>1</v>
      </c>
      <c r="AI86">
        <v>0</v>
      </c>
      <c r="AJ86" s="3">
        <v>41912.686273148101</v>
      </c>
      <c r="AK86" s="2" t="s">
        <v>2071</v>
      </c>
    </row>
    <row r="87" spans="1:37" x14ac:dyDescent="0.15">
      <c r="A87" s="2" t="s">
        <v>2070</v>
      </c>
      <c r="B87">
        <v>780</v>
      </c>
      <c r="C87" s="3">
        <v>41365</v>
      </c>
      <c r="D87" s="2" t="s">
        <v>37</v>
      </c>
      <c r="E87" s="2" t="s">
        <v>2069</v>
      </c>
      <c r="F87" s="2" t="s">
        <v>38</v>
      </c>
      <c r="G87" s="2" t="s">
        <v>212</v>
      </c>
      <c r="H87" s="2" t="s">
        <v>213</v>
      </c>
      <c r="I87" s="65" t="b">
        <f>导出!I87=计算!I87</f>
        <v>1</v>
      </c>
      <c r="J87" s="65" t="b">
        <f>导出!J87=计算!J87</f>
        <v>1</v>
      </c>
      <c r="K87" s="65" t="b">
        <f>导出!K87=计算!K87</f>
        <v>1</v>
      </c>
      <c r="L87" s="65" t="b">
        <f>导出!L87=计算!L87</f>
        <v>1</v>
      </c>
      <c r="M87" s="65" t="b">
        <f>导出!M87=计算!M87</f>
        <v>1</v>
      </c>
      <c r="N87" s="65" t="b">
        <f>导出!N87=计算!N87</f>
        <v>1</v>
      </c>
      <c r="O87" s="65" t="b">
        <f>导出!O87=计算!O87</f>
        <v>1</v>
      </c>
      <c r="P87" s="65" t="b">
        <f>导出!P87=计算!P87</f>
        <v>1</v>
      </c>
      <c r="Q87" s="65" t="b">
        <f>导出!Q87=计算!Q87</f>
        <v>1</v>
      </c>
      <c r="R87" s="65" t="b">
        <f>导出!R87=计算!R87</f>
        <v>1</v>
      </c>
      <c r="S87" s="65" t="b">
        <f>导出!S87=计算!S87</f>
        <v>1</v>
      </c>
      <c r="T87" s="65" t="b">
        <f>导出!T87=计算!T87</f>
        <v>1</v>
      </c>
      <c r="U87" s="65" t="b">
        <f>导出!U87=计算!U87</f>
        <v>1</v>
      </c>
      <c r="V87" s="65" t="b">
        <f>导出!V87=计算!V87</f>
        <v>0</v>
      </c>
      <c r="W87" s="65" t="b">
        <f>导出!W87=计算!W87</f>
        <v>1</v>
      </c>
      <c r="X87" s="65" t="b">
        <f>导出!X87=计算!X87</f>
        <v>1</v>
      </c>
      <c r="Y87" s="65" t="b">
        <f>导出!Y87=计算!Y87</f>
        <v>1</v>
      </c>
      <c r="Z87" s="65" t="b">
        <f>导出!Z87=计算!Z87</f>
        <v>1</v>
      </c>
      <c r="AA87" s="65" t="b">
        <f>导出!AA87=计算!AA87</f>
        <v>0</v>
      </c>
      <c r="AB87" s="65" t="b">
        <f>导出!AB87=计算!AB87</f>
        <v>1</v>
      </c>
      <c r="AC87" s="65" t="b">
        <f>导出!AC87=计算!AC87</f>
        <v>1</v>
      </c>
      <c r="AD87" s="65" t="b">
        <f>导出!AD87=计算!AD87</f>
        <v>1</v>
      </c>
      <c r="AE87" s="65" t="b">
        <f>导出!AE87=计算!AE87</f>
        <v>1</v>
      </c>
      <c r="AF87" s="65" t="b">
        <f>导出!AF87=计算!AF87</f>
        <v>1</v>
      </c>
      <c r="AG87" s="65" t="b">
        <f>导出!AG87=计算!AG87</f>
        <v>1</v>
      </c>
      <c r="AH87" s="65" t="b">
        <f>导出!AH87=计算!AH87</f>
        <v>1</v>
      </c>
      <c r="AI87">
        <v>0</v>
      </c>
      <c r="AJ87" s="3">
        <v>41912.686273148101</v>
      </c>
      <c r="AK87" s="2" t="s">
        <v>2068</v>
      </c>
    </row>
    <row r="88" spans="1:37" x14ac:dyDescent="0.15">
      <c r="A88" s="2" t="s">
        <v>2067</v>
      </c>
      <c r="B88">
        <v>763</v>
      </c>
      <c r="C88" s="3">
        <v>41377</v>
      </c>
      <c r="D88" s="2" t="s">
        <v>37</v>
      </c>
      <c r="E88" s="2" t="s">
        <v>2066</v>
      </c>
      <c r="F88" s="2" t="s">
        <v>38</v>
      </c>
      <c r="G88" s="2" t="s">
        <v>214</v>
      </c>
      <c r="H88" s="2" t="s">
        <v>215</v>
      </c>
      <c r="I88" s="65" t="b">
        <f>导出!I88=计算!I88</f>
        <v>1</v>
      </c>
      <c r="J88" s="65" t="b">
        <f>导出!J88=计算!J88</f>
        <v>1</v>
      </c>
      <c r="K88" s="65" t="b">
        <f>导出!K88=计算!K88</f>
        <v>1</v>
      </c>
      <c r="L88" s="65" t="b">
        <f>导出!L88=计算!L88</f>
        <v>1</v>
      </c>
      <c r="M88" s="65" t="b">
        <f>导出!M88=计算!M88</f>
        <v>1</v>
      </c>
      <c r="N88" s="65" t="b">
        <f>导出!N88=计算!N88</f>
        <v>1</v>
      </c>
      <c r="O88" s="65" t="b">
        <f>导出!O88=计算!O88</f>
        <v>1</v>
      </c>
      <c r="P88" s="65" t="b">
        <f>导出!P88=计算!P88</f>
        <v>1</v>
      </c>
      <c r="Q88" s="65" t="b">
        <f>导出!Q88=计算!Q88</f>
        <v>1</v>
      </c>
      <c r="R88" s="65" t="b">
        <f>导出!R88=计算!R88</f>
        <v>1</v>
      </c>
      <c r="S88" s="65" t="b">
        <f>导出!S88=计算!S88</f>
        <v>1</v>
      </c>
      <c r="T88" s="65" t="b">
        <f>导出!T88=计算!T88</f>
        <v>1</v>
      </c>
      <c r="U88" s="65" t="b">
        <f>导出!U88=计算!U88</f>
        <v>1</v>
      </c>
      <c r="V88" s="65" t="b">
        <f>导出!V88=计算!V88</f>
        <v>0</v>
      </c>
      <c r="W88" s="65" t="b">
        <f>导出!W88=计算!W88</f>
        <v>1</v>
      </c>
      <c r="X88" s="65" t="b">
        <f>导出!X88=计算!X88</f>
        <v>1</v>
      </c>
      <c r="Y88" s="65" t="b">
        <f>导出!Y88=计算!Y88</f>
        <v>1</v>
      </c>
      <c r="Z88" s="65" t="b">
        <f>导出!Z88=计算!Z88</f>
        <v>1</v>
      </c>
      <c r="AA88" s="65" t="b">
        <f>导出!AA88=计算!AA88</f>
        <v>0</v>
      </c>
      <c r="AB88" s="65" t="b">
        <f>导出!AB88=计算!AB88</f>
        <v>1</v>
      </c>
      <c r="AC88" s="65" t="b">
        <f>导出!AC88=计算!AC88</f>
        <v>1</v>
      </c>
      <c r="AD88" s="65" t="b">
        <f>导出!AD88=计算!AD88</f>
        <v>1</v>
      </c>
      <c r="AE88" s="65" t="b">
        <f>导出!AE88=计算!AE88</f>
        <v>0</v>
      </c>
      <c r="AF88" s="65" t="b">
        <f>导出!AF88=计算!AF88</f>
        <v>1</v>
      </c>
      <c r="AG88" s="65" t="b">
        <f>导出!AG88=计算!AG88</f>
        <v>1</v>
      </c>
      <c r="AH88" s="65" t="b">
        <f>导出!AH88=计算!AH88</f>
        <v>1</v>
      </c>
      <c r="AI88">
        <v>0</v>
      </c>
      <c r="AJ88" s="3">
        <v>41912.686273148101</v>
      </c>
      <c r="AK88" s="2" t="s">
        <v>2065</v>
      </c>
    </row>
    <row r="89" spans="1:37" x14ac:dyDescent="0.15">
      <c r="A89" s="2" t="s">
        <v>2064</v>
      </c>
      <c r="B89">
        <v>794</v>
      </c>
      <c r="C89" s="3">
        <v>41395</v>
      </c>
      <c r="D89" s="2" t="s">
        <v>37</v>
      </c>
      <c r="E89" s="2" t="s">
        <v>2063</v>
      </c>
      <c r="F89" s="2" t="s">
        <v>38</v>
      </c>
      <c r="G89" s="2" t="s">
        <v>218</v>
      </c>
      <c r="H89" s="2" t="s">
        <v>219</v>
      </c>
      <c r="I89" s="65" t="b">
        <f>导出!I89=计算!I89</f>
        <v>1</v>
      </c>
      <c r="J89" s="65" t="b">
        <f>导出!J89=计算!J89</f>
        <v>1</v>
      </c>
      <c r="K89" s="65" t="b">
        <f>导出!K89=计算!K89</f>
        <v>1</v>
      </c>
      <c r="L89" s="65" t="b">
        <f>导出!L89=计算!L89</f>
        <v>1</v>
      </c>
      <c r="M89" s="65" t="b">
        <f>导出!M89=计算!M89</f>
        <v>1</v>
      </c>
      <c r="N89" s="65" t="b">
        <f>导出!N89=计算!N89</f>
        <v>1</v>
      </c>
      <c r="O89" s="65" t="b">
        <f>导出!O89=计算!O89</f>
        <v>1</v>
      </c>
      <c r="P89" s="65" t="b">
        <f>导出!P89=计算!P89</f>
        <v>1</v>
      </c>
      <c r="Q89" s="65" t="b">
        <f>导出!Q89=计算!Q89</f>
        <v>0</v>
      </c>
      <c r="R89" s="65" t="b">
        <f>导出!R89=计算!R89</f>
        <v>1</v>
      </c>
      <c r="S89" s="65" t="b">
        <f>导出!S89=计算!S89</f>
        <v>1</v>
      </c>
      <c r="T89" s="65" t="b">
        <f>导出!T89=计算!T89</f>
        <v>1</v>
      </c>
      <c r="U89" s="65" t="b">
        <f>导出!U89=计算!U89</f>
        <v>1</v>
      </c>
      <c r="V89" s="65" t="b">
        <f>导出!V89=计算!V89</f>
        <v>0</v>
      </c>
      <c r="W89" s="65" t="b">
        <f>导出!W89=计算!W89</f>
        <v>1</v>
      </c>
      <c r="X89" s="65" t="b">
        <f>导出!X89=计算!X89</f>
        <v>1</v>
      </c>
      <c r="Y89" s="65" t="b">
        <f>导出!Y89=计算!Y89</f>
        <v>1</v>
      </c>
      <c r="Z89" s="65" t="b">
        <f>导出!Z89=计算!Z89</f>
        <v>1</v>
      </c>
      <c r="AA89" s="65" t="b">
        <f>导出!AA89=计算!AA89</f>
        <v>0</v>
      </c>
      <c r="AB89" s="65" t="b">
        <f>导出!AB89=计算!AB89</f>
        <v>1</v>
      </c>
      <c r="AC89" s="65" t="b">
        <f>导出!AC89=计算!AC89</f>
        <v>1</v>
      </c>
      <c r="AD89" s="65" t="b">
        <f>导出!AD89=计算!AD89</f>
        <v>1</v>
      </c>
      <c r="AE89" s="65" t="b">
        <f>导出!AE89=计算!AE89</f>
        <v>0</v>
      </c>
      <c r="AF89" s="65" t="b">
        <f>导出!AF89=计算!AF89</f>
        <v>1</v>
      </c>
      <c r="AG89" s="65" t="b">
        <f>导出!AG89=计算!AG89</f>
        <v>1</v>
      </c>
      <c r="AH89" s="65" t="b">
        <f>导出!AH89=计算!AH89</f>
        <v>1</v>
      </c>
      <c r="AI89">
        <v>0</v>
      </c>
      <c r="AJ89" s="3">
        <v>41912.686273148101</v>
      </c>
      <c r="AK89" s="2" t="s">
        <v>2062</v>
      </c>
    </row>
    <row r="90" spans="1:37" x14ac:dyDescent="0.15">
      <c r="A90" s="2" t="s">
        <v>2061</v>
      </c>
      <c r="B90">
        <v>118</v>
      </c>
      <c r="C90" s="3">
        <v>41395</v>
      </c>
      <c r="D90" s="2" t="s">
        <v>37</v>
      </c>
      <c r="E90" s="2" t="s">
        <v>2060</v>
      </c>
      <c r="F90" s="2" t="s">
        <v>41</v>
      </c>
      <c r="G90" s="2" t="s">
        <v>223</v>
      </c>
      <c r="H90" s="2" t="s">
        <v>224</v>
      </c>
      <c r="I90" s="65" t="b">
        <f>导出!I90=计算!I90</f>
        <v>1</v>
      </c>
      <c r="J90" s="65" t="b">
        <f>导出!J90=计算!J90</f>
        <v>1</v>
      </c>
      <c r="K90" s="65" t="b">
        <f>导出!K90=计算!K90</f>
        <v>1</v>
      </c>
      <c r="L90" s="65" t="b">
        <f>导出!L90=计算!L90</f>
        <v>1</v>
      </c>
      <c r="M90" s="65" t="b">
        <f>导出!M90=计算!M90</f>
        <v>1</v>
      </c>
      <c r="N90" s="65" t="b">
        <f>导出!N90=计算!N90</f>
        <v>1</v>
      </c>
      <c r="O90" s="65" t="b">
        <f>导出!O90=计算!O90</f>
        <v>1</v>
      </c>
      <c r="P90" s="65" t="b">
        <f>导出!P90=计算!P90</f>
        <v>1</v>
      </c>
      <c r="Q90" s="65" t="b">
        <f>导出!Q90=计算!Q90</f>
        <v>0</v>
      </c>
      <c r="R90" s="65" t="b">
        <f>导出!R90=计算!R90</f>
        <v>1</v>
      </c>
      <c r="S90" s="65" t="b">
        <f>导出!S90=计算!S90</f>
        <v>1</v>
      </c>
      <c r="T90" s="65" t="b">
        <f>导出!T90=计算!T90</f>
        <v>1</v>
      </c>
      <c r="U90" s="65" t="b">
        <f>导出!U90=计算!U90</f>
        <v>1</v>
      </c>
      <c r="V90" s="65" t="b">
        <f>导出!V90=计算!V90</f>
        <v>0</v>
      </c>
      <c r="W90" s="65" t="b">
        <f>导出!W90=计算!W90</f>
        <v>1</v>
      </c>
      <c r="X90" s="65" t="b">
        <f>导出!X90=计算!X90</f>
        <v>1</v>
      </c>
      <c r="Y90" s="65" t="b">
        <f>导出!Y90=计算!Y90</f>
        <v>1</v>
      </c>
      <c r="Z90" s="65" t="b">
        <f>导出!Z90=计算!Z90</f>
        <v>1</v>
      </c>
      <c r="AA90" s="65" t="b">
        <f>导出!AA90=计算!AA90</f>
        <v>1</v>
      </c>
      <c r="AB90" s="65" t="b">
        <f>导出!AB90=计算!AB90</f>
        <v>1</v>
      </c>
      <c r="AC90" s="65" t="b">
        <f>导出!AC90=计算!AC90</f>
        <v>1</v>
      </c>
      <c r="AD90" s="65" t="b">
        <f>导出!AD90=计算!AD90</f>
        <v>1</v>
      </c>
      <c r="AE90" s="65" t="b">
        <f>导出!AE90=计算!AE90</f>
        <v>1</v>
      </c>
      <c r="AF90" s="65" t="b">
        <f>导出!AF90=计算!AF90</f>
        <v>1</v>
      </c>
      <c r="AG90" s="65" t="b">
        <f>导出!AG90=计算!AG90</f>
        <v>1</v>
      </c>
      <c r="AH90" s="65" t="b">
        <f>导出!AH90=计算!AH90</f>
        <v>1</v>
      </c>
      <c r="AI90">
        <v>0</v>
      </c>
      <c r="AJ90" s="3">
        <v>41912.6862384259</v>
      </c>
      <c r="AK90" s="2" t="s">
        <v>2059</v>
      </c>
    </row>
    <row r="91" spans="1:37" x14ac:dyDescent="0.15">
      <c r="A91" s="2" t="s">
        <v>2058</v>
      </c>
      <c r="B91">
        <v>802</v>
      </c>
      <c r="C91" s="3">
        <v>41395</v>
      </c>
      <c r="D91" s="2" t="s">
        <v>37</v>
      </c>
      <c r="E91" s="2" t="s">
        <v>2057</v>
      </c>
      <c r="F91" s="2" t="s">
        <v>38</v>
      </c>
      <c r="G91" s="2" t="s">
        <v>220</v>
      </c>
      <c r="H91" s="2" t="s">
        <v>221</v>
      </c>
      <c r="I91" s="65" t="b">
        <f>导出!I91=计算!I91</f>
        <v>1</v>
      </c>
      <c r="J91" s="65" t="b">
        <f>导出!J91=计算!J91</f>
        <v>1</v>
      </c>
      <c r="K91" s="65" t="b">
        <f>导出!K91=计算!K91</f>
        <v>1</v>
      </c>
      <c r="L91" s="65" t="b">
        <f>导出!L91=计算!L91</f>
        <v>1</v>
      </c>
      <c r="M91" s="65" t="b">
        <f>导出!M91=计算!M91</f>
        <v>1</v>
      </c>
      <c r="N91" s="65" t="b">
        <f>导出!N91=计算!N91</f>
        <v>0</v>
      </c>
      <c r="O91" s="65" t="b">
        <f>导出!O91=计算!O91</f>
        <v>1</v>
      </c>
      <c r="P91" s="65" t="b">
        <f>导出!P91=计算!P91</f>
        <v>1</v>
      </c>
      <c r="Q91" s="65" t="b">
        <f>导出!Q91=计算!Q91</f>
        <v>0</v>
      </c>
      <c r="R91" s="65" t="b">
        <f>导出!R91=计算!R91</f>
        <v>1</v>
      </c>
      <c r="S91" s="65" t="b">
        <f>导出!S91=计算!S91</f>
        <v>1</v>
      </c>
      <c r="T91" s="65" t="b">
        <f>导出!T91=计算!T91</f>
        <v>1</v>
      </c>
      <c r="U91" s="65" t="b">
        <f>导出!U91=计算!U91</f>
        <v>1</v>
      </c>
      <c r="V91" s="65" t="b">
        <f>导出!V91=计算!V91</f>
        <v>0</v>
      </c>
      <c r="W91" s="65" t="b">
        <f>导出!W91=计算!W91</f>
        <v>1</v>
      </c>
      <c r="X91" s="65" t="b">
        <f>导出!X91=计算!X91</f>
        <v>1</v>
      </c>
      <c r="Y91" s="65" t="b">
        <f>导出!Y91=计算!Y91</f>
        <v>1</v>
      </c>
      <c r="Z91" s="65" t="b">
        <f>导出!Z91=计算!Z91</f>
        <v>1</v>
      </c>
      <c r="AA91" s="65" t="b">
        <f>导出!AA91=计算!AA91</f>
        <v>0</v>
      </c>
      <c r="AB91" s="65" t="b">
        <f>导出!AB91=计算!AB91</f>
        <v>1</v>
      </c>
      <c r="AC91" s="65" t="b">
        <f>导出!AC91=计算!AC91</f>
        <v>1</v>
      </c>
      <c r="AD91" s="65" t="b">
        <f>导出!AD91=计算!AD91</f>
        <v>1</v>
      </c>
      <c r="AE91" s="65" t="b">
        <f>导出!AE91=计算!AE91</f>
        <v>0</v>
      </c>
      <c r="AF91" s="65" t="b">
        <f>导出!AF91=计算!AF91</f>
        <v>1</v>
      </c>
      <c r="AG91" s="65" t="b">
        <f>导出!AG91=计算!AG91</f>
        <v>1</v>
      </c>
      <c r="AH91" s="65" t="b">
        <f>导出!AH91=计算!AH91</f>
        <v>1</v>
      </c>
      <c r="AI91">
        <v>0</v>
      </c>
      <c r="AJ91" s="3">
        <v>41912.686273148101</v>
      </c>
      <c r="AK91" s="2" t="s">
        <v>2056</v>
      </c>
    </row>
    <row r="92" spans="1:37" x14ac:dyDescent="0.15">
      <c r="A92" s="2" t="s">
        <v>2055</v>
      </c>
      <c r="B92">
        <v>120</v>
      </c>
      <c r="C92" s="3">
        <v>41395</v>
      </c>
      <c r="D92" s="2" t="s">
        <v>37</v>
      </c>
      <c r="E92" s="2" t="s">
        <v>2054</v>
      </c>
      <c r="F92" s="2" t="s">
        <v>41</v>
      </c>
      <c r="G92" s="2" t="s">
        <v>216</v>
      </c>
      <c r="H92" s="2" t="s">
        <v>217</v>
      </c>
      <c r="I92" s="65" t="b">
        <f>导出!I92=计算!I92</f>
        <v>1</v>
      </c>
      <c r="J92" s="65" t="b">
        <f>导出!J92=计算!J92</f>
        <v>1</v>
      </c>
      <c r="K92" s="65" t="b">
        <f>导出!K92=计算!K92</f>
        <v>1</v>
      </c>
      <c r="L92" s="65" t="b">
        <f>导出!L92=计算!L92</f>
        <v>1</v>
      </c>
      <c r="M92" s="65" t="b">
        <f>导出!M92=计算!M92</f>
        <v>1</v>
      </c>
      <c r="N92" s="65" t="b">
        <f>导出!N92=计算!N92</f>
        <v>1</v>
      </c>
      <c r="O92" s="65" t="b">
        <f>导出!O92=计算!O92</f>
        <v>1</v>
      </c>
      <c r="P92" s="65" t="b">
        <f>导出!P92=计算!P92</f>
        <v>1</v>
      </c>
      <c r="Q92" s="65" t="b">
        <f>导出!Q92=计算!Q92</f>
        <v>0</v>
      </c>
      <c r="R92" s="65" t="b">
        <f>导出!R92=计算!R92</f>
        <v>1</v>
      </c>
      <c r="S92" s="65" t="b">
        <f>导出!S92=计算!S92</f>
        <v>1</v>
      </c>
      <c r="T92" s="65" t="b">
        <f>导出!T92=计算!T92</f>
        <v>1</v>
      </c>
      <c r="U92" s="65" t="b">
        <f>导出!U92=计算!U92</f>
        <v>1</v>
      </c>
      <c r="V92" s="65" t="b">
        <f>导出!V92=计算!V92</f>
        <v>1</v>
      </c>
      <c r="W92" s="65" t="b">
        <f>导出!W92=计算!W92</f>
        <v>1</v>
      </c>
      <c r="X92" s="65" t="b">
        <f>导出!X92=计算!X92</f>
        <v>1</v>
      </c>
      <c r="Y92" s="65" t="b">
        <f>导出!Y92=计算!Y92</f>
        <v>1</v>
      </c>
      <c r="Z92" s="65" t="b">
        <f>导出!Z92=计算!Z92</f>
        <v>1</v>
      </c>
      <c r="AA92" s="65" t="b">
        <f>导出!AA92=计算!AA92</f>
        <v>1</v>
      </c>
      <c r="AB92" s="65" t="b">
        <f>导出!AB92=计算!AB92</f>
        <v>1</v>
      </c>
      <c r="AC92" s="65" t="b">
        <f>导出!AC92=计算!AC92</f>
        <v>1</v>
      </c>
      <c r="AD92" s="65" t="b">
        <f>导出!AD92=计算!AD92</f>
        <v>1</v>
      </c>
      <c r="AE92" s="65" t="b">
        <f>导出!AE92=计算!AE92</f>
        <v>1</v>
      </c>
      <c r="AF92" s="65" t="b">
        <f>导出!AF92=计算!AF92</f>
        <v>1</v>
      </c>
      <c r="AG92" s="65" t="b">
        <f>导出!AG92=计算!AG92</f>
        <v>1</v>
      </c>
      <c r="AH92" s="65" t="b">
        <f>导出!AH92=计算!AH92</f>
        <v>1</v>
      </c>
      <c r="AI92">
        <v>0</v>
      </c>
      <c r="AJ92" s="3">
        <v>41912.6862384259</v>
      </c>
      <c r="AK92" s="2" t="s">
        <v>2053</v>
      </c>
    </row>
    <row r="93" spans="1:37" x14ac:dyDescent="0.15">
      <c r="A93" s="2" t="s">
        <v>2052</v>
      </c>
      <c r="B93">
        <v>787</v>
      </c>
      <c r="C93" s="3">
        <v>41396</v>
      </c>
      <c r="D93" s="2" t="s">
        <v>37</v>
      </c>
      <c r="E93" s="2" t="s">
        <v>2051</v>
      </c>
      <c r="F93" s="2" t="s">
        <v>38</v>
      </c>
      <c r="G93" s="2" t="s">
        <v>225</v>
      </c>
      <c r="H93" s="2" t="s">
        <v>226</v>
      </c>
      <c r="I93" s="65" t="b">
        <f>导出!I93=计算!I93</f>
        <v>1</v>
      </c>
      <c r="J93" s="65" t="b">
        <f>导出!J93=计算!J93</f>
        <v>1</v>
      </c>
      <c r="K93" s="65" t="b">
        <f>导出!K93=计算!K93</f>
        <v>1</v>
      </c>
      <c r="L93" s="65" t="b">
        <f>导出!L93=计算!L93</f>
        <v>1</v>
      </c>
      <c r="M93" s="65" t="b">
        <f>导出!M93=计算!M93</f>
        <v>1</v>
      </c>
      <c r="N93" s="65" t="b">
        <f>导出!N93=计算!N93</f>
        <v>1</v>
      </c>
      <c r="O93" s="65" t="b">
        <f>导出!O93=计算!O93</f>
        <v>1</v>
      </c>
      <c r="P93" s="65" t="b">
        <f>导出!P93=计算!P93</f>
        <v>1</v>
      </c>
      <c r="Q93" s="65" t="b">
        <f>导出!Q93=计算!Q93</f>
        <v>0</v>
      </c>
      <c r="R93" s="65" t="b">
        <f>导出!R93=计算!R93</f>
        <v>1</v>
      </c>
      <c r="S93" s="65" t="b">
        <f>导出!S93=计算!S93</f>
        <v>1</v>
      </c>
      <c r="T93" s="65" t="b">
        <f>导出!T93=计算!T93</f>
        <v>1</v>
      </c>
      <c r="U93" s="65" t="b">
        <f>导出!U93=计算!U93</f>
        <v>1</v>
      </c>
      <c r="V93" s="65" t="b">
        <f>导出!V93=计算!V93</f>
        <v>0</v>
      </c>
      <c r="W93" s="65" t="b">
        <f>导出!W93=计算!W93</f>
        <v>1</v>
      </c>
      <c r="X93" s="65" t="b">
        <f>导出!X93=计算!X93</f>
        <v>1</v>
      </c>
      <c r="Y93" s="65" t="b">
        <f>导出!Y93=计算!Y93</f>
        <v>1</v>
      </c>
      <c r="Z93" s="65" t="b">
        <f>导出!Z93=计算!Z93</f>
        <v>1</v>
      </c>
      <c r="AA93" s="65" t="b">
        <f>导出!AA93=计算!AA93</f>
        <v>0</v>
      </c>
      <c r="AB93" s="65" t="b">
        <f>导出!AB93=计算!AB93</f>
        <v>1</v>
      </c>
      <c r="AC93" s="65" t="b">
        <f>导出!AC93=计算!AC93</f>
        <v>1</v>
      </c>
      <c r="AD93" s="65" t="b">
        <f>导出!AD93=计算!AD93</f>
        <v>1</v>
      </c>
      <c r="AE93" s="65" t="b">
        <f>导出!AE93=计算!AE93</f>
        <v>1</v>
      </c>
      <c r="AF93" s="65" t="b">
        <f>导出!AF93=计算!AF93</f>
        <v>1</v>
      </c>
      <c r="AG93" s="65" t="b">
        <f>导出!AG93=计算!AG93</f>
        <v>1</v>
      </c>
      <c r="AH93" s="65" t="b">
        <f>导出!AH93=计算!AH93</f>
        <v>1</v>
      </c>
      <c r="AI93">
        <v>0</v>
      </c>
      <c r="AJ93" s="3">
        <v>41912.686273148101</v>
      </c>
      <c r="AK93" s="2" t="s">
        <v>2050</v>
      </c>
    </row>
    <row r="94" spans="1:37" x14ac:dyDescent="0.15">
      <c r="A94" s="2" t="s">
        <v>2049</v>
      </c>
      <c r="B94">
        <v>810</v>
      </c>
      <c r="C94" s="3">
        <v>41412</v>
      </c>
      <c r="D94" s="2" t="s">
        <v>37</v>
      </c>
      <c r="E94" s="2" t="s">
        <v>2048</v>
      </c>
      <c r="F94" s="2" t="s">
        <v>38</v>
      </c>
      <c r="G94" s="2" t="s">
        <v>227</v>
      </c>
      <c r="H94" s="2" t="s">
        <v>228</v>
      </c>
      <c r="I94" s="65" t="b">
        <f>导出!I94=计算!I94</f>
        <v>1</v>
      </c>
      <c r="J94" s="65" t="b">
        <f>导出!J94=计算!J94</f>
        <v>1</v>
      </c>
      <c r="K94" s="65" t="b">
        <f>导出!K94=计算!K94</f>
        <v>1</v>
      </c>
      <c r="L94" s="65" t="b">
        <f>导出!L94=计算!L94</f>
        <v>1</v>
      </c>
      <c r="M94" s="65" t="b">
        <f>导出!M94=计算!M94</f>
        <v>1</v>
      </c>
      <c r="N94" s="65" t="b">
        <f>导出!N94=计算!N94</f>
        <v>1</v>
      </c>
      <c r="O94" s="65" t="b">
        <f>导出!O94=计算!O94</f>
        <v>1</v>
      </c>
      <c r="P94" s="65" t="b">
        <f>导出!P94=计算!P94</f>
        <v>1</v>
      </c>
      <c r="Q94" s="65" t="b">
        <f>导出!Q94=计算!Q94</f>
        <v>0</v>
      </c>
      <c r="R94" s="65" t="b">
        <f>导出!R94=计算!R94</f>
        <v>1</v>
      </c>
      <c r="S94" s="65" t="b">
        <f>导出!S94=计算!S94</f>
        <v>1</v>
      </c>
      <c r="T94" s="65" t="b">
        <f>导出!T94=计算!T94</f>
        <v>1</v>
      </c>
      <c r="U94" s="65" t="b">
        <f>导出!U94=计算!U94</f>
        <v>1</v>
      </c>
      <c r="V94" s="65" t="b">
        <f>导出!V94=计算!V94</f>
        <v>0</v>
      </c>
      <c r="W94" s="65" t="b">
        <f>导出!W94=计算!W94</f>
        <v>1</v>
      </c>
      <c r="X94" s="65" t="b">
        <f>导出!X94=计算!X94</f>
        <v>1</v>
      </c>
      <c r="Y94" s="65" t="b">
        <f>导出!Y94=计算!Y94</f>
        <v>1</v>
      </c>
      <c r="Z94" s="65" t="b">
        <f>导出!Z94=计算!Z94</f>
        <v>1</v>
      </c>
      <c r="AA94" s="65" t="b">
        <f>导出!AA94=计算!AA94</f>
        <v>0</v>
      </c>
      <c r="AB94" s="65" t="b">
        <f>导出!AB94=计算!AB94</f>
        <v>0</v>
      </c>
      <c r="AC94" s="65" t="b">
        <f>导出!AC94=计算!AC94</f>
        <v>1</v>
      </c>
      <c r="AD94" s="65" t="b">
        <f>导出!AD94=计算!AD94</f>
        <v>1</v>
      </c>
      <c r="AE94" s="65" t="b">
        <f>导出!AE94=计算!AE94</f>
        <v>0</v>
      </c>
      <c r="AF94" s="65" t="b">
        <f>导出!AF94=计算!AF94</f>
        <v>1</v>
      </c>
      <c r="AG94" s="65" t="b">
        <f>导出!AG94=计算!AG94</f>
        <v>1</v>
      </c>
      <c r="AH94" s="65" t="b">
        <f>导出!AH94=计算!AH94</f>
        <v>1</v>
      </c>
      <c r="AI94">
        <v>0</v>
      </c>
      <c r="AJ94" s="3">
        <v>41912.686273148101</v>
      </c>
      <c r="AK94" s="2" t="s">
        <v>2047</v>
      </c>
    </row>
    <row r="95" spans="1:37" x14ac:dyDescent="0.15">
      <c r="A95" s="2" t="s">
        <v>2046</v>
      </c>
      <c r="B95">
        <v>818</v>
      </c>
      <c r="C95" s="3">
        <v>41417</v>
      </c>
      <c r="D95" s="2" t="s">
        <v>37</v>
      </c>
      <c r="E95" s="2" t="s">
        <v>2045</v>
      </c>
      <c r="F95" s="2" t="s">
        <v>38</v>
      </c>
      <c r="G95" s="2" t="s">
        <v>229</v>
      </c>
      <c r="H95" s="2" t="s">
        <v>230</v>
      </c>
      <c r="I95" s="65" t="b">
        <f>导出!I95=计算!I95</f>
        <v>1</v>
      </c>
      <c r="J95" s="65" t="b">
        <f>导出!J95=计算!J95</f>
        <v>1</v>
      </c>
      <c r="K95" s="65" t="b">
        <f>导出!K95=计算!K95</f>
        <v>1</v>
      </c>
      <c r="L95" s="65" t="b">
        <f>导出!L95=计算!L95</f>
        <v>1</v>
      </c>
      <c r="M95" s="65" t="b">
        <f>导出!M95=计算!M95</f>
        <v>1</v>
      </c>
      <c r="N95" s="65" t="b">
        <f>导出!N95=计算!N95</f>
        <v>1</v>
      </c>
      <c r="O95" s="65" t="b">
        <f>导出!O95=计算!O95</f>
        <v>1</v>
      </c>
      <c r="P95" s="65" t="b">
        <f>导出!P95=计算!P95</f>
        <v>1</v>
      </c>
      <c r="Q95" s="65" t="b">
        <f>导出!Q95=计算!Q95</f>
        <v>0</v>
      </c>
      <c r="R95" s="65" t="b">
        <f>导出!R95=计算!R95</f>
        <v>1</v>
      </c>
      <c r="S95" s="65" t="b">
        <f>导出!S95=计算!S95</f>
        <v>1</v>
      </c>
      <c r="T95" s="65" t="b">
        <f>导出!T95=计算!T95</f>
        <v>1</v>
      </c>
      <c r="U95" s="65" t="b">
        <f>导出!U95=计算!U95</f>
        <v>1</v>
      </c>
      <c r="V95" s="65" t="b">
        <f>导出!V95=计算!V95</f>
        <v>0</v>
      </c>
      <c r="W95" s="65" t="b">
        <f>导出!W95=计算!W95</f>
        <v>1</v>
      </c>
      <c r="X95" s="65" t="b">
        <f>导出!X95=计算!X95</f>
        <v>1</v>
      </c>
      <c r="Y95" s="65" t="b">
        <f>导出!Y95=计算!Y95</f>
        <v>1</v>
      </c>
      <c r="Z95" s="65" t="b">
        <f>导出!Z95=计算!Z95</f>
        <v>1</v>
      </c>
      <c r="AA95" s="65" t="b">
        <f>导出!AA95=计算!AA95</f>
        <v>0</v>
      </c>
      <c r="AB95" s="65" t="b">
        <f>导出!AB95=计算!AB95</f>
        <v>0</v>
      </c>
      <c r="AC95" s="65" t="b">
        <f>导出!AC95=计算!AC95</f>
        <v>1</v>
      </c>
      <c r="AD95" s="65" t="b">
        <f>导出!AD95=计算!AD95</f>
        <v>1</v>
      </c>
      <c r="AE95" s="65" t="b">
        <f>导出!AE95=计算!AE95</f>
        <v>0</v>
      </c>
      <c r="AF95" s="65" t="b">
        <f>导出!AF95=计算!AF95</f>
        <v>1</v>
      </c>
      <c r="AG95" s="65" t="b">
        <f>导出!AG95=计算!AG95</f>
        <v>1</v>
      </c>
      <c r="AH95" s="65" t="b">
        <f>导出!AH95=计算!AH95</f>
        <v>1</v>
      </c>
      <c r="AI95">
        <v>0</v>
      </c>
      <c r="AJ95" s="3">
        <v>41912.686273148101</v>
      </c>
      <c r="AK95" s="2" t="s">
        <v>2044</v>
      </c>
    </row>
    <row r="96" spans="1:37" x14ac:dyDescent="0.15">
      <c r="A96" s="2" t="s">
        <v>2043</v>
      </c>
      <c r="B96">
        <v>125</v>
      </c>
      <c r="C96" s="3">
        <v>41426</v>
      </c>
      <c r="D96" s="2" t="s">
        <v>37</v>
      </c>
      <c r="E96" s="2" t="s">
        <v>2042</v>
      </c>
      <c r="F96" s="2" t="s">
        <v>41</v>
      </c>
      <c r="G96" s="2" t="s">
        <v>231</v>
      </c>
      <c r="H96" s="2" t="s">
        <v>232</v>
      </c>
      <c r="I96" s="65" t="b">
        <f>导出!I96=计算!I96</f>
        <v>1</v>
      </c>
      <c r="J96" s="65" t="b">
        <f>导出!J96=计算!J96</f>
        <v>1</v>
      </c>
      <c r="K96" s="65" t="b">
        <f>导出!K96=计算!K96</f>
        <v>1</v>
      </c>
      <c r="L96" s="65" t="b">
        <f>导出!L96=计算!L96</f>
        <v>1</v>
      </c>
      <c r="M96" s="65" t="b">
        <f>导出!M96=计算!M96</f>
        <v>1</v>
      </c>
      <c r="N96" s="65" t="b">
        <f>导出!N96=计算!N96</f>
        <v>1</v>
      </c>
      <c r="O96" s="65" t="b">
        <f>导出!O96=计算!O96</f>
        <v>1</v>
      </c>
      <c r="P96" s="65" t="b">
        <f>导出!P96=计算!P96</f>
        <v>1</v>
      </c>
      <c r="Q96" s="65" t="b">
        <f>导出!Q96=计算!Q96</f>
        <v>0</v>
      </c>
      <c r="R96" s="65" t="b">
        <f>导出!R96=计算!R96</f>
        <v>1</v>
      </c>
      <c r="S96" s="65" t="b">
        <f>导出!S96=计算!S96</f>
        <v>1</v>
      </c>
      <c r="T96" s="65" t="b">
        <f>导出!T96=计算!T96</f>
        <v>1</v>
      </c>
      <c r="U96" s="65" t="b">
        <f>导出!U96=计算!U96</f>
        <v>1</v>
      </c>
      <c r="V96" s="65" t="b">
        <f>导出!V96=计算!V96</f>
        <v>0</v>
      </c>
      <c r="W96" s="65" t="b">
        <f>导出!W96=计算!W96</f>
        <v>1</v>
      </c>
      <c r="X96" s="65" t="b">
        <f>导出!X96=计算!X96</f>
        <v>1</v>
      </c>
      <c r="Y96" s="65" t="b">
        <f>导出!Y96=计算!Y96</f>
        <v>1</v>
      </c>
      <c r="Z96" s="65" t="b">
        <f>导出!Z96=计算!Z96</f>
        <v>1</v>
      </c>
      <c r="AA96" s="65" t="b">
        <f>导出!AA96=计算!AA96</f>
        <v>0</v>
      </c>
      <c r="AB96" s="65" t="b">
        <f>导出!AB96=计算!AB96</f>
        <v>0</v>
      </c>
      <c r="AC96" s="65" t="b">
        <f>导出!AC96=计算!AC96</f>
        <v>1</v>
      </c>
      <c r="AD96" s="65" t="b">
        <f>导出!AD96=计算!AD96</f>
        <v>1</v>
      </c>
      <c r="AE96" s="65" t="b">
        <f>导出!AE96=计算!AE96</f>
        <v>0</v>
      </c>
      <c r="AF96" s="65" t="b">
        <f>导出!AF96=计算!AF96</f>
        <v>1</v>
      </c>
      <c r="AG96" s="65" t="b">
        <f>导出!AG96=计算!AG96</f>
        <v>1</v>
      </c>
      <c r="AH96" s="65" t="b">
        <f>导出!AH96=计算!AH96</f>
        <v>1</v>
      </c>
      <c r="AI96">
        <v>0</v>
      </c>
      <c r="AJ96" s="3">
        <v>41912.6862384259</v>
      </c>
      <c r="AK96" s="2" t="s">
        <v>2041</v>
      </c>
    </row>
    <row r="97" spans="1:37" x14ac:dyDescent="0.15">
      <c r="A97" s="2" t="s">
        <v>2040</v>
      </c>
      <c r="B97">
        <v>826</v>
      </c>
      <c r="C97" s="3">
        <v>41438</v>
      </c>
      <c r="D97" s="2" t="s">
        <v>37</v>
      </c>
      <c r="E97" s="2" t="s">
        <v>2039</v>
      </c>
      <c r="F97" s="2" t="s">
        <v>38</v>
      </c>
      <c r="G97" s="2" t="s">
        <v>233</v>
      </c>
      <c r="H97" s="2" t="s">
        <v>234</v>
      </c>
      <c r="I97" s="65" t="b">
        <f>导出!I97=计算!I97</f>
        <v>1</v>
      </c>
      <c r="J97" s="65" t="b">
        <f>导出!J97=计算!J97</f>
        <v>1</v>
      </c>
      <c r="K97" s="65" t="b">
        <f>导出!K97=计算!K97</f>
        <v>1</v>
      </c>
      <c r="L97" s="65" t="b">
        <f>导出!L97=计算!L97</f>
        <v>1</v>
      </c>
      <c r="M97" s="65" t="b">
        <f>导出!M97=计算!M97</f>
        <v>1</v>
      </c>
      <c r="N97" s="65" t="b">
        <f>导出!N97=计算!N97</f>
        <v>0</v>
      </c>
      <c r="O97" s="65" t="b">
        <f>导出!O97=计算!O97</f>
        <v>1</v>
      </c>
      <c r="P97" s="65" t="b">
        <f>导出!P97=计算!P97</f>
        <v>1</v>
      </c>
      <c r="Q97" s="65" t="b">
        <f>导出!Q97=计算!Q97</f>
        <v>0</v>
      </c>
      <c r="R97" s="65" t="b">
        <f>导出!R97=计算!R97</f>
        <v>1</v>
      </c>
      <c r="S97" s="65" t="b">
        <f>导出!S97=计算!S97</f>
        <v>1</v>
      </c>
      <c r="T97" s="65" t="b">
        <f>导出!T97=计算!T97</f>
        <v>1</v>
      </c>
      <c r="U97" s="65" t="b">
        <f>导出!U97=计算!U97</f>
        <v>1</v>
      </c>
      <c r="V97" s="65" t="b">
        <f>导出!V97=计算!V97</f>
        <v>0</v>
      </c>
      <c r="W97" s="65" t="b">
        <f>导出!W97=计算!W97</f>
        <v>1</v>
      </c>
      <c r="X97" s="65" t="b">
        <f>导出!X97=计算!X97</f>
        <v>1</v>
      </c>
      <c r="Y97" s="65" t="b">
        <f>导出!Y97=计算!Y97</f>
        <v>1</v>
      </c>
      <c r="Z97" s="65" t="b">
        <f>导出!Z97=计算!Z97</f>
        <v>1</v>
      </c>
      <c r="AA97" s="65" t="b">
        <f>导出!AA97=计算!AA97</f>
        <v>0</v>
      </c>
      <c r="AB97" s="65" t="b">
        <f>导出!AB97=计算!AB97</f>
        <v>0</v>
      </c>
      <c r="AC97" s="65" t="b">
        <f>导出!AC97=计算!AC97</f>
        <v>1</v>
      </c>
      <c r="AD97" s="65" t="b">
        <f>导出!AD97=计算!AD97</f>
        <v>1</v>
      </c>
      <c r="AE97" s="65" t="b">
        <f>导出!AE97=计算!AE97</f>
        <v>0</v>
      </c>
      <c r="AF97" s="65" t="b">
        <f>导出!AF97=计算!AF97</f>
        <v>1</v>
      </c>
      <c r="AG97" s="65" t="b">
        <f>导出!AG97=计算!AG97</f>
        <v>1</v>
      </c>
      <c r="AH97" s="65" t="b">
        <f>导出!AH97=计算!AH97</f>
        <v>1</v>
      </c>
      <c r="AI97">
        <v>0</v>
      </c>
      <c r="AJ97" s="3">
        <v>41912.686273148101</v>
      </c>
      <c r="AK97" s="2" t="s">
        <v>2038</v>
      </c>
    </row>
    <row r="98" spans="1:37" x14ac:dyDescent="0.15">
      <c r="A98" s="2" t="s">
        <v>2037</v>
      </c>
      <c r="B98">
        <v>829</v>
      </c>
      <c r="C98" s="3">
        <v>41439</v>
      </c>
      <c r="D98" s="2" t="s">
        <v>37</v>
      </c>
      <c r="E98" s="2" t="s">
        <v>2036</v>
      </c>
      <c r="F98" s="2" t="s">
        <v>38</v>
      </c>
      <c r="G98" s="2" t="s">
        <v>235</v>
      </c>
      <c r="H98" s="2" t="s">
        <v>236</v>
      </c>
      <c r="I98" s="65" t="b">
        <f>导出!I98=计算!I98</f>
        <v>1</v>
      </c>
      <c r="J98" s="65" t="b">
        <f>导出!J98=计算!J98</f>
        <v>1</v>
      </c>
      <c r="K98" s="65" t="b">
        <f>导出!K98=计算!K98</f>
        <v>1</v>
      </c>
      <c r="L98" s="65" t="b">
        <f>导出!L98=计算!L98</f>
        <v>1</v>
      </c>
      <c r="M98" s="65" t="b">
        <f>导出!M98=计算!M98</f>
        <v>1</v>
      </c>
      <c r="N98" s="65" t="b">
        <f>导出!N98=计算!N98</f>
        <v>0</v>
      </c>
      <c r="O98" s="65" t="b">
        <f>导出!O98=计算!O98</f>
        <v>1</v>
      </c>
      <c r="P98" s="65" t="b">
        <f>导出!P98=计算!P98</f>
        <v>1</v>
      </c>
      <c r="Q98" s="65" t="b">
        <f>导出!Q98=计算!Q98</f>
        <v>0</v>
      </c>
      <c r="R98" s="65" t="b">
        <f>导出!R98=计算!R98</f>
        <v>1</v>
      </c>
      <c r="S98" s="65" t="b">
        <f>导出!S98=计算!S98</f>
        <v>1</v>
      </c>
      <c r="T98" s="65" t="b">
        <f>导出!T98=计算!T98</f>
        <v>1</v>
      </c>
      <c r="U98" s="65" t="b">
        <f>导出!U98=计算!U98</f>
        <v>1</v>
      </c>
      <c r="V98" s="65" t="b">
        <f>导出!V98=计算!V98</f>
        <v>1</v>
      </c>
      <c r="W98" s="65" t="b">
        <f>导出!W98=计算!W98</f>
        <v>1</v>
      </c>
      <c r="X98" s="65" t="b">
        <f>导出!X98=计算!X98</f>
        <v>1</v>
      </c>
      <c r="Y98" s="65" t="b">
        <f>导出!Y98=计算!Y98</f>
        <v>1</v>
      </c>
      <c r="Z98" s="65" t="b">
        <f>导出!Z98=计算!Z98</f>
        <v>1</v>
      </c>
      <c r="AA98" s="65" t="b">
        <f>导出!AA98=计算!AA98</f>
        <v>0</v>
      </c>
      <c r="AB98" s="65" t="b">
        <f>导出!AB98=计算!AB98</f>
        <v>1</v>
      </c>
      <c r="AC98" s="65" t="b">
        <f>导出!AC98=计算!AC98</f>
        <v>1</v>
      </c>
      <c r="AD98" s="65" t="b">
        <f>导出!AD98=计算!AD98</f>
        <v>1</v>
      </c>
      <c r="AE98" s="65" t="b">
        <f>导出!AE98=计算!AE98</f>
        <v>1</v>
      </c>
      <c r="AF98" s="65" t="b">
        <f>导出!AF98=计算!AF98</f>
        <v>1</v>
      </c>
      <c r="AG98" s="65" t="b">
        <f>导出!AG98=计算!AG98</f>
        <v>1</v>
      </c>
      <c r="AH98" s="65" t="b">
        <f>导出!AH98=计算!AH98</f>
        <v>1</v>
      </c>
      <c r="AI98">
        <v>0</v>
      </c>
      <c r="AJ98" s="3">
        <v>41912.686273148101</v>
      </c>
      <c r="AK98" s="2" t="s">
        <v>2035</v>
      </c>
    </row>
    <row r="99" spans="1:37" x14ac:dyDescent="0.15">
      <c r="A99" s="2" t="s">
        <v>2034</v>
      </c>
      <c r="B99">
        <v>838</v>
      </c>
      <c r="C99" s="3">
        <v>41443</v>
      </c>
      <c r="D99" s="2" t="s">
        <v>37</v>
      </c>
      <c r="E99" s="2" t="s">
        <v>2033</v>
      </c>
      <c r="F99" s="2" t="s">
        <v>38</v>
      </c>
      <c r="G99" s="2" t="s">
        <v>237</v>
      </c>
      <c r="H99" s="2" t="s">
        <v>238</v>
      </c>
      <c r="I99" s="65" t="b">
        <f>导出!I99=计算!I99</f>
        <v>1</v>
      </c>
      <c r="J99" s="65" t="b">
        <f>导出!J99=计算!J99</f>
        <v>1</v>
      </c>
      <c r="K99" s="65" t="b">
        <f>导出!K99=计算!K99</f>
        <v>1</v>
      </c>
      <c r="L99" s="65" t="b">
        <f>导出!L99=计算!L99</f>
        <v>1</v>
      </c>
      <c r="M99" s="65" t="b">
        <f>导出!M99=计算!M99</f>
        <v>1</v>
      </c>
      <c r="N99" s="65" t="b">
        <f>导出!N99=计算!N99</f>
        <v>1</v>
      </c>
      <c r="O99" s="65" t="b">
        <f>导出!O99=计算!O99</f>
        <v>1</v>
      </c>
      <c r="P99" s="65" t="b">
        <f>导出!P99=计算!P99</f>
        <v>0</v>
      </c>
      <c r="Q99" s="65" t="b">
        <f>导出!Q99=计算!Q99</f>
        <v>0</v>
      </c>
      <c r="R99" s="65" t="b">
        <f>导出!R99=计算!R99</f>
        <v>1</v>
      </c>
      <c r="S99" s="65" t="b">
        <f>导出!S99=计算!S99</f>
        <v>1</v>
      </c>
      <c r="T99" s="65" t="b">
        <f>导出!T99=计算!T99</f>
        <v>1</v>
      </c>
      <c r="U99" s="65" t="b">
        <f>导出!U99=计算!U99</f>
        <v>1</v>
      </c>
      <c r="V99" s="65" t="b">
        <f>导出!V99=计算!V99</f>
        <v>0</v>
      </c>
      <c r="W99" s="65" t="b">
        <f>导出!W99=计算!W99</f>
        <v>1</v>
      </c>
      <c r="X99" s="65" t="b">
        <f>导出!X99=计算!X99</f>
        <v>1</v>
      </c>
      <c r="Y99" s="65" t="b">
        <f>导出!Y99=计算!Y99</f>
        <v>1</v>
      </c>
      <c r="Z99" s="65" t="b">
        <f>导出!Z99=计算!Z99</f>
        <v>1</v>
      </c>
      <c r="AA99" s="65" t="b">
        <f>导出!AA99=计算!AA99</f>
        <v>0</v>
      </c>
      <c r="AB99" s="65" t="b">
        <f>导出!AB99=计算!AB99</f>
        <v>1</v>
      </c>
      <c r="AC99" s="65" t="b">
        <f>导出!AC99=计算!AC99</f>
        <v>1</v>
      </c>
      <c r="AD99" s="65" t="b">
        <f>导出!AD99=计算!AD99</f>
        <v>1</v>
      </c>
      <c r="AE99" s="65" t="b">
        <f>导出!AE99=计算!AE99</f>
        <v>0</v>
      </c>
      <c r="AF99" s="65" t="b">
        <f>导出!AF99=计算!AF99</f>
        <v>1</v>
      </c>
      <c r="AG99" s="65" t="b">
        <f>导出!AG99=计算!AG99</f>
        <v>1</v>
      </c>
      <c r="AH99" s="65" t="b">
        <f>导出!AH99=计算!AH99</f>
        <v>1</v>
      </c>
      <c r="AI99">
        <v>0</v>
      </c>
      <c r="AJ99" s="3">
        <v>41912.686273148101</v>
      </c>
      <c r="AK99" s="2" t="s">
        <v>2032</v>
      </c>
    </row>
    <row r="100" spans="1:37" x14ac:dyDescent="0.15">
      <c r="A100" s="2" t="s">
        <v>2031</v>
      </c>
      <c r="B100">
        <v>130</v>
      </c>
      <c r="C100" s="3">
        <v>41456</v>
      </c>
      <c r="D100" s="2" t="s">
        <v>37</v>
      </c>
      <c r="E100" s="2" t="s">
        <v>2030</v>
      </c>
      <c r="F100" s="2" t="s">
        <v>41</v>
      </c>
      <c r="G100" s="2" t="s">
        <v>241</v>
      </c>
      <c r="H100" s="2" t="s">
        <v>242</v>
      </c>
      <c r="I100" s="65" t="b">
        <f>导出!I100=计算!I100</f>
        <v>1</v>
      </c>
      <c r="J100" s="65" t="b">
        <f>导出!J100=计算!J100</f>
        <v>1</v>
      </c>
      <c r="K100" s="65" t="b">
        <f>导出!K100=计算!K100</f>
        <v>1</v>
      </c>
      <c r="L100" s="65" t="b">
        <f>导出!L100=计算!L100</f>
        <v>1</v>
      </c>
      <c r="M100" s="65" t="b">
        <f>导出!M100=计算!M100</f>
        <v>1</v>
      </c>
      <c r="N100" s="65" t="b">
        <f>导出!N100=计算!N100</f>
        <v>1</v>
      </c>
      <c r="O100" s="65" t="b">
        <f>导出!O100=计算!O100</f>
        <v>1</v>
      </c>
      <c r="P100" s="65" t="b">
        <f>导出!P100=计算!P100</f>
        <v>1</v>
      </c>
      <c r="Q100" s="65" t="b">
        <f>导出!Q100=计算!Q100</f>
        <v>0</v>
      </c>
      <c r="R100" s="65" t="b">
        <f>导出!R100=计算!R100</f>
        <v>1</v>
      </c>
      <c r="S100" s="65" t="b">
        <f>导出!S100=计算!S100</f>
        <v>1</v>
      </c>
      <c r="T100" s="65" t="b">
        <f>导出!T100=计算!T100</f>
        <v>1</v>
      </c>
      <c r="U100" s="65" t="b">
        <f>导出!U100=计算!U100</f>
        <v>1</v>
      </c>
      <c r="V100" s="65" t="b">
        <f>导出!V100=计算!V100</f>
        <v>0</v>
      </c>
      <c r="W100" s="65" t="b">
        <f>导出!W100=计算!W100</f>
        <v>1</v>
      </c>
      <c r="X100" s="65" t="b">
        <f>导出!X100=计算!X100</f>
        <v>1</v>
      </c>
      <c r="Y100" s="65" t="b">
        <f>导出!Y100=计算!Y100</f>
        <v>1</v>
      </c>
      <c r="Z100" s="65" t="b">
        <f>导出!Z100=计算!Z100</f>
        <v>1</v>
      </c>
      <c r="AA100" s="65" t="b">
        <f>导出!AA100=计算!AA100</f>
        <v>0</v>
      </c>
      <c r="AB100" s="65" t="b">
        <f>导出!AB100=计算!AB100</f>
        <v>1</v>
      </c>
      <c r="AC100" s="65" t="b">
        <f>导出!AC100=计算!AC100</f>
        <v>1</v>
      </c>
      <c r="AD100" s="65" t="b">
        <f>导出!AD100=计算!AD100</f>
        <v>1</v>
      </c>
      <c r="AE100" s="65" t="b">
        <f>导出!AE100=计算!AE100</f>
        <v>0</v>
      </c>
      <c r="AF100" s="65" t="b">
        <f>导出!AF100=计算!AF100</f>
        <v>1</v>
      </c>
      <c r="AG100" s="65" t="b">
        <f>导出!AG100=计算!AG100</f>
        <v>1</v>
      </c>
      <c r="AH100" s="65" t="b">
        <f>导出!AH100=计算!AH100</f>
        <v>1</v>
      </c>
      <c r="AI100">
        <v>0</v>
      </c>
      <c r="AJ100" s="3">
        <v>41912.6862384259</v>
      </c>
      <c r="AK100" s="2" t="s">
        <v>2029</v>
      </c>
    </row>
    <row r="101" spans="1:37" x14ac:dyDescent="0.15">
      <c r="A101" s="2" t="s">
        <v>2028</v>
      </c>
      <c r="B101">
        <v>845</v>
      </c>
      <c r="C101" s="3">
        <v>41456</v>
      </c>
      <c r="D101" s="2" t="s">
        <v>37</v>
      </c>
      <c r="E101" s="2" t="s">
        <v>2027</v>
      </c>
      <c r="F101" s="2" t="s">
        <v>38</v>
      </c>
      <c r="G101" s="2" t="s">
        <v>239</v>
      </c>
      <c r="H101" s="2" t="s">
        <v>240</v>
      </c>
      <c r="I101" s="65" t="b">
        <f>导出!I101=计算!I101</f>
        <v>1</v>
      </c>
      <c r="J101" s="65" t="b">
        <f>导出!J101=计算!J101</f>
        <v>1</v>
      </c>
      <c r="K101" s="65" t="b">
        <f>导出!K101=计算!K101</f>
        <v>1</v>
      </c>
      <c r="L101" s="65" t="b">
        <f>导出!L101=计算!L101</f>
        <v>1</v>
      </c>
      <c r="M101" s="65" t="b">
        <f>导出!M101=计算!M101</f>
        <v>1</v>
      </c>
      <c r="N101" s="65" t="b">
        <f>导出!N101=计算!N101</f>
        <v>1</v>
      </c>
      <c r="O101" s="65" t="b">
        <f>导出!O101=计算!O101</f>
        <v>1</v>
      </c>
      <c r="P101" s="65" t="b">
        <f>导出!P101=计算!P101</f>
        <v>1</v>
      </c>
      <c r="Q101" s="65" t="b">
        <f>导出!Q101=计算!Q101</f>
        <v>1</v>
      </c>
      <c r="R101" s="65" t="b">
        <f>导出!R101=计算!R101</f>
        <v>1</v>
      </c>
      <c r="S101" s="65" t="b">
        <f>导出!S101=计算!S101</f>
        <v>1</v>
      </c>
      <c r="T101" s="65" t="b">
        <f>导出!T101=计算!T101</f>
        <v>1</v>
      </c>
      <c r="U101" s="65" t="b">
        <f>导出!U101=计算!U101</f>
        <v>1</v>
      </c>
      <c r="V101" s="65" t="b">
        <f>导出!V101=计算!V101</f>
        <v>0</v>
      </c>
      <c r="W101" s="65" t="b">
        <f>导出!W101=计算!W101</f>
        <v>1</v>
      </c>
      <c r="X101" s="65" t="b">
        <f>导出!X101=计算!X101</f>
        <v>1</v>
      </c>
      <c r="Y101" s="65" t="b">
        <f>导出!Y101=计算!Y101</f>
        <v>1</v>
      </c>
      <c r="Z101" s="65" t="b">
        <f>导出!Z101=计算!Z101</f>
        <v>1</v>
      </c>
      <c r="AA101" s="65" t="b">
        <f>导出!AA101=计算!AA101</f>
        <v>0</v>
      </c>
      <c r="AB101" s="65" t="b">
        <f>导出!AB101=计算!AB101</f>
        <v>1</v>
      </c>
      <c r="AC101" s="65" t="b">
        <f>导出!AC101=计算!AC101</f>
        <v>1</v>
      </c>
      <c r="AD101" s="65" t="b">
        <f>导出!AD101=计算!AD101</f>
        <v>1</v>
      </c>
      <c r="AE101" s="65" t="b">
        <f>导出!AE101=计算!AE101</f>
        <v>0</v>
      </c>
      <c r="AF101" s="65" t="b">
        <f>导出!AF101=计算!AF101</f>
        <v>1</v>
      </c>
      <c r="AG101" s="65" t="b">
        <f>导出!AG101=计算!AG101</f>
        <v>1</v>
      </c>
      <c r="AH101" s="65" t="b">
        <f>导出!AH101=计算!AH101</f>
        <v>1</v>
      </c>
      <c r="AI101">
        <v>0</v>
      </c>
      <c r="AJ101" s="3">
        <v>41912.686273148101</v>
      </c>
      <c r="AK101" s="2" t="s">
        <v>2026</v>
      </c>
    </row>
    <row r="102" spans="1:37" x14ac:dyDescent="0.15">
      <c r="A102" s="2" t="s">
        <v>2025</v>
      </c>
      <c r="B102">
        <v>847</v>
      </c>
      <c r="C102" s="3">
        <v>41457</v>
      </c>
      <c r="D102" s="2" t="s">
        <v>37</v>
      </c>
      <c r="E102" s="2" t="s">
        <v>2024</v>
      </c>
      <c r="F102" s="2" t="s">
        <v>38</v>
      </c>
      <c r="G102" s="2" t="s">
        <v>243</v>
      </c>
      <c r="H102" s="2" t="s">
        <v>244</v>
      </c>
      <c r="I102" s="65" t="b">
        <f>导出!I102=计算!I102</f>
        <v>1</v>
      </c>
      <c r="J102" s="65" t="b">
        <f>导出!J102=计算!J102</f>
        <v>1</v>
      </c>
      <c r="K102" s="65" t="b">
        <f>导出!K102=计算!K102</f>
        <v>1</v>
      </c>
      <c r="L102" s="65" t="b">
        <f>导出!L102=计算!L102</f>
        <v>1</v>
      </c>
      <c r="M102" s="65" t="b">
        <f>导出!M102=计算!M102</f>
        <v>1</v>
      </c>
      <c r="N102" s="65" t="b">
        <f>导出!N102=计算!N102</f>
        <v>1</v>
      </c>
      <c r="O102" s="65" t="b">
        <f>导出!O102=计算!O102</f>
        <v>1</v>
      </c>
      <c r="P102" s="65" t="b">
        <f>导出!P102=计算!P102</f>
        <v>1</v>
      </c>
      <c r="Q102" s="65" t="b">
        <f>导出!Q102=计算!Q102</f>
        <v>1</v>
      </c>
      <c r="R102" s="65" t="b">
        <f>导出!R102=计算!R102</f>
        <v>1</v>
      </c>
      <c r="S102" s="65" t="b">
        <f>导出!S102=计算!S102</f>
        <v>1</v>
      </c>
      <c r="T102" s="65" t="b">
        <f>导出!T102=计算!T102</f>
        <v>1</v>
      </c>
      <c r="U102" s="65" t="b">
        <f>导出!U102=计算!U102</f>
        <v>1</v>
      </c>
      <c r="V102" s="65" t="b">
        <f>导出!V102=计算!V102</f>
        <v>1</v>
      </c>
      <c r="W102" s="65" t="b">
        <f>导出!W102=计算!W102</f>
        <v>1</v>
      </c>
      <c r="X102" s="65" t="b">
        <f>导出!X102=计算!X102</f>
        <v>1</v>
      </c>
      <c r="Y102" s="65" t="b">
        <f>导出!Y102=计算!Y102</f>
        <v>1</v>
      </c>
      <c r="Z102" s="65" t="b">
        <f>导出!Z102=计算!Z102</f>
        <v>1</v>
      </c>
      <c r="AA102" s="65" t="b">
        <f>导出!AA102=计算!AA102</f>
        <v>0</v>
      </c>
      <c r="AB102" s="65" t="b">
        <f>导出!AB102=计算!AB102</f>
        <v>1</v>
      </c>
      <c r="AC102" s="65" t="b">
        <f>导出!AC102=计算!AC102</f>
        <v>1</v>
      </c>
      <c r="AD102" s="65" t="b">
        <f>导出!AD102=计算!AD102</f>
        <v>1</v>
      </c>
      <c r="AE102" s="65" t="b">
        <f>导出!AE102=计算!AE102</f>
        <v>1</v>
      </c>
      <c r="AF102" s="65" t="b">
        <f>导出!AF102=计算!AF102</f>
        <v>1</v>
      </c>
      <c r="AG102" s="65" t="b">
        <f>导出!AG102=计算!AG102</f>
        <v>1</v>
      </c>
      <c r="AH102" s="65" t="b">
        <f>导出!AH102=计算!AH102</f>
        <v>1</v>
      </c>
      <c r="AI102">
        <v>0</v>
      </c>
      <c r="AJ102" s="3">
        <v>41912.686273148101</v>
      </c>
      <c r="AK102" s="2" t="s">
        <v>2023</v>
      </c>
    </row>
    <row r="103" spans="1:37" x14ac:dyDescent="0.15">
      <c r="A103" s="2" t="s">
        <v>2022</v>
      </c>
      <c r="B103">
        <v>854</v>
      </c>
      <c r="C103" s="3">
        <v>41459</v>
      </c>
      <c r="D103" s="2" t="s">
        <v>37</v>
      </c>
      <c r="E103" s="2" t="s">
        <v>2021</v>
      </c>
      <c r="F103" s="2" t="s">
        <v>38</v>
      </c>
      <c r="G103" s="2" t="s">
        <v>245</v>
      </c>
      <c r="H103" s="2" t="s">
        <v>246</v>
      </c>
      <c r="I103" s="65" t="b">
        <f>导出!I103=计算!I103</f>
        <v>1</v>
      </c>
      <c r="J103" s="65" t="b">
        <f>导出!J103=计算!J103</f>
        <v>1</v>
      </c>
      <c r="K103" s="65" t="b">
        <f>导出!K103=计算!K103</f>
        <v>1</v>
      </c>
      <c r="L103" s="65" t="b">
        <f>导出!L103=计算!L103</f>
        <v>1</v>
      </c>
      <c r="M103" s="65" t="b">
        <f>导出!M103=计算!M103</f>
        <v>1</v>
      </c>
      <c r="N103" s="65" t="b">
        <f>导出!N103=计算!N103</f>
        <v>1</v>
      </c>
      <c r="O103" s="65" t="b">
        <f>导出!O103=计算!O103</f>
        <v>1</v>
      </c>
      <c r="P103" s="65" t="b">
        <f>导出!P103=计算!P103</f>
        <v>1</v>
      </c>
      <c r="Q103" s="65" t="b">
        <f>导出!Q103=计算!Q103</f>
        <v>0</v>
      </c>
      <c r="R103" s="65" t="b">
        <f>导出!R103=计算!R103</f>
        <v>1</v>
      </c>
      <c r="S103" s="65" t="b">
        <f>导出!S103=计算!S103</f>
        <v>1</v>
      </c>
      <c r="T103" s="65" t="b">
        <f>导出!T103=计算!T103</f>
        <v>1</v>
      </c>
      <c r="U103" s="65" t="b">
        <f>导出!U103=计算!U103</f>
        <v>1</v>
      </c>
      <c r="V103" s="65" t="b">
        <f>导出!V103=计算!V103</f>
        <v>0</v>
      </c>
      <c r="W103" s="65" t="b">
        <f>导出!W103=计算!W103</f>
        <v>1</v>
      </c>
      <c r="X103" s="65" t="b">
        <f>导出!X103=计算!X103</f>
        <v>1</v>
      </c>
      <c r="Y103" s="65" t="b">
        <f>导出!Y103=计算!Y103</f>
        <v>1</v>
      </c>
      <c r="Z103" s="65" t="b">
        <f>导出!Z103=计算!Z103</f>
        <v>1</v>
      </c>
      <c r="AA103" s="65" t="b">
        <f>导出!AA103=计算!AA103</f>
        <v>0</v>
      </c>
      <c r="AB103" s="65" t="b">
        <f>导出!AB103=计算!AB103</f>
        <v>0</v>
      </c>
      <c r="AC103" s="65" t="b">
        <f>导出!AC103=计算!AC103</f>
        <v>1</v>
      </c>
      <c r="AD103" s="65" t="b">
        <f>导出!AD103=计算!AD103</f>
        <v>1</v>
      </c>
      <c r="AE103" s="65" t="b">
        <f>导出!AE103=计算!AE103</f>
        <v>0</v>
      </c>
      <c r="AF103" s="65" t="b">
        <f>导出!AF103=计算!AF103</f>
        <v>1</v>
      </c>
      <c r="AG103" s="65" t="b">
        <f>导出!AG103=计算!AG103</f>
        <v>1</v>
      </c>
      <c r="AH103" s="65" t="b">
        <f>导出!AH103=计算!AH103</f>
        <v>1</v>
      </c>
      <c r="AI103">
        <v>0</v>
      </c>
      <c r="AJ103" s="3">
        <v>41912.686273148101</v>
      </c>
      <c r="AK103" s="2" t="s">
        <v>2020</v>
      </c>
    </row>
    <row r="104" spans="1:37" x14ac:dyDescent="0.15">
      <c r="A104" s="2" t="s">
        <v>2019</v>
      </c>
      <c r="B104">
        <v>861</v>
      </c>
      <c r="C104" s="3">
        <v>41470</v>
      </c>
      <c r="D104" s="2" t="s">
        <v>37</v>
      </c>
      <c r="E104" s="2" t="s">
        <v>2018</v>
      </c>
      <c r="F104" s="2" t="s">
        <v>38</v>
      </c>
      <c r="G104" s="2" t="s">
        <v>247</v>
      </c>
      <c r="H104" s="2" t="s">
        <v>248</v>
      </c>
      <c r="I104" s="65" t="b">
        <f>导出!I104=计算!I104</f>
        <v>1</v>
      </c>
      <c r="J104" s="65" t="b">
        <f>导出!J104=计算!J104</f>
        <v>1</v>
      </c>
      <c r="K104" s="65" t="b">
        <f>导出!K104=计算!K104</f>
        <v>1</v>
      </c>
      <c r="L104" s="65" t="b">
        <f>导出!L104=计算!L104</f>
        <v>1</v>
      </c>
      <c r="M104" s="65" t="b">
        <f>导出!M104=计算!M104</f>
        <v>1</v>
      </c>
      <c r="N104" s="65" t="b">
        <f>导出!N104=计算!N104</f>
        <v>0</v>
      </c>
      <c r="O104" s="65" t="b">
        <f>导出!O104=计算!O104</f>
        <v>1</v>
      </c>
      <c r="P104" s="65" t="b">
        <f>导出!P104=计算!P104</f>
        <v>1</v>
      </c>
      <c r="Q104" s="65" t="b">
        <f>导出!Q104=计算!Q104</f>
        <v>0</v>
      </c>
      <c r="R104" s="65" t="b">
        <f>导出!R104=计算!R104</f>
        <v>1</v>
      </c>
      <c r="S104" s="65" t="b">
        <f>导出!S104=计算!S104</f>
        <v>1</v>
      </c>
      <c r="T104" s="65" t="b">
        <f>导出!T104=计算!T104</f>
        <v>1</v>
      </c>
      <c r="U104" s="65" t="b">
        <f>导出!U104=计算!U104</f>
        <v>1</v>
      </c>
      <c r="V104" s="65" t="b">
        <f>导出!V104=计算!V104</f>
        <v>0</v>
      </c>
      <c r="W104" s="65" t="b">
        <f>导出!W104=计算!W104</f>
        <v>1</v>
      </c>
      <c r="X104" s="65" t="b">
        <f>导出!X104=计算!X104</f>
        <v>1</v>
      </c>
      <c r="Y104" s="65" t="b">
        <f>导出!Y104=计算!Y104</f>
        <v>1</v>
      </c>
      <c r="Z104" s="65" t="b">
        <f>导出!Z104=计算!Z104</f>
        <v>1</v>
      </c>
      <c r="AA104" s="65" t="b">
        <f>导出!AA104=计算!AA104</f>
        <v>0</v>
      </c>
      <c r="AB104" s="65" t="b">
        <f>导出!AB104=计算!AB104</f>
        <v>1</v>
      </c>
      <c r="AC104" s="65" t="b">
        <f>导出!AC104=计算!AC104</f>
        <v>1</v>
      </c>
      <c r="AD104" s="65" t="b">
        <f>导出!AD104=计算!AD104</f>
        <v>1</v>
      </c>
      <c r="AE104" s="65" t="b">
        <f>导出!AE104=计算!AE104</f>
        <v>1</v>
      </c>
      <c r="AF104" s="65" t="b">
        <f>导出!AF104=计算!AF104</f>
        <v>1</v>
      </c>
      <c r="AG104" s="65" t="b">
        <f>导出!AG104=计算!AG104</f>
        <v>1</v>
      </c>
      <c r="AH104" s="65" t="b">
        <f>导出!AH104=计算!AH104</f>
        <v>1</v>
      </c>
      <c r="AI104">
        <v>0</v>
      </c>
      <c r="AJ104" s="3">
        <v>41912.686273148101</v>
      </c>
      <c r="AK104" s="2" t="s">
        <v>2017</v>
      </c>
    </row>
    <row r="105" spans="1:37" x14ac:dyDescent="0.15">
      <c r="A105" s="2" t="s">
        <v>2016</v>
      </c>
      <c r="B105">
        <v>865</v>
      </c>
      <c r="C105" s="3">
        <v>41472</v>
      </c>
      <c r="D105" s="2" t="s">
        <v>37</v>
      </c>
      <c r="E105" s="2" t="s">
        <v>2015</v>
      </c>
      <c r="F105" s="2" t="s">
        <v>38</v>
      </c>
      <c r="G105" s="2" t="s">
        <v>249</v>
      </c>
      <c r="H105" s="2" t="s">
        <v>250</v>
      </c>
      <c r="I105" s="65" t="b">
        <f>导出!I105=计算!I105</f>
        <v>1</v>
      </c>
      <c r="J105" s="65" t="b">
        <f>导出!J105=计算!J105</f>
        <v>1</v>
      </c>
      <c r="K105" s="65" t="b">
        <f>导出!K105=计算!K105</f>
        <v>1</v>
      </c>
      <c r="L105" s="65" t="b">
        <f>导出!L105=计算!L105</f>
        <v>1</v>
      </c>
      <c r="M105" s="65" t="b">
        <f>导出!M105=计算!M105</f>
        <v>1</v>
      </c>
      <c r="N105" s="65" t="b">
        <f>导出!N105=计算!N105</f>
        <v>1</v>
      </c>
      <c r="O105" s="65" t="b">
        <f>导出!O105=计算!O105</f>
        <v>1</v>
      </c>
      <c r="P105" s="65" t="b">
        <f>导出!P105=计算!P105</f>
        <v>1</v>
      </c>
      <c r="Q105" s="65" t="b">
        <f>导出!Q105=计算!Q105</f>
        <v>1</v>
      </c>
      <c r="R105" s="65" t="b">
        <f>导出!R105=计算!R105</f>
        <v>1</v>
      </c>
      <c r="S105" s="65" t="b">
        <f>导出!S105=计算!S105</f>
        <v>1</v>
      </c>
      <c r="T105" s="65" t="b">
        <f>导出!T105=计算!T105</f>
        <v>1</v>
      </c>
      <c r="U105" s="65" t="b">
        <f>导出!U105=计算!U105</f>
        <v>1</v>
      </c>
      <c r="V105" s="65" t="b">
        <f>导出!V105=计算!V105</f>
        <v>0</v>
      </c>
      <c r="W105" s="65" t="b">
        <f>导出!W105=计算!W105</f>
        <v>1</v>
      </c>
      <c r="X105" s="65" t="b">
        <f>导出!X105=计算!X105</f>
        <v>1</v>
      </c>
      <c r="Y105" s="65" t="b">
        <f>导出!Y105=计算!Y105</f>
        <v>1</v>
      </c>
      <c r="Z105" s="65" t="b">
        <f>导出!Z105=计算!Z105</f>
        <v>1</v>
      </c>
      <c r="AA105" s="65" t="b">
        <f>导出!AA105=计算!AA105</f>
        <v>0</v>
      </c>
      <c r="AB105" s="65" t="b">
        <f>导出!AB105=计算!AB105</f>
        <v>1</v>
      </c>
      <c r="AC105" s="65" t="b">
        <f>导出!AC105=计算!AC105</f>
        <v>1</v>
      </c>
      <c r="AD105" s="65" t="b">
        <f>导出!AD105=计算!AD105</f>
        <v>1</v>
      </c>
      <c r="AE105" s="65" t="b">
        <f>导出!AE105=计算!AE105</f>
        <v>1</v>
      </c>
      <c r="AF105" s="65" t="b">
        <f>导出!AF105=计算!AF105</f>
        <v>1</v>
      </c>
      <c r="AG105" s="65" t="b">
        <f>导出!AG105=计算!AG105</f>
        <v>1</v>
      </c>
      <c r="AH105" s="65" t="b">
        <f>导出!AH105=计算!AH105</f>
        <v>1</v>
      </c>
      <c r="AI105">
        <v>0</v>
      </c>
      <c r="AJ105" s="3">
        <v>41912.686273148101</v>
      </c>
      <c r="AK105" s="2" t="s">
        <v>2014</v>
      </c>
    </row>
    <row r="106" spans="1:37" x14ac:dyDescent="0.15">
      <c r="A106" s="2" t="s">
        <v>2013</v>
      </c>
      <c r="B106">
        <v>872</v>
      </c>
      <c r="C106" s="3">
        <v>41484</v>
      </c>
      <c r="D106" s="2" t="s">
        <v>37</v>
      </c>
      <c r="E106" s="2" t="s">
        <v>2012</v>
      </c>
      <c r="F106" s="2" t="s">
        <v>38</v>
      </c>
      <c r="G106" s="2" t="s">
        <v>251</v>
      </c>
      <c r="H106" s="2" t="s">
        <v>252</v>
      </c>
      <c r="I106" s="65" t="b">
        <f>导出!I106=计算!I106</f>
        <v>1</v>
      </c>
      <c r="J106" s="65" t="b">
        <f>导出!J106=计算!J106</f>
        <v>1</v>
      </c>
      <c r="K106" s="65" t="b">
        <f>导出!K106=计算!K106</f>
        <v>1</v>
      </c>
      <c r="L106" s="65" t="b">
        <f>导出!L106=计算!L106</f>
        <v>1</v>
      </c>
      <c r="M106" s="65" t="b">
        <f>导出!M106=计算!M106</f>
        <v>1</v>
      </c>
      <c r="N106" s="65" t="b">
        <f>导出!N106=计算!N106</f>
        <v>1</v>
      </c>
      <c r="O106" s="65" t="b">
        <f>导出!O106=计算!O106</f>
        <v>1</v>
      </c>
      <c r="P106" s="65" t="b">
        <f>导出!P106=计算!P106</f>
        <v>1</v>
      </c>
      <c r="Q106" s="65" t="b">
        <f>导出!Q106=计算!Q106</f>
        <v>0</v>
      </c>
      <c r="R106" s="65" t="b">
        <f>导出!R106=计算!R106</f>
        <v>1</v>
      </c>
      <c r="S106" s="65" t="b">
        <f>导出!S106=计算!S106</f>
        <v>1</v>
      </c>
      <c r="T106" s="65" t="b">
        <f>导出!T106=计算!T106</f>
        <v>1</v>
      </c>
      <c r="U106" s="65" t="b">
        <f>导出!U106=计算!U106</f>
        <v>1</v>
      </c>
      <c r="V106" s="65" t="b">
        <f>导出!V106=计算!V106</f>
        <v>0</v>
      </c>
      <c r="W106" s="65" t="b">
        <f>导出!W106=计算!W106</f>
        <v>1</v>
      </c>
      <c r="X106" s="65" t="b">
        <f>导出!X106=计算!X106</f>
        <v>1</v>
      </c>
      <c r="Y106" s="65" t="b">
        <f>导出!Y106=计算!Y106</f>
        <v>1</v>
      </c>
      <c r="Z106" s="65" t="b">
        <f>导出!Z106=计算!Z106</f>
        <v>1</v>
      </c>
      <c r="AA106" s="65" t="b">
        <f>导出!AA106=计算!AA106</f>
        <v>0</v>
      </c>
      <c r="AB106" s="65" t="b">
        <f>导出!AB106=计算!AB106</f>
        <v>1</v>
      </c>
      <c r="AC106" s="65" t="b">
        <f>导出!AC106=计算!AC106</f>
        <v>1</v>
      </c>
      <c r="AD106" s="65" t="b">
        <f>导出!AD106=计算!AD106</f>
        <v>1</v>
      </c>
      <c r="AE106" s="65" t="b">
        <f>导出!AE106=计算!AE106</f>
        <v>0</v>
      </c>
      <c r="AF106" s="65" t="b">
        <f>导出!AF106=计算!AF106</f>
        <v>1</v>
      </c>
      <c r="AG106" s="65" t="b">
        <f>导出!AG106=计算!AG106</f>
        <v>1</v>
      </c>
      <c r="AH106" s="65" t="b">
        <f>导出!AH106=计算!AH106</f>
        <v>1</v>
      </c>
      <c r="AI106">
        <v>0</v>
      </c>
      <c r="AJ106" s="3">
        <v>41912.686273148101</v>
      </c>
      <c r="AK106" s="2" t="s">
        <v>2011</v>
      </c>
    </row>
    <row r="107" spans="1:37" x14ac:dyDescent="0.15">
      <c r="A107" s="2" t="s">
        <v>2010</v>
      </c>
      <c r="B107">
        <v>880</v>
      </c>
      <c r="C107" s="3">
        <v>41484</v>
      </c>
      <c r="D107" s="2" t="s">
        <v>37</v>
      </c>
      <c r="E107" s="2" t="s">
        <v>2009</v>
      </c>
      <c r="F107" s="2" t="s">
        <v>38</v>
      </c>
      <c r="G107" s="2" t="s">
        <v>253</v>
      </c>
      <c r="H107" s="2" t="s">
        <v>254</v>
      </c>
      <c r="I107" s="65" t="b">
        <f>导出!I107=计算!I107</f>
        <v>1</v>
      </c>
      <c r="J107" s="65" t="b">
        <f>导出!J107=计算!J107</f>
        <v>1</v>
      </c>
      <c r="K107" s="65" t="b">
        <f>导出!K107=计算!K107</f>
        <v>1</v>
      </c>
      <c r="L107" s="65" t="b">
        <f>导出!L107=计算!L107</f>
        <v>1</v>
      </c>
      <c r="M107" s="65" t="b">
        <f>导出!M107=计算!M107</f>
        <v>1</v>
      </c>
      <c r="N107" s="65" t="b">
        <f>导出!N107=计算!N107</f>
        <v>1</v>
      </c>
      <c r="O107" s="65" t="b">
        <f>导出!O107=计算!O107</f>
        <v>1</v>
      </c>
      <c r="P107" s="65" t="b">
        <f>导出!P107=计算!P107</f>
        <v>1</v>
      </c>
      <c r="Q107" s="65" t="b">
        <f>导出!Q107=计算!Q107</f>
        <v>0</v>
      </c>
      <c r="R107" s="65" t="b">
        <f>导出!R107=计算!R107</f>
        <v>1</v>
      </c>
      <c r="S107" s="65" t="b">
        <f>导出!S107=计算!S107</f>
        <v>1</v>
      </c>
      <c r="T107" s="65" t="b">
        <f>导出!T107=计算!T107</f>
        <v>1</v>
      </c>
      <c r="U107" s="65" t="b">
        <f>导出!U107=计算!U107</f>
        <v>1</v>
      </c>
      <c r="V107" s="65" t="b">
        <f>导出!V107=计算!V107</f>
        <v>0</v>
      </c>
      <c r="W107" s="65" t="b">
        <f>导出!W107=计算!W107</f>
        <v>1</v>
      </c>
      <c r="X107" s="65" t="b">
        <f>导出!X107=计算!X107</f>
        <v>1</v>
      </c>
      <c r="Y107" s="65" t="b">
        <f>导出!Y107=计算!Y107</f>
        <v>1</v>
      </c>
      <c r="Z107" s="65" t="b">
        <f>导出!Z107=计算!Z107</f>
        <v>1</v>
      </c>
      <c r="AA107" s="65" t="b">
        <f>导出!AA107=计算!AA107</f>
        <v>0</v>
      </c>
      <c r="AB107" s="65" t="b">
        <f>导出!AB107=计算!AB107</f>
        <v>1</v>
      </c>
      <c r="AC107" s="65" t="b">
        <f>导出!AC107=计算!AC107</f>
        <v>1</v>
      </c>
      <c r="AD107" s="65" t="b">
        <f>导出!AD107=计算!AD107</f>
        <v>1</v>
      </c>
      <c r="AE107" s="65" t="b">
        <f>导出!AE107=计算!AE107</f>
        <v>0</v>
      </c>
      <c r="AF107" s="65" t="b">
        <f>导出!AF107=计算!AF107</f>
        <v>1</v>
      </c>
      <c r="AG107" s="65" t="b">
        <f>导出!AG107=计算!AG107</f>
        <v>1</v>
      </c>
      <c r="AH107" s="65" t="b">
        <f>导出!AH107=计算!AH107</f>
        <v>1</v>
      </c>
      <c r="AI107">
        <v>0</v>
      </c>
      <c r="AJ107" s="3">
        <v>41912.686273148101</v>
      </c>
      <c r="AK107" s="2" t="s">
        <v>2008</v>
      </c>
    </row>
    <row r="108" spans="1:37" x14ac:dyDescent="0.15">
      <c r="A108" s="2" t="s">
        <v>2007</v>
      </c>
      <c r="B108">
        <v>896</v>
      </c>
      <c r="C108" s="3">
        <v>41487</v>
      </c>
      <c r="D108" s="2" t="s">
        <v>37</v>
      </c>
      <c r="E108" s="2" t="s">
        <v>2006</v>
      </c>
      <c r="F108" s="2" t="s">
        <v>38</v>
      </c>
      <c r="G108" s="2" t="s">
        <v>257</v>
      </c>
      <c r="H108" s="2" t="s">
        <v>258</v>
      </c>
      <c r="I108" s="65" t="b">
        <f>导出!I108=计算!I108</f>
        <v>1</v>
      </c>
      <c r="J108" s="65" t="b">
        <f>导出!J108=计算!J108</f>
        <v>1</v>
      </c>
      <c r="K108" s="65" t="b">
        <f>导出!K108=计算!K108</f>
        <v>1</v>
      </c>
      <c r="L108" s="65" t="b">
        <f>导出!L108=计算!L108</f>
        <v>1</v>
      </c>
      <c r="M108" s="65" t="b">
        <f>导出!M108=计算!M108</f>
        <v>1</v>
      </c>
      <c r="N108" s="65" t="b">
        <f>导出!N108=计算!N108</f>
        <v>1</v>
      </c>
      <c r="O108" s="65" t="b">
        <f>导出!O108=计算!O108</f>
        <v>1</v>
      </c>
      <c r="P108" s="65" t="b">
        <f>导出!P108=计算!P108</f>
        <v>1</v>
      </c>
      <c r="Q108" s="65" t="b">
        <f>导出!Q108=计算!Q108</f>
        <v>0</v>
      </c>
      <c r="R108" s="65" t="b">
        <f>导出!R108=计算!R108</f>
        <v>1</v>
      </c>
      <c r="S108" s="65" t="b">
        <f>导出!S108=计算!S108</f>
        <v>1</v>
      </c>
      <c r="T108" s="65" t="b">
        <f>导出!T108=计算!T108</f>
        <v>1</v>
      </c>
      <c r="U108" s="65" t="b">
        <f>导出!U108=计算!U108</f>
        <v>1</v>
      </c>
      <c r="V108" s="65" t="b">
        <f>导出!V108=计算!V108</f>
        <v>0</v>
      </c>
      <c r="W108" s="65" t="b">
        <f>导出!W108=计算!W108</f>
        <v>1</v>
      </c>
      <c r="X108" s="65" t="b">
        <f>导出!X108=计算!X108</f>
        <v>1</v>
      </c>
      <c r="Y108" s="65" t="b">
        <f>导出!Y108=计算!Y108</f>
        <v>1</v>
      </c>
      <c r="Z108" s="65" t="b">
        <f>导出!Z108=计算!Z108</f>
        <v>1</v>
      </c>
      <c r="AA108" s="65" t="b">
        <f>导出!AA108=计算!AA108</f>
        <v>0</v>
      </c>
      <c r="AB108" s="65" t="b">
        <f>导出!AB108=计算!AB108</f>
        <v>0</v>
      </c>
      <c r="AC108" s="65" t="b">
        <f>导出!AC108=计算!AC108</f>
        <v>1</v>
      </c>
      <c r="AD108" s="65" t="b">
        <f>导出!AD108=计算!AD108</f>
        <v>1</v>
      </c>
      <c r="AE108" s="65" t="b">
        <f>导出!AE108=计算!AE108</f>
        <v>0</v>
      </c>
      <c r="AF108" s="65" t="b">
        <f>导出!AF108=计算!AF108</f>
        <v>1</v>
      </c>
      <c r="AG108" s="65" t="b">
        <f>导出!AG108=计算!AG108</f>
        <v>1</v>
      </c>
      <c r="AH108" s="65" t="b">
        <f>导出!AH108=计算!AH108</f>
        <v>1</v>
      </c>
      <c r="AI108">
        <v>0</v>
      </c>
      <c r="AJ108" s="3">
        <v>41912.686273148101</v>
      </c>
      <c r="AK108" s="2" t="s">
        <v>2005</v>
      </c>
    </row>
    <row r="109" spans="1:37" x14ac:dyDescent="0.15">
      <c r="A109" s="2" t="s">
        <v>2004</v>
      </c>
      <c r="B109">
        <v>135</v>
      </c>
      <c r="C109" s="3">
        <v>41487</v>
      </c>
      <c r="D109" s="2" t="s">
        <v>37</v>
      </c>
      <c r="E109" s="2" t="s">
        <v>2003</v>
      </c>
      <c r="F109" s="2" t="s">
        <v>41</v>
      </c>
      <c r="G109" s="2" t="s">
        <v>255</v>
      </c>
      <c r="H109" s="2" t="s">
        <v>256</v>
      </c>
      <c r="I109" s="65" t="b">
        <f>导出!I109=计算!I109</f>
        <v>1</v>
      </c>
      <c r="J109" s="65" t="b">
        <f>导出!J109=计算!J109</f>
        <v>1</v>
      </c>
      <c r="K109" s="65" t="b">
        <f>导出!K109=计算!K109</f>
        <v>1</v>
      </c>
      <c r="L109" s="65" t="b">
        <f>导出!L109=计算!L109</f>
        <v>1</v>
      </c>
      <c r="M109" s="65" t="b">
        <f>导出!M109=计算!M109</f>
        <v>1</v>
      </c>
      <c r="N109" s="65" t="b">
        <f>导出!N109=计算!N109</f>
        <v>1</v>
      </c>
      <c r="O109" s="65" t="b">
        <f>导出!O109=计算!O109</f>
        <v>1</v>
      </c>
      <c r="P109" s="65" t="b">
        <f>导出!P109=计算!P109</f>
        <v>1</v>
      </c>
      <c r="Q109" s="65" t="b">
        <f>导出!Q109=计算!Q109</f>
        <v>0</v>
      </c>
      <c r="R109" s="65" t="b">
        <f>导出!R109=计算!R109</f>
        <v>1</v>
      </c>
      <c r="S109" s="65" t="b">
        <f>导出!S109=计算!S109</f>
        <v>1</v>
      </c>
      <c r="T109" s="65" t="b">
        <f>导出!T109=计算!T109</f>
        <v>1</v>
      </c>
      <c r="U109" s="65" t="b">
        <f>导出!U109=计算!U109</f>
        <v>1</v>
      </c>
      <c r="V109" s="65" t="b">
        <f>导出!V109=计算!V109</f>
        <v>0</v>
      </c>
      <c r="W109" s="65" t="b">
        <f>导出!W109=计算!W109</f>
        <v>1</v>
      </c>
      <c r="X109" s="65" t="b">
        <f>导出!X109=计算!X109</f>
        <v>1</v>
      </c>
      <c r="Y109" s="65" t="b">
        <f>导出!Y109=计算!Y109</f>
        <v>1</v>
      </c>
      <c r="Z109" s="65" t="b">
        <f>导出!Z109=计算!Z109</f>
        <v>1</v>
      </c>
      <c r="AA109" s="65" t="b">
        <f>导出!AA109=计算!AA109</f>
        <v>0</v>
      </c>
      <c r="AB109" s="65" t="b">
        <f>导出!AB109=计算!AB109</f>
        <v>0</v>
      </c>
      <c r="AC109" s="65" t="b">
        <f>导出!AC109=计算!AC109</f>
        <v>1</v>
      </c>
      <c r="AD109" s="65" t="b">
        <f>导出!AD109=计算!AD109</f>
        <v>1</v>
      </c>
      <c r="AE109" s="65" t="b">
        <f>导出!AE109=计算!AE109</f>
        <v>0</v>
      </c>
      <c r="AF109" s="65" t="b">
        <f>导出!AF109=计算!AF109</f>
        <v>1</v>
      </c>
      <c r="AG109" s="65" t="b">
        <f>导出!AG109=计算!AG109</f>
        <v>1</v>
      </c>
      <c r="AH109" s="65" t="b">
        <f>导出!AH109=计算!AH109</f>
        <v>1</v>
      </c>
      <c r="AI109">
        <v>0</v>
      </c>
      <c r="AJ109" s="3">
        <v>41912.6862384259</v>
      </c>
      <c r="AK109" s="2" t="s">
        <v>2002</v>
      </c>
    </row>
    <row r="110" spans="1:37" x14ac:dyDescent="0.15">
      <c r="A110" s="2" t="s">
        <v>2001</v>
      </c>
      <c r="B110">
        <v>888</v>
      </c>
      <c r="C110" s="3">
        <v>41494</v>
      </c>
      <c r="D110" s="2" t="s">
        <v>37</v>
      </c>
      <c r="E110" s="2" t="s">
        <v>2000</v>
      </c>
      <c r="F110" s="2" t="s">
        <v>38</v>
      </c>
      <c r="G110" s="2" t="s">
        <v>259</v>
      </c>
      <c r="H110" s="2" t="s">
        <v>260</v>
      </c>
      <c r="I110" s="65" t="b">
        <f>导出!I110=计算!I110</f>
        <v>1</v>
      </c>
      <c r="J110" s="65" t="b">
        <f>导出!J110=计算!J110</f>
        <v>1</v>
      </c>
      <c r="K110" s="65" t="b">
        <f>导出!K110=计算!K110</f>
        <v>1</v>
      </c>
      <c r="L110" s="65" t="b">
        <f>导出!L110=计算!L110</f>
        <v>1</v>
      </c>
      <c r="M110" s="65" t="b">
        <f>导出!M110=计算!M110</f>
        <v>1</v>
      </c>
      <c r="N110" s="65" t="b">
        <f>导出!N110=计算!N110</f>
        <v>1</v>
      </c>
      <c r="O110" s="65" t="b">
        <f>导出!O110=计算!O110</f>
        <v>1</v>
      </c>
      <c r="P110" s="65" t="b">
        <f>导出!P110=计算!P110</f>
        <v>1</v>
      </c>
      <c r="Q110" s="65" t="b">
        <f>导出!Q110=计算!Q110</f>
        <v>1</v>
      </c>
      <c r="R110" s="65" t="b">
        <f>导出!R110=计算!R110</f>
        <v>1</v>
      </c>
      <c r="S110" s="65" t="b">
        <f>导出!S110=计算!S110</f>
        <v>1</v>
      </c>
      <c r="T110" s="65" t="b">
        <f>导出!T110=计算!T110</f>
        <v>1</v>
      </c>
      <c r="U110" s="65" t="b">
        <f>导出!U110=计算!U110</f>
        <v>1</v>
      </c>
      <c r="V110" s="65" t="b">
        <f>导出!V110=计算!V110</f>
        <v>0</v>
      </c>
      <c r="W110" s="65" t="b">
        <f>导出!W110=计算!W110</f>
        <v>1</v>
      </c>
      <c r="X110" s="65" t="b">
        <f>导出!X110=计算!X110</f>
        <v>1</v>
      </c>
      <c r="Y110" s="65" t="b">
        <f>导出!Y110=计算!Y110</f>
        <v>1</v>
      </c>
      <c r="Z110" s="65" t="b">
        <f>导出!Z110=计算!Z110</f>
        <v>1</v>
      </c>
      <c r="AA110" s="65" t="b">
        <f>导出!AA110=计算!AA110</f>
        <v>0</v>
      </c>
      <c r="AB110" s="65" t="b">
        <f>导出!AB110=计算!AB110</f>
        <v>1</v>
      </c>
      <c r="AC110" s="65" t="b">
        <f>导出!AC110=计算!AC110</f>
        <v>1</v>
      </c>
      <c r="AD110" s="65" t="b">
        <f>导出!AD110=计算!AD110</f>
        <v>1</v>
      </c>
      <c r="AE110" s="65" t="b">
        <f>导出!AE110=计算!AE110</f>
        <v>1</v>
      </c>
      <c r="AF110" s="65" t="b">
        <f>导出!AF110=计算!AF110</f>
        <v>1</v>
      </c>
      <c r="AG110" s="65" t="b">
        <f>导出!AG110=计算!AG110</f>
        <v>1</v>
      </c>
      <c r="AH110" s="65" t="b">
        <f>导出!AH110=计算!AH110</f>
        <v>1</v>
      </c>
      <c r="AI110">
        <v>0</v>
      </c>
      <c r="AJ110" s="3">
        <v>41912.686273148101</v>
      </c>
      <c r="AK110" s="2" t="s">
        <v>1999</v>
      </c>
    </row>
    <row r="111" spans="1:37" x14ac:dyDescent="0.15">
      <c r="A111" s="2" t="s">
        <v>1998</v>
      </c>
      <c r="B111">
        <v>904</v>
      </c>
      <c r="C111" s="3">
        <v>41496</v>
      </c>
      <c r="D111" s="2" t="s">
        <v>37</v>
      </c>
      <c r="E111" s="2" t="s">
        <v>1997</v>
      </c>
      <c r="F111" s="2" t="s">
        <v>38</v>
      </c>
      <c r="G111" s="2" t="s">
        <v>261</v>
      </c>
      <c r="H111" s="2" t="s">
        <v>262</v>
      </c>
      <c r="I111" s="65" t="b">
        <f>导出!I111=计算!I111</f>
        <v>1</v>
      </c>
      <c r="J111" s="65" t="b">
        <f>导出!J111=计算!J111</f>
        <v>1</v>
      </c>
      <c r="K111" s="65" t="b">
        <f>导出!K111=计算!K111</f>
        <v>1</v>
      </c>
      <c r="L111" s="65" t="b">
        <f>导出!L111=计算!L111</f>
        <v>1</v>
      </c>
      <c r="M111" s="65" t="b">
        <f>导出!M111=计算!M111</f>
        <v>1</v>
      </c>
      <c r="N111" s="65" t="b">
        <f>导出!N111=计算!N111</f>
        <v>1</v>
      </c>
      <c r="O111" s="65" t="b">
        <f>导出!O111=计算!O111</f>
        <v>1</v>
      </c>
      <c r="P111" s="65" t="b">
        <f>导出!P111=计算!P111</f>
        <v>1</v>
      </c>
      <c r="Q111" s="65" t="b">
        <f>导出!Q111=计算!Q111</f>
        <v>0</v>
      </c>
      <c r="R111" s="65" t="b">
        <f>导出!R111=计算!R111</f>
        <v>1</v>
      </c>
      <c r="S111" s="65" t="b">
        <f>导出!S111=计算!S111</f>
        <v>1</v>
      </c>
      <c r="T111" s="65" t="b">
        <f>导出!T111=计算!T111</f>
        <v>1</v>
      </c>
      <c r="U111" s="65" t="b">
        <f>导出!U111=计算!U111</f>
        <v>1</v>
      </c>
      <c r="V111" s="65" t="b">
        <f>导出!V111=计算!V111</f>
        <v>0</v>
      </c>
      <c r="W111" s="65" t="b">
        <f>导出!W111=计算!W111</f>
        <v>1</v>
      </c>
      <c r="X111" s="65" t="b">
        <f>导出!X111=计算!X111</f>
        <v>1</v>
      </c>
      <c r="Y111" s="65" t="b">
        <f>导出!Y111=计算!Y111</f>
        <v>1</v>
      </c>
      <c r="Z111" s="65" t="b">
        <f>导出!Z111=计算!Z111</f>
        <v>1</v>
      </c>
      <c r="AA111" s="65" t="b">
        <f>导出!AA111=计算!AA111</f>
        <v>0</v>
      </c>
      <c r="AB111" s="65" t="b">
        <f>导出!AB111=计算!AB111</f>
        <v>0</v>
      </c>
      <c r="AC111" s="65" t="b">
        <f>导出!AC111=计算!AC111</f>
        <v>1</v>
      </c>
      <c r="AD111" s="65" t="b">
        <f>导出!AD111=计算!AD111</f>
        <v>1</v>
      </c>
      <c r="AE111" s="65" t="b">
        <f>导出!AE111=计算!AE111</f>
        <v>0</v>
      </c>
      <c r="AF111" s="65" t="b">
        <f>导出!AF111=计算!AF111</f>
        <v>1</v>
      </c>
      <c r="AG111" s="65" t="b">
        <f>导出!AG111=计算!AG111</f>
        <v>1</v>
      </c>
      <c r="AH111" s="65" t="b">
        <f>导出!AH111=计算!AH111</f>
        <v>1</v>
      </c>
      <c r="AI111">
        <v>0</v>
      </c>
      <c r="AJ111" s="3">
        <v>41912.686273148101</v>
      </c>
      <c r="AK111" s="2" t="s">
        <v>1996</v>
      </c>
    </row>
    <row r="112" spans="1:37" x14ac:dyDescent="0.15">
      <c r="A112" s="2" t="s">
        <v>1995</v>
      </c>
      <c r="B112">
        <v>911</v>
      </c>
      <c r="C112" s="3">
        <v>41506</v>
      </c>
      <c r="D112" s="2" t="s">
        <v>37</v>
      </c>
      <c r="E112" s="2" t="s">
        <v>1994</v>
      </c>
      <c r="F112" s="2" t="s">
        <v>38</v>
      </c>
      <c r="G112" s="2" t="s">
        <v>263</v>
      </c>
      <c r="H112" s="2" t="s">
        <v>264</v>
      </c>
      <c r="I112" s="65" t="b">
        <f>导出!I112=计算!I112</f>
        <v>1</v>
      </c>
      <c r="J112" s="65" t="b">
        <f>导出!J112=计算!J112</f>
        <v>1</v>
      </c>
      <c r="K112" s="65" t="b">
        <f>导出!K112=计算!K112</f>
        <v>1</v>
      </c>
      <c r="L112" s="65" t="b">
        <f>导出!L112=计算!L112</f>
        <v>1</v>
      </c>
      <c r="M112" s="65" t="b">
        <f>导出!M112=计算!M112</f>
        <v>1</v>
      </c>
      <c r="N112" s="65" t="b">
        <f>导出!N112=计算!N112</f>
        <v>1</v>
      </c>
      <c r="O112" s="65" t="b">
        <f>导出!O112=计算!O112</f>
        <v>1</v>
      </c>
      <c r="P112" s="65" t="b">
        <f>导出!P112=计算!P112</f>
        <v>1</v>
      </c>
      <c r="Q112" s="65" t="b">
        <f>导出!Q112=计算!Q112</f>
        <v>0</v>
      </c>
      <c r="R112" s="65" t="b">
        <f>导出!R112=计算!R112</f>
        <v>1</v>
      </c>
      <c r="S112" s="65" t="b">
        <f>导出!S112=计算!S112</f>
        <v>1</v>
      </c>
      <c r="T112" s="65" t="b">
        <f>导出!T112=计算!T112</f>
        <v>1</v>
      </c>
      <c r="U112" s="65" t="b">
        <f>导出!U112=计算!U112</f>
        <v>1</v>
      </c>
      <c r="V112" s="65" t="b">
        <f>导出!V112=计算!V112</f>
        <v>0</v>
      </c>
      <c r="W112" s="65" t="b">
        <f>导出!W112=计算!W112</f>
        <v>1</v>
      </c>
      <c r="X112" s="65" t="b">
        <f>导出!X112=计算!X112</f>
        <v>1</v>
      </c>
      <c r="Y112" s="65" t="b">
        <f>导出!Y112=计算!Y112</f>
        <v>1</v>
      </c>
      <c r="Z112" s="65" t="b">
        <f>导出!Z112=计算!Z112</f>
        <v>1</v>
      </c>
      <c r="AA112" s="65" t="b">
        <f>导出!AA112=计算!AA112</f>
        <v>1</v>
      </c>
      <c r="AB112" s="65" t="b">
        <f>导出!AB112=计算!AB112</f>
        <v>1</v>
      </c>
      <c r="AC112" s="65" t="b">
        <f>导出!AC112=计算!AC112</f>
        <v>1</v>
      </c>
      <c r="AD112" s="65" t="b">
        <f>导出!AD112=计算!AD112</f>
        <v>1</v>
      </c>
      <c r="AE112" s="65" t="b">
        <f>导出!AE112=计算!AE112</f>
        <v>1</v>
      </c>
      <c r="AF112" s="65" t="b">
        <f>导出!AF112=计算!AF112</f>
        <v>1</v>
      </c>
      <c r="AG112" s="65" t="b">
        <f>导出!AG112=计算!AG112</f>
        <v>1</v>
      </c>
      <c r="AH112" s="65" t="b">
        <f>导出!AH112=计算!AH112</f>
        <v>1</v>
      </c>
      <c r="AI112">
        <v>0</v>
      </c>
      <c r="AJ112" s="3">
        <v>41912.686273148101</v>
      </c>
      <c r="AK112" s="2" t="s">
        <v>1993</v>
      </c>
    </row>
    <row r="113" spans="1:37" x14ac:dyDescent="0.15">
      <c r="A113" s="2" t="s">
        <v>1992</v>
      </c>
      <c r="B113">
        <v>918</v>
      </c>
      <c r="C113" s="3">
        <v>41511</v>
      </c>
      <c r="D113" s="2" t="s">
        <v>37</v>
      </c>
      <c r="E113" s="2" t="s">
        <v>1991</v>
      </c>
      <c r="F113" s="2" t="s">
        <v>38</v>
      </c>
      <c r="G113" s="2" t="s">
        <v>265</v>
      </c>
      <c r="H113" s="2" t="s">
        <v>266</v>
      </c>
      <c r="I113" s="65" t="b">
        <f>导出!I113=计算!I113</f>
        <v>1</v>
      </c>
      <c r="J113" s="65" t="b">
        <f>导出!J113=计算!J113</f>
        <v>1</v>
      </c>
      <c r="K113" s="65" t="b">
        <f>导出!K113=计算!K113</f>
        <v>1</v>
      </c>
      <c r="L113" s="65" t="b">
        <f>导出!L113=计算!L113</f>
        <v>1</v>
      </c>
      <c r="M113" s="65" t="b">
        <f>导出!M113=计算!M113</f>
        <v>1</v>
      </c>
      <c r="N113" s="65" t="b">
        <f>导出!N113=计算!N113</f>
        <v>0</v>
      </c>
      <c r="O113" s="65" t="b">
        <f>导出!O113=计算!O113</f>
        <v>1</v>
      </c>
      <c r="P113" s="65" t="b">
        <f>导出!P113=计算!P113</f>
        <v>1</v>
      </c>
      <c r="Q113" s="65" t="b">
        <f>导出!Q113=计算!Q113</f>
        <v>0</v>
      </c>
      <c r="R113" s="65" t="b">
        <f>导出!R113=计算!R113</f>
        <v>1</v>
      </c>
      <c r="S113" s="65" t="b">
        <f>导出!S113=计算!S113</f>
        <v>1</v>
      </c>
      <c r="T113" s="65" t="b">
        <f>导出!T113=计算!T113</f>
        <v>1</v>
      </c>
      <c r="U113" s="65" t="b">
        <f>导出!U113=计算!U113</f>
        <v>1</v>
      </c>
      <c r="V113" s="65" t="b">
        <f>导出!V113=计算!V113</f>
        <v>0</v>
      </c>
      <c r="W113" s="65" t="b">
        <f>导出!W113=计算!W113</f>
        <v>1</v>
      </c>
      <c r="X113" s="65" t="b">
        <f>导出!X113=计算!X113</f>
        <v>1</v>
      </c>
      <c r="Y113" s="65" t="b">
        <f>导出!Y113=计算!Y113</f>
        <v>1</v>
      </c>
      <c r="Z113" s="65" t="b">
        <f>导出!Z113=计算!Z113</f>
        <v>1</v>
      </c>
      <c r="AA113" s="65" t="b">
        <f>导出!AA113=计算!AA113</f>
        <v>0</v>
      </c>
      <c r="AB113" s="65" t="b">
        <f>导出!AB113=计算!AB113</f>
        <v>0</v>
      </c>
      <c r="AC113" s="65" t="b">
        <f>导出!AC113=计算!AC113</f>
        <v>1</v>
      </c>
      <c r="AD113" s="65" t="b">
        <f>导出!AD113=计算!AD113</f>
        <v>1</v>
      </c>
      <c r="AE113" s="65" t="b">
        <f>导出!AE113=计算!AE113</f>
        <v>0</v>
      </c>
      <c r="AF113" s="65" t="b">
        <f>导出!AF113=计算!AF113</f>
        <v>1</v>
      </c>
      <c r="AG113" s="65" t="b">
        <f>导出!AG113=计算!AG113</f>
        <v>1</v>
      </c>
      <c r="AH113" s="65" t="b">
        <f>导出!AH113=计算!AH113</f>
        <v>1</v>
      </c>
      <c r="AI113">
        <v>0</v>
      </c>
      <c r="AJ113" s="3">
        <v>41912.686273148101</v>
      </c>
      <c r="AK113" s="2" t="s">
        <v>1990</v>
      </c>
    </row>
    <row r="114" spans="1:37" x14ac:dyDescent="0.15">
      <c r="A114" s="2" t="s">
        <v>1989</v>
      </c>
      <c r="B114">
        <v>140</v>
      </c>
      <c r="C114" s="3">
        <v>41518</v>
      </c>
      <c r="D114" s="2" t="s">
        <v>37</v>
      </c>
      <c r="E114" s="2" t="s">
        <v>1988</v>
      </c>
      <c r="F114" s="2" t="s">
        <v>41</v>
      </c>
      <c r="G114" s="2" t="s">
        <v>267</v>
      </c>
      <c r="H114" s="2" t="s">
        <v>268</v>
      </c>
      <c r="I114" s="65" t="b">
        <f>导出!I114=计算!I114</f>
        <v>1</v>
      </c>
      <c r="J114" s="65" t="b">
        <f>导出!J114=计算!J114</f>
        <v>1</v>
      </c>
      <c r="K114" s="65" t="b">
        <f>导出!K114=计算!K114</f>
        <v>1</v>
      </c>
      <c r="L114" s="65" t="b">
        <f>导出!L114=计算!L114</f>
        <v>1</v>
      </c>
      <c r="M114" s="65" t="b">
        <f>导出!M114=计算!M114</f>
        <v>1</v>
      </c>
      <c r="N114" s="65" t="b">
        <f>导出!N114=计算!N114</f>
        <v>1</v>
      </c>
      <c r="O114" s="65" t="b">
        <f>导出!O114=计算!O114</f>
        <v>1</v>
      </c>
      <c r="P114" s="65" t="b">
        <f>导出!P114=计算!P114</f>
        <v>1</v>
      </c>
      <c r="Q114" s="65" t="b">
        <f>导出!Q114=计算!Q114</f>
        <v>1</v>
      </c>
      <c r="R114" s="65" t="b">
        <f>导出!R114=计算!R114</f>
        <v>1</v>
      </c>
      <c r="S114" s="65" t="b">
        <f>导出!S114=计算!S114</f>
        <v>1</v>
      </c>
      <c r="T114" s="65" t="b">
        <f>导出!T114=计算!T114</f>
        <v>1</v>
      </c>
      <c r="U114" s="65" t="b">
        <f>导出!U114=计算!U114</f>
        <v>1</v>
      </c>
      <c r="V114" s="65" t="b">
        <f>导出!V114=计算!V114</f>
        <v>0</v>
      </c>
      <c r="W114" s="65" t="b">
        <f>导出!W114=计算!W114</f>
        <v>1</v>
      </c>
      <c r="X114" s="65" t="b">
        <f>导出!X114=计算!X114</f>
        <v>1</v>
      </c>
      <c r="Y114" s="65" t="b">
        <f>导出!Y114=计算!Y114</f>
        <v>1</v>
      </c>
      <c r="Z114" s="65" t="b">
        <f>导出!Z114=计算!Z114</f>
        <v>1</v>
      </c>
      <c r="AA114" s="65" t="b">
        <f>导出!AA114=计算!AA114</f>
        <v>0</v>
      </c>
      <c r="AB114" s="65" t="b">
        <f>导出!AB114=计算!AB114</f>
        <v>1</v>
      </c>
      <c r="AC114" s="65" t="b">
        <f>导出!AC114=计算!AC114</f>
        <v>1</v>
      </c>
      <c r="AD114" s="65" t="b">
        <f>导出!AD114=计算!AD114</f>
        <v>1</v>
      </c>
      <c r="AE114" s="65" t="b">
        <f>导出!AE114=计算!AE114</f>
        <v>1</v>
      </c>
      <c r="AF114" s="65" t="b">
        <f>导出!AF114=计算!AF114</f>
        <v>1</v>
      </c>
      <c r="AG114" s="65" t="b">
        <f>导出!AG114=计算!AG114</f>
        <v>1</v>
      </c>
      <c r="AH114" s="65" t="b">
        <f>导出!AH114=计算!AH114</f>
        <v>1</v>
      </c>
      <c r="AI114">
        <v>0</v>
      </c>
      <c r="AJ114" s="3">
        <v>41912.6862384259</v>
      </c>
      <c r="AK114" s="2" t="s">
        <v>1987</v>
      </c>
    </row>
    <row r="115" spans="1:37" x14ac:dyDescent="0.15">
      <c r="A115" s="2" t="s">
        <v>1986</v>
      </c>
      <c r="B115">
        <v>927</v>
      </c>
      <c r="C115" s="3">
        <v>41519</v>
      </c>
      <c r="D115" s="2" t="s">
        <v>37</v>
      </c>
      <c r="E115" s="2" t="s">
        <v>1985</v>
      </c>
      <c r="F115" s="2" t="s">
        <v>38</v>
      </c>
      <c r="G115" s="2" t="s">
        <v>269</v>
      </c>
      <c r="H115" s="2" t="s">
        <v>270</v>
      </c>
      <c r="I115" s="65" t="b">
        <f>导出!I115=计算!I115</f>
        <v>1</v>
      </c>
      <c r="J115" s="65" t="b">
        <f>导出!J115=计算!J115</f>
        <v>1</v>
      </c>
      <c r="K115" s="65" t="b">
        <f>导出!K115=计算!K115</f>
        <v>1</v>
      </c>
      <c r="L115" s="65" t="b">
        <f>导出!L115=计算!L115</f>
        <v>1</v>
      </c>
      <c r="M115" s="65" t="b">
        <f>导出!M115=计算!M115</f>
        <v>1</v>
      </c>
      <c r="N115" s="65" t="b">
        <f>导出!N115=计算!N115</f>
        <v>1</v>
      </c>
      <c r="O115" s="65" t="b">
        <f>导出!O115=计算!O115</f>
        <v>1</v>
      </c>
      <c r="P115" s="65" t="b">
        <f>导出!P115=计算!P115</f>
        <v>1</v>
      </c>
      <c r="Q115" s="65" t="b">
        <f>导出!Q115=计算!Q115</f>
        <v>0</v>
      </c>
      <c r="R115" s="65" t="b">
        <f>导出!R115=计算!R115</f>
        <v>1</v>
      </c>
      <c r="S115" s="65" t="b">
        <f>导出!S115=计算!S115</f>
        <v>1</v>
      </c>
      <c r="T115" s="65" t="b">
        <f>导出!T115=计算!T115</f>
        <v>1</v>
      </c>
      <c r="U115" s="65" t="b">
        <f>导出!U115=计算!U115</f>
        <v>1</v>
      </c>
      <c r="V115" s="65" t="b">
        <f>导出!V115=计算!V115</f>
        <v>0</v>
      </c>
      <c r="W115" s="65" t="b">
        <f>导出!W115=计算!W115</f>
        <v>1</v>
      </c>
      <c r="X115" s="65" t="b">
        <f>导出!X115=计算!X115</f>
        <v>1</v>
      </c>
      <c r="Y115" s="65" t="b">
        <f>导出!Y115=计算!Y115</f>
        <v>1</v>
      </c>
      <c r="Z115" s="65" t="b">
        <f>导出!Z115=计算!Z115</f>
        <v>1</v>
      </c>
      <c r="AA115" s="65" t="b">
        <f>导出!AA115=计算!AA115</f>
        <v>0</v>
      </c>
      <c r="AB115" s="65" t="b">
        <f>导出!AB115=计算!AB115</f>
        <v>0</v>
      </c>
      <c r="AC115" s="65" t="b">
        <f>导出!AC115=计算!AC115</f>
        <v>1</v>
      </c>
      <c r="AD115" s="65" t="b">
        <f>导出!AD115=计算!AD115</f>
        <v>1</v>
      </c>
      <c r="AE115" s="65" t="b">
        <f>导出!AE115=计算!AE115</f>
        <v>0</v>
      </c>
      <c r="AF115" s="65" t="b">
        <f>导出!AF115=计算!AF115</f>
        <v>1</v>
      </c>
      <c r="AG115" s="65" t="b">
        <f>导出!AG115=计算!AG115</f>
        <v>1</v>
      </c>
      <c r="AH115" s="65" t="b">
        <f>导出!AH115=计算!AH115</f>
        <v>1</v>
      </c>
      <c r="AI115">
        <v>0</v>
      </c>
      <c r="AJ115" s="3">
        <v>41912.686273148101</v>
      </c>
      <c r="AK115" s="2" t="s">
        <v>1984</v>
      </c>
    </row>
    <row r="116" spans="1:37" x14ac:dyDescent="0.15">
      <c r="A116" s="2" t="s">
        <v>1983</v>
      </c>
      <c r="B116">
        <v>934</v>
      </c>
      <c r="C116" s="3">
        <v>41522</v>
      </c>
      <c r="D116" s="2" t="s">
        <v>37</v>
      </c>
      <c r="E116" s="2" t="s">
        <v>1982</v>
      </c>
      <c r="F116" s="2" t="s">
        <v>38</v>
      </c>
      <c r="G116" s="2" t="s">
        <v>271</v>
      </c>
      <c r="H116" s="2" t="s">
        <v>272</v>
      </c>
      <c r="I116" s="65" t="b">
        <f>导出!I116=计算!I116</f>
        <v>1</v>
      </c>
      <c r="J116" s="65" t="b">
        <f>导出!J116=计算!J116</f>
        <v>1</v>
      </c>
      <c r="K116" s="65" t="b">
        <f>导出!K116=计算!K116</f>
        <v>1</v>
      </c>
      <c r="L116" s="65" t="b">
        <f>导出!L116=计算!L116</f>
        <v>1</v>
      </c>
      <c r="M116" s="65" t="b">
        <f>导出!M116=计算!M116</f>
        <v>1</v>
      </c>
      <c r="N116" s="65" t="b">
        <f>导出!N116=计算!N116</f>
        <v>1</v>
      </c>
      <c r="O116" s="65" t="b">
        <f>导出!O116=计算!O116</f>
        <v>1</v>
      </c>
      <c r="P116" s="65" t="b">
        <f>导出!P116=计算!P116</f>
        <v>1</v>
      </c>
      <c r="Q116" s="65" t="b">
        <f>导出!Q116=计算!Q116</f>
        <v>1</v>
      </c>
      <c r="R116" s="65" t="b">
        <f>导出!R116=计算!R116</f>
        <v>1</v>
      </c>
      <c r="S116" s="65" t="b">
        <f>导出!S116=计算!S116</f>
        <v>1</v>
      </c>
      <c r="T116" s="65" t="b">
        <f>导出!T116=计算!T116</f>
        <v>1</v>
      </c>
      <c r="U116" s="65" t="b">
        <f>导出!U116=计算!U116</f>
        <v>1</v>
      </c>
      <c r="V116" s="65" t="b">
        <f>导出!V116=计算!V116</f>
        <v>0</v>
      </c>
      <c r="W116" s="65" t="b">
        <f>导出!W116=计算!W116</f>
        <v>1</v>
      </c>
      <c r="X116" s="65" t="b">
        <f>导出!X116=计算!X116</f>
        <v>1</v>
      </c>
      <c r="Y116" s="65" t="b">
        <f>导出!Y116=计算!Y116</f>
        <v>1</v>
      </c>
      <c r="Z116" s="65" t="b">
        <f>导出!Z116=计算!Z116</f>
        <v>1</v>
      </c>
      <c r="AA116" s="65" t="b">
        <f>导出!AA116=计算!AA116</f>
        <v>0</v>
      </c>
      <c r="AB116" s="65" t="b">
        <f>导出!AB116=计算!AB116</f>
        <v>1</v>
      </c>
      <c r="AC116" s="65" t="b">
        <f>导出!AC116=计算!AC116</f>
        <v>1</v>
      </c>
      <c r="AD116" s="65" t="b">
        <f>导出!AD116=计算!AD116</f>
        <v>1</v>
      </c>
      <c r="AE116" s="65" t="b">
        <f>导出!AE116=计算!AE116</f>
        <v>0</v>
      </c>
      <c r="AF116" s="65" t="b">
        <f>导出!AF116=计算!AF116</f>
        <v>1</v>
      </c>
      <c r="AG116" s="65" t="b">
        <f>导出!AG116=计算!AG116</f>
        <v>1</v>
      </c>
      <c r="AH116" s="65" t="b">
        <f>导出!AH116=计算!AH116</f>
        <v>1</v>
      </c>
      <c r="AI116">
        <v>0</v>
      </c>
      <c r="AJ116" s="3">
        <v>41912.686273148101</v>
      </c>
      <c r="AK116" s="2" t="s">
        <v>1981</v>
      </c>
    </row>
    <row r="117" spans="1:37" x14ac:dyDescent="0.15">
      <c r="A117" s="2" t="s">
        <v>1980</v>
      </c>
      <c r="B117">
        <v>946</v>
      </c>
      <c r="C117" s="3">
        <v>41532</v>
      </c>
      <c r="D117" s="2" t="s">
        <v>37</v>
      </c>
      <c r="E117" s="2" t="s">
        <v>1979</v>
      </c>
      <c r="F117" s="2" t="s">
        <v>38</v>
      </c>
      <c r="G117" s="2" t="s">
        <v>273</v>
      </c>
      <c r="H117" s="2" t="s">
        <v>274</v>
      </c>
      <c r="I117" s="65" t="b">
        <f>导出!I117=计算!I117</f>
        <v>1</v>
      </c>
      <c r="J117" s="65" t="b">
        <f>导出!J117=计算!J117</f>
        <v>1</v>
      </c>
      <c r="K117" s="65" t="b">
        <f>导出!K117=计算!K117</f>
        <v>1</v>
      </c>
      <c r="L117" s="65" t="b">
        <f>导出!L117=计算!L117</f>
        <v>1</v>
      </c>
      <c r="M117" s="65" t="b">
        <f>导出!M117=计算!M117</f>
        <v>1</v>
      </c>
      <c r="N117" s="65" t="b">
        <f>导出!N117=计算!N117</f>
        <v>1</v>
      </c>
      <c r="O117" s="65" t="b">
        <f>导出!O117=计算!O117</f>
        <v>1</v>
      </c>
      <c r="P117" s="65" t="b">
        <f>导出!P117=计算!P117</f>
        <v>1</v>
      </c>
      <c r="Q117" s="65" t="b">
        <f>导出!Q117=计算!Q117</f>
        <v>1</v>
      </c>
      <c r="R117" s="65" t="b">
        <f>导出!R117=计算!R117</f>
        <v>1</v>
      </c>
      <c r="S117" s="65" t="b">
        <f>导出!S117=计算!S117</f>
        <v>1</v>
      </c>
      <c r="T117" s="65" t="b">
        <f>导出!T117=计算!T117</f>
        <v>1</v>
      </c>
      <c r="U117" s="65" t="b">
        <f>导出!U117=计算!U117</f>
        <v>1</v>
      </c>
      <c r="V117" s="65" t="b">
        <f>导出!V117=计算!V117</f>
        <v>1</v>
      </c>
      <c r="W117" s="65" t="b">
        <f>导出!W117=计算!W117</f>
        <v>1</v>
      </c>
      <c r="X117" s="65" t="b">
        <f>导出!X117=计算!X117</f>
        <v>1</v>
      </c>
      <c r="Y117" s="65" t="b">
        <f>导出!Y117=计算!Y117</f>
        <v>1</v>
      </c>
      <c r="Z117" s="65" t="b">
        <f>导出!Z117=计算!Z117</f>
        <v>1</v>
      </c>
      <c r="AA117" s="65" t="b">
        <f>导出!AA117=计算!AA117</f>
        <v>0</v>
      </c>
      <c r="AB117" s="65" t="b">
        <f>导出!AB117=计算!AB117</f>
        <v>1</v>
      </c>
      <c r="AC117" s="65" t="b">
        <f>导出!AC117=计算!AC117</f>
        <v>1</v>
      </c>
      <c r="AD117" s="65" t="b">
        <f>导出!AD117=计算!AD117</f>
        <v>1</v>
      </c>
      <c r="AE117" s="65" t="b">
        <f>导出!AE117=计算!AE117</f>
        <v>1</v>
      </c>
      <c r="AF117" s="65" t="b">
        <f>导出!AF117=计算!AF117</f>
        <v>1</v>
      </c>
      <c r="AG117" s="65" t="b">
        <f>导出!AG117=计算!AG117</f>
        <v>1</v>
      </c>
      <c r="AH117" s="65" t="b">
        <f>导出!AH117=计算!AH117</f>
        <v>1</v>
      </c>
      <c r="AI117">
        <v>0</v>
      </c>
      <c r="AJ117" s="3">
        <v>41912.686273148101</v>
      </c>
      <c r="AK117" s="2" t="s">
        <v>1978</v>
      </c>
    </row>
    <row r="118" spans="1:37" x14ac:dyDescent="0.15">
      <c r="A118" s="2" t="s">
        <v>1977</v>
      </c>
      <c r="B118">
        <v>953</v>
      </c>
      <c r="C118" s="3">
        <v>41535</v>
      </c>
      <c r="D118" s="2" t="s">
        <v>37</v>
      </c>
      <c r="E118" s="2" t="s">
        <v>1976</v>
      </c>
      <c r="F118" s="2" t="s">
        <v>38</v>
      </c>
      <c r="G118" s="2" t="s">
        <v>275</v>
      </c>
      <c r="H118" s="2" t="s">
        <v>276</v>
      </c>
      <c r="I118" s="65" t="b">
        <f>导出!I118=计算!I118</f>
        <v>1</v>
      </c>
      <c r="J118" s="65" t="b">
        <f>导出!J118=计算!J118</f>
        <v>1</v>
      </c>
      <c r="K118" s="65" t="b">
        <f>导出!K118=计算!K118</f>
        <v>1</v>
      </c>
      <c r="L118" s="65" t="b">
        <f>导出!L118=计算!L118</f>
        <v>1</v>
      </c>
      <c r="M118" s="65" t="b">
        <f>导出!M118=计算!M118</f>
        <v>1</v>
      </c>
      <c r="N118" s="65" t="b">
        <f>导出!N118=计算!N118</f>
        <v>1</v>
      </c>
      <c r="O118" s="65" t="b">
        <f>导出!O118=计算!O118</f>
        <v>1</v>
      </c>
      <c r="P118" s="65" t="b">
        <f>导出!P118=计算!P118</f>
        <v>1</v>
      </c>
      <c r="Q118" s="65" t="b">
        <f>导出!Q118=计算!Q118</f>
        <v>0</v>
      </c>
      <c r="R118" s="65" t="b">
        <f>导出!R118=计算!R118</f>
        <v>1</v>
      </c>
      <c r="S118" s="65" t="b">
        <f>导出!S118=计算!S118</f>
        <v>1</v>
      </c>
      <c r="T118" s="65" t="b">
        <f>导出!T118=计算!T118</f>
        <v>1</v>
      </c>
      <c r="U118" s="65" t="b">
        <f>导出!U118=计算!U118</f>
        <v>1</v>
      </c>
      <c r="V118" s="65" t="b">
        <f>导出!V118=计算!V118</f>
        <v>0</v>
      </c>
      <c r="W118" s="65" t="b">
        <f>导出!W118=计算!W118</f>
        <v>1</v>
      </c>
      <c r="X118" s="65" t="b">
        <f>导出!X118=计算!X118</f>
        <v>1</v>
      </c>
      <c r="Y118" s="65" t="b">
        <f>导出!Y118=计算!Y118</f>
        <v>1</v>
      </c>
      <c r="Z118" s="65" t="b">
        <f>导出!Z118=计算!Z118</f>
        <v>1</v>
      </c>
      <c r="AA118" s="65" t="b">
        <f>导出!AA118=计算!AA118</f>
        <v>0</v>
      </c>
      <c r="AB118" s="65" t="b">
        <f>导出!AB118=计算!AB118</f>
        <v>1</v>
      </c>
      <c r="AC118" s="65" t="b">
        <f>导出!AC118=计算!AC118</f>
        <v>1</v>
      </c>
      <c r="AD118" s="65" t="b">
        <f>导出!AD118=计算!AD118</f>
        <v>1</v>
      </c>
      <c r="AE118" s="65" t="b">
        <f>导出!AE118=计算!AE118</f>
        <v>0</v>
      </c>
      <c r="AF118" s="65" t="b">
        <f>导出!AF118=计算!AF118</f>
        <v>1</v>
      </c>
      <c r="AG118" s="65" t="b">
        <f>导出!AG118=计算!AG118</f>
        <v>1</v>
      </c>
      <c r="AH118" s="65" t="b">
        <f>导出!AH118=计算!AH118</f>
        <v>1</v>
      </c>
      <c r="AI118">
        <v>0</v>
      </c>
      <c r="AJ118" s="3">
        <v>41912.686273148101</v>
      </c>
      <c r="AK118" s="2" t="s">
        <v>1975</v>
      </c>
    </row>
    <row r="119" spans="1:37" x14ac:dyDescent="0.15">
      <c r="A119" s="2" t="s">
        <v>1974</v>
      </c>
      <c r="B119">
        <v>146</v>
      </c>
      <c r="C119" s="3">
        <v>41548</v>
      </c>
      <c r="D119" s="2" t="s">
        <v>37</v>
      </c>
      <c r="E119" s="2" t="s">
        <v>1973</v>
      </c>
      <c r="F119" s="2" t="s">
        <v>41</v>
      </c>
      <c r="G119" s="2" t="s">
        <v>277</v>
      </c>
      <c r="H119" s="2" t="s">
        <v>278</v>
      </c>
      <c r="I119" s="65" t="b">
        <f>导出!I119=计算!I119</f>
        <v>1</v>
      </c>
      <c r="J119" s="65" t="b">
        <f>导出!J119=计算!J119</f>
        <v>1</v>
      </c>
      <c r="K119" s="65" t="b">
        <f>导出!K119=计算!K119</f>
        <v>1</v>
      </c>
      <c r="L119" s="65" t="b">
        <f>导出!L119=计算!L119</f>
        <v>1</v>
      </c>
      <c r="M119" s="65" t="b">
        <f>导出!M119=计算!M119</f>
        <v>1</v>
      </c>
      <c r="N119" s="65" t="b">
        <f>导出!N119=计算!N119</f>
        <v>1</v>
      </c>
      <c r="O119" s="65" t="b">
        <f>导出!O119=计算!O119</f>
        <v>1</v>
      </c>
      <c r="P119" s="65" t="b">
        <f>导出!P119=计算!P119</f>
        <v>1</v>
      </c>
      <c r="Q119" s="65" t="b">
        <f>导出!Q119=计算!Q119</f>
        <v>1</v>
      </c>
      <c r="R119" s="65" t="b">
        <f>导出!R119=计算!R119</f>
        <v>1</v>
      </c>
      <c r="S119" s="65" t="b">
        <f>导出!S119=计算!S119</f>
        <v>1</v>
      </c>
      <c r="T119" s="65" t="b">
        <f>导出!T119=计算!T119</f>
        <v>1</v>
      </c>
      <c r="U119" s="65" t="b">
        <f>导出!U119=计算!U119</f>
        <v>1</v>
      </c>
      <c r="V119" s="65" t="b">
        <f>导出!V119=计算!V119</f>
        <v>0</v>
      </c>
      <c r="W119" s="65" t="b">
        <f>导出!W119=计算!W119</f>
        <v>1</v>
      </c>
      <c r="X119" s="65" t="b">
        <f>导出!X119=计算!X119</f>
        <v>1</v>
      </c>
      <c r="Y119" s="65" t="b">
        <f>导出!Y119=计算!Y119</f>
        <v>1</v>
      </c>
      <c r="Z119" s="65" t="b">
        <f>导出!Z119=计算!Z119</f>
        <v>1</v>
      </c>
      <c r="AA119" s="65" t="b">
        <f>导出!AA119=计算!AA119</f>
        <v>1</v>
      </c>
      <c r="AB119" s="65" t="b">
        <f>导出!AB119=计算!AB119</f>
        <v>1</v>
      </c>
      <c r="AC119" s="65" t="b">
        <f>导出!AC119=计算!AC119</f>
        <v>1</v>
      </c>
      <c r="AD119" s="65" t="b">
        <f>导出!AD119=计算!AD119</f>
        <v>1</v>
      </c>
      <c r="AE119" s="65" t="b">
        <f>导出!AE119=计算!AE119</f>
        <v>1</v>
      </c>
      <c r="AF119" s="65" t="b">
        <f>导出!AF119=计算!AF119</f>
        <v>0</v>
      </c>
      <c r="AG119" s="65" t="b">
        <f>导出!AG119=计算!AG119</f>
        <v>1</v>
      </c>
      <c r="AH119" s="65" t="b">
        <f>导出!AH119=计算!AH119</f>
        <v>1</v>
      </c>
      <c r="AI119">
        <v>0</v>
      </c>
      <c r="AJ119" s="3">
        <v>41912.6862384259</v>
      </c>
      <c r="AK119" s="2" t="s">
        <v>1972</v>
      </c>
    </row>
    <row r="120" spans="1:37" x14ac:dyDescent="0.15">
      <c r="A120" s="2" t="s">
        <v>1971</v>
      </c>
      <c r="B120">
        <v>987</v>
      </c>
      <c r="C120" s="3">
        <v>41552</v>
      </c>
      <c r="D120" s="2" t="s">
        <v>37</v>
      </c>
      <c r="E120" s="2" t="s">
        <v>1970</v>
      </c>
      <c r="F120" s="2" t="s">
        <v>38</v>
      </c>
      <c r="G120" s="2" t="s">
        <v>279</v>
      </c>
      <c r="H120" s="2" t="s">
        <v>280</v>
      </c>
      <c r="I120" s="65" t="b">
        <f>导出!I120=计算!I120</f>
        <v>1</v>
      </c>
      <c r="J120" s="65" t="b">
        <f>导出!J120=计算!J120</f>
        <v>1</v>
      </c>
      <c r="K120" s="65" t="b">
        <f>导出!K120=计算!K120</f>
        <v>1</v>
      </c>
      <c r="L120" s="65" t="b">
        <f>导出!L120=计算!L120</f>
        <v>1</v>
      </c>
      <c r="M120" s="65" t="b">
        <f>导出!M120=计算!M120</f>
        <v>1</v>
      </c>
      <c r="N120" s="65" t="b">
        <f>导出!N120=计算!N120</f>
        <v>0</v>
      </c>
      <c r="O120" s="65" t="b">
        <f>导出!O120=计算!O120</f>
        <v>1</v>
      </c>
      <c r="P120" s="65" t="b">
        <f>导出!P120=计算!P120</f>
        <v>1</v>
      </c>
      <c r="Q120" s="65" t="b">
        <f>导出!Q120=计算!Q120</f>
        <v>0</v>
      </c>
      <c r="R120" s="65" t="b">
        <f>导出!R120=计算!R120</f>
        <v>1</v>
      </c>
      <c r="S120" s="65" t="b">
        <f>导出!S120=计算!S120</f>
        <v>1</v>
      </c>
      <c r="T120" s="65" t="b">
        <f>导出!T120=计算!T120</f>
        <v>1</v>
      </c>
      <c r="U120" s="65" t="b">
        <f>导出!U120=计算!U120</f>
        <v>1</v>
      </c>
      <c r="V120" s="65" t="b">
        <f>导出!V120=计算!V120</f>
        <v>0</v>
      </c>
      <c r="W120" s="65" t="b">
        <f>导出!W120=计算!W120</f>
        <v>1</v>
      </c>
      <c r="X120" s="65" t="b">
        <f>导出!X120=计算!X120</f>
        <v>1</v>
      </c>
      <c r="Y120" s="65" t="b">
        <f>导出!Y120=计算!Y120</f>
        <v>1</v>
      </c>
      <c r="Z120" s="65" t="b">
        <f>导出!Z120=计算!Z120</f>
        <v>1</v>
      </c>
      <c r="AA120" s="65" t="b">
        <f>导出!AA120=计算!AA120</f>
        <v>0</v>
      </c>
      <c r="AB120" s="65" t="b">
        <f>导出!AB120=计算!AB120</f>
        <v>1</v>
      </c>
      <c r="AC120" s="65" t="b">
        <f>导出!AC120=计算!AC120</f>
        <v>1</v>
      </c>
      <c r="AD120" s="65" t="b">
        <f>导出!AD120=计算!AD120</f>
        <v>1</v>
      </c>
      <c r="AE120" s="65" t="b">
        <f>导出!AE120=计算!AE120</f>
        <v>1</v>
      </c>
      <c r="AF120" s="65" t="b">
        <f>导出!AF120=计算!AF120</f>
        <v>1</v>
      </c>
      <c r="AG120" s="65" t="b">
        <f>导出!AG120=计算!AG120</f>
        <v>1</v>
      </c>
      <c r="AH120" s="65" t="b">
        <f>导出!AH120=计算!AH120</f>
        <v>1</v>
      </c>
      <c r="AI120">
        <v>0</v>
      </c>
      <c r="AJ120" s="3">
        <v>41912.686273148101</v>
      </c>
      <c r="AK120" s="2" t="s">
        <v>1969</v>
      </c>
    </row>
    <row r="121" spans="1:37" x14ac:dyDescent="0.15">
      <c r="A121" s="2" t="s">
        <v>1968</v>
      </c>
      <c r="B121">
        <v>961</v>
      </c>
      <c r="C121" s="3">
        <v>41557</v>
      </c>
      <c r="D121" s="2" t="s">
        <v>37</v>
      </c>
      <c r="E121" s="2" t="s">
        <v>1967</v>
      </c>
      <c r="F121" s="2" t="s">
        <v>38</v>
      </c>
      <c r="G121" s="2" t="s">
        <v>281</v>
      </c>
      <c r="H121" s="2" t="s">
        <v>282</v>
      </c>
      <c r="I121" s="65" t="b">
        <f>导出!I121=计算!I121</f>
        <v>1</v>
      </c>
      <c r="J121" s="65" t="b">
        <f>导出!J121=计算!J121</f>
        <v>1</v>
      </c>
      <c r="K121" s="65" t="b">
        <f>导出!K121=计算!K121</f>
        <v>1</v>
      </c>
      <c r="L121" s="65" t="b">
        <f>导出!L121=计算!L121</f>
        <v>1</v>
      </c>
      <c r="M121" s="65" t="b">
        <f>导出!M121=计算!M121</f>
        <v>1</v>
      </c>
      <c r="N121" s="65" t="b">
        <f>导出!N121=计算!N121</f>
        <v>1</v>
      </c>
      <c r="O121" s="65" t="b">
        <f>导出!O121=计算!O121</f>
        <v>1</v>
      </c>
      <c r="P121" s="65" t="b">
        <f>导出!P121=计算!P121</f>
        <v>1</v>
      </c>
      <c r="Q121" s="65" t="b">
        <f>导出!Q121=计算!Q121</f>
        <v>1</v>
      </c>
      <c r="R121" s="65" t="b">
        <f>导出!R121=计算!R121</f>
        <v>1</v>
      </c>
      <c r="S121" s="65" t="b">
        <f>导出!S121=计算!S121</f>
        <v>1</v>
      </c>
      <c r="T121" s="65" t="b">
        <f>导出!T121=计算!T121</f>
        <v>1</v>
      </c>
      <c r="U121" s="65" t="b">
        <f>导出!U121=计算!U121</f>
        <v>1</v>
      </c>
      <c r="V121" s="65" t="b">
        <f>导出!V121=计算!V121</f>
        <v>0</v>
      </c>
      <c r="W121" s="65" t="b">
        <f>导出!W121=计算!W121</f>
        <v>1</v>
      </c>
      <c r="X121" s="65" t="b">
        <f>导出!X121=计算!X121</f>
        <v>1</v>
      </c>
      <c r="Y121" s="65" t="b">
        <f>导出!Y121=计算!Y121</f>
        <v>1</v>
      </c>
      <c r="Z121" s="65" t="b">
        <f>导出!Z121=计算!Z121</f>
        <v>1</v>
      </c>
      <c r="AA121" s="65" t="b">
        <f>导出!AA121=计算!AA121</f>
        <v>0</v>
      </c>
      <c r="AB121" s="65" t="b">
        <f>导出!AB121=计算!AB121</f>
        <v>1</v>
      </c>
      <c r="AC121" s="65" t="b">
        <f>导出!AC121=计算!AC121</f>
        <v>1</v>
      </c>
      <c r="AD121" s="65" t="b">
        <f>导出!AD121=计算!AD121</f>
        <v>1</v>
      </c>
      <c r="AE121" s="65" t="b">
        <f>导出!AE121=计算!AE121</f>
        <v>0</v>
      </c>
      <c r="AF121" s="65" t="b">
        <f>导出!AF121=计算!AF121</f>
        <v>1</v>
      </c>
      <c r="AG121" s="65" t="b">
        <f>导出!AG121=计算!AG121</f>
        <v>1</v>
      </c>
      <c r="AH121" s="65" t="b">
        <f>导出!AH121=计算!AH121</f>
        <v>1</v>
      </c>
      <c r="AI121">
        <v>0</v>
      </c>
      <c r="AJ121" s="3">
        <v>41912.686273148101</v>
      </c>
      <c r="AK121" s="2" t="s">
        <v>1966</v>
      </c>
    </row>
    <row r="122" spans="1:37" x14ac:dyDescent="0.15">
      <c r="A122" s="2" t="s">
        <v>1965</v>
      </c>
      <c r="B122">
        <v>969</v>
      </c>
      <c r="C122" s="3">
        <v>41562</v>
      </c>
      <c r="D122" s="2" t="s">
        <v>37</v>
      </c>
      <c r="E122" s="2" t="s">
        <v>1964</v>
      </c>
      <c r="F122" s="2" t="s">
        <v>38</v>
      </c>
      <c r="G122" s="2" t="s">
        <v>283</v>
      </c>
      <c r="H122" s="2" t="s">
        <v>284</v>
      </c>
      <c r="I122" s="65" t="b">
        <f>导出!I122=计算!I122</f>
        <v>1</v>
      </c>
      <c r="J122" s="65" t="b">
        <f>导出!J122=计算!J122</f>
        <v>1</v>
      </c>
      <c r="K122" s="65" t="b">
        <f>导出!K122=计算!K122</f>
        <v>1</v>
      </c>
      <c r="L122" s="65" t="b">
        <f>导出!L122=计算!L122</f>
        <v>1</v>
      </c>
      <c r="M122" s="65" t="b">
        <f>导出!M122=计算!M122</f>
        <v>1</v>
      </c>
      <c r="N122" s="65" t="b">
        <f>导出!N122=计算!N122</f>
        <v>1</v>
      </c>
      <c r="O122" s="65" t="b">
        <f>导出!O122=计算!O122</f>
        <v>1</v>
      </c>
      <c r="P122" s="65" t="b">
        <f>导出!P122=计算!P122</f>
        <v>1</v>
      </c>
      <c r="Q122" s="65" t="b">
        <f>导出!Q122=计算!Q122</f>
        <v>0</v>
      </c>
      <c r="R122" s="65" t="b">
        <f>导出!R122=计算!R122</f>
        <v>1</v>
      </c>
      <c r="S122" s="65" t="b">
        <f>导出!S122=计算!S122</f>
        <v>1</v>
      </c>
      <c r="T122" s="65" t="b">
        <f>导出!T122=计算!T122</f>
        <v>1</v>
      </c>
      <c r="U122" s="65" t="b">
        <f>导出!U122=计算!U122</f>
        <v>1</v>
      </c>
      <c r="V122" s="65" t="b">
        <f>导出!V122=计算!V122</f>
        <v>0</v>
      </c>
      <c r="W122" s="65" t="b">
        <f>导出!W122=计算!W122</f>
        <v>1</v>
      </c>
      <c r="X122" s="65" t="b">
        <f>导出!X122=计算!X122</f>
        <v>1</v>
      </c>
      <c r="Y122" s="65" t="b">
        <f>导出!Y122=计算!Y122</f>
        <v>1</v>
      </c>
      <c r="Z122" s="65" t="b">
        <f>导出!Z122=计算!Z122</f>
        <v>1</v>
      </c>
      <c r="AA122" s="65" t="b">
        <f>导出!AA122=计算!AA122</f>
        <v>0</v>
      </c>
      <c r="AB122" s="65" t="b">
        <f>导出!AB122=计算!AB122</f>
        <v>1</v>
      </c>
      <c r="AC122" s="65" t="b">
        <f>导出!AC122=计算!AC122</f>
        <v>1</v>
      </c>
      <c r="AD122" s="65" t="b">
        <f>导出!AD122=计算!AD122</f>
        <v>1</v>
      </c>
      <c r="AE122" s="65" t="b">
        <f>导出!AE122=计算!AE122</f>
        <v>0</v>
      </c>
      <c r="AF122" s="65" t="b">
        <f>导出!AF122=计算!AF122</f>
        <v>1</v>
      </c>
      <c r="AG122" s="65" t="b">
        <f>导出!AG122=计算!AG122</f>
        <v>1</v>
      </c>
      <c r="AH122" s="65" t="b">
        <f>导出!AH122=计算!AH122</f>
        <v>1</v>
      </c>
      <c r="AI122">
        <v>0</v>
      </c>
      <c r="AJ122" s="3">
        <v>41912.686273148101</v>
      </c>
      <c r="AK122" s="2" t="s">
        <v>1963</v>
      </c>
    </row>
    <row r="123" spans="1:37" x14ac:dyDescent="0.15">
      <c r="A123" s="2" t="s">
        <v>1962</v>
      </c>
      <c r="B123">
        <v>994</v>
      </c>
      <c r="C123" s="3">
        <v>41562</v>
      </c>
      <c r="D123" s="2" t="s">
        <v>37</v>
      </c>
      <c r="E123" s="2" t="s">
        <v>1961</v>
      </c>
      <c r="F123" s="2" t="s">
        <v>38</v>
      </c>
      <c r="G123" s="2" t="s">
        <v>285</v>
      </c>
      <c r="H123" s="2" t="s">
        <v>286</v>
      </c>
      <c r="I123" s="65" t="b">
        <f>导出!I123=计算!I123</f>
        <v>1</v>
      </c>
      <c r="J123" s="65" t="b">
        <f>导出!J123=计算!J123</f>
        <v>1</v>
      </c>
      <c r="K123" s="65" t="b">
        <f>导出!K123=计算!K123</f>
        <v>1</v>
      </c>
      <c r="L123" s="65" t="b">
        <f>导出!L123=计算!L123</f>
        <v>1</v>
      </c>
      <c r="M123" s="65" t="b">
        <f>导出!M123=计算!M123</f>
        <v>1</v>
      </c>
      <c r="N123" s="65" t="b">
        <f>导出!N123=计算!N123</f>
        <v>1</v>
      </c>
      <c r="O123" s="65" t="b">
        <f>导出!O123=计算!O123</f>
        <v>1</v>
      </c>
      <c r="P123" s="65" t="b">
        <f>导出!P123=计算!P123</f>
        <v>1</v>
      </c>
      <c r="Q123" s="65" t="b">
        <f>导出!Q123=计算!Q123</f>
        <v>1</v>
      </c>
      <c r="R123" s="65" t="b">
        <f>导出!R123=计算!R123</f>
        <v>1</v>
      </c>
      <c r="S123" s="65" t="b">
        <f>导出!S123=计算!S123</f>
        <v>1</v>
      </c>
      <c r="T123" s="65" t="b">
        <f>导出!T123=计算!T123</f>
        <v>1</v>
      </c>
      <c r="U123" s="65" t="b">
        <f>导出!U123=计算!U123</f>
        <v>1</v>
      </c>
      <c r="V123" s="65" t="b">
        <f>导出!V123=计算!V123</f>
        <v>0</v>
      </c>
      <c r="W123" s="65" t="b">
        <f>导出!W123=计算!W123</f>
        <v>1</v>
      </c>
      <c r="X123" s="65" t="b">
        <f>导出!X123=计算!X123</f>
        <v>1</v>
      </c>
      <c r="Y123" s="65" t="b">
        <f>导出!Y123=计算!Y123</f>
        <v>1</v>
      </c>
      <c r="Z123" s="65" t="b">
        <f>导出!Z123=计算!Z123</f>
        <v>1</v>
      </c>
      <c r="AA123" s="65" t="b">
        <f>导出!AA123=计算!AA123</f>
        <v>0</v>
      </c>
      <c r="AB123" s="65" t="b">
        <f>导出!AB123=计算!AB123</f>
        <v>0</v>
      </c>
      <c r="AC123" s="65" t="b">
        <f>导出!AC123=计算!AC123</f>
        <v>1</v>
      </c>
      <c r="AD123" s="65" t="b">
        <f>导出!AD123=计算!AD123</f>
        <v>1</v>
      </c>
      <c r="AE123" s="65" t="b">
        <f>导出!AE123=计算!AE123</f>
        <v>0</v>
      </c>
      <c r="AF123" s="65" t="b">
        <f>导出!AF123=计算!AF123</f>
        <v>1</v>
      </c>
      <c r="AG123" s="65" t="b">
        <f>导出!AG123=计算!AG123</f>
        <v>1</v>
      </c>
      <c r="AH123" s="65" t="b">
        <f>导出!AH123=计算!AH123</f>
        <v>1</v>
      </c>
      <c r="AI123">
        <v>0</v>
      </c>
      <c r="AJ123" s="3">
        <v>41912.686273148101</v>
      </c>
      <c r="AK123" s="2" t="s">
        <v>1960</v>
      </c>
    </row>
    <row r="124" spans="1:37" x14ac:dyDescent="0.15">
      <c r="A124" s="2" t="s">
        <v>1959</v>
      </c>
      <c r="B124">
        <v>1001</v>
      </c>
      <c r="C124" s="3">
        <v>41565</v>
      </c>
      <c r="D124" s="2" t="s">
        <v>37</v>
      </c>
      <c r="E124" s="2" t="s">
        <v>1958</v>
      </c>
      <c r="F124" s="2" t="s">
        <v>38</v>
      </c>
      <c r="G124" s="2" t="s">
        <v>287</v>
      </c>
      <c r="H124" s="2" t="s">
        <v>288</v>
      </c>
      <c r="I124" s="65" t="b">
        <f>导出!I124=计算!I124</f>
        <v>1</v>
      </c>
      <c r="J124" s="65" t="b">
        <f>导出!J124=计算!J124</f>
        <v>1</v>
      </c>
      <c r="K124" s="65" t="b">
        <f>导出!K124=计算!K124</f>
        <v>1</v>
      </c>
      <c r="L124" s="65" t="b">
        <f>导出!L124=计算!L124</f>
        <v>1</v>
      </c>
      <c r="M124" s="65" t="b">
        <f>导出!M124=计算!M124</f>
        <v>1</v>
      </c>
      <c r="N124" s="65" t="b">
        <f>导出!N124=计算!N124</f>
        <v>1</v>
      </c>
      <c r="O124" s="65" t="b">
        <f>导出!O124=计算!O124</f>
        <v>1</v>
      </c>
      <c r="P124" s="65" t="b">
        <f>导出!P124=计算!P124</f>
        <v>1</v>
      </c>
      <c r="Q124" s="65" t="b">
        <f>导出!Q124=计算!Q124</f>
        <v>1</v>
      </c>
      <c r="R124" s="65" t="b">
        <f>导出!R124=计算!R124</f>
        <v>1</v>
      </c>
      <c r="S124" s="65" t="b">
        <f>导出!S124=计算!S124</f>
        <v>1</v>
      </c>
      <c r="T124" s="65" t="b">
        <f>导出!T124=计算!T124</f>
        <v>1</v>
      </c>
      <c r="U124" s="65" t="b">
        <f>导出!U124=计算!U124</f>
        <v>1</v>
      </c>
      <c r="V124" s="65" t="b">
        <f>导出!V124=计算!V124</f>
        <v>0</v>
      </c>
      <c r="W124" s="65" t="b">
        <f>导出!W124=计算!W124</f>
        <v>1</v>
      </c>
      <c r="X124" s="65" t="b">
        <f>导出!X124=计算!X124</f>
        <v>1</v>
      </c>
      <c r="Y124" s="65" t="b">
        <f>导出!Y124=计算!Y124</f>
        <v>1</v>
      </c>
      <c r="Z124" s="65" t="b">
        <f>导出!Z124=计算!Z124</f>
        <v>1</v>
      </c>
      <c r="AA124" s="65" t="b">
        <f>导出!AA124=计算!AA124</f>
        <v>0</v>
      </c>
      <c r="AB124" s="65" t="b">
        <f>导出!AB124=计算!AB124</f>
        <v>1</v>
      </c>
      <c r="AC124" s="65" t="b">
        <f>导出!AC124=计算!AC124</f>
        <v>1</v>
      </c>
      <c r="AD124" s="65" t="b">
        <f>导出!AD124=计算!AD124</f>
        <v>1</v>
      </c>
      <c r="AE124" s="65" t="b">
        <f>导出!AE124=计算!AE124</f>
        <v>0</v>
      </c>
      <c r="AF124" s="65" t="b">
        <f>导出!AF124=计算!AF124</f>
        <v>1</v>
      </c>
      <c r="AG124" s="65" t="b">
        <f>导出!AG124=计算!AG124</f>
        <v>1</v>
      </c>
      <c r="AH124" s="65" t="b">
        <f>导出!AH124=计算!AH124</f>
        <v>1</v>
      </c>
      <c r="AI124">
        <v>0</v>
      </c>
      <c r="AJ124" s="3">
        <v>41912.686273148101</v>
      </c>
      <c r="AK124" s="2" t="s">
        <v>1957</v>
      </c>
    </row>
    <row r="125" spans="1:37" x14ac:dyDescent="0.15">
      <c r="A125" s="2" t="s">
        <v>1956</v>
      </c>
      <c r="B125">
        <v>978</v>
      </c>
      <c r="C125" s="3">
        <v>41566</v>
      </c>
      <c r="D125" s="2" t="s">
        <v>37</v>
      </c>
      <c r="E125" s="2" t="s">
        <v>1955</v>
      </c>
      <c r="F125" s="2" t="s">
        <v>38</v>
      </c>
      <c r="G125" s="2" t="s">
        <v>289</v>
      </c>
      <c r="H125" s="2" t="s">
        <v>290</v>
      </c>
      <c r="I125" s="65" t="b">
        <f>导出!I125=计算!I125</f>
        <v>1</v>
      </c>
      <c r="J125" s="65" t="b">
        <f>导出!J125=计算!J125</f>
        <v>1</v>
      </c>
      <c r="K125" s="65" t="b">
        <f>导出!K125=计算!K125</f>
        <v>1</v>
      </c>
      <c r="L125" s="65" t="b">
        <f>导出!L125=计算!L125</f>
        <v>1</v>
      </c>
      <c r="M125" s="65" t="b">
        <f>导出!M125=计算!M125</f>
        <v>1</v>
      </c>
      <c r="N125" s="65" t="b">
        <f>导出!N125=计算!N125</f>
        <v>0</v>
      </c>
      <c r="O125" s="65" t="b">
        <f>导出!O125=计算!O125</f>
        <v>1</v>
      </c>
      <c r="P125" s="65" t="b">
        <f>导出!P125=计算!P125</f>
        <v>1</v>
      </c>
      <c r="Q125" s="65" t="b">
        <f>导出!Q125=计算!Q125</f>
        <v>0</v>
      </c>
      <c r="R125" s="65" t="b">
        <f>导出!R125=计算!R125</f>
        <v>1</v>
      </c>
      <c r="S125" s="65" t="b">
        <f>导出!S125=计算!S125</f>
        <v>1</v>
      </c>
      <c r="T125" s="65" t="b">
        <f>导出!T125=计算!T125</f>
        <v>1</v>
      </c>
      <c r="U125" s="65" t="b">
        <f>导出!U125=计算!U125</f>
        <v>1</v>
      </c>
      <c r="V125" s="65" t="b">
        <f>导出!V125=计算!V125</f>
        <v>0</v>
      </c>
      <c r="W125" s="65" t="b">
        <f>导出!W125=计算!W125</f>
        <v>1</v>
      </c>
      <c r="X125" s="65" t="b">
        <f>导出!X125=计算!X125</f>
        <v>1</v>
      </c>
      <c r="Y125" s="65" t="b">
        <f>导出!Y125=计算!Y125</f>
        <v>0</v>
      </c>
      <c r="Z125" s="65" t="b">
        <f>导出!Z125=计算!Z125</f>
        <v>1</v>
      </c>
      <c r="AA125" s="65" t="b">
        <f>导出!AA125=计算!AA125</f>
        <v>0</v>
      </c>
      <c r="AB125" s="65" t="b">
        <f>导出!AB125=计算!AB125</f>
        <v>0</v>
      </c>
      <c r="AC125" s="65" t="b">
        <f>导出!AC125=计算!AC125</f>
        <v>1</v>
      </c>
      <c r="AD125" s="65" t="b">
        <f>导出!AD125=计算!AD125</f>
        <v>1</v>
      </c>
      <c r="AE125" s="65" t="b">
        <f>导出!AE125=计算!AE125</f>
        <v>0</v>
      </c>
      <c r="AF125" s="65" t="b">
        <f>导出!AF125=计算!AF125</f>
        <v>1</v>
      </c>
      <c r="AG125" s="65" t="b">
        <f>导出!AG125=计算!AG125</f>
        <v>1</v>
      </c>
      <c r="AH125" s="65" t="b">
        <f>导出!AH125=计算!AH125</f>
        <v>1</v>
      </c>
      <c r="AI125">
        <v>0</v>
      </c>
      <c r="AJ125" s="3">
        <v>41912.686273148101</v>
      </c>
      <c r="AK125" s="2" t="s">
        <v>1954</v>
      </c>
    </row>
    <row r="126" spans="1:37" x14ac:dyDescent="0.15">
      <c r="A126" s="2" t="s">
        <v>1953</v>
      </c>
      <c r="B126">
        <v>1009</v>
      </c>
      <c r="C126" s="3">
        <v>41579</v>
      </c>
      <c r="D126" s="2" t="s">
        <v>37</v>
      </c>
      <c r="E126" s="2" t="s">
        <v>1952</v>
      </c>
      <c r="F126" s="2" t="s">
        <v>38</v>
      </c>
      <c r="G126" s="2" t="s">
        <v>293</v>
      </c>
      <c r="H126" s="2" t="s">
        <v>294</v>
      </c>
      <c r="I126" s="65" t="b">
        <f>导出!I126=计算!I126</f>
        <v>1</v>
      </c>
      <c r="J126" s="65" t="b">
        <f>导出!J126=计算!J126</f>
        <v>1</v>
      </c>
      <c r="K126" s="65" t="b">
        <f>导出!K126=计算!K126</f>
        <v>1</v>
      </c>
      <c r="L126" s="65" t="b">
        <f>导出!L126=计算!L126</f>
        <v>1</v>
      </c>
      <c r="M126" s="65" t="b">
        <f>导出!M126=计算!M126</f>
        <v>1</v>
      </c>
      <c r="N126" s="65" t="b">
        <f>导出!N126=计算!N126</f>
        <v>0</v>
      </c>
      <c r="O126" s="65" t="b">
        <f>导出!O126=计算!O126</f>
        <v>1</v>
      </c>
      <c r="P126" s="65" t="b">
        <f>导出!P126=计算!P126</f>
        <v>1</v>
      </c>
      <c r="Q126" s="65" t="b">
        <f>导出!Q126=计算!Q126</f>
        <v>0</v>
      </c>
      <c r="R126" s="65" t="b">
        <f>导出!R126=计算!R126</f>
        <v>1</v>
      </c>
      <c r="S126" s="65" t="b">
        <f>导出!S126=计算!S126</f>
        <v>1</v>
      </c>
      <c r="T126" s="65" t="b">
        <f>导出!T126=计算!T126</f>
        <v>1</v>
      </c>
      <c r="U126" s="65" t="b">
        <f>导出!U126=计算!U126</f>
        <v>1</v>
      </c>
      <c r="V126" s="65" t="b">
        <f>导出!V126=计算!V126</f>
        <v>0</v>
      </c>
      <c r="W126" s="65" t="b">
        <f>导出!W126=计算!W126</f>
        <v>1</v>
      </c>
      <c r="X126" s="65" t="b">
        <f>导出!X126=计算!X126</f>
        <v>1</v>
      </c>
      <c r="Y126" s="65" t="b">
        <f>导出!Y126=计算!Y126</f>
        <v>1</v>
      </c>
      <c r="Z126" s="65" t="b">
        <f>导出!Z126=计算!Z126</f>
        <v>1</v>
      </c>
      <c r="AA126" s="65" t="b">
        <f>导出!AA126=计算!AA126</f>
        <v>0</v>
      </c>
      <c r="AB126" s="65" t="b">
        <f>导出!AB126=计算!AB126</f>
        <v>1</v>
      </c>
      <c r="AC126" s="65" t="b">
        <f>导出!AC126=计算!AC126</f>
        <v>1</v>
      </c>
      <c r="AD126" s="65" t="b">
        <f>导出!AD126=计算!AD126</f>
        <v>1</v>
      </c>
      <c r="AE126" s="65" t="b">
        <f>导出!AE126=计算!AE126</f>
        <v>1</v>
      </c>
      <c r="AF126" s="65" t="b">
        <f>导出!AF126=计算!AF126</f>
        <v>1</v>
      </c>
      <c r="AG126" s="65" t="b">
        <f>导出!AG126=计算!AG126</f>
        <v>1</v>
      </c>
      <c r="AH126" s="65" t="b">
        <f>导出!AH126=计算!AH126</f>
        <v>1</v>
      </c>
      <c r="AI126">
        <v>0</v>
      </c>
      <c r="AJ126" s="3">
        <v>41912.686273148101</v>
      </c>
      <c r="AK126" s="2" t="s">
        <v>1951</v>
      </c>
    </row>
    <row r="127" spans="1:37" x14ac:dyDescent="0.15">
      <c r="A127" s="2" t="s">
        <v>1950</v>
      </c>
      <c r="B127">
        <v>151</v>
      </c>
      <c r="C127" s="3">
        <v>41579</v>
      </c>
      <c r="D127" s="2" t="s">
        <v>37</v>
      </c>
      <c r="E127" s="2" t="s">
        <v>1949</v>
      </c>
      <c r="F127" s="2" t="s">
        <v>41</v>
      </c>
      <c r="G127" s="2" t="s">
        <v>291</v>
      </c>
      <c r="H127" s="2" t="s">
        <v>292</v>
      </c>
      <c r="I127" s="65" t="b">
        <f>导出!I127=计算!I127</f>
        <v>1</v>
      </c>
      <c r="J127" s="65" t="b">
        <f>导出!J127=计算!J127</f>
        <v>1</v>
      </c>
      <c r="K127" s="65" t="b">
        <f>导出!K127=计算!K127</f>
        <v>1</v>
      </c>
      <c r="L127" s="65" t="b">
        <f>导出!L127=计算!L127</f>
        <v>1</v>
      </c>
      <c r="M127" s="65" t="b">
        <f>导出!M127=计算!M127</f>
        <v>1</v>
      </c>
      <c r="N127" s="65" t="b">
        <f>导出!N127=计算!N127</f>
        <v>1</v>
      </c>
      <c r="O127" s="65" t="b">
        <f>导出!O127=计算!O127</f>
        <v>1</v>
      </c>
      <c r="P127" s="65" t="b">
        <f>导出!P127=计算!P127</f>
        <v>1</v>
      </c>
      <c r="Q127" s="65" t="b">
        <f>导出!Q127=计算!Q127</f>
        <v>0</v>
      </c>
      <c r="R127" s="65" t="b">
        <f>导出!R127=计算!R127</f>
        <v>1</v>
      </c>
      <c r="S127" s="65" t="b">
        <f>导出!S127=计算!S127</f>
        <v>1</v>
      </c>
      <c r="T127" s="65" t="b">
        <f>导出!T127=计算!T127</f>
        <v>1</v>
      </c>
      <c r="U127" s="65" t="b">
        <f>导出!U127=计算!U127</f>
        <v>1</v>
      </c>
      <c r="V127" s="65" t="b">
        <f>导出!V127=计算!V127</f>
        <v>0</v>
      </c>
      <c r="W127" s="65" t="b">
        <f>导出!W127=计算!W127</f>
        <v>1</v>
      </c>
      <c r="X127" s="65" t="b">
        <f>导出!X127=计算!X127</f>
        <v>1</v>
      </c>
      <c r="Y127" s="65" t="b">
        <f>导出!Y127=计算!Y127</f>
        <v>1</v>
      </c>
      <c r="Z127" s="65" t="b">
        <f>导出!Z127=计算!Z127</f>
        <v>1</v>
      </c>
      <c r="AA127" s="65" t="b">
        <f>导出!AA127=计算!AA127</f>
        <v>0</v>
      </c>
      <c r="AB127" s="65" t="b">
        <f>导出!AB127=计算!AB127</f>
        <v>1</v>
      </c>
      <c r="AC127" s="65" t="b">
        <f>导出!AC127=计算!AC127</f>
        <v>1</v>
      </c>
      <c r="AD127" s="65" t="b">
        <f>导出!AD127=计算!AD127</f>
        <v>1</v>
      </c>
      <c r="AE127" s="65" t="b">
        <f>导出!AE127=计算!AE127</f>
        <v>1</v>
      </c>
      <c r="AF127" s="65" t="b">
        <f>导出!AF127=计算!AF127</f>
        <v>1</v>
      </c>
      <c r="AG127" s="65" t="b">
        <f>导出!AG127=计算!AG127</f>
        <v>1</v>
      </c>
      <c r="AH127" s="65" t="b">
        <f>导出!AH127=计算!AH127</f>
        <v>1</v>
      </c>
      <c r="AI127">
        <v>0</v>
      </c>
      <c r="AJ127" s="3">
        <v>41912.6862384259</v>
      </c>
      <c r="AK127" s="2" t="s">
        <v>1948</v>
      </c>
    </row>
    <row r="128" spans="1:37" x14ac:dyDescent="0.15">
      <c r="A128" s="2" t="s">
        <v>1947</v>
      </c>
      <c r="B128">
        <v>1024</v>
      </c>
      <c r="C128" s="3">
        <v>41583</v>
      </c>
      <c r="D128" s="2" t="s">
        <v>37</v>
      </c>
      <c r="E128" s="2" t="s">
        <v>1946</v>
      </c>
      <c r="F128" s="2" t="s">
        <v>38</v>
      </c>
      <c r="G128" s="2" t="s">
        <v>295</v>
      </c>
      <c r="H128" s="2" t="s">
        <v>296</v>
      </c>
      <c r="I128" s="65" t="b">
        <f>导出!I128=计算!I128</f>
        <v>1</v>
      </c>
      <c r="J128" s="65" t="b">
        <f>导出!J128=计算!J128</f>
        <v>1</v>
      </c>
      <c r="K128" s="65" t="b">
        <f>导出!K128=计算!K128</f>
        <v>1</v>
      </c>
      <c r="L128" s="65" t="b">
        <f>导出!L128=计算!L128</f>
        <v>1</v>
      </c>
      <c r="M128" s="65" t="b">
        <f>导出!M128=计算!M128</f>
        <v>1</v>
      </c>
      <c r="N128" s="65" t="b">
        <f>导出!N128=计算!N128</f>
        <v>1</v>
      </c>
      <c r="O128" s="65" t="b">
        <f>导出!O128=计算!O128</f>
        <v>1</v>
      </c>
      <c r="P128" s="65" t="b">
        <f>导出!P128=计算!P128</f>
        <v>1</v>
      </c>
      <c r="Q128" s="65" t="b">
        <f>导出!Q128=计算!Q128</f>
        <v>0</v>
      </c>
      <c r="R128" s="65" t="b">
        <f>导出!R128=计算!R128</f>
        <v>1</v>
      </c>
      <c r="S128" s="65" t="b">
        <f>导出!S128=计算!S128</f>
        <v>1</v>
      </c>
      <c r="T128" s="65" t="b">
        <f>导出!T128=计算!T128</f>
        <v>1</v>
      </c>
      <c r="U128" s="65" t="b">
        <f>导出!U128=计算!U128</f>
        <v>1</v>
      </c>
      <c r="V128" s="65" t="b">
        <f>导出!V128=计算!V128</f>
        <v>0</v>
      </c>
      <c r="W128" s="65" t="b">
        <f>导出!W128=计算!W128</f>
        <v>1</v>
      </c>
      <c r="X128" s="65" t="b">
        <f>导出!X128=计算!X128</f>
        <v>1</v>
      </c>
      <c r="Y128" s="65" t="b">
        <f>导出!Y128=计算!Y128</f>
        <v>1</v>
      </c>
      <c r="Z128" s="65" t="b">
        <f>导出!Z128=计算!Z128</f>
        <v>1</v>
      </c>
      <c r="AA128" s="65" t="b">
        <f>导出!AA128=计算!AA128</f>
        <v>0</v>
      </c>
      <c r="AB128" s="65" t="b">
        <f>导出!AB128=计算!AB128</f>
        <v>1</v>
      </c>
      <c r="AC128" s="65" t="b">
        <f>导出!AC128=计算!AC128</f>
        <v>1</v>
      </c>
      <c r="AD128" s="65" t="b">
        <f>导出!AD128=计算!AD128</f>
        <v>1</v>
      </c>
      <c r="AE128" s="65" t="b">
        <f>导出!AE128=计算!AE128</f>
        <v>0</v>
      </c>
      <c r="AF128" s="65" t="b">
        <f>导出!AF128=计算!AF128</f>
        <v>1</v>
      </c>
      <c r="AG128" s="65" t="b">
        <f>导出!AG128=计算!AG128</f>
        <v>1</v>
      </c>
      <c r="AH128" s="65" t="b">
        <f>导出!AH128=计算!AH128</f>
        <v>1</v>
      </c>
      <c r="AI128">
        <v>0</v>
      </c>
      <c r="AJ128" s="3">
        <v>41912.686273148101</v>
      </c>
      <c r="AK128" s="2" t="s">
        <v>1945</v>
      </c>
    </row>
    <row r="129" spans="1:37" x14ac:dyDescent="0.15">
      <c r="A129" s="2" t="s">
        <v>1944</v>
      </c>
      <c r="B129">
        <v>943</v>
      </c>
      <c r="C129" s="3">
        <v>41588</v>
      </c>
      <c r="D129" s="2" t="s">
        <v>37</v>
      </c>
      <c r="E129" s="2" t="s">
        <v>1943</v>
      </c>
      <c r="F129" s="2" t="s">
        <v>38</v>
      </c>
      <c r="G129" s="2" t="s">
        <v>297</v>
      </c>
      <c r="H129" s="2" t="s">
        <v>298</v>
      </c>
      <c r="I129" s="65" t="b">
        <f>导出!I129=计算!I129</f>
        <v>1</v>
      </c>
      <c r="J129" s="65" t="b">
        <f>导出!J129=计算!J129</f>
        <v>1</v>
      </c>
      <c r="K129" s="65" t="b">
        <f>导出!K129=计算!K129</f>
        <v>1</v>
      </c>
      <c r="L129" s="65" t="b">
        <f>导出!L129=计算!L129</f>
        <v>1</v>
      </c>
      <c r="M129" s="65" t="b">
        <f>导出!M129=计算!M129</f>
        <v>1</v>
      </c>
      <c r="N129" s="65" t="b">
        <f>导出!N129=计算!N129</f>
        <v>1</v>
      </c>
      <c r="O129" s="65" t="b">
        <f>导出!O129=计算!O129</f>
        <v>1</v>
      </c>
      <c r="P129" s="65" t="b">
        <f>导出!P129=计算!P129</f>
        <v>1</v>
      </c>
      <c r="Q129" s="65" t="b">
        <f>导出!Q129=计算!Q129</f>
        <v>0</v>
      </c>
      <c r="R129" s="65" t="b">
        <f>导出!R129=计算!R129</f>
        <v>1</v>
      </c>
      <c r="S129" s="65" t="b">
        <f>导出!S129=计算!S129</f>
        <v>1</v>
      </c>
      <c r="T129" s="65" t="b">
        <f>导出!T129=计算!T129</f>
        <v>1</v>
      </c>
      <c r="U129" s="65" t="b">
        <f>导出!U129=计算!U129</f>
        <v>1</v>
      </c>
      <c r="V129" s="65" t="b">
        <f>导出!V129=计算!V129</f>
        <v>0</v>
      </c>
      <c r="W129" s="65" t="b">
        <f>导出!W129=计算!W129</f>
        <v>1</v>
      </c>
      <c r="X129" s="65" t="b">
        <f>导出!X129=计算!X129</f>
        <v>1</v>
      </c>
      <c r="Y129" s="65" t="b">
        <f>导出!Y129=计算!Y129</f>
        <v>0</v>
      </c>
      <c r="Z129" s="65" t="b">
        <f>导出!Z129=计算!Z129</f>
        <v>1</v>
      </c>
      <c r="AA129" s="65" t="b">
        <f>导出!AA129=计算!AA129</f>
        <v>0</v>
      </c>
      <c r="AB129" s="65" t="b">
        <f>导出!AB129=计算!AB129</f>
        <v>0</v>
      </c>
      <c r="AC129" s="65" t="b">
        <f>导出!AC129=计算!AC129</f>
        <v>1</v>
      </c>
      <c r="AD129" s="65" t="b">
        <f>导出!AD129=计算!AD129</f>
        <v>1</v>
      </c>
      <c r="AE129" s="65" t="b">
        <f>导出!AE129=计算!AE129</f>
        <v>0</v>
      </c>
      <c r="AF129" s="65" t="b">
        <f>导出!AF129=计算!AF129</f>
        <v>1</v>
      </c>
      <c r="AG129" s="65" t="b">
        <f>导出!AG129=计算!AG129</f>
        <v>1</v>
      </c>
      <c r="AH129" s="65" t="b">
        <f>导出!AH129=计算!AH129</f>
        <v>1</v>
      </c>
      <c r="AI129">
        <v>0</v>
      </c>
      <c r="AJ129" s="3">
        <v>41912.686273148101</v>
      </c>
      <c r="AK129" s="2" t="s">
        <v>1942</v>
      </c>
    </row>
    <row r="130" spans="1:37" x14ac:dyDescent="0.15">
      <c r="A130" s="2" t="s">
        <v>1941</v>
      </c>
      <c r="B130">
        <v>1034</v>
      </c>
      <c r="C130" s="3">
        <v>41592</v>
      </c>
      <c r="D130" s="2" t="s">
        <v>37</v>
      </c>
      <c r="E130" s="2" t="s">
        <v>1940</v>
      </c>
      <c r="F130" s="2" t="s">
        <v>38</v>
      </c>
      <c r="G130" s="2" t="s">
        <v>299</v>
      </c>
      <c r="H130" s="2" t="s">
        <v>300</v>
      </c>
      <c r="I130" s="65" t="b">
        <f>导出!I130=计算!I130</f>
        <v>1</v>
      </c>
      <c r="J130" s="65" t="b">
        <f>导出!J130=计算!J130</f>
        <v>1</v>
      </c>
      <c r="K130" s="65" t="b">
        <f>导出!K130=计算!K130</f>
        <v>1</v>
      </c>
      <c r="L130" s="65" t="b">
        <f>导出!L130=计算!L130</f>
        <v>1</v>
      </c>
      <c r="M130" s="65" t="b">
        <f>导出!M130=计算!M130</f>
        <v>1</v>
      </c>
      <c r="N130" s="65" t="b">
        <f>导出!N130=计算!N130</f>
        <v>1</v>
      </c>
      <c r="O130" s="65" t="b">
        <f>导出!O130=计算!O130</f>
        <v>1</v>
      </c>
      <c r="P130" s="65" t="b">
        <f>导出!P130=计算!P130</f>
        <v>1</v>
      </c>
      <c r="Q130" s="65" t="b">
        <f>导出!Q130=计算!Q130</f>
        <v>0</v>
      </c>
      <c r="R130" s="65" t="b">
        <f>导出!R130=计算!R130</f>
        <v>1</v>
      </c>
      <c r="S130" s="65" t="b">
        <f>导出!S130=计算!S130</f>
        <v>1</v>
      </c>
      <c r="T130" s="65" t="b">
        <f>导出!T130=计算!T130</f>
        <v>1</v>
      </c>
      <c r="U130" s="65" t="b">
        <f>导出!U130=计算!U130</f>
        <v>1</v>
      </c>
      <c r="V130" s="65" t="b">
        <f>导出!V130=计算!V130</f>
        <v>0</v>
      </c>
      <c r="W130" s="65" t="b">
        <f>导出!W130=计算!W130</f>
        <v>1</v>
      </c>
      <c r="X130" s="65" t="b">
        <f>导出!X130=计算!X130</f>
        <v>1</v>
      </c>
      <c r="Y130" s="65" t="b">
        <f>导出!Y130=计算!Y130</f>
        <v>0</v>
      </c>
      <c r="Z130" s="65" t="b">
        <f>导出!Z130=计算!Z130</f>
        <v>1</v>
      </c>
      <c r="AA130" s="65" t="b">
        <f>导出!AA130=计算!AA130</f>
        <v>1</v>
      </c>
      <c r="AB130" s="65" t="b">
        <f>导出!AB130=计算!AB130</f>
        <v>1</v>
      </c>
      <c r="AC130" s="65" t="b">
        <f>导出!AC130=计算!AC130</f>
        <v>1</v>
      </c>
      <c r="AD130" s="65" t="b">
        <f>导出!AD130=计算!AD130</f>
        <v>1</v>
      </c>
      <c r="AE130" s="65" t="b">
        <f>导出!AE130=计算!AE130</f>
        <v>1</v>
      </c>
      <c r="AF130" s="65" t="b">
        <f>导出!AF130=计算!AF130</f>
        <v>1</v>
      </c>
      <c r="AG130" s="65" t="b">
        <f>导出!AG130=计算!AG130</f>
        <v>1</v>
      </c>
      <c r="AH130" s="65" t="b">
        <f>导出!AH130=计算!AH130</f>
        <v>1</v>
      </c>
      <c r="AI130">
        <v>0</v>
      </c>
      <c r="AJ130" s="3">
        <v>41912.686273148101</v>
      </c>
      <c r="AK130" s="2" t="s">
        <v>1939</v>
      </c>
    </row>
    <row r="131" spans="1:37" x14ac:dyDescent="0.15">
      <c r="A131" s="2" t="s">
        <v>1938</v>
      </c>
      <c r="B131">
        <v>1036</v>
      </c>
      <c r="C131" s="3">
        <v>41596</v>
      </c>
      <c r="D131" s="2" t="s">
        <v>37</v>
      </c>
      <c r="E131" s="2" t="s">
        <v>1937</v>
      </c>
      <c r="F131" s="2" t="s">
        <v>38</v>
      </c>
      <c r="G131" s="2" t="s">
        <v>301</v>
      </c>
      <c r="H131" s="2" t="s">
        <v>302</v>
      </c>
      <c r="I131" s="65" t="b">
        <f>导出!I131=计算!I131</f>
        <v>1</v>
      </c>
      <c r="J131" s="65" t="b">
        <f>导出!J131=计算!J131</f>
        <v>1</v>
      </c>
      <c r="K131" s="65" t="b">
        <f>导出!K131=计算!K131</f>
        <v>1</v>
      </c>
      <c r="L131" s="65" t="b">
        <f>导出!L131=计算!L131</f>
        <v>1</v>
      </c>
      <c r="M131" s="65" t="b">
        <f>导出!M131=计算!M131</f>
        <v>1</v>
      </c>
      <c r="N131" s="65" t="b">
        <f>导出!N131=计算!N131</f>
        <v>1</v>
      </c>
      <c r="O131" s="65" t="b">
        <f>导出!O131=计算!O131</f>
        <v>1</v>
      </c>
      <c r="P131" s="65" t="b">
        <f>导出!P131=计算!P131</f>
        <v>1</v>
      </c>
      <c r="Q131" s="65" t="b">
        <f>导出!Q131=计算!Q131</f>
        <v>1</v>
      </c>
      <c r="R131" s="65" t="b">
        <f>导出!R131=计算!R131</f>
        <v>1</v>
      </c>
      <c r="S131" s="65" t="b">
        <f>导出!S131=计算!S131</f>
        <v>1</v>
      </c>
      <c r="T131" s="65" t="b">
        <f>导出!T131=计算!T131</f>
        <v>1</v>
      </c>
      <c r="U131" s="65" t="b">
        <f>导出!U131=计算!U131</f>
        <v>1</v>
      </c>
      <c r="V131" s="65" t="b">
        <f>导出!V131=计算!V131</f>
        <v>1</v>
      </c>
      <c r="W131" s="65" t="b">
        <f>导出!W131=计算!W131</f>
        <v>1</v>
      </c>
      <c r="X131" s="65" t="b">
        <f>导出!X131=计算!X131</f>
        <v>1</v>
      </c>
      <c r="Y131" s="65" t="b">
        <f>导出!Y131=计算!Y131</f>
        <v>1</v>
      </c>
      <c r="Z131" s="65" t="b">
        <f>导出!Z131=计算!Z131</f>
        <v>1</v>
      </c>
      <c r="AA131" s="65" t="b">
        <f>导出!AA131=计算!AA131</f>
        <v>0</v>
      </c>
      <c r="AB131" s="65" t="b">
        <f>导出!AB131=计算!AB131</f>
        <v>1</v>
      </c>
      <c r="AC131" s="65" t="b">
        <f>导出!AC131=计算!AC131</f>
        <v>1</v>
      </c>
      <c r="AD131" s="65" t="b">
        <f>导出!AD131=计算!AD131</f>
        <v>1</v>
      </c>
      <c r="AE131" s="65" t="b">
        <f>导出!AE131=计算!AE131</f>
        <v>1</v>
      </c>
      <c r="AF131" s="65" t="b">
        <f>导出!AF131=计算!AF131</f>
        <v>1</v>
      </c>
      <c r="AG131" s="65" t="b">
        <f>导出!AG131=计算!AG131</f>
        <v>1</v>
      </c>
      <c r="AH131" s="65" t="b">
        <f>导出!AH131=计算!AH131</f>
        <v>1</v>
      </c>
      <c r="AI131">
        <v>0</v>
      </c>
      <c r="AJ131" s="3">
        <v>41912.686273148101</v>
      </c>
      <c r="AK131" s="2" t="s">
        <v>1936</v>
      </c>
    </row>
    <row r="132" spans="1:37" x14ac:dyDescent="0.15">
      <c r="A132" s="2" t="s">
        <v>1935</v>
      </c>
      <c r="B132">
        <v>1016</v>
      </c>
      <c r="C132" s="3">
        <v>41599</v>
      </c>
      <c r="D132" s="2" t="s">
        <v>37</v>
      </c>
      <c r="E132" s="2" t="s">
        <v>1934</v>
      </c>
      <c r="F132" s="2" t="s">
        <v>38</v>
      </c>
      <c r="G132" s="2" t="s">
        <v>304</v>
      </c>
      <c r="H132" s="2" t="s">
        <v>305</v>
      </c>
      <c r="I132" s="65" t="b">
        <f>导出!I132=计算!I132</f>
        <v>1</v>
      </c>
      <c r="J132" s="65" t="b">
        <f>导出!J132=计算!J132</f>
        <v>1</v>
      </c>
      <c r="K132" s="65" t="b">
        <f>导出!K132=计算!K132</f>
        <v>1</v>
      </c>
      <c r="L132" s="65" t="b">
        <f>导出!L132=计算!L132</f>
        <v>1</v>
      </c>
      <c r="M132" s="65" t="b">
        <f>导出!M132=计算!M132</f>
        <v>1</v>
      </c>
      <c r="N132" s="65" t="b">
        <f>导出!N132=计算!N132</f>
        <v>1</v>
      </c>
      <c r="O132" s="65" t="b">
        <f>导出!O132=计算!O132</f>
        <v>1</v>
      </c>
      <c r="P132" s="65" t="b">
        <f>导出!P132=计算!P132</f>
        <v>1</v>
      </c>
      <c r="Q132" s="65" t="b">
        <f>导出!Q132=计算!Q132</f>
        <v>0</v>
      </c>
      <c r="R132" s="65" t="b">
        <f>导出!R132=计算!R132</f>
        <v>1</v>
      </c>
      <c r="S132" s="65" t="b">
        <f>导出!S132=计算!S132</f>
        <v>1</v>
      </c>
      <c r="T132" s="65" t="b">
        <f>导出!T132=计算!T132</f>
        <v>1</v>
      </c>
      <c r="U132" s="65" t="b">
        <f>导出!U132=计算!U132</f>
        <v>1</v>
      </c>
      <c r="V132" s="65" t="b">
        <f>导出!V132=计算!V132</f>
        <v>0</v>
      </c>
      <c r="W132" s="65" t="b">
        <f>导出!W132=计算!W132</f>
        <v>1</v>
      </c>
      <c r="X132" s="65" t="b">
        <f>导出!X132=计算!X132</f>
        <v>1</v>
      </c>
      <c r="Y132" s="65" t="b">
        <f>导出!Y132=计算!Y132</f>
        <v>1</v>
      </c>
      <c r="Z132" s="65" t="b">
        <f>导出!Z132=计算!Z132</f>
        <v>1</v>
      </c>
      <c r="AA132" s="65" t="b">
        <f>导出!AA132=计算!AA132</f>
        <v>0</v>
      </c>
      <c r="AB132" s="65" t="b">
        <f>导出!AB132=计算!AB132</f>
        <v>1</v>
      </c>
      <c r="AC132" s="65" t="b">
        <f>导出!AC132=计算!AC132</f>
        <v>1</v>
      </c>
      <c r="AD132" s="65" t="b">
        <f>导出!AD132=计算!AD132</f>
        <v>1</v>
      </c>
      <c r="AE132" s="65" t="b">
        <f>导出!AE132=计算!AE132</f>
        <v>1</v>
      </c>
      <c r="AF132" s="65" t="b">
        <f>导出!AF132=计算!AF132</f>
        <v>1</v>
      </c>
      <c r="AG132" s="65" t="b">
        <f>导出!AG132=计算!AG132</f>
        <v>1</v>
      </c>
      <c r="AH132" s="65" t="b">
        <f>导出!AH132=计算!AH132</f>
        <v>1</v>
      </c>
      <c r="AI132">
        <v>0</v>
      </c>
      <c r="AJ132" s="3">
        <v>41912.686273148101</v>
      </c>
      <c r="AK132" s="2" t="s">
        <v>1933</v>
      </c>
    </row>
    <row r="133" spans="1:37" x14ac:dyDescent="0.15">
      <c r="A133" s="2" t="s">
        <v>1932</v>
      </c>
      <c r="B133">
        <v>168</v>
      </c>
      <c r="C133" s="3">
        <v>41609</v>
      </c>
      <c r="D133" s="2" t="s">
        <v>37</v>
      </c>
      <c r="E133" s="2" t="s">
        <v>1931</v>
      </c>
      <c r="F133" s="2" t="s">
        <v>41</v>
      </c>
      <c r="G133" s="2" t="s">
        <v>318</v>
      </c>
      <c r="H133" s="2" t="s">
        <v>319</v>
      </c>
      <c r="I133" s="65" t="b">
        <f>导出!I133=计算!I133</f>
        <v>1</v>
      </c>
      <c r="J133" s="65" t="b">
        <f>导出!J133=计算!J133</f>
        <v>1</v>
      </c>
      <c r="K133" s="65" t="b">
        <f>导出!K133=计算!K133</f>
        <v>1</v>
      </c>
      <c r="L133" s="65" t="b">
        <f>导出!L133=计算!L133</f>
        <v>1</v>
      </c>
      <c r="M133" s="65" t="b">
        <f>导出!M133=计算!M133</f>
        <v>1</v>
      </c>
      <c r="N133" s="65" t="b">
        <f>导出!N133=计算!N133</f>
        <v>1</v>
      </c>
      <c r="O133" s="65" t="b">
        <f>导出!O133=计算!O133</f>
        <v>1</v>
      </c>
      <c r="P133" s="65" t="b">
        <f>导出!P133=计算!P133</f>
        <v>1</v>
      </c>
      <c r="Q133" s="65" t="b">
        <f>导出!Q133=计算!Q133</f>
        <v>0</v>
      </c>
      <c r="R133" s="65" t="b">
        <f>导出!R133=计算!R133</f>
        <v>1</v>
      </c>
      <c r="S133" s="65" t="b">
        <f>导出!S133=计算!S133</f>
        <v>1</v>
      </c>
      <c r="T133" s="65" t="b">
        <f>导出!T133=计算!T133</f>
        <v>1</v>
      </c>
      <c r="U133" s="65" t="b">
        <f>导出!U133=计算!U133</f>
        <v>1</v>
      </c>
      <c r="V133" s="65" t="b">
        <f>导出!V133=计算!V133</f>
        <v>1</v>
      </c>
      <c r="W133" s="65" t="b">
        <f>导出!W133=计算!W133</f>
        <v>1</v>
      </c>
      <c r="X133" s="65" t="b">
        <f>导出!X133=计算!X133</f>
        <v>1</v>
      </c>
      <c r="Y133" s="65" t="b">
        <f>导出!Y133=计算!Y133</f>
        <v>1</v>
      </c>
      <c r="Z133" s="65" t="b">
        <f>导出!Z133=计算!Z133</f>
        <v>1</v>
      </c>
      <c r="AA133" s="65" t="b">
        <f>导出!AA133=计算!AA133</f>
        <v>1</v>
      </c>
      <c r="AB133" s="65" t="b">
        <f>导出!AB133=计算!AB133</f>
        <v>1</v>
      </c>
      <c r="AC133" s="65" t="b">
        <f>导出!AC133=计算!AC133</f>
        <v>1</v>
      </c>
      <c r="AD133" s="65" t="b">
        <f>导出!AD133=计算!AD133</f>
        <v>1</v>
      </c>
      <c r="AE133" s="65" t="b">
        <f>导出!AE133=计算!AE133</f>
        <v>1</v>
      </c>
      <c r="AF133" s="65" t="b">
        <f>导出!AF133=计算!AF133</f>
        <v>1</v>
      </c>
      <c r="AG133" s="65" t="b">
        <f>导出!AG133=计算!AG133</f>
        <v>1</v>
      </c>
      <c r="AH133" s="65" t="b">
        <f>导出!AH133=计算!AH133</f>
        <v>1</v>
      </c>
      <c r="AI133">
        <v>0</v>
      </c>
      <c r="AJ133" s="3">
        <v>41912.6862384259</v>
      </c>
      <c r="AK133" s="2" t="s">
        <v>1930</v>
      </c>
    </row>
    <row r="134" spans="1:37" x14ac:dyDescent="0.15">
      <c r="A134" s="2" t="s">
        <v>1929</v>
      </c>
      <c r="B134">
        <v>156</v>
      </c>
      <c r="C134" s="3">
        <v>41609</v>
      </c>
      <c r="D134" s="2" t="s">
        <v>37</v>
      </c>
      <c r="E134" s="2" t="s">
        <v>1928</v>
      </c>
      <c r="F134" s="2" t="s">
        <v>41</v>
      </c>
      <c r="G134" s="2" t="s">
        <v>316</v>
      </c>
      <c r="H134" s="2" t="s">
        <v>317</v>
      </c>
      <c r="I134" s="65" t="b">
        <f>导出!I134=计算!I134</f>
        <v>1</v>
      </c>
      <c r="J134" s="65" t="b">
        <f>导出!J134=计算!J134</f>
        <v>1</v>
      </c>
      <c r="K134" s="65" t="b">
        <f>导出!K134=计算!K134</f>
        <v>1</v>
      </c>
      <c r="L134" s="65" t="b">
        <f>导出!L134=计算!L134</f>
        <v>1</v>
      </c>
      <c r="M134" s="65" t="b">
        <f>导出!M134=计算!M134</f>
        <v>1</v>
      </c>
      <c r="N134" s="65" t="b">
        <f>导出!N134=计算!N134</f>
        <v>1</v>
      </c>
      <c r="O134" s="65" t="b">
        <f>导出!O134=计算!O134</f>
        <v>1</v>
      </c>
      <c r="P134" s="65" t="b">
        <f>导出!P134=计算!P134</f>
        <v>1</v>
      </c>
      <c r="Q134" s="65" t="b">
        <f>导出!Q134=计算!Q134</f>
        <v>1</v>
      </c>
      <c r="R134" s="65" t="b">
        <f>导出!R134=计算!R134</f>
        <v>1</v>
      </c>
      <c r="S134" s="65" t="b">
        <f>导出!S134=计算!S134</f>
        <v>1</v>
      </c>
      <c r="T134" s="65" t="b">
        <f>导出!T134=计算!T134</f>
        <v>1</v>
      </c>
      <c r="U134" s="65" t="b">
        <f>导出!U134=计算!U134</f>
        <v>1</v>
      </c>
      <c r="V134" s="65" t="b">
        <f>导出!V134=计算!V134</f>
        <v>0</v>
      </c>
      <c r="W134" s="65" t="b">
        <f>导出!W134=计算!W134</f>
        <v>1</v>
      </c>
      <c r="X134" s="65" t="b">
        <f>导出!X134=计算!X134</f>
        <v>1</v>
      </c>
      <c r="Y134" s="65" t="b">
        <f>导出!Y134=计算!Y134</f>
        <v>1</v>
      </c>
      <c r="Z134" s="65" t="b">
        <f>导出!Z134=计算!Z134</f>
        <v>1</v>
      </c>
      <c r="AA134" s="65" t="b">
        <f>导出!AA134=计算!AA134</f>
        <v>0</v>
      </c>
      <c r="AB134" s="65" t="b">
        <f>导出!AB134=计算!AB134</f>
        <v>0</v>
      </c>
      <c r="AC134" s="65" t="b">
        <f>导出!AC134=计算!AC134</f>
        <v>1</v>
      </c>
      <c r="AD134" s="65" t="b">
        <f>导出!AD134=计算!AD134</f>
        <v>1</v>
      </c>
      <c r="AE134" s="65" t="b">
        <f>导出!AE134=计算!AE134</f>
        <v>0</v>
      </c>
      <c r="AF134" s="65" t="b">
        <f>导出!AF134=计算!AF134</f>
        <v>1</v>
      </c>
      <c r="AG134" s="65" t="b">
        <f>导出!AG134=计算!AG134</f>
        <v>1</v>
      </c>
      <c r="AH134" s="65" t="b">
        <f>导出!AH134=计算!AH134</f>
        <v>1</v>
      </c>
      <c r="AI134">
        <v>0</v>
      </c>
      <c r="AJ134" s="3">
        <v>41912.6862384259</v>
      </c>
      <c r="AK134" s="2" t="s">
        <v>1927</v>
      </c>
    </row>
    <row r="135" spans="1:37" x14ac:dyDescent="0.15">
      <c r="A135" s="2" t="s">
        <v>1926</v>
      </c>
      <c r="B135">
        <v>183</v>
      </c>
      <c r="C135" s="3">
        <v>41609</v>
      </c>
      <c r="D135" s="2" t="s">
        <v>37</v>
      </c>
      <c r="E135" s="2" t="s">
        <v>1925</v>
      </c>
      <c r="F135" s="2" t="s">
        <v>41</v>
      </c>
      <c r="G135" s="2" t="s">
        <v>322</v>
      </c>
      <c r="H135" s="2" t="s">
        <v>323</v>
      </c>
      <c r="I135" s="65" t="b">
        <f>导出!I135=计算!I135</f>
        <v>1</v>
      </c>
      <c r="J135" s="65" t="b">
        <f>导出!J135=计算!J135</f>
        <v>1</v>
      </c>
      <c r="K135" s="65" t="b">
        <f>导出!K135=计算!K135</f>
        <v>1</v>
      </c>
      <c r="L135" s="65" t="b">
        <f>导出!L135=计算!L135</f>
        <v>1</v>
      </c>
      <c r="M135" s="65" t="b">
        <f>导出!M135=计算!M135</f>
        <v>1</v>
      </c>
      <c r="N135" s="65" t="b">
        <f>导出!N135=计算!N135</f>
        <v>1</v>
      </c>
      <c r="O135" s="65" t="b">
        <f>导出!O135=计算!O135</f>
        <v>1</v>
      </c>
      <c r="P135" s="65" t="b">
        <f>导出!P135=计算!P135</f>
        <v>1</v>
      </c>
      <c r="Q135" s="65" t="b">
        <f>导出!Q135=计算!Q135</f>
        <v>0</v>
      </c>
      <c r="R135" s="65" t="b">
        <f>导出!R135=计算!R135</f>
        <v>1</v>
      </c>
      <c r="S135" s="65" t="b">
        <f>导出!S135=计算!S135</f>
        <v>1</v>
      </c>
      <c r="T135" s="65" t="b">
        <f>导出!T135=计算!T135</f>
        <v>1</v>
      </c>
      <c r="U135" s="65" t="b">
        <f>导出!U135=计算!U135</f>
        <v>1</v>
      </c>
      <c r="V135" s="65" t="b">
        <f>导出!V135=计算!V135</f>
        <v>0</v>
      </c>
      <c r="W135" s="65" t="b">
        <f>导出!W135=计算!W135</f>
        <v>1</v>
      </c>
      <c r="X135" s="65" t="b">
        <f>导出!X135=计算!X135</f>
        <v>1</v>
      </c>
      <c r="Y135" s="65" t="b">
        <f>导出!Y135=计算!Y135</f>
        <v>1</v>
      </c>
      <c r="Z135" s="65" t="b">
        <f>导出!Z135=计算!Z135</f>
        <v>1</v>
      </c>
      <c r="AA135" s="65" t="b">
        <f>导出!AA135=计算!AA135</f>
        <v>0</v>
      </c>
      <c r="AB135" s="65" t="b">
        <f>导出!AB135=计算!AB135</f>
        <v>1</v>
      </c>
      <c r="AC135" s="65" t="b">
        <f>导出!AC135=计算!AC135</f>
        <v>1</v>
      </c>
      <c r="AD135" s="65" t="b">
        <f>导出!AD135=计算!AD135</f>
        <v>1</v>
      </c>
      <c r="AE135" s="65" t="b">
        <f>导出!AE135=计算!AE135</f>
        <v>0</v>
      </c>
      <c r="AF135" s="65" t="b">
        <f>导出!AF135=计算!AF135</f>
        <v>1</v>
      </c>
      <c r="AG135" s="65" t="b">
        <f>导出!AG135=计算!AG135</f>
        <v>1</v>
      </c>
      <c r="AH135" s="65" t="b">
        <f>导出!AH135=计算!AH135</f>
        <v>1</v>
      </c>
      <c r="AI135">
        <v>0</v>
      </c>
      <c r="AJ135" s="3">
        <v>41912.6862384259</v>
      </c>
      <c r="AK135" s="2" t="s">
        <v>1924</v>
      </c>
    </row>
    <row r="136" spans="1:37" x14ac:dyDescent="0.15">
      <c r="A136" s="2" t="s">
        <v>1923</v>
      </c>
      <c r="B136">
        <v>197</v>
      </c>
      <c r="C136" s="3">
        <v>41609</v>
      </c>
      <c r="D136" s="2" t="s">
        <v>37</v>
      </c>
      <c r="E136" s="2" t="s">
        <v>1922</v>
      </c>
      <c r="F136" s="2" t="s">
        <v>41</v>
      </c>
      <c r="G136" s="2" t="s">
        <v>320</v>
      </c>
      <c r="H136" s="2" t="s">
        <v>321</v>
      </c>
      <c r="I136" s="65" t="b">
        <f>导出!I136=计算!I136</f>
        <v>1</v>
      </c>
      <c r="J136" s="65" t="b">
        <f>导出!J136=计算!J136</f>
        <v>1</v>
      </c>
      <c r="K136" s="65" t="b">
        <f>导出!K136=计算!K136</f>
        <v>1</v>
      </c>
      <c r="L136" s="65" t="b">
        <f>导出!L136=计算!L136</f>
        <v>1</v>
      </c>
      <c r="M136" s="65" t="b">
        <f>导出!M136=计算!M136</f>
        <v>1</v>
      </c>
      <c r="N136" s="65" t="b">
        <f>导出!N136=计算!N136</f>
        <v>1</v>
      </c>
      <c r="O136" s="65" t="b">
        <f>导出!O136=计算!O136</f>
        <v>1</v>
      </c>
      <c r="P136" s="65" t="b">
        <f>导出!P136=计算!P136</f>
        <v>1</v>
      </c>
      <c r="Q136" s="65" t="b">
        <f>导出!Q136=计算!Q136</f>
        <v>1</v>
      </c>
      <c r="R136" s="65" t="b">
        <f>导出!R136=计算!R136</f>
        <v>1</v>
      </c>
      <c r="S136" s="65" t="b">
        <f>导出!S136=计算!S136</f>
        <v>1</v>
      </c>
      <c r="T136" s="65" t="b">
        <f>导出!T136=计算!T136</f>
        <v>1</v>
      </c>
      <c r="U136" s="65" t="b">
        <f>导出!U136=计算!U136</f>
        <v>1</v>
      </c>
      <c r="V136" s="65" t="b">
        <f>导出!V136=计算!V136</f>
        <v>0</v>
      </c>
      <c r="W136" s="65" t="b">
        <f>导出!W136=计算!W136</f>
        <v>1</v>
      </c>
      <c r="X136" s="65" t="b">
        <f>导出!X136=计算!X136</f>
        <v>1</v>
      </c>
      <c r="Y136" s="65" t="b">
        <f>导出!Y136=计算!Y136</f>
        <v>1</v>
      </c>
      <c r="Z136" s="65" t="b">
        <f>导出!Z136=计算!Z136</f>
        <v>1</v>
      </c>
      <c r="AA136" s="65" t="b">
        <f>导出!AA136=计算!AA136</f>
        <v>0</v>
      </c>
      <c r="AB136" s="65" t="b">
        <f>导出!AB136=计算!AB136</f>
        <v>1</v>
      </c>
      <c r="AC136" s="65" t="b">
        <f>导出!AC136=计算!AC136</f>
        <v>1</v>
      </c>
      <c r="AD136" s="65" t="b">
        <f>导出!AD136=计算!AD136</f>
        <v>1</v>
      </c>
      <c r="AE136" s="65" t="b">
        <f>导出!AE136=计算!AE136</f>
        <v>1</v>
      </c>
      <c r="AF136" s="65" t="b">
        <f>导出!AF136=计算!AF136</f>
        <v>1</v>
      </c>
      <c r="AG136" s="65" t="b">
        <f>导出!AG136=计算!AG136</f>
        <v>1</v>
      </c>
      <c r="AH136" s="65" t="b">
        <f>导出!AH136=计算!AH136</f>
        <v>1</v>
      </c>
      <c r="AI136">
        <v>0</v>
      </c>
      <c r="AJ136" s="3">
        <v>41912.6862384259</v>
      </c>
      <c r="AK136" s="2" t="s">
        <v>1921</v>
      </c>
    </row>
    <row r="137" spans="1:37" x14ac:dyDescent="0.15">
      <c r="A137" s="2" t="s">
        <v>1920</v>
      </c>
      <c r="B137">
        <v>1043</v>
      </c>
      <c r="C137" s="3">
        <v>41609</v>
      </c>
      <c r="D137" s="2" t="s">
        <v>37</v>
      </c>
      <c r="E137" s="2" t="s">
        <v>1919</v>
      </c>
      <c r="F137" s="2" t="s">
        <v>38</v>
      </c>
      <c r="G137" s="2" t="s">
        <v>312</v>
      </c>
      <c r="H137" s="2" t="s">
        <v>313</v>
      </c>
      <c r="I137" s="65" t="b">
        <f>导出!I137=计算!I137</f>
        <v>1</v>
      </c>
      <c r="J137" s="65" t="b">
        <f>导出!J137=计算!J137</f>
        <v>1</v>
      </c>
      <c r="K137" s="65" t="b">
        <f>导出!K137=计算!K137</f>
        <v>1</v>
      </c>
      <c r="L137" s="65" t="b">
        <f>导出!L137=计算!L137</f>
        <v>1</v>
      </c>
      <c r="M137" s="65" t="b">
        <f>导出!M137=计算!M137</f>
        <v>1</v>
      </c>
      <c r="N137" s="65" t="b">
        <f>导出!N137=计算!N137</f>
        <v>1</v>
      </c>
      <c r="O137" s="65" t="b">
        <f>导出!O137=计算!O137</f>
        <v>1</v>
      </c>
      <c r="P137" s="65" t="b">
        <f>导出!P137=计算!P137</f>
        <v>1</v>
      </c>
      <c r="Q137" s="65" t="b">
        <f>导出!Q137=计算!Q137</f>
        <v>1</v>
      </c>
      <c r="R137" s="65" t="b">
        <f>导出!R137=计算!R137</f>
        <v>1</v>
      </c>
      <c r="S137" s="65" t="b">
        <f>导出!S137=计算!S137</f>
        <v>1</v>
      </c>
      <c r="T137" s="65" t="b">
        <f>导出!T137=计算!T137</f>
        <v>1</v>
      </c>
      <c r="U137" s="65" t="b">
        <f>导出!U137=计算!U137</f>
        <v>1</v>
      </c>
      <c r="V137" s="65" t="b">
        <f>导出!V137=计算!V137</f>
        <v>0</v>
      </c>
      <c r="W137" s="65" t="b">
        <f>导出!W137=计算!W137</f>
        <v>1</v>
      </c>
      <c r="X137" s="65" t="b">
        <f>导出!X137=计算!X137</f>
        <v>1</v>
      </c>
      <c r="Y137" s="65" t="b">
        <f>导出!Y137=计算!Y137</f>
        <v>1</v>
      </c>
      <c r="Z137" s="65" t="b">
        <f>导出!Z137=计算!Z137</f>
        <v>1</v>
      </c>
      <c r="AA137" s="65" t="b">
        <f>导出!AA137=计算!AA137</f>
        <v>1</v>
      </c>
      <c r="AB137" s="65" t="b">
        <f>导出!AB137=计算!AB137</f>
        <v>1</v>
      </c>
      <c r="AC137" s="65" t="b">
        <f>导出!AC137=计算!AC137</f>
        <v>1</v>
      </c>
      <c r="AD137" s="65" t="b">
        <f>导出!AD137=计算!AD137</f>
        <v>1</v>
      </c>
      <c r="AE137" s="65" t="b">
        <f>导出!AE137=计算!AE137</f>
        <v>1</v>
      </c>
      <c r="AF137" s="65" t="b">
        <f>导出!AF137=计算!AF137</f>
        <v>1</v>
      </c>
      <c r="AG137" s="65" t="b">
        <f>导出!AG137=计算!AG137</f>
        <v>1</v>
      </c>
      <c r="AH137" s="65" t="b">
        <f>导出!AH137=计算!AH137</f>
        <v>1</v>
      </c>
      <c r="AI137">
        <v>0</v>
      </c>
      <c r="AJ137" s="3">
        <v>41912.6862847222</v>
      </c>
      <c r="AK137" s="2" t="s">
        <v>1918</v>
      </c>
    </row>
    <row r="138" spans="1:37" x14ac:dyDescent="0.15">
      <c r="A138" s="2" t="s">
        <v>1917</v>
      </c>
      <c r="B138">
        <v>211</v>
      </c>
      <c r="C138" s="3">
        <v>41609</v>
      </c>
      <c r="D138" s="2" t="s">
        <v>37</v>
      </c>
      <c r="E138" s="2" t="s">
        <v>1916</v>
      </c>
      <c r="F138" s="2" t="s">
        <v>41</v>
      </c>
      <c r="G138" s="2" t="s">
        <v>326</v>
      </c>
      <c r="H138" s="2" t="s">
        <v>327</v>
      </c>
      <c r="I138" s="65" t="b">
        <f>导出!I138=计算!I138</f>
        <v>1</v>
      </c>
      <c r="J138" s="65" t="b">
        <f>导出!J138=计算!J138</f>
        <v>1</v>
      </c>
      <c r="K138" s="65" t="b">
        <f>导出!K138=计算!K138</f>
        <v>1</v>
      </c>
      <c r="L138" s="65" t="b">
        <f>导出!L138=计算!L138</f>
        <v>1</v>
      </c>
      <c r="M138" s="65" t="b">
        <f>导出!M138=计算!M138</f>
        <v>1</v>
      </c>
      <c r="N138" s="65" t="b">
        <f>导出!N138=计算!N138</f>
        <v>1</v>
      </c>
      <c r="O138" s="65" t="b">
        <f>导出!O138=计算!O138</f>
        <v>1</v>
      </c>
      <c r="P138" s="65" t="b">
        <f>导出!P138=计算!P138</f>
        <v>1</v>
      </c>
      <c r="Q138" s="65" t="b">
        <f>导出!Q138=计算!Q138</f>
        <v>1</v>
      </c>
      <c r="R138" s="65" t="b">
        <f>导出!R138=计算!R138</f>
        <v>1</v>
      </c>
      <c r="S138" s="65" t="b">
        <f>导出!S138=计算!S138</f>
        <v>1</v>
      </c>
      <c r="T138" s="65" t="b">
        <f>导出!T138=计算!T138</f>
        <v>1</v>
      </c>
      <c r="U138" s="65" t="b">
        <f>导出!U138=计算!U138</f>
        <v>1</v>
      </c>
      <c r="V138" s="65" t="b">
        <f>导出!V138=计算!V138</f>
        <v>0</v>
      </c>
      <c r="W138" s="65" t="b">
        <f>导出!W138=计算!W138</f>
        <v>1</v>
      </c>
      <c r="X138" s="65" t="b">
        <f>导出!X138=计算!X138</f>
        <v>1</v>
      </c>
      <c r="Y138" s="65" t="b">
        <f>导出!Y138=计算!Y138</f>
        <v>1</v>
      </c>
      <c r="Z138" s="65" t="b">
        <f>导出!Z138=计算!Z138</f>
        <v>1</v>
      </c>
      <c r="AA138" s="65" t="b">
        <f>导出!AA138=计算!AA138</f>
        <v>0</v>
      </c>
      <c r="AB138" s="65" t="b">
        <f>导出!AB138=计算!AB138</f>
        <v>1</v>
      </c>
      <c r="AC138" s="65" t="b">
        <f>导出!AC138=计算!AC138</f>
        <v>1</v>
      </c>
      <c r="AD138" s="65" t="b">
        <f>导出!AD138=计算!AD138</f>
        <v>1</v>
      </c>
      <c r="AE138" s="65" t="b">
        <f>导出!AE138=计算!AE138</f>
        <v>1</v>
      </c>
      <c r="AF138" s="65" t="b">
        <f>导出!AF138=计算!AF138</f>
        <v>1</v>
      </c>
      <c r="AG138" s="65" t="b">
        <f>导出!AG138=计算!AG138</f>
        <v>1</v>
      </c>
      <c r="AH138" s="65" t="b">
        <f>导出!AH138=计算!AH138</f>
        <v>1</v>
      </c>
      <c r="AI138">
        <v>0</v>
      </c>
      <c r="AJ138" s="3">
        <v>41912.6862384259</v>
      </c>
      <c r="AK138" s="2" t="s">
        <v>1915</v>
      </c>
    </row>
    <row r="139" spans="1:37" x14ac:dyDescent="0.15">
      <c r="A139" s="2" t="s">
        <v>1914</v>
      </c>
      <c r="B139">
        <v>173</v>
      </c>
      <c r="C139" s="3">
        <v>41609</v>
      </c>
      <c r="D139" s="2" t="s">
        <v>37</v>
      </c>
      <c r="E139" s="2" t="s">
        <v>1913</v>
      </c>
      <c r="F139" s="2" t="s">
        <v>41</v>
      </c>
      <c r="G139" s="2" t="s">
        <v>330</v>
      </c>
      <c r="H139" s="2" t="s">
        <v>331</v>
      </c>
      <c r="I139" s="65" t="b">
        <f>导出!I139=计算!I139</f>
        <v>1</v>
      </c>
      <c r="J139" s="65" t="b">
        <f>导出!J139=计算!J139</f>
        <v>1</v>
      </c>
      <c r="K139" s="65" t="b">
        <f>导出!K139=计算!K139</f>
        <v>1</v>
      </c>
      <c r="L139" s="65" t="b">
        <f>导出!L139=计算!L139</f>
        <v>1</v>
      </c>
      <c r="M139" s="65" t="b">
        <f>导出!M139=计算!M139</f>
        <v>1</v>
      </c>
      <c r="N139" s="65" t="b">
        <f>导出!N139=计算!N139</f>
        <v>0</v>
      </c>
      <c r="O139" s="65" t="b">
        <f>导出!O139=计算!O139</f>
        <v>1</v>
      </c>
      <c r="P139" s="65" t="b">
        <f>导出!P139=计算!P139</f>
        <v>1</v>
      </c>
      <c r="Q139" s="65" t="b">
        <f>导出!Q139=计算!Q139</f>
        <v>0</v>
      </c>
      <c r="R139" s="65" t="b">
        <f>导出!R139=计算!R139</f>
        <v>1</v>
      </c>
      <c r="S139" s="65" t="b">
        <f>导出!S139=计算!S139</f>
        <v>1</v>
      </c>
      <c r="T139" s="65" t="b">
        <f>导出!T139=计算!T139</f>
        <v>1</v>
      </c>
      <c r="U139" s="65" t="b">
        <f>导出!U139=计算!U139</f>
        <v>1</v>
      </c>
      <c r="V139" s="65" t="b">
        <f>导出!V139=计算!V139</f>
        <v>0</v>
      </c>
      <c r="W139" s="65" t="b">
        <f>导出!W139=计算!W139</f>
        <v>1</v>
      </c>
      <c r="X139" s="65" t="b">
        <f>导出!X139=计算!X139</f>
        <v>1</v>
      </c>
      <c r="Y139" s="65" t="b">
        <f>导出!Y139=计算!Y139</f>
        <v>1</v>
      </c>
      <c r="Z139" s="65" t="b">
        <f>导出!Z139=计算!Z139</f>
        <v>1</v>
      </c>
      <c r="AA139" s="65" t="b">
        <f>导出!AA139=计算!AA139</f>
        <v>0</v>
      </c>
      <c r="AB139" s="65" t="b">
        <f>导出!AB139=计算!AB139</f>
        <v>0</v>
      </c>
      <c r="AC139" s="65" t="b">
        <f>导出!AC139=计算!AC139</f>
        <v>1</v>
      </c>
      <c r="AD139" s="65" t="b">
        <f>导出!AD139=计算!AD139</f>
        <v>1</v>
      </c>
      <c r="AE139" s="65" t="b">
        <f>导出!AE139=计算!AE139</f>
        <v>0</v>
      </c>
      <c r="AF139" s="65" t="b">
        <f>导出!AF139=计算!AF139</f>
        <v>1</v>
      </c>
      <c r="AG139" s="65" t="b">
        <f>导出!AG139=计算!AG139</f>
        <v>1</v>
      </c>
      <c r="AH139" s="65" t="b">
        <f>导出!AH139=计算!AH139</f>
        <v>1</v>
      </c>
      <c r="AI139">
        <v>0</v>
      </c>
      <c r="AJ139" s="3">
        <v>41912.6862384259</v>
      </c>
      <c r="AK139" s="2" t="s">
        <v>1912</v>
      </c>
    </row>
    <row r="140" spans="1:37" x14ac:dyDescent="0.15">
      <c r="A140" s="2" t="s">
        <v>1911</v>
      </c>
      <c r="B140">
        <v>161</v>
      </c>
      <c r="C140" s="3">
        <v>41609</v>
      </c>
      <c r="D140" s="2" t="s">
        <v>37</v>
      </c>
      <c r="E140" s="2" t="s">
        <v>1910</v>
      </c>
      <c r="F140" s="2" t="s">
        <v>41</v>
      </c>
      <c r="G140" s="2" t="s">
        <v>328</v>
      </c>
      <c r="H140" s="2" t="s">
        <v>329</v>
      </c>
      <c r="I140" s="65" t="b">
        <f>导出!I140=计算!I140</f>
        <v>1</v>
      </c>
      <c r="J140" s="65" t="b">
        <f>导出!J140=计算!J140</f>
        <v>1</v>
      </c>
      <c r="K140" s="65" t="b">
        <f>导出!K140=计算!K140</f>
        <v>1</v>
      </c>
      <c r="L140" s="65" t="b">
        <f>导出!L140=计算!L140</f>
        <v>1</v>
      </c>
      <c r="M140" s="65" t="b">
        <f>导出!M140=计算!M140</f>
        <v>1</v>
      </c>
      <c r="N140" s="65" t="b">
        <f>导出!N140=计算!N140</f>
        <v>1</v>
      </c>
      <c r="O140" s="65" t="b">
        <f>导出!O140=计算!O140</f>
        <v>1</v>
      </c>
      <c r="P140" s="65" t="b">
        <f>导出!P140=计算!P140</f>
        <v>1</v>
      </c>
      <c r="Q140" s="65" t="b">
        <f>导出!Q140=计算!Q140</f>
        <v>1</v>
      </c>
      <c r="R140" s="65" t="b">
        <f>导出!R140=计算!R140</f>
        <v>1</v>
      </c>
      <c r="S140" s="65" t="b">
        <f>导出!S140=计算!S140</f>
        <v>1</v>
      </c>
      <c r="T140" s="65" t="b">
        <f>导出!T140=计算!T140</f>
        <v>1</v>
      </c>
      <c r="U140" s="65" t="b">
        <f>导出!U140=计算!U140</f>
        <v>1</v>
      </c>
      <c r="V140" s="65" t="b">
        <f>导出!V140=计算!V140</f>
        <v>0</v>
      </c>
      <c r="W140" s="65" t="b">
        <f>导出!W140=计算!W140</f>
        <v>1</v>
      </c>
      <c r="X140" s="65" t="b">
        <f>导出!X140=计算!X140</f>
        <v>1</v>
      </c>
      <c r="Y140" s="65" t="b">
        <f>导出!Y140=计算!Y140</f>
        <v>1</v>
      </c>
      <c r="Z140" s="65" t="b">
        <f>导出!Z140=计算!Z140</f>
        <v>1</v>
      </c>
      <c r="AA140" s="65" t="b">
        <f>导出!AA140=计算!AA140</f>
        <v>0</v>
      </c>
      <c r="AB140" s="65" t="b">
        <f>导出!AB140=计算!AB140</f>
        <v>1</v>
      </c>
      <c r="AC140" s="65" t="b">
        <f>导出!AC140=计算!AC140</f>
        <v>1</v>
      </c>
      <c r="AD140" s="65" t="b">
        <f>导出!AD140=计算!AD140</f>
        <v>1</v>
      </c>
      <c r="AE140" s="65" t="b">
        <f>导出!AE140=计算!AE140</f>
        <v>1</v>
      </c>
      <c r="AF140" s="65" t="b">
        <f>导出!AF140=计算!AF140</f>
        <v>1</v>
      </c>
      <c r="AG140" s="65" t="b">
        <f>导出!AG140=计算!AG140</f>
        <v>1</v>
      </c>
      <c r="AH140" s="65" t="b">
        <f>导出!AH140=计算!AH140</f>
        <v>1</v>
      </c>
      <c r="AI140">
        <v>0</v>
      </c>
      <c r="AJ140" s="3">
        <v>41912.6862384259</v>
      </c>
      <c r="AK140" s="2" t="s">
        <v>1909</v>
      </c>
    </row>
    <row r="141" spans="1:37" x14ac:dyDescent="0.15">
      <c r="A141" s="2" t="s">
        <v>1908</v>
      </c>
      <c r="B141">
        <v>187</v>
      </c>
      <c r="C141" s="3">
        <v>41609</v>
      </c>
      <c r="D141" s="2" t="s">
        <v>37</v>
      </c>
      <c r="E141" s="2" t="s">
        <v>1907</v>
      </c>
      <c r="F141" s="2" t="s">
        <v>41</v>
      </c>
      <c r="G141" s="2" t="s">
        <v>334</v>
      </c>
      <c r="H141" s="2" t="s">
        <v>335</v>
      </c>
      <c r="I141" s="65" t="b">
        <f>导出!I141=计算!I141</f>
        <v>1</v>
      </c>
      <c r="J141" s="65" t="b">
        <f>导出!J141=计算!J141</f>
        <v>1</v>
      </c>
      <c r="K141" s="65" t="b">
        <f>导出!K141=计算!K141</f>
        <v>1</v>
      </c>
      <c r="L141" s="65" t="b">
        <f>导出!L141=计算!L141</f>
        <v>1</v>
      </c>
      <c r="M141" s="65" t="b">
        <f>导出!M141=计算!M141</f>
        <v>1</v>
      </c>
      <c r="N141" s="65" t="b">
        <f>导出!N141=计算!N141</f>
        <v>1</v>
      </c>
      <c r="O141" s="65" t="b">
        <f>导出!O141=计算!O141</f>
        <v>1</v>
      </c>
      <c r="P141" s="65" t="b">
        <f>导出!P141=计算!P141</f>
        <v>1</v>
      </c>
      <c r="Q141" s="65" t="b">
        <f>导出!Q141=计算!Q141</f>
        <v>1</v>
      </c>
      <c r="R141" s="65" t="b">
        <f>导出!R141=计算!R141</f>
        <v>1</v>
      </c>
      <c r="S141" s="65" t="b">
        <f>导出!S141=计算!S141</f>
        <v>1</v>
      </c>
      <c r="T141" s="65" t="b">
        <f>导出!T141=计算!T141</f>
        <v>1</v>
      </c>
      <c r="U141" s="65" t="b">
        <f>导出!U141=计算!U141</f>
        <v>1</v>
      </c>
      <c r="V141" s="65" t="b">
        <f>导出!V141=计算!V141</f>
        <v>0</v>
      </c>
      <c r="W141" s="65" t="b">
        <f>导出!W141=计算!W141</f>
        <v>1</v>
      </c>
      <c r="X141" s="65" t="b">
        <f>导出!X141=计算!X141</f>
        <v>1</v>
      </c>
      <c r="Y141" s="65" t="b">
        <f>导出!Y141=计算!Y141</f>
        <v>1</v>
      </c>
      <c r="Z141" s="65" t="b">
        <f>导出!Z141=计算!Z141</f>
        <v>1</v>
      </c>
      <c r="AA141" s="65" t="b">
        <f>导出!AA141=计算!AA141</f>
        <v>0</v>
      </c>
      <c r="AB141" s="65" t="b">
        <f>导出!AB141=计算!AB141</f>
        <v>1</v>
      </c>
      <c r="AC141" s="65" t="b">
        <f>导出!AC141=计算!AC141</f>
        <v>1</v>
      </c>
      <c r="AD141" s="65" t="b">
        <f>导出!AD141=计算!AD141</f>
        <v>1</v>
      </c>
      <c r="AE141" s="65" t="b">
        <f>导出!AE141=计算!AE141</f>
        <v>1</v>
      </c>
      <c r="AF141" s="65" t="b">
        <f>导出!AF141=计算!AF141</f>
        <v>1</v>
      </c>
      <c r="AG141" s="65" t="b">
        <f>导出!AG141=计算!AG141</f>
        <v>1</v>
      </c>
      <c r="AH141" s="65" t="b">
        <f>导出!AH141=计算!AH141</f>
        <v>1</v>
      </c>
      <c r="AI141">
        <v>0</v>
      </c>
      <c r="AJ141" s="3">
        <v>41912.6862384259</v>
      </c>
      <c r="AK141" s="2" t="s">
        <v>1906</v>
      </c>
    </row>
    <row r="142" spans="1:37" x14ac:dyDescent="0.15">
      <c r="A142" s="2" t="s">
        <v>1905</v>
      </c>
      <c r="B142">
        <v>202</v>
      </c>
      <c r="C142" s="3">
        <v>41609</v>
      </c>
      <c r="D142" s="2" t="s">
        <v>37</v>
      </c>
      <c r="E142" s="2" t="s">
        <v>1904</v>
      </c>
      <c r="F142" s="2" t="s">
        <v>41</v>
      </c>
      <c r="G142" s="2" t="s">
        <v>332</v>
      </c>
      <c r="H142" s="2" t="s">
        <v>333</v>
      </c>
      <c r="I142" s="65" t="b">
        <f>导出!I142=计算!I142</f>
        <v>1</v>
      </c>
      <c r="J142" s="65" t="b">
        <f>导出!J142=计算!J142</f>
        <v>1</v>
      </c>
      <c r="K142" s="65" t="b">
        <f>导出!K142=计算!K142</f>
        <v>1</v>
      </c>
      <c r="L142" s="65" t="b">
        <f>导出!L142=计算!L142</f>
        <v>1</v>
      </c>
      <c r="M142" s="65" t="b">
        <f>导出!M142=计算!M142</f>
        <v>1</v>
      </c>
      <c r="N142" s="65" t="b">
        <f>导出!N142=计算!N142</f>
        <v>1</v>
      </c>
      <c r="O142" s="65" t="b">
        <f>导出!O142=计算!O142</f>
        <v>1</v>
      </c>
      <c r="P142" s="65" t="b">
        <f>导出!P142=计算!P142</f>
        <v>1</v>
      </c>
      <c r="Q142" s="65" t="b">
        <f>导出!Q142=计算!Q142</f>
        <v>1</v>
      </c>
      <c r="R142" s="65" t="b">
        <f>导出!R142=计算!R142</f>
        <v>1</v>
      </c>
      <c r="S142" s="65" t="b">
        <f>导出!S142=计算!S142</f>
        <v>1</v>
      </c>
      <c r="T142" s="65" t="b">
        <f>导出!T142=计算!T142</f>
        <v>1</v>
      </c>
      <c r="U142" s="65" t="b">
        <f>导出!U142=计算!U142</f>
        <v>1</v>
      </c>
      <c r="V142" s="65" t="b">
        <f>导出!V142=计算!V142</f>
        <v>0</v>
      </c>
      <c r="W142" s="65" t="b">
        <f>导出!W142=计算!W142</f>
        <v>1</v>
      </c>
      <c r="X142" s="65" t="b">
        <f>导出!X142=计算!X142</f>
        <v>1</v>
      </c>
      <c r="Y142" s="65" t="b">
        <f>导出!Y142=计算!Y142</f>
        <v>1</v>
      </c>
      <c r="Z142" s="65" t="b">
        <f>导出!Z142=计算!Z142</f>
        <v>1</v>
      </c>
      <c r="AA142" s="65" t="b">
        <f>导出!AA142=计算!AA142</f>
        <v>0</v>
      </c>
      <c r="AB142" s="65" t="b">
        <f>导出!AB142=计算!AB142</f>
        <v>1</v>
      </c>
      <c r="AC142" s="65" t="b">
        <f>导出!AC142=计算!AC142</f>
        <v>1</v>
      </c>
      <c r="AD142" s="65" t="b">
        <f>导出!AD142=计算!AD142</f>
        <v>1</v>
      </c>
      <c r="AE142" s="65" t="b">
        <f>导出!AE142=计算!AE142</f>
        <v>1</v>
      </c>
      <c r="AF142" s="65" t="b">
        <f>导出!AF142=计算!AF142</f>
        <v>1</v>
      </c>
      <c r="AG142" s="65" t="b">
        <f>导出!AG142=计算!AG142</f>
        <v>1</v>
      </c>
      <c r="AH142" s="65" t="b">
        <f>导出!AH142=计算!AH142</f>
        <v>1</v>
      </c>
      <c r="AI142">
        <v>0</v>
      </c>
      <c r="AJ142" s="3">
        <v>41912.6862384259</v>
      </c>
      <c r="AK142" s="2" t="s">
        <v>1903</v>
      </c>
    </row>
    <row r="143" spans="1:37" x14ac:dyDescent="0.15">
      <c r="A143" s="2" t="s">
        <v>1902</v>
      </c>
      <c r="B143">
        <v>1052</v>
      </c>
      <c r="C143" s="3">
        <v>41609</v>
      </c>
      <c r="D143" s="2" t="s">
        <v>37</v>
      </c>
      <c r="E143" s="2" t="s">
        <v>1901</v>
      </c>
      <c r="F143" s="2" t="s">
        <v>38</v>
      </c>
      <c r="G143" s="2" t="s">
        <v>324</v>
      </c>
      <c r="H143" s="2" t="s">
        <v>325</v>
      </c>
      <c r="I143" s="65" t="b">
        <f>导出!I143=计算!I143</f>
        <v>1</v>
      </c>
      <c r="J143" s="65" t="b">
        <f>导出!J143=计算!J143</f>
        <v>1</v>
      </c>
      <c r="K143" s="65" t="b">
        <f>导出!K143=计算!K143</f>
        <v>1</v>
      </c>
      <c r="L143" s="65" t="b">
        <f>导出!L143=计算!L143</f>
        <v>1</v>
      </c>
      <c r="M143" s="65" t="b">
        <f>导出!M143=计算!M143</f>
        <v>1</v>
      </c>
      <c r="N143" s="65" t="b">
        <f>导出!N143=计算!N143</f>
        <v>1</v>
      </c>
      <c r="O143" s="65" t="b">
        <f>导出!O143=计算!O143</f>
        <v>1</v>
      </c>
      <c r="P143" s="65" t="b">
        <f>导出!P143=计算!P143</f>
        <v>1</v>
      </c>
      <c r="Q143" s="65" t="b">
        <f>导出!Q143=计算!Q143</f>
        <v>1</v>
      </c>
      <c r="R143" s="65" t="b">
        <f>导出!R143=计算!R143</f>
        <v>1</v>
      </c>
      <c r="S143" s="65" t="b">
        <f>导出!S143=计算!S143</f>
        <v>1</v>
      </c>
      <c r="T143" s="65" t="b">
        <f>导出!T143=计算!T143</f>
        <v>1</v>
      </c>
      <c r="U143" s="65" t="b">
        <f>导出!U143=计算!U143</f>
        <v>1</v>
      </c>
      <c r="V143" s="65" t="b">
        <f>导出!V143=计算!V143</f>
        <v>0</v>
      </c>
      <c r="W143" s="65" t="b">
        <f>导出!W143=计算!W143</f>
        <v>1</v>
      </c>
      <c r="X143" s="65" t="b">
        <f>导出!X143=计算!X143</f>
        <v>1</v>
      </c>
      <c r="Y143" s="65" t="b">
        <f>导出!Y143=计算!Y143</f>
        <v>0</v>
      </c>
      <c r="Z143" s="65" t="b">
        <f>导出!Z143=计算!Z143</f>
        <v>1</v>
      </c>
      <c r="AA143" s="65" t="b">
        <f>导出!AA143=计算!AA143</f>
        <v>0</v>
      </c>
      <c r="AB143" s="65" t="b">
        <f>导出!AB143=计算!AB143</f>
        <v>1</v>
      </c>
      <c r="AC143" s="65" t="b">
        <f>导出!AC143=计算!AC143</f>
        <v>1</v>
      </c>
      <c r="AD143" s="65" t="b">
        <f>导出!AD143=计算!AD143</f>
        <v>1</v>
      </c>
      <c r="AE143" s="65" t="b">
        <f>导出!AE143=计算!AE143</f>
        <v>1</v>
      </c>
      <c r="AF143" s="65" t="b">
        <f>导出!AF143=计算!AF143</f>
        <v>1</v>
      </c>
      <c r="AG143" s="65" t="b">
        <f>导出!AG143=计算!AG143</f>
        <v>1</v>
      </c>
      <c r="AH143" s="65" t="b">
        <f>导出!AH143=计算!AH143</f>
        <v>1</v>
      </c>
      <c r="AI143">
        <v>0</v>
      </c>
      <c r="AJ143" s="3">
        <v>41912.6862847222</v>
      </c>
      <c r="AK143" s="2" t="s">
        <v>1900</v>
      </c>
    </row>
    <row r="144" spans="1:37" x14ac:dyDescent="0.15">
      <c r="A144" s="2" t="s">
        <v>1899</v>
      </c>
      <c r="B144">
        <v>166</v>
      </c>
      <c r="C144" s="3">
        <v>41609</v>
      </c>
      <c r="D144" s="2" t="s">
        <v>37</v>
      </c>
      <c r="E144" s="2" t="s">
        <v>1898</v>
      </c>
      <c r="F144" s="2" t="s">
        <v>41</v>
      </c>
      <c r="G144" s="2" t="s">
        <v>306</v>
      </c>
      <c r="H144" s="2" t="s">
        <v>307</v>
      </c>
      <c r="I144" s="65" t="b">
        <f>导出!I144=计算!I144</f>
        <v>1</v>
      </c>
      <c r="J144" s="65" t="b">
        <f>导出!J144=计算!J144</f>
        <v>1</v>
      </c>
      <c r="K144" s="65" t="b">
        <f>导出!K144=计算!K144</f>
        <v>1</v>
      </c>
      <c r="L144" s="65" t="b">
        <f>导出!L144=计算!L144</f>
        <v>1</v>
      </c>
      <c r="M144" s="65" t="b">
        <f>导出!M144=计算!M144</f>
        <v>1</v>
      </c>
      <c r="N144" s="65" t="b">
        <f>导出!N144=计算!N144</f>
        <v>1</v>
      </c>
      <c r="O144" s="65" t="b">
        <f>导出!O144=计算!O144</f>
        <v>1</v>
      </c>
      <c r="P144" s="65" t="b">
        <f>导出!P144=计算!P144</f>
        <v>1</v>
      </c>
      <c r="Q144" s="65" t="b">
        <f>导出!Q144=计算!Q144</f>
        <v>0</v>
      </c>
      <c r="R144" s="65" t="b">
        <f>导出!R144=计算!R144</f>
        <v>1</v>
      </c>
      <c r="S144" s="65" t="b">
        <f>导出!S144=计算!S144</f>
        <v>1</v>
      </c>
      <c r="T144" s="65" t="b">
        <f>导出!T144=计算!T144</f>
        <v>1</v>
      </c>
      <c r="U144" s="65" t="b">
        <f>导出!U144=计算!U144</f>
        <v>1</v>
      </c>
      <c r="V144" s="65" t="b">
        <f>导出!V144=计算!V144</f>
        <v>0</v>
      </c>
      <c r="W144" s="65" t="b">
        <f>导出!W144=计算!W144</f>
        <v>1</v>
      </c>
      <c r="X144" s="65" t="b">
        <f>导出!X144=计算!X144</f>
        <v>1</v>
      </c>
      <c r="Y144" s="65" t="b">
        <f>导出!Y144=计算!Y144</f>
        <v>1</v>
      </c>
      <c r="Z144" s="65" t="b">
        <f>导出!Z144=计算!Z144</f>
        <v>1</v>
      </c>
      <c r="AA144" s="65" t="b">
        <f>导出!AA144=计算!AA144</f>
        <v>1</v>
      </c>
      <c r="AB144" s="65" t="b">
        <f>导出!AB144=计算!AB144</f>
        <v>1</v>
      </c>
      <c r="AC144" s="65" t="b">
        <f>导出!AC144=计算!AC144</f>
        <v>1</v>
      </c>
      <c r="AD144" s="65" t="b">
        <f>导出!AD144=计算!AD144</f>
        <v>1</v>
      </c>
      <c r="AE144" s="65" t="b">
        <f>导出!AE144=计算!AE144</f>
        <v>1</v>
      </c>
      <c r="AF144" s="65" t="b">
        <f>导出!AF144=计算!AF144</f>
        <v>1</v>
      </c>
      <c r="AG144" s="65" t="b">
        <f>导出!AG144=计算!AG144</f>
        <v>1</v>
      </c>
      <c r="AH144" s="65" t="b">
        <f>导出!AH144=计算!AH144</f>
        <v>1</v>
      </c>
      <c r="AI144">
        <v>0</v>
      </c>
      <c r="AJ144" s="3">
        <v>41912.6862384259</v>
      </c>
      <c r="AK144" s="2" t="s">
        <v>1897</v>
      </c>
    </row>
    <row r="145" spans="1:37" x14ac:dyDescent="0.15">
      <c r="A145" s="2" t="s">
        <v>1896</v>
      </c>
      <c r="B145">
        <v>178</v>
      </c>
      <c r="C145" s="3">
        <v>41609</v>
      </c>
      <c r="D145" s="2" t="s">
        <v>37</v>
      </c>
      <c r="E145" s="2" t="s">
        <v>1895</v>
      </c>
      <c r="F145" s="2" t="s">
        <v>41</v>
      </c>
      <c r="G145" s="2" t="s">
        <v>308</v>
      </c>
      <c r="H145" s="2" t="s">
        <v>309</v>
      </c>
      <c r="I145" s="65" t="b">
        <f>导出!I145=计算!I145</f>
        <v>1</v>
      </c>
      <c r="J145" s="65" t="b">
        <f>导出!J145=计算!J145</f>
        <v>1</v>
      </c>
      <c r="K145" s="65" t="b">
        <f>导出!K145=计算!K145</f>
        <v>1</v>
      </c>
      <c r="L145" s="65" t="b">
        <f>导出!L145=计算!L145</f>
        <v>1</v>
      </c>
      <c r="M145" s="65" t="b">
        <f>导出!M145=计算!M145</f>
        <v>1</v>
      </c>
      <c r="N145" s="65" t="b">
        <f>导出!N145=计算!N145</f>
        <v>1</v>
      </c>
      <c r="O145" s="65" t="b">
        <f>导出!O145=计算!O145</f>
        <v>1</v>
      </c>
      <c r="P145" s="65" t="b">
        <f>导出!P145=计算!P145</f>
        <v>1</v>
      </c>
      <c r="Q145" s="65" t="b">
        <f>导出!Q145=计算!Q145</f>
        <v>1</v>
      </c>
      <c r="R145" s="65" t="b">
        <f>导出!R145=计算!R145</f>
        <v>1</v>
      </c>
      <c r="S145" s="65" t="b">
        <f>导出!S145=计算!S145</f>
        <v>1</v>
      </c>
      <c r="T145" s="65" t="b">
        <f>导出!T145=计算!T145</f>
        <v>1</v>
      </c>
      <c r="U145" s="65" t="b">
        <f>导出!U145=计算!U145</f>
        <v>1</v>
      </c>
      <c r="V145" s="65" t="b">
        <f>导出!V145=计算!V145</f>
        <v>0</v>
      </c>
      <c r="W145" s="65" t="b">
        <f>导出!W145=计算!W145</f>
        <v>1</v>
      </c>
      <c r="X145" s="65" t="b">
        <f>导出!X145=计算!X145</f>
        <v>1</v>
      </c>
      <c r="Y145" s="65" t="b">
        <f>导出!Y145=计算!Y145</f>
        <v>1</v>
      </c>
      <c r="Z145" s="65" t="b">
        <f>导出!Z145=计算!Z145</f>
        <v>1</v>
      </c>
      <c r="AA145" s="65" t="b">
        <f>导出!AA145=计算!AA145</f>
        <v>0</v>
      </c>
      <c r="AB145" s="65" t="b">
        <f>导出!AB145=计算!AB145</f>
        <v>1</v>
      </c>
      <c r="AC145" s="65" t="b">
        <f>导出!AC145=计算!AC145</f>
        <v>1</v>
      </c>
      <c r="AD145" s="65" t="b">
        <f>导出!AD145=计算!AD145</f>
        <v>1</v>
      </c>
      <c r="AE145" s="65" t="b">
        <f>导出!AE145=计算!AE145</f>
        <v>1</v>
      </c>
      <c r="AF145" s="65" t="b">
        <f>导出!AF145=计算!AF145</f>
        <v>1</v>
      </c>
      <c r="AG145" s="65" t="b">
        <f>导出!AG145=计算!AG145</f>
        <v>1</v>
      </c>
      <c r="AH145" s="65" t="b">
        <f>导出!AH145=计算!AH145</f>
        <v>1</v>
      </c>
      <c r="AI145">
        <v>0</v>
      </c>
      <c r="AJ145" s="3">
        <v>41912.6862384259</v>
      </c>
      <c r="AK145" s="2" t="s">
        <v>1894</v>
      </c>
    </row>
    <row r="146" spans="1:37" x14ac:dyDescent="0.15">
      <c r="A146" s="2" t="s">
        <v>1893</v>
      </c>
      <c r="B146">
        <v>192</v>
      </c>
      <c r="C146" s="3">
        <v>41609</v>
      </c>
      <c r="D146" s="2" t="s">
        <v>37</v>
      </c>
      <c r="E146" s="2" t="s">
        <v>1892</v>
      </c>
      <c r="F146" s="2" t="s">
        <v>41</v>
      </c>
      <c r="G146" s="2" t="s">
        <v>310</v>
      </c>
      <c r="H146" s="2" t="s">
        <v>311</v>
      </c>
      <c r="I146" s="65" t="b">
        <f>导出!I146=计算!I146</f>
        <v>1</v>
      </c>
      <c r="J146" s="65" t="b">
        <f>导出!J146=计算!J146</f>
        <v>1</v>
      </c>
      <c r="K146" s="65" t="b">
        <f>导出!K146=计算!K146</f>
        <v>1</v>
      </c>
      <c r="L146" s="65" t="b">
        <f>导出!L146=计算!L146</f>
        <v>1</v>
      </c>
      <c r="M146" s="65" t="b">
        <f>导出!M146=计算!M146</f>
        <v>1</v>
      </c>
      <c r="N146" s="65" t="b">
        <f>导出!N146=计算!N146</f>
        <v>1</v>
      </c>
      <c r="O146" s="65" t="b">
        <f>导出!O146=计算!O146</f>
        <v>1</v>
      </c>
      <c r="P146" s="65" t="b">
        <f>导出!P146=计算!P146</f>
        <v>1</v>
      </c>
      <c r="Q146" s="65" t="b">
        <f>导出!Q146=计算!Q146</f>
        <v>1</v>
      </c>
      <c r="R146" s="65" t="b">
        <f>导出!R146=计算!R146</f>
        <v>1</v>
      </c>
      <c r="S146" s="65" t="b">
        <f>导出!S146=计算!S146</f>
        <v>1</v>
      </c>
      <c r="T146" s="65" t="b">
        <f>导出!T146=计算!T146</f>
        <v>1</v>
      </c>
      <c r="U146" s="65" t="b">
        <f>导出!U146=计算!U146</f>
        <v>1</v>
      </c>
      <c r="V146" s="65" t="b">
        <f>导出!V146=计算!V146</f>
        <v>0</v>
      </c>
      <c r="W146" s="65" t="b">
        <f>导出!W146=计算!W146</f>
        <v>1</v>
      </c>
      <c r="X146" s="65" t="b">
        <f>导出!X146=计算!X146</f>
        <v>1</v>
      </c>
      <c r="Y146" s="65" t="b">
        <f>导出!Y146=计算!Y146</f>
        <v>1</v>
      </c>
      <c r="Z146" s="65" t="b">
        <f>导出!Z146=计算!Z146</f>
        <v>1</v>
      </c>
      <c r="AA146" s="65" t="b">
        <f>导出!AA146=计算!AA146</f>
        <v>0</v>
      </c>
      <c r="AB146" s="65" t="b">
        <f>导出!AB146=计算!AB146</f>
        <v>1</v>
      </c>
      <c r="AC146" s="65" t="b">
        <f>导出!AC146=计算!AC146</f>
        <v>1</v>
      </c>
      <c r="AD146" s="65" t="b">
        <f>导出!AD146=计算!AD146</f>
        <v>1</v>
      </c>
      <c r="AE146" s="65" t="b">
        <f>导出!AE146=计算!AE146</f>
        <v>1</v>
      </c>
      <c r="AF146" s="65" t="b">
        <f>导出!AF146=计算!AF146</f>
        <v>1</v>
      </c>
      <c r="AG146" s="65" t="b">
        <f>导出!AG146=计算!AG146</f>
        <v>1</v>
      </c>
      <c r="AH146" s="65" t="b">
        <f>导出!AH146=计算!AH146</f>
        <v>1</v>
      </c>
      <c r="AI146">
        <v>0</v>
      </c>
      <c r="AJ146" s="3">
        <v>41912.6862384259</v>
      </c>
      <c r="AK146" s="2" t="s">
        <v>1891</v>
      </c>
    </row>
    <row r="147" spans="1:37" x14ac:dyDescent="0.15">
      <c r="A147" s="2" t="s">
        <v>1890</v>
      </c>
      <c r="B147">
        <v>206</v>
      </c>
      <c r="C147" s="3">
        <v>41609</v>
      </c>
      <c r="D147" s="2" t="s">
        <v>37</v>
      </c>
      <c r="E147" s="2" t="s">
        <v>1889</v>
      </c>
      <c r="F147" s="2" t="s">
        <v>41</v>
      </c>
      <c r="G147" s="2" t="s">
        <v>314</v>
      </c>
      <c r="H147" s="2" t="s">
        <v>315</v>
      </c>
      <c r="I147" s="65" t="b">
        <f>导出!I147=计算!I147</f>
        <v>1</v>
      </c>
      <c r="J147" s="65" t="b">
        <f>导出!J147=计算!J147</f>
        <v>1</v>
      </c>
      <c r="K147" s="65" t="b">
        <f>导出!K147=计算!K147</f>
        <v>1</v>
      </c>
      <c r="L147" s="65" t="b">
        <f>导出!L147=计算!L147</f>
        <v>1</v>
      </c>
      <c r="M147" s="65" t="b">
        <f>导出!M147=计算!M147</f>
        <v>1</v>
      </c>
      <c r="N147" s="65" t="b">
        <f>导出!N147=计算!N147</f>
        <v>0</v>
      </c>
      <c r="O147" s="65" t="b">
        <f>导出!O147=计算!O147</f>
        <v>1</v>
      </c>
      <c r="P147" s="65" t="b">
        <f>导出!P147=计算!P147</f>
        <v>1</v>
      </c>
      <c r="Q147" s="65" t="b">
        <f>导出!Q147=计算!Q147</f>
        <v>0</v>
      </c>
      <c r="R147" s="65" t="b">
        <f>导出!R147=计算!R147</f>
        <v>1</v>
      </c>
      <c r="S147" s="65" t="b">
        <f>导出!S147=计算!S147</f>
        <v>1</v>
      </c>
      <c r="T147" s="65" t="b">
        <f>导出!T147=计算!T147</f>
        <v>1</v>
      </c>
      <c r="U147" s="65" t="b">
        <f>导出!U147=计算!U147</f>
        <v>1</v>
      </c>
      <c r="V147" s="65" t="b">
        <f>导出!V147=计算!V147</f>
        <v>0</v>
      </c>
      <c r="W147" s="65" t="b">
        <f>导出!W147=计算!W147</f>
        <v>1</v>
      </c>
      <c r="X147" s="65" t="b">
        <f>导出!X147=计算!X147</f>
        <v>1</v>
      </c>
      <c r="Y147" s="65" t="b">
        <f>导出!Y147=计算!Y147</f>
        <v>1</v>
      </c>
      <c r="Z147" s="65" t="b">
        <f>导出!Z147=计算!Z147</f>
        <v>1</v>
      </c>
      <c r="AA147" s="65" t="b">
        <f>导出!AA147=计算!AA147</f>
        <v>0</v>
      </c>
      <c r="AB147" s="65" t="b">
        <f>导出!AB147=计算!AB147</f>
        <v>0</v>
      </c>
      <c r="AC147" s="65" t="b">
        <f>导出!AC147=计算!AC147</f>
        <v>1</v>
      </c>
      <c r="AD147" s="65" t="b">
        <f>导出!AD147=计算!AD147</f>
        <v>1</v>
      </c>
      <c r="AE147" s="65" t="b">
        <f>导出!AE147=计算!AE147</f>
        <v>0</v>
      </c>
      <c r="AF147" s="65" t="b">
        <f>导出!AF147=计算!AF147</f>
        <v>1</v>
      </c>
      <c r="AG147" s="65" t="b">
        <f>导出!AG147=计算!AG147</f>
        <v>1</v>
      </c>
      <c r="AH147" s="65" t="b">
        <f>导出!AH147=计算!AH147</f>
        <v>1</v>
      </c>
      <c r="AI147">
        <v>0</v>
      </c>
      <c r="AJ147" s="3">
        <v>41912.6862384259</v>
      </c>
      <c r="AK147" s="2" t="s">
        <v>1888</v>
      </c>
    </row>
    <row r="148" spans="1:37" x14ac:dyDescent="0.15">
      <c r="A148" s="2" t="s">
        <v>1887</v>
      </c>
      <c r="B148">
        <v>1058</v>
      </c>
      <c r="C148" s="3">
        <v>41618</v>
      </c>
      <c r="D148" s="2" t="s">
        <v>37</v>
      </c>
      <c r="E148" s="2" t="s">
        <v>1886</v>
      </c>
      <c r="F148" s="2" t="s">
        <v>38</v>
      </c>
      <c r="G148" s="2" t="s">
        <v>336</v>
      </c>
      <c r="H148" s="2" t="s">
        <v>337</v>
      </c>
      <c r="I148" s="65" t="b">
        <f>导出!I148=计算!I148</f>
        <v>1</v>
      </c>
      <c r="J148" s="65" t="b">
        <f>导出!J148=计算!J148</f>
        <v>1</v>
      </c>
      <c r="K148" s="65" t="b">
        <f>导出!K148=计算!K148</f>
        <v>1</v>
      </c>
      <c r="L148" s="65" t="b">
        <f>导出!L148=计算!L148</f>
        <v>1</v>
      </c>
      <c r="M148" s="65" t="b">
        <f>导出!M148=计算!M148</f>
        <v>1</v>
      </c>
      <c r="N148" s="65" t="b">
        <f>导出!N148=计算!N148</f>
        <v>1</v>
      </c>
      <c r="O148" s="65" t="b">
        <f>导出!O148=计算!O148</f>
        <v>1</v>
      </c>
      <c r="P148" s="65" t="b">
        <f>导出!P148=计算!P148</f>
        <v>1</v>
      </c>
      <c r="Q148" s="65" t="b">
        <f>导出!Q148=计算!Q148</f>
        <v>0</v>
      </c>
      <c r="R148" s="65" t="b">
        <f>导出!R148=计算!R148</f>
        <v>1</v>
      </c>
      <c r="S148" s="65" t="b">
        <f>导出!S148=计算!S148</f>
        <v>1</v>
      </c>
      <c r="T148" s="65" t="b">
        <f>导出!T148=计算!T148</f>
        <v>1</v>
      </c>
      <c r="U148" s="65" t="b">
        <f>导出!U148=计算!U148</f>
        <v>1</v>
      </c>
      <c r="V148" s="65" t="b">
        <f>导出!V148=计算!V148</f>
        <v>0</v>
      </c>
      <c r="W148" s="65" t="b">
        <f>导出!W148=计算!W148</f>
        <v>1</v>
      </c>
      <c r="X148" s="65" t="b">
        <f>导出!X148=计算!X148</f>
        <v>1</v>
      </c>
      <c r="Y148" s="65" t="b">
        <f>导出!Y148=计算!Y148</f>
        <v>1</v>
      </c>
      <c r="Z148" s="65" t="b">
        <f>导出!Z148=计算!Z148</f>
        <v>1</v>
      </c>
      <c r="AA148" s="65" t="b">
        <f>导出!AA148=计算!AA148</f>
        <v>1</v>
      </c>
      <c r="AB148" s="65" t="b">
        <f>导出!AB148=计算!AB148</f>
        <v>1</v>
      </c>
      <c r="AC148" s="65" t="b">
        <f>导出!AC148=计算!AC148</f>
        <v>1</v>
      </c>
      <c r="AD148" s="65" t="b">
        <f>导出!AD148=计算!AD148</f>
        <v>1</v>
      </c>
      <c r="AE148" s="65" t="b">
        <f>导出!AE148=计算!AE148</f>
        <v>1</v>
      </c>
      <c r="AF148" s="65" t="b">
        <f>导出!AF148=计算!AF148</f>
        <v>1</v>
      </c>
      <c r="AG148" s="65" t="b">
        <f>导出!AG148=计算!AG148</f>
        <v>1</v>
      </c>
      <c r="AH148" s="65" t="b">
        <f>导出!AH148=计算!AH148</f>
        <v>1</v>
      </c>
      <c r="AI148">
        <v>0</v>
      </c>
      <c r="AJ148" s="3">
        <v>41912.6862847222</v>
      </c>
      <c r="AK148" s="2" t="s">
        <v>1885</v>
      </c>
    </row>
    <row r="149" spans="1:37" x14ac:dyDescent="0.15">
      <c r="A149" s="2" t="s">
        <v>1884</v>
      </c>
      <c r="B149">
        <v>1064</v>
      </c>
      <c r="C149" s="3">
        <v>41626</v>
      </c>
      <c r="D149" s="2" t="s">
        <v>37</v>
      </c>
      <c r="E149" s="2" t="s">
        <v>1883</v>
      </c>
      <c r="F149" s="2" t="s">
        <v>38</v>
      </c>
      <c r="G149" s="2" t="s">
        <v>338</v>
      </c>
      <c r="H149" s="2" t="s">
        <v>339</v>
      </c>
      <c r="I149" s="65" t="b">
        <f>导出!I149=计算!I149</f>
        <v>1</v>
      </c>
      <c r="J149" s="65" t="b">
        <f>导出!J149=计算!J149</f>
        <v>1</v>
      </c>
      <c r="K149" s="65" t="b">
        <f>导出!K149=计算!K149</f>
        <v>1</v>
      </c>
      <c r="L149" s="65" t="b">
        <f>导出!L149=计算!L149</f>
        <v>1</v>
      </c>
      <c r="M149" s="65" t="b">
        <f>导出!M149=计算!M149</f>
        <v>1</v>
      </c>
      <c r="N149" s="65" t="b">
        <f>导出!N149=计算!N149</f>
        <v>1</v>
      </c>
      <c r="O149" s="65" t="b">
        <f>导出!O149=计算!O149</f>
        <v>1</v>
      </c>
      <c r="P149" s="65" t="b">
        <f>导出!P149=计算!P149</f>
        <v>1</v>
      </c>
      <c r="Q149" s="65" t="b">
        <f>导出!Q149=计算!Q149</f>
        <v>1</v>
      </c>
      <c r="R149" s="65" t="b">
        <f>导出!R149=计算!R149</f>
        <v>1</v>
      </c>
      <c r="S149" s="65" t="b">
        <f>导出!S149=计算!S149</f>
        <v>1</v>
      </c>
      <c r="T149" s="65" t="b">
        <f>导出!T149=计算!T149</f>
        <v>1</v>
      </c>
      <c r="U149" s="65" t="b">
        <f>导出!U149=计算!U149</f>
        <v>1</v>
      </c>
      <c r="V149" s="65" t="b">
        <f>导出!V149=计算!V149</f>
        <v>0</v>
      </c>
      <c r="W149" s="65" t="b">
        <f>导出!W149=计算!W149</f>
        <v>1</v>
      </c>
      <c r="X149" s="65" t="b">
        <f>导出!X149=计算!X149</f>
        <v>1</v>
      </c>
      <c r="Y149" s="65" t="b">
        <f>导出!Y149=计算!Y149</f>
        <v>1</v>
      </c>
      <c r="Z149" s="65" t="b">
        <f>导出!Z149=计算!Z149</f>
        <v>1</v>
      </c>
      <c r="AA149" s="65" t="b">
        <f>导出!AA149=计算!AA149</f>
        <v>1</v>
      </c>
      <c r="AB149" s="65" t="b">
        <f>导出!AB149=计算!AB149</f>
        <v>1</v>
      </c>
      <c r="AC149" s="65" t="b">
        <f>导出!AC149=计算!AC149</f>
        <v>1</v>
      </c>
      <c r="AD149" s="65" t="b">
        <f>导出!AD149=计算!AD149</f>
        <v>1</v>
      </c>
      <c r="AE149" s="65" t="b">
        <f>导出!AE149=计算!AE149</f>
        <v>1</v>
      </c>
      <c r="AF149" s="65" t="b">
        <f>导出!AF149=计算!AF149</f>
        <v>1</v>
      </c>
      <c r="AG149" s="65" t="b">
        <f>导出!AG149=计算!AG149</f>
        <v>1</v>
      </c>
      <c r="AH149" s="65" t="b">
        <f>导出!AH149=计算!AH149</f>
        <v>1</v>
      </c>
      <c r="AI149">
        <v>0</v>
      </c>
      <c r="AJ149" s="3">
        <v>41912.6862847222</v>
      </c>
      <c r="AK149" s="2" t="s">
        <v>1882</v>
      </c>
    </row>
    <row r="150" spans="1:37" x14ac:dyDescent="0.15">
      <c r="A150" s="2" t="s">
        <v>1881</v>
      </c>
      <c r="B150">
        <v>1071</v>
      </c>
      <c r="C150" s="3">
        <v>41626</v>
      </c>
      <c r="D150" s="2" t="s">
        <v>37</v>
      </c>
      <c r="E150" s="2" t="s">
        <v>1880</v>
      </c>
      <c r="F150" s="2" t="s">
        <v>38</v>
      </c>
      <c r="G150" s="2" t="s">
        <v>340</v>
      </c>
      <c r="H150" s="2" t="s">
        <v>341</v>
      </c>
      <c r="I150" s="65" t="b">
        <f>导出!I150=计算!I150</f>
        <v>1</v>
      </c>
      <c r="J150" s="65" t="b">
        <f>导出!J150=计算!J150</f>
        <v>1</v>
      </c>
      <c r="K150" s="65" t="b">
        <f>导出!K150=计算!K150</f>
        <v>1</v>
      </c>
      <c r="L150" s="65" t="b">
        <f>导出!L150=计算!L150</f>
        <v>1</v>
      </c>
      <c r="M150" s="65" t="b">
        <f>导出!M150=计算!M150</f>
        <v>1</v>
      </c>
      <c r="N150" s="65" t="b">
        <f>导出!N150=计算!N150</f>
        <v>1</v>
      </c>
      <c r="O150" s="65" t="b">
        <f>导出!O150=计算!O150</f>
        <v>1</v>
      </c>
      <c r="P150" s="65" t="b">
        <f>导出!P150=计算!P150</f>
        <v>1</v>
      </c>
      <c r="Q150" s="65" t="b">
        <f>导出!Q150=计算!Q150</f>
        <v>1</v>
      </c>
      <c r="R150" s="65" t="b">
        <f>导出!R150=计算!R150</f>
        <v>1</v>
      </c>
      <c r="S150" s="65" t="b">
        <f>导出!S150=计算!S150</f>
        <v>1</v>
      </c>
      <c r="T150" s="65" t="b">
        <f>导出!T150=计算!T150</f>
        <v>1</v>
      </c>
      <c r="U150" s="65" t="b">
        <f>导出!U150=计算!U150</f>
        <v>1</v>
      </c>
      <c r="V150" s="65" t="b">
        <f>导出!V150=计算!V150</f>
        <v>0</v>
      </c>
      <c r="W150" s="65" t="b">
        <f>导出!W150=计算!W150</f>
        <v>1</v>
      </c>
      <c r="X150" s="65" t="b">
        <f>导出!X150=计算!X150</f>
        <v>1</v>
      </c>
      <c r="Y150" s="65" t="b">
        <f>导出!Y150=计算!Y150</f>
        <v>1</v>
      </c>
      <c r="Z150" s="65" t="b">
        <f>导出!Z150=计算!Z150</f>
        <v>1</v>
      </c>
      <c r="AA150" s="65" t="b">
        <f>导出!AA150=计算!AA150</f>
        <v>0</v>
      </c>
      <c r="AB150" s="65" t="b">
        <f>导出!AB150=计算!AB150</f>
        <v>0</v>
      </c>
      <c r="AC150" s="65" t="b">
        <f>导出!AC150=计算!AC150</f>
        <v>1</v>
      </c>
      <c r="AD150" s="65" t="b">
        <f>导出!AD150=计算!AD150</f>
        <v>1</v>
      </c>
      <c r="AE150" s="65" t="b">
        <f>导出!AE150=计算!AE150</f>
        <v>0</v>
      </c>
      <c r="AF150" s="65" t="b">
        <f>导出!AF150=计算!AF150</f>
        <v>1</v>
      </c>
      <c r="AG150" s="65" t="b">
        <f>导出!AG150=计算!AG150</f>
        <v>1</v>
      </c>
      <c r="AH150" s="65" t="b">
        <f>导出!AH150=计算!AH150</f>
        <v>1</v>
      </c>
      <c r="AI150">
        <v>0</v>
      </c>
      <c r="AJ150" s="3">
        <v>41912.6862847222</v>
      </c>
      <c r="AK150" s="2" t="s">
        <v>1879</v>
      </c>
    </row>
    <row r="151" spans="1:37" x14ac:dyDescent="0.15">
      <c r="A151" s="2" t="s">
        <v>1878</v>
      </c>
      <c r="B151">
        <v>1080</v>
      </c>
      <c r="C151" s="3">
        <v>41628</v>
      </c>
      <c r="D151" s="2" t="s">
        <v>37</v>
      </c>
      <c r="E151" s="2" t="s">
        <v>1877</v>
      </c>
      <c r="F151" s="2" t="s">
        <v>38</v>
      </c>
      <c r="G151" s="2" t="s">
        <v>342</v>
      </c>
      <c r="H151" s="2" t="s">
        <v>343</v>
      </c>
      <c r="I151" s="65" t="b">
        <f>导出!I151=计算!I151</f>
        <v>1</v>
      </c>
      <c r="J151" s="65" t="b">
        <f>导出!J151=计算!J151</f>
        <v>1</v>
      </c>
      <c r="K151" s="65" t="b">
        <f>导出!K151=计算!K151</f>
        <v>1</v>
      </c>
      <c r="L151" s="65" t="b">
        <f>导出!L151=计算!L151</f>
        <v>1</v>
      </c>
      <c r="M151" s="65" t="b">
        <f>导出!M151=计算!M151</f>
        <v>1</v>
      </c>
      <c r="N151" s="65" t="b">
        <f>导出!N151=计算!N151</f>
        <v>1</v>
      </c>
      <c r="O151" s="65" t="b">
        <f>导出!O151=计算!O151</f>
        <v>1</v>
      </c>
      <c r="P151" s="65" t="b">
        <f>导出!P151=计算!P151</f>
        <v>1</v>
      </c>
      <c r="Q151" s="65" t="b">
        <f>导出!Q151=计算!Q151</f>
        <v>1</v>
      </c>
      <c r="R151" s="65" t="b">
        <f>导出!R151=计算!R151</f>
        <v>1</v>
      </c>
      <c r="S151" s="65" t="b">
        <f>导出!S151=计算!S151</f>
        <v>1</v>
      </c>
      <c r="T151" s="65" t="b">
        <f>导出!T151=计算!T151</f>
        <v>1</v>
      </c>
      <c r="U151" s="65" t="b">
        <f>导出!U151=计算!U151</f>
        <v>1</v>
      </c>
      <c r="V151" s="65" t="b">
        <f>导出!V151=计算!V151</f>
        <v>0</v>
      </c>
      <c r="W151" s="65" t="b">
        <f>导出!W151=计算!W151</f>
        <v>1</v>
      </c>
      <c r="X151" s="65" t="b">
        <f>导出!X151=计算!X151</f>
        <v>1</v>
      </c>
      <c r="Y151" s="65" t="b">
        <f>导出!Y151=计算!Y151</f>
        <v>0</v>
      </c>
      <c r="Z151" s="65" t="b">
        <f>导出!Z151=计算!Z151</f>
        <v>1</v>
      </c>
      <c r="AA151" s="65" t="b">
        <f>导出!AA151=计算!AA151</f>
        <v>0</v>
      </c>
      <c r="AB151" s="65" t="b">
        <f>导出!AB151=计算!AB151</f>
        <v>1</v>
      </c>
      <c r="AC151" s="65" t="b">
        <f>导出!AC151=计算!AC151</f>
        <v>1</v>
      </c>
      <c r="AD151" s="65" t="b">
        <f>导出!AD151=计算!AD151</f>
        <v>1</v>
      </c>
      <c r="AE151" s="65" t="b">
        <f>导出!AE151=计算!AE151</f>
        <v>1</v>
      </c>
      <c r="AF151" s="65" t="b">
        <f>导出!AF151=计算!AF151</f>
        <v>1</v>
      </c>
      <c r="AG151" s="65" t="b">
        <f>导出!AG151=计算!AG151</f>
        <v>1</v>
      </c>
      <c r="AH151" s="65" t="b">
        <f>导出!AH151=计算!AH151</f>
        <v>1</v>
      </c>
      <c r="AI151">
        <v>0</v>
      </c>
      <c r="AJ151" s="3">
        <v>41912.6862847222</v>
      </c>
      <c r="AK151" s="2" t="s">
        <v>1876</v>
      </c>
    </row>
    <row r="152" spans="1:37" x14ac:dyDescent="0.15">
      <c r="A152" s="2" t="s">
        <v>1875</v>
      </c>
      <c r="B152">
        <v>1086</v>
      </c>
      <c r="C152" s="3">
        <v>41640</v>
      </c>
      <c r="D152" s="2" t="s">
        <v>37</v>
      </c>
      <c r="E152" s="2" t="s">
        <v>1874</v>
      </c>
      <c r="F152" s="2" t="s">
        <v>38</v>
      </c>
      <c r="G152" s="2" t="s">
        <v>1534</v>
      </c>
      <c r="H152" s="2" t="s">
        <v>345</v>
      </c>
      <c r="I152" s="65" t="b">
        <f>导出!I152=计算!I152</f>
        <v>1</v>
      </c>
      <c r="J152" s="65" t="b">
        <f>导出!J152=计算!J152</f>
        <v>1</v>
      </c>
      <c r="K152" s="65" t="b">
        <f>导出!K152=计算!K152</f>
        <v>1</v>
      </c>
      <c r="L152" s="65" t="b">
        <f>导出!L152=计算!L152</f>
        <v>1</v>
      </c>
      <c r="M152" s="65" t="b">
        <f>导出!M152=计算!M152</f>
        <v>1</v>
      </c>
      <c r="N152" s="65" t="b">
        <f>导出!N152=计算!N152</f>
        <v>1</v>
      </c>
      <c r="O152" s="65" t="b">
        <f>导出!O152=计算!O152</f>
        <v>1</v>
      </c>
      <c r="P152" s="65" t="b">
        <f>导出!P152=计算!P152</f>
        <v>1</v>
      </c>
      <c r="Q152" s="65" t="b">
        <f>导出!Q152=计算!Q152</f>
        <v>1</v>
      </c>
      <c r="R152" s="65" t="b">
        <f>导出!R152=计算!R152</f>
        <v>1</v>
      </c>
      <c r="S152" s="65" t="b">
        <f>导出!S152=计算!S152</f>
        <v>1</v>
      </c>
      <c r="T152" s="65" t="b">
        <f>导出!T152=计算!T152</f>
        <v>1</v>
      </c>
      <c r="U152" s="65" t="b">
        <f>导出!U152=计算!U152</f>
        <v>1</v>
      </c>
      <c r="V152" s="65" t="b">
        <f>导出!V152=计算!V152</f>
        <v>0</v>
      </c>
      <c r="W152" s="65" t="b">
        <f>导出!W152=计算!W152</f>
        <v>1</v>
      </c>
      <c r="X152" s="65" t="b">
        <f>导出!X152=计算!X152</f>
        <v>1</v>
      </c>
      <c r="Y152" s="65" t="b">
        <f>导出!Y152=计算!Y152</f>
        <v>1</v>
      </c>
      <c r="Z152" s="65" t="b">
        <f>导出!Z152=计算!Z152</f>
        <v>1</v>
      </c>
      <c r="AA152" s="65" t="b">
        <f>导出!AA152=计算!AA152</f>
        <v>0</v>
      </c>
      <c r="AB152" s="65" t="b">
        <f>导出!AB152=计算!AB152</f>
        <v>0</v>
      </c>
      <c r="AC152" s="65" t="b">
        <f>导出!AC152=计算!AC152</f>
        <v>1</v>
      </c>
      <c r="AD152" s="65" t="b">
        <f>导出!AD152=计算!AD152</f>
        <v>1</v>
      </c>
      <c r="AE152" s="65" t="b">
        <f>导出!AE152=计算!AE152</f>
        <v>0</v>
      </c>
      <c r="AF152" s="65" t="b">
        <f>导出!AF152=计算!AF152</f>
        <v>1</v>
      </c>
      <c r="AG152" s="65" t="b">
        <f>导出!AG152=计算!AG152</f>
        <v>1</v>
      </c>
      <c r="AH152" s="65" t="b">
        <f>导出!AH152=计算!AH152</f>
        <v>0</v>
      </c>
      <c r="AI152">
        <v>0</v>
      </c>
      <c r="AJ152" s="3">
        <v>41912.6862847222</v>
      </c>
      <c r="AK152" s="2" t="s">
        <v>1873</v>
      </c>
    </row>
    <row r="153" spans="1:37" x14ac:dyDescent="0.15">
      <c r="A153" s="2" t="s">
        <v>1872</v>
      </c>
      <c r="B153">
        <v>1102</v>
      </c>
      <c r="C153" s="3">
        <v>41640</v>
      </c>
      <c r="D153" s="2" t="s">
        <v>37</v>
      </c>
      <c r="E153" s="2" t="s">
        <v>1871</v>
      </c>
      <c r="F153" s="2" t="s">
        <v>38</v>
      </c>
      <c r="G153" s="2" t="s">
        <v>350</v>
      </c>
      <c r="H153" s="2" t="s">
        <v>351</v>
      </c>
      <c r="I153" s="65" t="b">
        <f>导出!I153=计算!I153</f>
        <v>1</v>
      </c>
      <c r="J153" s="65" t="b">
        <f>导出!J153=计算!J153</f>
        <v>1</v>
      </c>
      <c r="K153" s="65" t="b">
        <f>导出!K153=计算!K153</f>
        <v>1</v>
      </c>
      <c r="L153" s="65" t="b">
        <f>导出!L153=计算!L153</f>
        <v>1</v>
      </c>
      <c r="M153" s="65" t="b">
        <f>导出!M153=计算!M153</f>
        <v>1</v>
      </c>
      <c r="N153" s="65" t="b">
        <f>导出!N153=计算!N153</f>
        <v>1</v>
      </c>
      <c r="O153" s="65" t="b">
        <f>导出!O153=计算!O153</f>
        <v>1</v>
      </c>
      <c r="P153" s="65" t="b">
        <f>导出!P153=计算!P153</f>
        <v>1</v>
      </c>
      <c r="Q153" s="65" t="b">
        <f>导出!Q153=计算!Q153</f>
        <v>1</v>
      </c>
      <c r="R153" s="65" t="b">
        <f>导出!R153=计算!R153</f>
        <v>1</v>
      </c>
      <c r="S153" s="65" t="b">
        <f>导出!S153=计算!S153</f>
        <v>1</v>
      </c>
      <c r="T153" s="65" t="b">
        <f>导出!T153=计算!T153</f>
        <v>1</v>
      </c>
      <c r="U153" s="65" t="b">
        <f>导出!U153=计算!U153</f>
        <v>1</v>
      </c>
      <c r="V153" s="65" t="b">
        <f>导出!V153=计算!V153</f>
        <v>0</v>
      </c>
      <c r="W153" s="65" t="b">
        <f>导出!W153=计算!W153</f>
        <v>1</v>
      </c>
      <c r="X153" s="65" t="b">
        <f>导出!X153=计算!X153</f>
        <v>1</v>
      </c>
      <c r="Y153" s="65" t="b">
        <f>导出!Y153=计算!Y153</f>
        <v>1</v>
      </c>
      <c r="Z153" s="65" t="b">
        <f>导出!Z153=计算!Z153</f>
        <v>1</v>
      </c>
      <c r="AA153" s="65" t="b">
        <f>导出!AA153=计算!AA153</f>
        <v>0</v>
      </c>
      <c r="AB153" s="65" t="b">
        <f>导出!AB153=计算!AB153</f>
        <v>1</v>
      </c>
      <c r="AC153" s="65" t="b">
        <f>导出!AC153=计算!AC153</f>
        <v>1</v>
      </c>
      <c r="AD153" s="65" t="b">
        <f>导出!AD153=计算!AD153</f>
        <v>1</v>
      </c>
      <c r="AE153" s="65" t="b">
        <f>导出!AE153=计算!AE153</f>
        <v>0</v>
      </c>
      <c r="AF153" s="65" t="b">
        <f>导出!AF153=计算!AF153</f>
        <v>1</v>
      </c>
      <c r="AG153" s="65" t="b">
        <f>导出!AG153=计算!AG153</f>
        <v>1</v>
      </c>
      <c r="AH153" s="65" t="b">
        <f>导出!AH153=计算!AH153</f>
        <v>1</v>
      </c>
      <c r="AI153">
        <v>0</v>
      </c>
      <c r="AJ153" s="3">
        <v>41912.6862847222</v>
      </c>
      <c r="AK153" s="2" t="s">
        <v>1870</v>
      </c>
    </row>
    <row r="154" spans="1:37" x14ac:dyDescent="0.15">
      <c r="A154" s="2" t="s">
        <v>1869</v>
      </c>
      <c r="B154">
        <v>216</v>
      </c>
      <c r="C154" s="3">
        <v>41640</v>
      </c>
      <c r="D154" s="2" t="s">
        <v>37</v>
      </c>
      <c r="E154" s="2" t="s">
        <v>1868</v>
      </c>
      <c r="F154" s="2" t="s">
        <v>41</v>
      </c>
      <c r="G154" s="2" t="s">
        <v>348</v>
      </c>
      <c r="H154" s="2" t="s">
        <v>349</v>
      </c>
      <c r="I154" s="65" t="b">
        <f>导出!I154=计算!I154</f>
        <v>1</v>
      </c>
      <c r="J154" s="65" t="b">
        <f>导出!J154=计算!J154</f>
        <v>1</v>
      </c>
      <c r="K154" s="65" t="b">
        <f>导出!K154=计算!K154</f>
        <v>1</v>
      </c>
      <c r="L154" s="65" t="b">
        <f>导出!L154=计算!L154</f>
        <v>1</v>
      </c>
      <c r="M154" s="65" t="b">
        <f>导出!M154=计算!M154</f>
        <v>1</v>
      </c>
      <c r="N154" s="65" t="b">
        <f>导出!N154=计算!N154</f>
        <v>1</v>
      </c>
      <c r="O154" s="65" t="b">
        <f>导出!O154=计算!O154</f>
        <v>1</v>
      </c>
      <c r="P154" s="65" t="b">
        <f>导出!P154=计算!P154</f>
        <v>1</v>
      </c>
      <c r="Q154" s="65" t="b">
        <f>导出!Q154=计算!Q154</f>
        <v>1</v>
      </c>
      <c r="R154" s="65" t="b">
        <f>导出!R154=计算!R154</f>
        <v>1</v>
      </c>
      <c r="S154" s="65" t="b">
        <f>导出!S154=计算!S154</f>
        <v>1</v>
      </c>
      <c r="T154" s="65" t="b">
        <f>导出!T154=计算!T154</f>
        <v>1</v>
      </c>
      <c r="U154" s="65" t="b">
        <f>导出!U154=计算!U154</f>
        <v>1</v>
      </c>
      <c r="V154" s="65" t="b">
        <f>导出!V154=计算!V154</f>
        <v>0</v>
      </c>
      <c r="W154" s="65" t="b">
        <f>导出!W154=计算!W154</f>
        <v>1</v>
      </c>
      <c r="X154" s="65" t="b">
        <f>导出!X154=计算!X154</f>
        <v>1</v>
      </c>
      <c r="Y154" s="65" t="b">
        <f>导出!Y154=计算!Y154</f>
        <v>1</v>
      </c>
      <c r="Z154" s="65" t="b">
        <f>导出!Z154=计算!Z154</f>
        <v>1</v>
      </c>
      <c r="AA154" s="65" t="b">
        <f>导出!AA154=计算!AA154</f>
        <v>0</v>
      </c>
      <c r="AB154" s="65" t="b">
        <f>导出!AB154=计算!AB154</f>
        <v>0</v>
      </c>
      <c r="AC154" s="65" t="b">
        <f>导出!AC154=计算!AC154</f>
        <v>1</v>
      </c>
      <c r="AD154" s="65" t="b">
        <f>导出!AD154=计算!AD154</f>
        <v>1</v>
      </c>
      <c r="AE154" s="65" t="b">
        <f>导出!AE154=计算!AE154</f>
        <v>0</v>
      </c>
      <c r="AF154" s="65" t="b">
        <f>导出!AF154=计算!AF154</f>
        <v>1</v>
      </c>
      <c r="AG154" s="65" t="b">
        <f>导出!AG154=计算!AG154</f>
        <v>1</v>
      </c>
      <c r="AH154" s="65" t="b">
        <f>导出!AH154=计算!AH154</f>
        <v>1</v>
      </c>
      <c r="AI154">
        <v>0</v>
      </c>
      <c r="AJ154" s="3">
        <v>41912.6862384259</v>
      </c>
      <c r="AK154" s="2" t="s">
        <v>1867</v>
      </c>
    </row>
    <row r="155" spans="1:37" x14ac:dyDescent="0.15">
      <c r="A155" s="2" t="s">
        <v>1866</v>
      </c>
      <c r="B155">
        <v>1093</v>
      </c>
      <c r="C155" s="3">
        <v>41640</v>
      </c>
      <c r="D155" s="2" t="s">
        <v>37</v>
      </c>
      <c r="E155" s="2" t="s">
        <v>1865</v>
      </c>
      <c r="F155" s="2" t="s">
        <v>38</v>
      </c>
      <c r="G155" s="2" t="s">
        <v>346</v>
      </c>
      <c r="H155" s="2" t="s">
        <v>347</v>
      </c>
      <c r="I155" s="65" t="b">
        <f>导出!I155=计算!I155</f>
        <v>1</v>
      </c>
      <c r="J155" s="65" t="b">
        <f>导出!J155=计算!J155</f>
        <v>1</v>
      </c>
      <c r="K155" s="65" t="b">
        <f>导出!K155=计算!K155</f>
        <v>1</v>
      </c>
      <c r="L155" s="65" t="b">
        <f>导出!L155=计算!L155</f>
        <v>1</v>
      </c>
      <c r="M155" s="65" t="b">
        <f>导出!M155=计算!M155</f>
        <v>1</v>
      </c>
      <c r="N155" s="65" t="b">
        <f>导出!N155=计算!N155</f>
        <v>0</v>
      </c>
      <c r="O155" s="65" t="b">
        <f>导出!O155=计算!O155</f>
        <v>1</v>
      </c>
      <c r="P155" s="65" t="b">
        <f>导出!P155=计算!P155</f>
        <v>1</v>
      </c>
      <c r="Q155" s="65" t="b">
        <f>导出!Q155=计算!Q155</f>
        <v>0</v>
      </c>
      <c r="R155" s="65" t="b">
        <f>导出!R155=计算!R155</f>
        <v>1</v>
      </c>
      <c r="S155" s="65" t="b">
        <f>导出!S155=计算!S155</f>
        <v>1</v>
      </c>
      <c r="T155" s="65" t="b">
        <f>导出!T155=计算!T155</f>
        <v>1</v>
      </c>
      <c r="U155" s="65" t="b">
        <f>导出!U155=计算!U155</f>
        <v>1</v>
      </c>
      <c r="V155" s="65" t="b">
        <f>导出!V155=计算!V155</f>
        <v>0</v>
      </c>
      <c r="W155" s="65" t="b">
        <f>导出!W155=计算!W155</f>
        <v>1</v>
      </c>
      <c r="X155" s="65" t="b">
        <f>导出!X155=计算!X155</f>
        <v>1</v>
      </c>
      <c r="Y155" s="65" t="b">
        <f>导出!Y155=计算!Y155</f>
        <v>1</v>
      </c>
      <c r="Z155" s="65" t="b">
        <f>导出!Z155=计算!Z155</f>
        <v>1</v>
      </c>
      <c r="AA155" s="65" t="b">
        <f>导出!AA155=计算!AA155</f>
        <v>0</v>
      </c>
      <c r="AB155" s="65" t="b">
        <f>导出!AB155=计算!AB155</f>
        <v>0</v>
      </c>
      <c r="AC155" s="65" t="b">
        <f>导出!AC155=计算!AC155</f>
        <v>1</v>
      </c>
      <c r="AD155" s="65" t="b">
        <f>导出!AD155=计算!AD155</f>
        <v>1</v>
      </c>
      <c r="AE155" s="65" t="b">
        <f>导出!AE155=计算!AE155</f>
        <v>0</v>
      </c>
      <c r="AF155" s="65" t="b">
        <f>导出!AF155=计算!AF155</f>
        <v>1</v>
      </c>
      <c r="AG155" s="65" t="b">
        <f>导出!AG155=计算!AG155</f>
        <v>1</v>
      </c>
      <c r="AH155" s="65" t="b">
        <f>导出!AH155=计算!AH155</f>
        <v>1</v>
      </c>
      <c r="AI155">
        <v>0</v>
      </c>
      <c r="AJ155" s="3">
        <v>41912.6862847222</v>
      </c>
      <c r="AK155" s="2" t="s">
        <v>1864</v>
      </c>
    </row>
    <row r="156" spans="1:37" x14ac:dyDescent="0.15">
      <c r="A156" s="2" t="s">
        <v>1863</v>
      </c>
      <c r="B156">
        <v>1094</v>
      </c>
      <c r="C156" s="3">
        <v>41640</v>
      </c>
      <c r="D156" s="2" t="s">
        <v>37</v>
      </c>
      <c r="E156" s="2" t="s">
        <v>1862</v>
      </c>
      <c r="F156" s="2" t="s">
        <v>38</v>
      </c>
      <c r="G156" s="2" t="s">
        <v>1547</v>
      </c>
      <c r="H156" s="2" t="s">
        <v>1681</v>
      </c>
      <c r="I156" s="65" t="b">
        <f>导出!I156=计算!I156</f>
        <v>1</v>
      </c>
      <c r="J156" s="65" t="b">
        <f>导出!J156=计算!J156</f>
        <v>1</v>
      </c>
      <c r="K156" s="65" t="b">
        <f>导出!K156=计算!K156</f>
        <v>1</v>
      </c>
      <c r="L156" s="65" t="b">
        <f>导出!L156=计算!L156</f>
        <v>1</v>
      </c>
      <c r="M156" s="65" t="b">
        <f>导出!M156=计算!M156</f>
        <v>1</v>
      </c>
      <c r="N156" s="65" t="b">
        <f>导出!N156=计算!N156</f>
        <v>1</v>
      </c>
      <c r="O156" s="65" t="b">
        <f>导出!O156=计算!O156</f>
        <v>1</v>
      </c>
      <c r="P156" s="65" t="b">
        <f>导出!P156=计算!P156</f>
        <v>1</v>
      </c>
      <c r="Q156" s="65" t="b">
        <f>导出!Q156=计算!Q156</f>
        <v>1</v>
      </c>
      <c r="R156" s="65" t="b">
        <f>导出!R156=计算!R156</f>
        <v>1</v>
      </c>
      <c r="S156" s="65" t="b">
        <f>导出!S156=计算!S156</f>
        <v>1</v>
      </c>
      <c r="T156" s="65" t="b">
        <f>导出!T156=计算!T156</f>
        <v>1</v>
      </c>
      <c r="U156" s="65" t="b">
        <f>导出!U156=计算!U156</f>
        <v>1</v>
      </c>
      <c r="V156" s="65" t="b">
        <f>导出!V156=计算!V156</f>
        <v>1</v>
      </c>
      <c r="W156" s="65" t="b">
        <f>导出!W156=计算!W156</f>
        <v>1</v>
      </c>
      <c r="X156" s="65" t="b">
        <f>导出!X156=计算!X156</f>
        <v>1</v>
      </c>
      <c r="Y156" s="65" t="b">
        <f>导出!Y156=计算!Y156</f>
        <v>1</v>
      </c>
      <c r="Z156" s="65" t="b">
        <f>导出!Z156=计算!Z156</f>
        <v>1</v>
      </c>
      <c r="AA156" s="65" t="b">
        <f>导出!AA156=计算!AA156</f>
        <v>1</v>
      </c>
      <c r="AB156" s="65" t="b">
        <f>导出!AB156=计算!AB156</f>
        <v>1</v>
      </c>
      <c r="AC156" s="65" t="b">
        <f>导出!AC156=计算!AC156</f>
        <v>1</v>
      </c>
      <c r="AD156" s="65" t="b">
        <f>导出!AD156=计算!AD156</f>
        <v>1</v>
      </c>
      <c r="AE156" s="65" t="b">
        <f>导出!AE156=计算!AE156</f>
        <v>1</v>
      </c>
      <c r="AF156" s="65" t="b">
        <f>导出!AF156=计算!AF156</f>
        <v>1</v>
      </c>
      <c r="AG156" s="65" t="b">
        <f>导出!AG156=计算!AG156</f>
        <v>1</v>
      </c>
      <c r="AH156" s="65" t="b">
        <f>导出!AH156=计算!AH156</f>
        <v>1</v>
      </c>
      <c r="AI156">
        <v>0</v>
      </c>
      <c r="AJ156" s="3">
        <v>41912.6862847222</v>
      </c>
      <c r="AK156" s="2" t="s">
        <v>1861</v>
      </c>
    </row>
    <row r="157" spans="1:37" x14ac:dyDescent="0.15">
      <c r="A157" s="2" t="s">
        <v>1860</v>
      </c>
      <c r="B157">
        <v>221</v>
      </c>
      <c r="C157" s="3">
        <v>41671</v>
      </c>
      <c r="D157" s="2" t="s">
        <v>37</v>
      </c>
      <c r="E157" s="2" t="s">
        <v>1859</v>
      </c>
      <c r="F157" s="2" t="s">
        <v>41</v>
      </c>
      <c r="G157" s="2" t="s">
        <v>352</v>
      </c>
      <c r="H157" s="2" t="s">
        <v>353</v>
      </c>
      <c r="I157" s="65" t="b">
        <f>导出!I157=计算!I157</f>
        <v>1</v>
      </c>
      <c r="J157" s="65" t="b">
        <f>导出!J157=计算!J157</f>
        <v>1</v>
      </c>
      <c r="K157" s="65" t="b">
        <f>导出!K157=计算!K157</f>
        <v>1</v>
      </c>
      <c r="L157" s="65" t="b">
        <f>导出!L157=计算!L157</f>
        <v>1</v>
      </c>
      <c r="M157" s="65" t="b">
        <f>导出!M157=计算!M157</f>
        <v>1</v>
      </c>
      <c r="N157" s="65" t="b">
        <f>导出!N157=计算!N157</f>
        <v>0</v>
      </c>
      <c r="O157" s="65" t="b">
        <f>导出!O157=计算!O157</f>
        <v>1</v>
      </c>
      <c r="P157" s="65" t="b">
        <f>导出!P157=计算!P157</f>
        <v>1</v>
      </c>
      <c r="Q157" s="65" t="b">
        <f>导出!Q157=计算!Q157</f>
        <v>0</v>
      </c>
      <c r="R157" s="65" t="b">
        <f>导出!R157=计算!R157</f>
        <v>1</v>
      </c>
      <c r="S157" s="65" t="b">
        <f>导出!S157=计算!S157</f>
        <v>1</v>
      </c>
      <c r="T157" s="65" t="b">
        <f>导出!T157=计算!T157</f>
        <v>1</v>
      </c>
      <c r="U157" s="65" t="b">
        <f>导出!U157=计算!U157</f>
        <v>1</v>
      </c>
      <c r="V157" s="65" t="b">
        <f>导出!V157=计算!V157</f>
        <v>0</v>
      </c>
      <c r="W157" s="65" t="b">
        <f>导出!W157=计算!W157</f>
        <v>1</v>
      </c>
      <c r="X157" s="65" t="b">
        <f>导出!X157=计算!X157</f>
        <v>1</v>
      </c>
      <c r="Y157" s="65" t="b">
        <f>导出!Y157=计算!Y157</f>
        <v>1</v>
      </c>
      <c r="Z157" s="65" t="b">
        <f>导出!Z157=计算!Z157</f>
        <v>1</v>
      </c>
      <c r="AA157" s="65" t="b">
        <f>导出!AA157=计算!AA157</f>
        <v>0</v>
      </c>
      <c r="AB157" s="65" t="b">
        <f>导出!AB157=计算!AB157</f>
        <v>0</v>
      </c>
      <c r="AC157" s="65" t="b">
        <f>导出!AC157=计算!AC157</f>
        <v>1</v>
      </c>
      <c r="AD157" s="65" t="b">
        <f>导出!AD157=计算!AD157</f>
        <v>1</v>
      </c>
      <c r="AE157" s="65" t="b">
        <f>导出!AE157=计算!AE157</f>
        <v>0</v>
      </c>
      <c r="AF157" s="65" t="b">
        <f>导出!AF157=计算!AF157</f>
        <v>1</v>
      </c>
      <c r="AG157" s="65" t="b">
        <f>导出!AG157=计算!AG157</f>
        <v>1</v>
      </c>
      <c r="AH157" s="65" t="b">
        <f>导出!AH157=计算!AH157</f>
        <v>1</v>
      </c>
      <c r="AI157">
        <v>0</v>
      </c>
      <c r="AJ157" s="3">
        <v>41912.6862384259</v>
      </c>
      <c r="AK157" s="2" t="s">
        <v>1858</v>
      </c>
    </row>
    <row r="158" spans="1:37" x14ac:dyDescent="0.15">
      <c r="A158" s="2" t="s">
        <v>1857</v>
      </c>
      <c r="B158">
        <v>1117</v>
      </c>
      <c r="C158" s="3">
        <v>41699</v>
      </c>
      <c r="D158" s="2" t="s">
        <v>37</v>
      </c>
      <c r="E158" s="2" t="s">
        <v>1856</v>
      </c>
      <c r="F158" s="2" t="s">
        <v>38</v>
      </c>
      <c r="G158" s="2" t="s">
        <v>358</v>
      </c>
      <c r="H158" s="2" t="s">
        <v>359</v>
      </c>
      <c r="I158" s="65" t="b">
        <f>导出!I158=计算!I158</f>
        <v>1</v>
      </c>
      <c r="J158" s="65" t="b">
        <f>导出!J158=计算!J158</f>
        <v>1</v>
      </c>
      <c r="K158" s="65" t="b">
        <f>导出!K158=计算!K158</f>
        <v>1</v>
      </c>
      <c r="L158" s="65" t="b">
        <f>导出!L158=计算!L158</f>
        <v>1</v>
      </c>
      <c r="M158" s="65" t="b">
        <f>导出!M158=计算!M158</f>
        <v>1</v>
      </c>
      <c r="N158" s="65" t="b">
        <f>导出!N158=计算!N158</f>
        <v>1</v>
      </c>
      <c r="O158" s="65" t="b">
        <f>导出!O158=计算!O158</f>
        <v>1</v>
      </c>
      <c r="P158" s="65" t="b">
        <f>导出!P158=计算!P158</f>
        <v>1</v>
      </c>
      <c r="Q158" s="65" t="b">
        <f>导出!Q158=计算!Q158</f>
        <v>0</v>
      </c>
      <c r="R158" s="65" t="b">
        <f>导出!R158=计算!R158</f>
        <v>1</v>
      </c>
      <c r="S158" s="65" t="b">
        <f>导出!S158=计算!S158</f>
        <v>1</v>
      </c>
      <c r="T158" s="65" t="b">
        <f>导出!T158=计算!T158</f>
        <v>1</v>
      </c>
      <c r="U158" s="65" t="b">
        <f>导出!U158=计算!U158</f>
        <v>1</v>
      </c>
      <c r="V158" s="65" t="b">
        <f>导出!V158=计算!V158</f>
        <v>0</v>
      </c>
      <c r="W158" s="65" t="b">
        <f>导出!W158=计算!W158</f>
        <v>1</v>
      </c>
      <c r="X158" s="65" t="b">
        <f>导出!X158=计算!X158</f>
        <v>1</v>
      </c>
      <c r="Y158" s="65" t="b">
        <f>导出!Y158=计算!Y158</f>
        <v>1</v>
      </c>
      <c r="Z158" s="65" t="b">
        <f>导出!Z158=计算!Z158</f>
        <v>1</v>
      </c>
      <c r="AA158" s="65" t="b">
        <f>导出!AA158=计算!AA158</f>
        <v>0</v>
      </c>
      <c r="AB158" s="65" t="b">
        <f>导出!AB158=计算!AB158</f>
        <v>1</v>
      </c>
      <c r="AC158" s="65" t="b">
        <f>导出!AC158=计算!AC158</f>
        <v>1</v>
      </c>
      <c r="AD158" s="65" t="b">
        <f>导出!AD158=计算!AD158</f>
        <v>1</v>
      </c>
      <c r="AE158" s="65" t="b">
        <f>导出!AE158=计算!AE158</f>
        <v>1</v>
      </c>
      <c r="AF158" s="65" t="b">
        <f>导出!AF158=计算!AF158</f>
        <v>1</v>
      </c>
      <c r="AG158" s="65" t="b">
        <f>导出!AG158=计算!AG158</f>
        <v>1</v>
      </c>
      <c r="AH158" s="65" t="b">
        <f>导出!AH158=计算!AH158</f>
        <v>1</v>
      </c>
      <c r="AI158">
        <v>0</v>
      </c>
      <c r="AJ158" s="3">
        <v>41912.6862847222</v>
      </c>
      <c r="AK158" s="2" t="s">
        <v>1855</v>
      </c>
    </row>
    <row r="159" spans="1:37" x14ac:dyDescent="0.15">
      <c r="A159" s="2" t="s">
        <v>1854</v>
      </c>
      <c r="B159">
        <v>226</v>
      </c>
      <c r="C159" s="3">
        <v>41699</v>
      </c>
      <c r="D159" s="2" t="s">
        <v>37</v>
      </c>
      <c r="E159" s="2" t="s">
        <v>1853</v>
      </c>
      <c r="F159" s="2" t="s">
        <v>41</v>
      </c>
      <c r="G159" s="2" t="s">
        <v>356</v>
      </c>
      <c r="H159" s="2" t="s">
        <v>357</v>
      </c>
      <c r="I159" s="65" t="b">
        <f>导出!I159=计算!I159</f>
        <v>1</v>
      </c>
      <c r="J159" s="65" t="b">
        <f>导出!J159=计算!J159</f>
        <v>1</v>
      </c>
      <c r="K159" s="65" t="b">
        <f>导出!K159=计算!K159</f>
        <v>1</v>
      </c>
      <c r="L159" s="65" t="b">
        <f>导出!L159=计算!L159</f>
        <v>1</v>
      </c>
      <c r="M159" s="65" t="b">
        <f>导出!M159=计算!M159</f>
        <v>1</v>
      </c>
      <c r="N159" s="65" t="b">
        <f>导出!N159=计算!N159</f>
        <v>1</v>
      </c>
      <c r="O159" s="65" t="b">
        <f>导出!O159=计算!O159</f>
        <v>1</v>
      </c>
      <c r="P159" s="65" t="b">
        <f>导出!P159=计算!P159</f>
        <v>1</v>
      </c>
      <c r="Q159" s="65" t="b">
        <f>导出!Q159=计算!Q159</f>
        <v>1</v>
      </c>
      <c r="R159" s="65" t="b">
        <f>导出!R159=计算!R159</f>
        <v>1</v>
      </c>
      <c r="S159" s="65" t="b">
        <f>导出!S159=计算!S159</f>
        <v>1</v>
      </c>
      <c r="T159" s="65" t="b">
        <f>导出!T159=计算!T159</f>
        <v>1</v>
      </c>
      <c r="U159" s="65" t="b">
        <f>导出!U159=计算!U159</f>
        <v>1</v>
      </c>
      <c r="V159" s="65" t="b">
        <f>导出!V159=计算!V159</f>
        <v>0</v>
      </c>
      <c r="W159" s="65" t="b">
        <f>导出!W159=计算!W159</f>
        <v>1</v>
      </c>
      <c r="X159" s="65" t="b">
        <f>导出!X159=计算!X159</f>
        <v>1</v>
      </c>
      <c r="Y159" s="65" t="b">
        <f>导出!Y159=计算!Y159</f>
        <v>1</v>
      </c>
      <c r="Z159" s="65" t="b">
        <f>导出!Z159=计算!Z159</f>
        <v>1</v>
      </c>
      <c r="AA159" s="65" t="b">
        <f>导出!AA159=计算!AA159</f>
        <v>1</v>
      </c>
      <c r="AB159" s="65" t="b">
        <f>导出!AB159=计算!AB159</f>
        <v>1</v>
      </c>
      <c r="AC159" s="65" t="b">
        <f>导出!AC159=计算!AC159</f>
        <v>1</v>
      </c>
      <c r="AD159" s="65" t="b">
        <f>导出!AD159=计算!AD159</f>
        <v>1</v>
      </c>
      <c r="AE159" s="65" t="b">
        <f>导出!AE159=计算!AE159</f>
        <v>1</v>
      </c>
      <c r="AF159" s="65" t="b">
        <f>导出!AF159=计算!AF159</f>
        <v>1</v>
      </c>
      <c r="AG159" s="65" t="b">
        <f>导出!AG159=计算!AG159</f>
        <v>1</v>
      </c>
      <c r="AH159" s="65" t="b">
        <f>导出!AH159=计算!AH159</f>
        <v>1</v>
      </c>
      <c r="AI159">
        <v>0</v>
      </c>
      <c r="AJ159" s="3">
        <v>41912.6862384259</v>
      </c>
      <c r="AK159" s="2" t="s">
        <v>1852</v>
      </c>
    </row>
    <row r="160" spans="1:37" x14ac:dyDescent="0.15">
      <c r="A160" s="2" t="s">
        <v>1851</v>
      </c>
      <c r="B160">
        <v>1109</v>
      </c>
      <c r="C160" s="3">
        <v>41699</v>
      </c>
      <c r="D160" s="2" t="s">
        <v>37</v>
      </c>
      <c r="E160" s="2" t="s">
        <v>1850</v>
      </c>
      <c r="F160" s="2" t="s">
        <v>38</v>
      </c>
      <c r="G160" s="2" t="s">
        <v>354</v>
      </c>
      <c r="H160" s="2" t="s">
        <v>355</v>
      </c>
      <c r="I160" s="65" t="b">
        <f>导出!I160=计算!I160</f>
        <v>1</v>
      </c>
      <c r="J160" s="65" t="b">
        <f>导出!J160=计算!J160</f>
        <v>1</v>
      </c>
      <c r="K160" s="65" t="b">
        <f>导出!K160=计算!K160</f>
        <v>1</v>
      </c>
      <c r="L160" s="65" t="b">
        <f>导出!L160=计算!L160</f>
        <v>1</v>
      </c>
      <c r="M160" s="65" t="b">
        <f>导出!M160=计算!M160</f>
        <v>1</v>
      </c>
      <c r="N160" s="65" t="b">
        <f>导出!N160=计算!N160</f>
        <v>0</v>
      </c>
      <c r="O160" s="65" t="b">
        <f>导出!O160=计算!O160</f>
        <v>1</v>
      </c>
      <c r="P160" s="65" t="b">
        <f>导出!P160=计算!P160</f>
        <v>1</v>
      </c>
      <c r="Q160" s="65" t="b">
        <f>导出!Q160=计算!Q160</f>
        <v>0</v>
      </c>
      <c r="R160" s="65" t="b">
        <f>导出!R160=计算!R160</f>
        <v>1</v>
      </c>
      <c r="S160" s="65" t="b">
        <f>导出!S160=计算!S160</f>
        <v>1</v>
      </c>
      <c r="T160" s="65" t="b">
        <f>导出!T160=计算!T160</f>
        <v>1</v>
      </c>
      <c r="U160" s="65" t="b">
        <f>导出!U160=计算!U160</f>
        <v>1</v>
      </c>
      <c r="V160" s="65" t="b">
        <f>导出!V160=计算!V160</f>
        <v>0</v>
      </c>
      <c r="W160" s="65" t="b">
        <f>导出!W160=计算!W160</f>
        <v>1</v>
      </c>
      <c r="X160" s="65" t="b">
        <f>导出!X160=计算!X160</f>
        <v>1</v>
      </c>
      <c r="Y160" s="65" t="b">
        <f>导出!Y160=计算!Y160</f>
        <v>1</v>
      </c>
      <c r="Z160" s="65" t="b">
        <f>导出!Z160=计算!Z160</f>
        <v>1</v>
      </c>
      <c r="AA160" s="65" t="b">
        <f>导出!AA160=计算!AA160</f>
        <v>0</v>
      </c>
      <c r="AB160" s="65" t="b">
        <f>导出!AB160=计算!AB160</f>
        <v>0</v>
      </c>
      <c r="AC160" s="65" t="b">
        <f>导出!AC160=计算!AC160</f>
        <v>1</v>
      </c>
      <c r="AD160" s="65" t="b">
        <f>导出!AD160=计算!AD160</f>
        <v>1</v>
      </c>
      <c r="AE160" s="65" t="b">
        <f>导出!AE160=计算!AE160</f>
        <v>0</v>
      </c>
      <c r="AF160" s="65" t="b">
        <f>导出!AF160=计算!AF160</f>
        <v>1</v>
      </c>
      <c r="AG160" s="65" t="b">
        <f>导出!AG160=计算!AG160</f>
        <v>1</v>
      </c>
      <c r="AH160" s="65" t="b">
        <f>导出!AH160=计算!AH160</f>
        <v>1</v>
      </c>
      <c r="AI160">
        <v>0</v>
      </c>
      <c r="AJ160" s="3">
        <v>41912.6862847222</v>
      </c>
      <c r="AK160" s="2" t="s">
        <v>1849</v>
      </c>
    </row>
    <row r="161" spans="1:37" x14ac:dyDescent="0.15">
      <c r="A161" s="2" t="s">
        <v>1848</v>
      </c>
      <c r="B161">
        <v>1126</v>
      </c>
      <c r="C161" s="3">
        <v>41730</v>
      </c>
      <c r="D161" s="2" t="s">
        <v>37</v>
      </c>
      <c r="E161" s="2" t="s">
        <v>1847</v>
      </c>
      <c r="F161" s="2" t="s">
        <v>38</v>
      </c>
      <c r="G161" s="2" t="s">
        <v>364</v>
      </c>
      <c r="H161" s="2" t="s">
        <v>365</v>
      </c>
      <c r="I161" s="65" t="b">
        <f>导出!I161=计算!I161</f>
        <v>1</v>
      </c>
      <c r="J161" s="65" t="b">
        <f>导出!J161=计算!J161</f>
        <v>1</v>
      </c>
      <c r="K161" s="65" t="b">
        <f>导出!K161=计算!K161</f>
        <v>1</v>
      </c>
      <c r="L161" s="65" t="b">
        <f>导出!L161=计算!L161</f>
        <v>1</v>
      </c>
      <c r="M161" s="65" t="b">
        <f>导出!M161=计算!M161</f>
        <v>1</v>
      </c>
      <c r="N161" s="65" t="b">
        <f>导出!N161=计算!N161</f>
        <v>0</v>
      </c>
      <c r="O161" s="65" t="b">
        <f>导出!O161=计算!O161</f>
        <v>1</v>
      </c>
      <c r="P161" s="65" t="b">
        <f>导出!P161=计算!P161</f>
        <v>1</v>
      </c>
      <c r="Q161" s="65" t="b">
        <f>导出!Q161=计算!Q161</f>
        <v>0</v>
      </c>
      <c r="R161" s="65" t="b">
        <f>导出!R161=计算!R161</f>
        <v>1</v>
      </c>
      <c r="S161" s="65" t="b">
        <f>导出!S161=计算!S161</f>
        <v>1</v>
      </c>
      <c r="T161" s="65" t="b">
        <f>导出!T161=计算!T161</f>
        <v>1</v>
      </c>
      <c r="U161" s="65" t="b">
        <f>导出!U161=计算!U161</f>
        <v>1</v>
      </c>
      <c r="V161" s="65" t="b">
        <f>导出!V161=计算!V161</f>
        <v>0</v>
      </c>
      <c r="W161" s="65" t="b">
        <f>导出!W161=计算!W161</f>
        <v>1</v>
      </c>
      <c r="X161" s="65" t="b">
        <f>导出!X161=计算!X161</f>
        <v>1</v>
      </c>
      <c r="Y161" s="65" t="b">
        <f>导出!Y161=计算!Y161</f>
        <v>1</v>
      </c>
      <c r="Z161" s="65" t="b">
        <f>导出!Z161=计算!Z161</f>
        <v>1</v>
      </c>
      <c r="AA161" s="65" t="b">
        <f>导出!AA161=计算!AA161</f>
        <v>0</v>
      </c>
      <c r="AB161" s="65" t="b">
        <f>导出!AB161=计算!AB161</f>
        <v>0</v>
      </c>
      <c r="AC161" s="65" t="b">
        <f>导出!AC161=计算!AC161</f>
        <v>1</v>
      </c>
      <c r="AD161" s="65" t="b">
        <f>导出!AD161=计算!AD161</f>
        <v>1</v>
      </c>
      <c r="AE161" s="65" t="b">
        <f>导出!AE161=计算!AE161</f>
        <v>0</v>
      </c>
      <c r="AF161" s="65" t="b">
        <f>导出!AF161=计算!AF161</f>
        <v>1</v>
      </c>
      <c r="AG161" s="65" t="b">
        <f>导出!AG161=计算!AG161</f>
        <v>1</v>
      </c>
      <c r="AH161" s="65" t="b">
        <f>导出!AH161=计算!AH161</f>
        <v>1</v>
      </c>
      <c r="AI161">
        <v>0</v>
      </c>
      <c r="AJ161" s="3">
        <v>41912.6862847222</v>
      </c>
      <c r="AK161" s="2" t="s">
        <v>1846</v>
      </c>
    </row>
    <row r="162" spans="1:37" x14ac:dyDescent="0.15">
      <c r="A162" s="2" t="s">
        <v>1845</v>
      </c>
      <c r="B162">
        <v>231</v>
      </c>
      <c r="C162" s="3">
        <v>41730</v>
      </c>
      <c r="D162" s="2" t="s">
        <v>37</v>
      </c>
      <c r="E162" s="2" t="s">
        <v>1844</v>
      </c>
      <c r="F162" s="2" t="s">
        <v>41</v>
      </c>
      <c r="G162" s="2" t="s">
        <v>362</v>
      </c>
      <c r="H162" s="2" t="s">
        <v>363</v>
      </c>
      <c r="I162" s="65" t="b">
        <f>导出!I162=计算!I162</f>
        <v>1</v>
      </c>
      <c r="J162" s="65" t="b">
        <f>导出!J162=计算!J162</f>
        <v>1</v>
      </c>
      <c r="K162" s="65" t="b">
        <f>导出!K162=计算!K162</f>
        <v>1</v>
      </c>
      <c r="L162" s="65" t="b">
        <f>导出!L162=计算!L162</f>
        <v>1</v>
      </c>
      <c r="M162" s="65" t="b">
        <f>导出!M162=计算!M162</f>
        <v>1</v>
      </c>
      <c r="N162" s="65" t="b">
        <f>导出!N162=计算!N162</f>
        <v>1</v>
      </c>
      <c r="O162" s="65" t="b">
        <f>导出!O162=计算!O162</f>
        <v>1</v>
      </c>
      <c r="P162" s="65" t="b">
        <f>导出!P162=计算!P162</f>
        <v>1</v>
      </c>
      <c r="Q162" s="65" t="b">
        <f>导出!Q162=计算!Q162</f>
        <v>1</v>
      </c>
      <c r="R162" s="65" t="b">
        <f>导出!R162=计算!R162</f>
        <v>1</v>
      </c>
      <c r="S162" s="65" t="b">
        <f>导出!S162=计算!S162</f>
        <v>1</v>
      </c>
      <c r="T162" s="65" t="b">
        <f>导出!T162=计算!T162</f>
        <v>1</v>
      </c>
      <c r="U162" s="65" t="b">
        <f>导出!U162=计算!U162</f>
        <v>1</v>
      </c>
      <c r="V162" s="65" t="b">
        <f>导出!V162=计算!V162</f>
        <v>0</v>
      </c>
      <c r="W162" s="65" t="b">
        <f>导出!W162=计算!W162</f>
        <v>1</v>
      </c>
      <c r="X162" s="65" t="b">
        <f>导出!X162=计算!X162</f>
        <v>1</v>
      </c>
      <c r="Y162" s="65" t="b">
        <f>导出!Y162=计算!Y162</f>
        <v>1</v>
      </c>
      <c r="Z162" s="65" t="b">
        <f>导出!Z162=计算!Z162</f>
        <v>1</v>
      </c>
      <c r="AA162" s="65" t="b">
        <f>导出!AA162=计算!AA162</f>
        <v>0</v>
      </c>
      <c r="AB162" s="65" t="b">
        <f>导出!AB162=计算!AB162</f>
        <v>1</v>
      </c>
      <c r="AC162" s="65" t="b">
        <f>导出!AC162=计算!AC162</f>
        <v>1</v>
      </c>
      <c r="AD162" s="65" t="b">
        <f>导出!AD162=计算!AD162</f>
        <v>1</v>
      </c>
      <c r="AE162" s="65" t="b">
        <f>导出!AE162=计算!AE162</f>
        <v>1</v>
      </c>
      <c r="AF162" s="65" t="b">
        <f>导出!AF162=计算!AF162</f>
        <v>1</v>
      </c>
      <c r="AG162" s="65" t="b">
        <f>导出!AG162=计算!AG162</f>
        <v>1</v>
      </c>
      <c r="AH162" s="65" t="b">
        <f>导出!AH162=计算!AH162</f>
        <v>1</v>
      </c>
      <c r="AI162">
        <v>0</v>
      </c>
      <c r="AJ162" s="3">
        <v>41912.6862384259</v>
      </c>
      <c r="AK162" s="2" t="s">
        <v>1843</v>
      </c>
    </row>
    <row r="163" spans="1:37" x14ac:dyDescent="0.15">
      <c r="A163" s="2" t="s">
        <v>1842</v>
      </c>
      <c r="B163">
        <v>1133</v>
      </c>
      <c r="C163" s="3">
        <v>41730</v>
      </c>
      <c r="D163" s="2" t="s">
        <v>37</v>
      </c>
      <c r="E163" s="2" t="s">
        <v>1841</v>
      </c>
      <c r="F163" s="2" t="s">
        <v>38</v>
      </c>
      <c r="G163" s="2" t="s">
        <v>360</v>
      </c>
      <c r="H163" s="2" t="s">
        <v>361</v>
      </c>
      <c r="I163" s="65" t="b">
        <f>导出!I163=计算!I163</f>
        <v>1</v>
      </c>
      <c r="J163" s="65" t="b">
        <f>导出!J163=计算!J163</f>
        <v>1</v>
      </c>
      <c r="K163" s="65" t="b">
        <f>导出!K163=计算!K163</f>
        <v>1</v>
      </c>
      <c r="L163" s="65" t="b">
        <f>导出!L163=计算!L163</f>
        <v>1</v>
      </c>
      <c r="M163" s="65" t="b">
        <f>导出!M163=计算!M163</f>
        <v>1</v>
      </c>
      <c r="N163" s="65" t="b">
        <f>导出!N163=计算!N163</f>
        <v>1</v>
      </c>
      <c r="O163" s="65" t="b">
        <f>导出!O163=计算!O163</f>
        <v>1</v>
      </c>
      <c r="P163" s="65" t="b">
        <f>导出!P163=计算!P163</f>
        <v>1</v>
      </c>
      <c r="Q163" s="65" t="b">
        <f>导出!Q163=计算!Q163</f>
        <v>1</v>
      </c>
      <c r="R163" s="65" t="b">
        <f>导出!R163=计算!R163</f>
        <v>1</v>
      </c>
      <c r="S163" s="65" t="b">
        <f>导出!S163=计算!S163</f>
        <v>0</v>
      </c>
      <c r="T163" s="65" t="b">
        <f>导出!T163=计算!T163</f>
        <v>1</v>
      </c>
      <c r="U163" s="65" t="b">
        <f>导出!U163=计算!U163</f>
        <v>1</v>
      </c>
      <c r="V163" s="65" t="b">
        <f>导出!V163=计算!V163</f>
        <v>0</v>
      </c>
      <c r="W163" s="65" t="b">
        <f>导出!W163=计算!W163</f>
        <v>1</v>
      </c>
      <c r="X163" s="65" t="b">
        <f>导出!X163=计算!X163</f>
        <v>1</v>
      </c>
      <c r="Y163" s="65" t="b">
        <f>导出!Y163=计算!Y163</f>
        <v>1</v>
      </c>
      <c r="Z163" s="65" t="b">
        <f>导出!Z163=计算!Z163</f>
        <v>1</v>
      </c>
      <c r="AA163" s="65" t="b">
        <f>导出!AA163=计算!AA163</f>
        <v>0</v>
      </c>
      <c r="AB163" s="65" t="b">
        <f>导出!AB163=计算!AB163</f>
        <v>0</v>
      </c>
      <c r="AC163" s="65" t="b">
        <f>导出!AC163=计算!AC163</f>
        <v>1</v>
      </c>
      <c r="AD163" s="65" t="b">
        <f>导出!AD163=计算!AD163</f>
        <v>1</v>
      </c>
      <c r="AE163" s="65" t="b">
        <f>导出!AE163=计算!AE163</f>
        <v>0</v>
      </c>
      <c r="AF163" s="65" t="b">
        <f>导出!AF163=计算!AF163</f>
        <v>1</v>
      </c>
      <c r="AG163" s="65" t="b">
        <f>导出!AG163=计算!AG163</f>
        <v>1</v>
      </c>
      <c r="AH163" s="65" t="b">
        <f>导出!AH163=计算!AH163</f>
        <v>1</v>
      </c>
      <c r="AI163">
        <v>0</v>
      </c>
      <c r="AJ163" s="3">
        <v>41912.6862847222</v>
      </c>
      <c r="AK163" s="2" t="s">
        <v>1840</v>
      </c>
    </row>
    <row r="164" spans="1:37" x14ac:dyDescent="0.15">
      <c r="A164" s="2" t="s">
        <v>1839</v>
      </c>
      <c r="B164">
        <v>1151</v>
      </c>
      <c r="C164" s="3">
        <v>41744</v>
      </c>
      <c r="D164" s="2" t="s">
        <v>37</v>
      </c>
      <c r="E164" s="2" t="s">
        <v>1838</v>
      </c>
      <c r="F164" s="2" t="s">
        <v>38</v>
      </c>
      <c r="G164" s="2" t="s">
        <v>366</v>
      </c>
      <c r="H164" s="2" t="s">
        <v>367</v>
      </c>
      <c r="I164" s="65" t="b">
        <f>导出!I164=计算!I164</f>
        <v>1</v>
      </c>
      <c r="J164" s="65" t="b">
        <f>导出!J164=计算!J164</f>
        <v>1</v>
      </c>
      <c r="K164" s="65" t="b">
        <f>导出!K164=计算!K164</f>
        <v>1</v>
      </c>
      <c r="L164" s="65" t="b">
        <f>导出!L164=计算!L164</f>
        <v>1</v>
      </c>
      <c r="M164" s="65" t="b">
        <f>导出!M164=计算!M164</f>
        <v>1</v>
      </c>
      <c r="N164" s="65" t="b">
        <f>导出!N164=计算!N164</f>
        <v>0</v>
      </c>
      <c r="O164" s="65" t="b">
        <f>导出!O164=计算!O164</f>
        <v>1</v>
      </c>
      <c r="P164" s="65" t="b">
        <f>导出!P164=计算!P164</f>
        <v>1</v>
      </c>
      <c r="Q164" s="65" t="b">
        <f>导出!Q164=计算!Q164</f>
        <v>0</v>
      </c>
      <c r="R164" s="65" t="b">
        <f>导出!R164=计算!R164</f>
        <v>1</v>
      </c>
      <c r="S164" s="65" t="b">
        <f>导出!S164=计算!S164</f>
        <v>1</v>
      </c>
      <c r="T164" s="65" t="b">
        <f>导出!T164=计算!T164</f>
        <v>1</v>
      </c>
      <c r="U164" s="65" t="b">
        <f>导出!U164=计算!U164</f>
        <v>1</v>
      </c>
      <c r="V164" s="65" t="b">
        <f>导出!V164=计算!V164</f>
        <v>1</v>
      </c>
      <c r="W164" s="65" t="b">
        <f>导出!W164=计算!W164</f>
        <v>1</v>
      </c>
      <c r="X164" s="65" t="b">
        <f>导出!X164=计算!X164</f>
        <v>1</v>
      </c>
      <c r="Y164" s="65" t="b">
        <f>导出!Y164=计算!Y164</f>
        <v>1</v>
      </c>
      <c r="Z164" s="65" t="b">
        <f>导出!Z164=计算!Z164</f>
        <v>1</v>
      </c>
      <c r="AA164" s="65" t="b">
        <f>导出!AA164=计算!AA164</f>
        <v>1</v>
      </c>
      <c r="AB164" s="65" t="b">
        <f>导出!AB164=计算!AB164</f>
        <v>1</v>
      </c>
      <c r="AC164" s="65" t="b">
        <f>导出!AC164=计算!AC164</f>
        <v>1</v>
      </c>
      <c r="AD164" s="65" t="b">
        <f>导出!AD164=计算!AD164</f>
        <v>1</v>
      </c>
      <c r="AE164" s="65" t="b">
        <f>导出!AE164=计算!AE164</f>
        <v>1</v>
      </c>
      <c r="AF164" s="65" t="b">
        <f>导出!AF164=计算!AF164</f>
        <v>1</v>
      </c>
      <c r="AG164" s="65" t="b">
        <f>导出!AG164=计算!AG164</f>
        <v>1</v>
      </c>
      <c r="AH164" s="65" t="b">
        <f>导出!AH164=计算!AH164</f>
        <v>1</v>
      </c>
      <c r="AI164">
        <v>0</v>
      </c>
      <c r="AJ164" s="3">
        <v>41912.6862847222</v>
      </c>
      <c r="AK164" s="2" t="s">
        <v>1837</v>
      </c>
    </row>
    <row r="165" spans="1:37" x14ac:dyDescent="0.15">
      <c r="A165" s="2" t="s">
        <v>1836</v>
      </c>
      <c r="B165">
        <v>1141</v>
      </c>
      <c r="C165" s="3">
        <v>41745</v>
      </c>
      <c r="D165" s="2" t="s">
        <v>37</v>
      </c>
      <c r="E165" s="2" t="s">
        <v>1835</v>
      </c>
      <c r="F165" s="2" t="s">
        <v>38</v>
      </c>
      <c r="G165" s="2" t="s">
        <v>368</v>
      </c>
      <c r="H165" s="2" t="s">
        <v>369</v>
      </c>
      <c r="I165" s="65" t="b">
        <f>导出!I165=计算!I165</f>
        <v>1</v>
      </c>
      <c r="J165" s="65" t="b">
        <f>导出!J165=计算!J165</f>
        <v>1</v>
      </c>
      <c r="K165" s="65" t="b">
        <f>导出!K165=计算!K165</f>
        <v>1</v>
      </c>
      <c r="L165" s="65" t="b">
        <f>导出!L165=计算!L165</f>
        <v>1</v>
      </c>
      <c r="M165" s="65" t="b">
        <f>导出!M165=计算!M165</f>
        <v>1</v>
      </c>
      <c r="N165" s="65" t="b">
        <f>导出!N165=计算!N165</f>
        <v>1</v>
      </c>
      <c r="O165" s="65" t="b">
        <f>导出!O165=计算!O165</f>
        <v>1</v>
      </c>
      <c r="P165" s="65" t="b">
        <f>导出!P165=计算!P165</f>
        <v>1</v>
      </c>
      <c r="Q165" s="65" t="b">
        <f>导出!Q165=计算!Q165</f>
        <v>0</v>
      </c>
      <c r="R165" s="65" t="b">
        <f>导出!R165=计算!R165</f>
        <v>1</v>
      </c>
      <c r="S165" s="65" t="b">
        <f>导出!S165=计算!S165</f>
        <v>1</v>
      </c>
      <c r="T165" s="65" t="b">
        <f>导出!T165=计算!T165</f>
        <v>1</v>
      </c>
      <c r="U165" s="65" t="b">
        <f>导出!U165=计算!U165</f>
        <v>1</v>
      </c>
      <c r="V165" s="65" t="b">
        <f>导出!V165=计算!V165</f>
        <v>0</v>
      </c>
      <c r="W165" s="65" t="b">
        <f>导出!W165=计算!W165</f>
        <v>1</v>
      </c>
      <c r="X165" s="65" t="b">
        <f>导出!X165=计算!X165</f>
        <v>1</v>
      </c>
      <c r="Y165" s="65" t="b">
        <f>导出!Y165=计算!Y165</f>
        <v>1</v>
      </c>
      <c r="Z165" s="65" t="b">
        <f>导出!Z165=计算!Z165</f>
        <v>1</v>
      </c>
      <c r="AA165" s="65" t="b">
        <f>导出!AA165=计算!AA165</f>
        <v>0</v>
      </c>
      <c r="AB165" s="65" t="b">
        <f>导出!AB165=计算!AB165</f>
        <v>1</v>
      </c>
      <c r="AC165" s="65" t="b">
        <f>导出!AC165=计算!AC165</f>
        <v>1</v>
      </c>
      <c r="AD165" s="65" t="b">
        <f>导出!AD165=计算!AD165</f>
        <v>1</v>
      </c>
      <c r="AE165" s="65" t="b">
        <f>导出!AE165=计算!AE165</f>
        <v>1</v>
      </c>
      <c r="AF165" s="65" t="b">
        <f>导出!AF165=计算!AF165</f>
        <v>1</v>
      </c>
      <c r="AG165" s="65" t="b">
        <f>导出!AG165=计算!AG165</f>
        <v>1</v>
      </c>
      <c r="AH165" s="65" t="b">
        <f>导出!AH165=计算!AH165</f>
        <v>1</v>
      </c>
      <c r="AI165">
        <v>0</v>
      </c>
      <c r="AJ165" s="3">
        <v>41912.6862847222</v>
      </c>
      <c r="AK165" s="2" t="s">
        <v>1834</v>
      </c>
    </row>
    <row r="166" spans="1:37" x14ac:dyDescent="0.15">
      <c r="A166" s="2" t="s">
        <v>1833</v>
      </c>
      <c r="B166">
        <v>1148</v>
      </c>
      <c r="C166" s="3">
        <v>41747</v>
      </c>
      <c r="D166" s="2" t="s">
        <v>37</v>
      </c>
      <c r="E166" s="2" t="s">
        <v>1832</v>
      </c>
      <c r="F166" s="2" t="s">
        <v>38</v>
      </c>
      <c r="G166" s="2" t="s">
        <v>370</v>
      </c>
      <c r="H166" s="2" t="s">
        <v>371</v>
      </c>
      <c r="I166" s="65" t="b">
        <f>导出!I166=计算!I166</f>
        <v>1</v>
      </c>
      <c r="J166" s="65" t="b">
        <f>导出!J166=计算!J166</f>
        <v>1</v>
      </c>
      <c r="K166" s="65" t="b">
        <f>导出!K166=计算!K166</f>
        <v>1</v>
      </c>
      <c r="L166" s="65" t="b">
        <f>导出!L166=计算!L166</f>
        <v>1</v>
      </c>
      <c r="M166" s="65" t="b">
        <f>导出!M166=计算!M166</f>
        <v>1</v>
      </c>
      <c r="N166" s="65" t="b">
        <f>导出!N166=计算!N166</f>
        <v>1</v>
      </c>
      <c r="O166" s="65" t="b">
        <f>导出!O166=计算!O166</f>
        <v>1</v>
      </c>
      <c r="P166" s="65" t="b">
        <f>导出!P166=计算!P166</f>
        <v>1</v>
      </c>
      <c r="Q166" s="65" t="b">
        <f>导出!Q166=计算!Q166</f>
        <v>1</v>
      </c>
      <c r="R166" s="65" t="b">
        <f>导出!R166=计算!R166</f>
        <v>1</v>
      </c>
      <c r="S166" s="65" t="b">
        <f>导出!S166=计算!S166</f>
        <v>1</v>
      </c>
      <c r="T166" s="65" t="b">
        <f>导出!T166=计算!T166</f>
        <v>1</v>
      </c>
      <c r="U166" s="65" t="b">
        <f>导出!U166=计算!U166</f>
        <v>1</v>
      </c>
      <c r="V166" s="65" t="b">
        <f>导出!V166=计算!V166</f>
        <v>0</v>
      </c>
      <c r="W166" s="65" t="b">
        <f>导出!W166=计算!W166</f>
        <v>1</v>
      </c>
      <c r="X166" s="65" t="b">
        <f>导出!X166=计算!X166</f>
        <v>1</v>
      </c>
      <c r="Y166" s="65" t="b">
        <f>导出!Y166=计算!Y166</f>
        <v>1</v>
      </c>
      <c r="Z166" s="65" t="b">
        <f>导出!Z166=计算!Z166</f>
        <v>1</v>
      </c>
      <c r="AA166" s="65" t="b">
        <f>导出!AA166=计算!AA166</f>
        <v>0</v>
      </c>
      <c r="AB166" s="65" t="b">
        <f>导出!AB166=计算!AB166</f>
        <v>1</v>
      </c>
      <c r="AC166" s="65" t="b">
        <f>导出!AC166=计算!AC166</f>
        <v>1</v>
      </c>
      <c r="AD166" s="65" t="b">
        <f>导出!AD166=计算!AD166</f>
        <v>1</v>
      </c>
      <c r="AE166" s="65" t="b">
        <f>导出!AE166=计算!AE166</f>
        <v>1</v>
      </c>
      <c r="AF166" s="65" t="b">
        <f>导出!AF166=计算!AF166</f>
        <v>1</v>
      </c>
      <c r="AG166" s="65" t="b">
        <f>导出!AG166=计算!AG166</f>
        <v>1</v>
      </c>
      <c r="AH166" s="65" t="b">
        <f>导出!AH166=计算!AH166</f>
        <v>1</v>
      </c>
      <c r="AI166">
        <v>0</v>
      </c>
      <c r="AJ166" s="3">
        <v>41912.6862847222</v>
      </c>
      <c r="AK166" s="2" t="s">
        <v>1831</v>
      </c>
    </row>
    <row r="167" spans="1:37" x14ac:dyDescent="0.15">
      <c r="A167" s="2" t="s">
        <v>1830</v>
      </c>
      <c r="B167">
        <v>1159</v>
      </c>
      <c r="C167" s="3">
        <v>41760</v>
      </c>
      <c r="D167" s="2" t="s">
        <v>37</v>
      </c>
      <c r="E167" s="2" t="s">
        <v>1829</v>
      </c>
      <c r="F167" s="2" t="s">
        <v>38</v>
      </c>
      <c r="G167" s="2" t="s">
        <v>376</v>
      </c>
      <c r="H167" s="2" t="s">
        <v>260</v>
      </c>
      <c r="I167" s="65" t="b">
        <f>导出!I167=计算!I167</f>
        <v>1</v>
      </c>
      <c r="J167" s="65" t="b">
        <f>导出!J167=计算!J167</f>
        <v>1</v>
      </c>
      <c r="K167" s="65" t="b">
        <f>导出!K167=计算!K167</f>
        <v>1</v>
      </c>
      <c r="L167" s="65" t="b">
        <f>导出!L167=计算!L167</f>
        <v>1</v>
      </c>
      <c r="M167" s="65" t="b">
        <f>导出!M167=计算!M167</f>
        <v>1</v>
      </c>
      <c r="N167" s="65" t="b">
        <f>导出!N167=计算!N167</f>
        <v>1</v>
      </c>
      <c r="O167" s="65" t="b">
        <f>导出!O167=计算!O167</f>
        <v>1</v>
      </c>
      <c r="P167" s="65" t="b">
        <f>导出!P167=计算!P167</f>
        <v>1</v>
      </c>
      <c r="Q167" s="65" t="b">
        <f>导出!Q167=计算!Q167</f>
        <v>1</v>
      </c>
      <c r="R167" s="65" t="b">
        <f>导出!R167=计算!R167</f>
        <v>1</v>
      </c>
      <c r="S167" s="65" t="b">
        <f>导出!S167=计算!S167</f>
        <v>1</v>
      </c>
      <c r="T167" s="65" t="b">
        <f>导出!T167=计算!T167</f>
        <v>1</v>
      </c>
      <c r="U167" s="65" t="b">
        <f>导出!U167=计算!U167</f>
        <v>1</v>
      </c>
      <c r="V167" s="65" t="b">
        <f>导出!V167=计算!V167</f>
        <v>0</v>
      </c>
      <c r="W167" s="65" t="b">
        <f>导出!W167=计算!W167</f>
        <v>1</v>
      </c>
      <c r="X167" s="65" t="b">
        <f>导出!X167=计算!X167</f>
        <v>1</v>
      </c>
      <c r="Y167" s="65" t="b">
        <f>导出!Y167=计算!Y167</f>
        <v>1</v>
      </c>
      <c r="Z167" s="65" t="b">
        <f>导出!Z167=计算!Z167</f>
        <v>1</v>
      </c>
      <c r="AA167" s="65" t="b">
        <f>导出!AA167=计算!AA167</f>
        <v>0</v>
      </c>
      <c r="AB167" s="65" t="b">
        <f>导出!AB167=计算!AB167</f>
        <v>1</v>
      </c>
      <c r="AC167" s="65" t="b">
        <f>导出!AC167=计算!AC167</f>
        <v>1</v>
      </c>
      <c r="AD167" s="65" t="b">
        <f>导出!AD167=计算!AD167</f>
        <v>1</v>
      </c>
      <c r="AE167" s="65" t="b">
        <f>导出!AE167=计算!AE167</f>
        <v>1</v>
      </c>
      <c r="AF167" s="65" t="b">
        <f>导出!AF167=计算!AF167</f>
        <v>1</v>
      </c>
      <c r="AG167" s="65" t="b">
        <f>导出!AG167=计算!AG167</f>
        <v>1</v>
      </c>
      <c r="AH167" s="65" t="b">
        <f>导出!AH167=计算!AH167</f>
        <v>1</v>
      </c>
      <c r="AI167">
        <v>0</v>
      </c>
      <c r="AJ167" s="3">
        <v>41912.6862847222</v>
      </c>
      <c r="AK167" s="2" t="s">
        <v>1828</v>
      </c>
    </row>
    <row r="168" spans="1:37" x14ac:dyDescent="0.15">
      <c r="A168" s="2" t="s">
        <v>1827</v>
      </c>
      <c r="B168">
        <v>1170</v>
      </c>
      <c r="C168" s="3">
        <v>41760</v>
      </c>
      <c r="D168" s="2" t="s">
        <v>37</v>
      </c>
      <c r="E168" s="2" t="s">
        <v>1826</v>
      </c>
      <c r="F168" s="2" t="s">
        <v>38</v>
      </c>
      <c r="G168" s="2" t="s">
        <v>1610</v>
      </c>
      <c r="H168" s="2" t="s">
        <v>1680</v>
      </c>
      <c r="I168" s="65" t="b">
        <f>导出!I168=计算!I168</f>
        <v>1</v>
      </c>
      <c r="J168" s="65" t="b">
        <f>导出!J168=计算!J168</f>
        <v>1</v>
      </c>
      <c r="K168" s="65" t="b">
        <f>导出!K168=计算!K168</f>
        <v>1</v>
      </c>
      <c r="L168" s="65" t="b">
        <f>导出!L168=计算!L168</f>
        <v>1</v>
      </c>
      <c r="M168" s="65" t="b">
        <f>导出!M168=计算!M168</f>
        <v>1</v>
      </c>
      <c r="N168" s="65" t="b">
        <f>导出!N168=计算!N168</f>
        <v>1</v>
      </c>
      <c r="O168" s="65" t="b">
        <f>导出!O168=计算!O168</f>
        <v>1</v>
      </c>
      <c r="P168" s="65" t="b">
        <f>导出!P168=计算!P168</f>
        <v>1</v>
      </c>
      <c r="Q168" s="65" t="b">
        <f>导出!Q168=计算!Q168</f>
        <v>1</v>
      </c>
      <c r="R168" s="65" t="b">
        <f>导出!R168=计算!R168</f>
        <v>1</v>
      </c>
      <c r="S168" s="65" t="b">
        <f>导出!S168=计算!S168</f>
        <v>1</v>
      </c>
      <c r="T168" s="65" t="b">
        <f>导出!T168=计算!T168</f>
        <v>1</v>
      </c>
      <c r="U168" s="65" t="b">
        <f>导出!U168=计算!U168</f>
        <v>1</v>
      </c>
      <c r="V168" s="65" t="b">
        <f>导出!V168=计算!V168</f>
        <v>1</v>
      </c>
      <c r="W168" s="65" t="b">
        <f>导出!W168=计算!W168</f>
        <v>1</v>
      </c>
      <c r="X168" s="65" t="b">
        <f>导出!X168=计算!X168</f>
        <v>1</v>
      </c>
      <c r="Y168" s="65" t="b">
        <f>导出!Y168=计算!Y168</f>
        <v>1</v>
      </c>
      <c r="Z168" s="65" t="b">
        <f>导出!Z168=计算!Z168</f>
        <v>1</v>
      </c>
      <c r="AA168" s="65" t="b">
        <f>导出!AA168=计算!AA168</f>
        <v>1</v>
      </c>
      <c r="AB168" s="65" t="b">
        <f>导出!AB168=计算!AB168</f>
        <v>1</v>
      </c>
      <c r="AC168" s="65" t="b">
        <f>导出!AC168=计算!AC168</f>
        <v>1</v>
      </c>
      <c r="AD168" s="65" t="b">
        <f>导出!AD168=计算!AD168</f>
        <v>1</v>
      </c>
      <c r="AE168" s="65" t="b">
        <f>导出!AE168=计算!AE168</f>
        <v>1</v>
      </c>
      <c r="AF168" s="65" t="b">
        <f>导出!AF168=计算!AF168</f>
        <v>1</v>
      </c>
      <c r="AG168" s="65" t="b">
        <f>导出!AG168=计算!AG168</f>
        <v>1</v>
      </c>
      <c r="AH168" s="65" t="b">
        <f>导出!AH168=计算!AH168</f>
        <v>1</v>
      </c>
      <c r="AI168">
        <v>0</v>
      </c>
      <c r="AJ168" s="3">
        <v>41912.6862847222</v>
      </c>
      <c r="AK168" s="2" t="s">
        <v>1825</v>
      </c>
    </row>
    <row r="169" spans="1:37" x14ac:dyDescent="0.15">
      <c r="A169" s="2" t="s">
        <v>1824</v>
      </c>
      <c r="B169">
        <v>1173</v>
      </c>
      <c r="C169" s="3">
        <v>41760</v>
      </c>
      <c r="D169" s="2" t="s">
        <v>37</v>
      </c>
      <c r="E169" s="2" t="s">
        <v>1823</v>
      </c>
      <c r="F169" s="2" t="s">
        <v>38</v>
      </c>
      <c r="G169" s="2" t="s">
        <v>377</v>
      </c>
      <c r="H169" s="2" t="s">
        <v>378</v>
      </c>
      <c r="I169" s="65" t="b">
        <f>导出!I169=计算!I169</f>
        <v>1</v>
      </c>
      <c r="J169" s="65" t="b">
        <f>导出!J169=计算!J169</f>
        <v>1</v>
      </c>
      <c r="K169" s="65" t="b">
        <f>导出!K169=计算!K169</f>
        <v>1</v>
      </c>
      <c r="L169" s="65" t="b">
        <f>导出!L169=计算!L169</f>
        <v>1</v>
      </c>
      <c r="M169" s="65" t="b">
        <f>导出!M169=计算!M169</f>
        <v>1</v>
      </c>
      <c r="N169" s="65" t="b">
        <f>导出!N169=计算!N169</f>
        <v>1</v>
      </c>
      <c r="O169" s="65" t="b">
        <f>导出!O169=计算!O169</f>
        <v>1</v>
      </c>
      <c r="P169" s="65" t="b">
        <f>导出!P169=计算!P169</f>
        <v>1</v>
      </c>
      <c r="Q169" s="65" t="b">
        <f>导出!Q169=计算!Q169</f>
        <v>1</v>
      </c>
      <c r="R169" s="65" t="b">
        <f>导出!R169=计算!R169</f>
        <v>1</v>
      </c>
      <c r="S169" s="65" t="b">
        <f>导出!S169=计算!S169</f>
        <v>1</v>
      </c>
      <c r="T169" s="65" t="b">
        <f>导出!T169=计算!T169</f>
        <v>1</v>
      </c>
      <c r="U169" s="65" t="b">
        <f>导出!U169=计算!U169</f>
        <v>1</v>
      </c>
      <c r="V169" s="65" t="b">
        <f>导出!V169=计算!V169</f>
        <v>1</v>
      </c>
      <c r="W169" s="65" t="b">
        <f>导出!W169=计算!W169</f>
        <v>1</v>
      </c>
      <c r="X169" s="65" t="b">
        <f>导出!X169=计算!X169</f>
        <v>1</v>
      </c>
      <c r="Y169" s="65" t="b">
        <f>导出!Y169=计算!Y169</f>
        <v>1</v>
      </c>
      <c r="Z169" s="65" t="b">
        <f>导出!Z169=计算!Z169</f>
        <v>1</v>
      </c>
      <c r="AA169" s="65" t="b">
        <f>导出!AA169=计算!AA169</f>
        <v>1</v>
      </c>
      <c r="AB169" s="65" t="b">
        <f>导出!AB169=计算!AB169</f>
        <v>1</v>
      </c>
      <c r="AC169" s="65" t="b">
        <f>导出!AC169=计算!AC169</f>
        <v>1</v>
      </c>
      <c r="AD169" s="65" t="b">
        <f>导出!AD169=计算!AD169</f>
        <v>1</v>
      </c>
      <c r="AE169" s="65" t="b">
        <f>导出!AE169=计算!AE169</f>
        <v>1</v>
      </c>
      <c r="AF169" s="65" t="b">
        <f>导出!AF169=计算!AF169</f>
        <v>1</v>
      </c>
      <c r="AG169" s="65" t="b">
        <f>导出!AG169=计算!AG169</f>
        <v>1</v>
      </c>
      <c r="AH169" s="65" t="b">
        <f>导出!AH169=计算!AH169</f>
        <v>1</v>
      </c>
      <c r="AI169">
        <v>0</v>
      </c>
      <c r="AJ169" s="3">
        <v>41912.6862847222</v>
      </c>
      <c r="AK169" s="2" t="s">
        <v>1822</v>
      </c>
    </row>
    <row r="170" spans="1:37" x14ac:dyDescent="0.15">
      <c r="A170" s="2" t="s">
        <v>1821</v>
      </c>
      <c r="B170">
        <v>1169</v>
      </c>
      <c r="C170" s="3">
        <v>41760</v>
      </c>
      <c r="D170" s="2" t="s">
        <v>37</v>
      </c>
      <c r="E170" s="2" t="s">
        <v>1820</v>
      </c>
      <c r="F170" s="2" t="s">
        <v>38</v>
      </c>
      <c r="G170" s="2" t="s">
        <v>374</v>
      </c>
      <c r="H170" s="2" t="s">
        <v>375</v>
      </c>
      <c r="I170" s="65" t="b">
        <f>导出!I170=计算!I170</f>
        <v>1</v>
      </c>
      <c r="J170" s="65" t="b">
        <f>导出!J170=计算!J170</f>
        <v>1</v>
      </c>
      <c r="K170" s="65" t="b">
        <f>导出!K170=计算!K170</f>
        <v>1</v>
      </c>
      <c r="L170" s="65" t="b">
        <f>导出!L170=计算!L170</f>
        <v>1</v>
      </c>
      <c r="M170" s="65" t="b">
        <f>导出!M170=计算!M170</f>
        <v>1</v>
      </c>
      <c r="N170" s="65" t="b">
        <f>导出!N170=计算!N170</f>
        <v>1</v>
      </c>
      <c r="O170" s="65" t="b">
        <f>导出!O170=计算!O170</f>
        <v>1</v>
      </c>
      <c r="P170" s="65" t="b">
        <f>导出!P170=计算!P170</f>
        <v>1</v>
      </c>
      <c r="Q170" s="65" t="b">
        <f>导出!Q170=计算!Q170</f>
        <v>1</v>
      </c>
      <c r="R170" s="65" t="b">
        <f>导出!R170=计算!R170</f>
        <v>1</v>
      </c>
      <c r="S170" s="65" t="b">
        <f>导出!S170=计算!S170</f>
        <v>1</v>
      </c>
      <c r="T170" s="65" t="b">
        <f>导出!T170=计算!T170</f>
        <v>1</v>
      </c>
      <c r="U170" s="65" t="b">
        <f>导出!U170=计算!U170</f>
        <v>1</v>
      </c>
      <c r="V170" s="65" t="b">
        <f>导出!V170=计算!V170</f>
        <v>1</v>
      </c>
      <c r="W170" s="65" t="b">
        <f>导出!W170=计算!W170</f>
        <v>1</v>
      </c>
      <c r="X170" s="65" t="b">
        <f>导出!X170=计算!X170</f>
        <v>1</v>
      </c>
      <c r="Y170" s="65" t="b">
        <f>导出!Y170=计算!Y170</f>
        <v>1</v>
      </c>
      <c r="Z170" s="65" t="b">
        <f>导出!Z170=计算!Z170</f>
        <v>1</v>
      </c>
      <c r="AA170" s="65" t="b">
        <f>导出!AA170=计算!AA170</f>
        <v>1</v>
      </c>
      <c r="AB170" s="65" t="b">
        <f>导出!AB170=计算!AB170</f>
        <v>1</v>
      </c>
      <c r="AC170" s="65" t="b">
        <f>导出!AC170=计算!AC170</f>
        <v>1</v>
      </c>
      <c r="AD170" s="65" t="b">
        <f>导出!AD170=计算!AD170</f>
        <v>1</v>
      </c>
      <c r="AE170" s="65" t="b">
        <f>导出!AE170=计算!AE170</f>
        <v>1</v>
      </c>
      <c r="AF170" s="65" t="b">
        <f>导出!AF170=计算!AF170</f>
        <v>1</v>
      </c>
      <c r="AG170" s="65" t="b">
        <f>导出!AG170=计算!AG170</f>
        <v>1</v>
      </c>
      <c r="AH170" s="65" t="b">
        <f>导出!AH170=计算!AH170</f>
        <v>1</v>
      </c>
      <c r="AI170">
        <v>0</v>
      </c>
      <c r="AJ170" s="3">
        <v>41912.6862847222</v>
      </c>
      <c r="AK170" s="2" t="s">
        <v>1819</v>
      </c>
    </row>
    <row r="171" spans="1:37" x14ac:dyDescent="0.15">
      <c r="A171" s="2" t="s">
        <v>1818</v>
      </c>
      <c r="B171">
        <v>235</v>
      </c>
      <c r="C171" s="3">
        <v>41760</v>
      </c>
      <c r="D171" s="2" t="s">
        <v>37</v>
      </c>
      <c r="E171" s="2" t="s">
        <v>1817</v>
      </c>
      <c r="F171" s="2" t="s">
        <v>41</v>
      </c>
      <c r="G171" s="2" t="s">
        <v>372</v>
      </c>
      <c r="H171" s="2" t="s">
        <v>373</v>
      </c>
      <c r="I171" s="65" t="b">
        <f>导出!I171=计算!I171</f>
        <v>1</v>
      </c>
      <c r="J171" s="65" t="b">
        <f>导出!J171=计算!J171</f>
        <v>1</v>
      </c>
      <c r="K171" s="65" t="b">
        <f>导出!K171=计算!K171</f>
        <v>1</v>
      </c>
      <c r="L171" s="65" t="b">
        <f>导出!L171=计算!L171</f>
        <v>1</v>
      </c>
      <c r="M171" s="65" t="b">
        <f>导出!M171=计算!M171</f>
        <v>1</v>
      </c>
      <c r="N171" s="65" t="b">
        <f>导出!N171=计算!N171</f>
        <v>1</v>
      </c>
      <c r="O171" s="65" t="b">
        <f>导出!O171=计算!O171</f>
        <v>1</v>
      </c>
      <c r="P171" s="65" t="b">
        <f>导出!P171=计算!P171</f>
        <v>1</v>
      </c>
      <c r="Q171" s="65" t="b">
        <f>导出!Q171=计算!Q171</f>
        <v>1</v>
      </c>
      <c r="R171" s="65" t="b">
        <f>导出!R171=计算!R171</f>
        <v>1</v>
      </c>
      <c r="S171" s="65" t="b">
        <f>导出!S171=计算!S171</f>
        <v>1</v>
      </c>
      <c r="T171" s="65" t="b">
        <f>导出!T171=计算!T171</f>
        <v>1</v>
      </c>
      <c r="U171" s="65" t="b">
        <f>导出!U171=计算!U171</f>
        <v>1</v>
      </c>
      <c r="V171" s="65" t="b">
        <f>导出!V171=计算!V171</f>
        <v>0</v>
      </c>
      <c r="W171" s="65" t="b">
        <f>导出!W171=计算!W171</f>
        <v>1</v>
      </c>
      <c r="X171" s="65" t="b">
        <f>导出!X171=计算!X171</f>
        <v>1</v>
      </c>
      <c r="Y171" s="65" t="b">
        <f>导出!Y171=计算!Y171</f>
        <v>1</v>
      </c>
      <c r="Z171" s="65" t="b">
        <f>导出!Z171=计算!Z171</f>
        <v>1</v>
      </c>
      <c r="AA171" s="65" t="b">
        <f>导出!AA171=计算!AA171</f>
        <v>0</v>
      </c>
      <c r="AB171" s="65" t="b">
        <f>导出!AB171=计算!AB171</f>
        <v>1</v>
      </c>
      <c r="AC171" s="65" t="b">
        <f>导出!AC171=计算!AC171</f>
        <v>1</v>
      </c>
      <c r="AD171" s="65" t="b">
        <f>导出!AD171=计算!AD171</f>
        <v>1</v>
      </c>
      <c r="AE171" s="65" t="b">
        <f>导出!AE171=计算!AE171</f>
        <v>1</v>
      </c>
      <c r="AF171" s="65" t="b">
        <f>导出!AF171=计算!AF171</f>
        <v>1</v>
      </c>
      <c r="AG171" s="65" t="b">
        <f>导出!AG171=计算!AG171</f>
        <v>1</v>
      </c>
      <c r="AH171" s="65" t="b">
        <f>导出!AH171=计算!AH171</f>
        <v>1</v>
      </c>
      <c r="AI171">
        <v>0</v>
      </c>
      <c r="AJ171" s="3">
        <v>41912.6862384259</v>
      </c>
      <c r="AK171" s="2" t="s">
        <v>1816</v>
      </c>
    </row>
    <row r="172" spans="1:37" x14ac:dyDescent="0.15">
      <c r="A172" s="2" t="s">
        <v>1815</v>
      </c>
      <c r="B172">
        <v>1167</v>
      </c>
      <c r="C172" s="3">
        <v>41767</v>
      </c>
      <c r="D172" s="2" t="s">
        <v>37</v>
      </c>
      <c r="E172" s="2" t="s">
        <v>1814</v>
      </c>
      <c r="F172" s="2" t="s">
        <v>38</v>
      </c>
      <c r="G172" s="2" t="s">
        <v>379</v>
      </c>
      <c r="H172" s="2" t="s">
        <v>380</v>
      </c>
      <c r="I172" s="65" t="b">
        <f>导出!I172=计算!I172</f>
        <v>1</v>
      </c>
      <c r="J172" s="65" t="b">
        <f>导出!J172=计算!J172</f>
        <v>1</v>
      </c>
      <c r="K172" s="65" t="b">
        <f>导出!K172=计算!K172</f>
        <v>1</v>
      </c>
      <c r="L172" s="65" t="b">
        <f>导出!L172=计算!L172</f>
        <v>1</v>
      </c>
      <c r="M172" s="65" t="b">
        <f>导出!M172=计算!M172</f>
        <v>1</v>
      </c>
      <c r="N172" s="65" t="b">
        <f>导出!N172=计算!N172</f>
        <v>0</v>
      </c>
      <c r="O172" s="65" t="b">
        <f>导出!O172=计算!O172</f>
        <v>1</v>
      </c>
      <c r="P172" s="65" t="b">
        <f>导出!P172=计算!P172</f>
        <v>1</v>
      </c>
      <c r="Q172" s="65" t="b">
        <f>导出!Q172=计算!Q172</f>
        <v>0</v>
      </c>
      <c r="R172" s="65" t="b">
        <f>导出!R172=计算!R172</f>
        <v>1</v>
      </c>
      <c r="S172" s="65" t="b">
        <f>导出!S172=计算!S172</f>
        <v>1</v>
      </c>
      <c r="T172" s="65" t="b">
        <f>导出!T172=计算!T172</f>
        <v>1</v>
      </c>
      <c r="U172" s="65" t="b">
        <f>导出!U172=计算!U172</f>
        <v>1</v>
      </c>
      <c r="V172" s="65" t="b">
        <f>导出!V172=计算!V172</f>
        <v>0</v>
      </c>
      <c r="W172" s="65" t="b">
        <f>导出!W172=计算!W172</f>
        <v>1</v>
      </c>
      <c r="X172" s="65" t="b">
        <f>导出!X172=计算!X172</f>
        <v>1</v>
      </c>
      <c r="Y172" s="65" t="b">
        <f>导出!Y172=计算!Y172</f>
        <v>1</v>
      </c>
      <c r="Z172" s="65" t="b">
        <f>导出!Z172=计算!Z172</f>
        <v>1</v>
      </c>
      <c r="AA172" s="65" t="b">
        <f>导出!AA172=计算!AA172</f>
        <v>0</v>
      </c>
      <c r="AB172" s="65" t="b">
        <f>导出!AB172=计算!AB172</f>
        <v>1</v>
      </c>
      <c r="AC172" s="65" t="b">
        <f>导出!AC172=计算!AC172</f>
        <v>1</v>
      </c>
      <c r="AD172" s="65" t="b">
        <f>导出!AD172=计算!AD172</f>
        <v>1</v>
      </c>
      <c r="AE172" s="65" t="b">
        <f>导出!AE172=计算!AE172</f>
        <v>1</v>
      </c>
      <c r="AF172" s="65" t="b">
        <f>导出!AF172=计算!AF172</f>
        <v>1</v>
      </c>
      <c r="AG172" s="65" t="b">
        <f>导出!AG172=计算!AG172</f>
        <v>1</v>
      </c>
      <c r="AH172" s="65" t="b">
        <f>导出!AH172=计算!AH172</f>
        <v>1</v>
      </c>
      <c r="AI172">
        <v>0</v>
      </c>
      <c r="AJ172" s="3">
        <v>41912.6862847222</v>
      </c>
      <c r="AK172" s="2" t="s">
        <v>1813</v>
      </c>
    </row>
    <row r="173" spans="1:37" x14ac:dyDescent="0.15">
      <c r="A173" s="2" t="s">
        <v>1812</v>
      </c>
      <c r="B173">
        <v>1180</v>
      </c>
      <c r="C173" s="3">
        <v>41779</v>
      </c>
      <c r="D173" s="2" t="s">
        <v>37</v>
      </c>
      <c r="E173" s="2" t="s">
        <v>1811</v>
      </c>
      <c r="F173" s="2" t="s">
        <v>38</v>
      </c>
      <c r="G173" s="2" t="s">
        <v>381</v>
      </c>
      <c r="H173" s="2" t="s">
        <v>382</v>
      </c>
      <c r="I173" s="65" t="b">
        <f>导出!I173=计算!I173</f>
        <v>1</v>
      </c>
      <c r="J173" s="65" t="b">
        <f>导出!J173=计算!J173</f>
        <v>1</v>
      </c>
      <c r="K173" s="65" t="b">
        <f>导出!K173=计算!K173</f>
        <v>1</v>
      </c>
      <c r="L173" s="65" t="b">
        <f>导出!L173=计算!L173</f>
        <v>1</v>
      </c>
      <c r="M173" s="65" t="b">
        <f>导出!M173=计算!M173</f>
        <v>1</v>
      </c>
      <c r="N173" s="65" t="b">
        <f>导出!N173=计算!N173</f>
        <v>1</v>
      </c>
      <c r="O173" s="65" t="b">
        <f>导出!O173=计算!O173</f>
        <v>1</v>
      </c>
      <c r="P173" s="65" t="b">
        <f>导出!P173=计算!P173</f>
        <v>1</v>
      </c>
      <c r="Q173" s="65" t="b">
        <f>导出!Q173=计算!Q173</f>
        <v>1</v>
      </c>
      <c r="R173" s="65" t="b">
        <f>导出!R173=计算!R173</f>
        <v>1</v>
      </c>
      <c r="S173" s="65" t="b">
        <f>导出!S173=计算!S173</f>
        <v>1</v>
      </c>
      <c r="T173" s="65" t="b">
        <f>导出!T173=计算!T173</f>
        <v>1</v>
      </c>
      <c r="U173" s="65" t="b">
        <f>导出!U173=计算!U173</f>
        <v>1</v>
      </c>
      <c r="V173" s="65" t="b">
        <f>导出!V173=计算!V173</f>
        <v>0</v>
      </c>
      <c r="W173" s="65" t="b">
        <f>导出!W173=计算!W173</f>
        <v>1</v>
      </c>
      <c r="X173" s="65" t="b">
        <f>导出!X173=计算!X173</f>
        <v>1</v>
      </c>
      <c r="Y173" s="65" t="b">
        <f>导出!Y173=计算!Y173</f>
        <v>1</v>
      </c>
      <c r="Z173" s="65" t="b">
        <f>导出!Z173=计算!Z173</f>
        <v>1</v>
      </c>
      <c r="AA173" s="65" t="b">
        <f>导出!AA173=计算!AA173</f>
        <v>0</v>
      </c>
      <c r="AB173" s="65" t="b">
        <f>导出!AB173=计算!AB173</f>
        <v>1</v>
      </c>
      <c r="AC173" s="65" t="b">
        <f>导出!AC173=计算!AC173</f>
        <v>1</v>
      </c>
      <c r="AD173" s="65" t="b">
        <f>导出!AD173=计算!AD173</f>
        <v>1</v>
      </c>
      <c r="AE173" s="65" t="b">
        <f>导出!AE173=计算!AE173</f>
        <v>1</v>
      </c>
      <c r="AF173" s="65" t="b">
        <f>导出!AF173=计算!AF173</f>
        <v>1</v>
      </c>
      <c r="AG173" s="65" t="b">
        <f>导出!AG173=计算!AG173</f>
        <v>1</v>
      </c>
      <c r="AH173" s="65" t="b">
        <f>导出!AH173=计算!AH173</f>
        <v>1</v>
      </c>
      <c r="AI173">
        <v>0</v>
      </c>
      <c r="AJ173" s="3">
        <v>41912.6862847222</v>
      </c>
      <c r="AK173" s="2" t="s">
        <v>1810</v>
      </c>
    </row>
    <row r="174" spans="1:37" x14ac:dyDescent="0.15">
      <c r="A174" s="2" t="s">
        <v>1809</v>
      </c>
      <c r="B174">
        <v>1185</v>
      </c>
      <c r="C174" s="3">
        <v>41791</v>
      </c>
      <c r="D174" s="2" t="s">
        <v>37</v>
      </c>
      <c r="E174" s="2" t="s">
        <v>1808</v>
      </c>
      <c r="F174" s="2" t="s">
        <v>38</v>
      </c>
      <c r="G174" s="2" t="s">
        <v>383</v>
      </c>
      <c r="H174" s="2" t="s">
        <v>384</v>
      </c>
      <c r="I174" s="65" t="b">
        <f>导出!I174=计算!I174</f>
        <v>1</v>
      </c>
      <c r="J174" s="65" t="b">
        <f>导出!J174=计算!J174</f>
        <v>1</v>
      </c>
      <c r="K174" s="65" t="b">
        <f>导出!K174=计算!K174</f>
        <v>1</v>
      </c>
      <c r="L174" s="65" t="b">
        <f>导出!L174=计算!L174</f>
        <v>1</v>
      </c>
      <c r="M174" s="65" t="b">
        <f>导出!M174=计算!M174</f>
        <v>1</v>
      </c>
      <c r="N174" s="65" t="b">
        <f>导出!N174=计算!N174</f>
        <v>1</v>
      </c>
      <c r="O174" s="65" t="b">
        <f>导出!O174=计算!O174</f>
        <v>1</v>
      </c>
      <c r="P174" s="65" t="b">
        <f>导出!P174=计算!P174</f>
        <v>1</v>
      </c>
      <c r="Q174" s="65" t="b">
        <f>导出!Q174=计算!Q174</f>
        <v>1</v>
      </c>
      <c r="R174" s="65" t="b">
        <f>导出!R174=计算!R174</f>
        <v>1</v>
      </c>
      <c r="S174" s="65" t="b">
        <f>导出!S174=计算!S174</f>
        <v>1</v>
      </c>
      <c r="T174" s="65" t="b">
        <f>导出!T174=计算!T174</f>
        <v>1</v>
      </c>
      <c r="U174" s="65" t="b">
        <f>导出!U174=计算!U174</f>
        <v>1</v>
      </c>
      <c r="V174" s="65" t="b">
        <f>导出!V174=计算!V174</f>
        <v>0</v>
      </c>
      <c r="W174" s="65" t="b">
        <f>导出!W174=计算!W174</f>
        <v>1</v>
      </c>
      <c r="X174" s="65" t="b">
        <f>导出!X174=计算!X174</f>
        <v>1</v>
      </c>
      <c r="Y174" s="65" t="b">
        <f>导出!Y174=计算!Y174</f>
        <v>1</v>
      </c>
      <c r="Z174" s="65" t="b">
        <f>导出!Z174=计算!Z174</f>
        <v>1</v>
      </c>
      <c r="AA174" s="65" t="b">
        <f>导出!AA174=计算!AA174</f>
        <v>0</v>
      </c>
      <c r="AB174" s="65" t="b">
        <f>导出!AB174=计算!AB174</f>
        <v>1</v>
      </c>
      <c r="AC174" s="65" t="b">
        <f>导出!AC174=计算!AC174</f>
        <v>1</v>
      </c>
      <c r="AD174" s="65" t="b">
        <f>导出!AD174=计算!AD174</f>
        <v>1</v>
      </c>
      <c r="AE174" s="65" t="b">
        <f>导出!AE174=计算!AE174</f>
        <v>1</v>
      </c>
      <c r="AF174" s="65" t="b">
        <f>导出!AF174=计算!AF174</f>
        <v>1</v>
      </c>
      <c r="AG174" s="65" t="b">
        <f>导出!AG174=计算!AG174</f>
        <v>1</v>
      </c>
      <c r="AH174" s="65" t="b">
        <f>导出!AH174=计算!AH174</f>
        <v>1</v>
      </c>
      <c r="AI174">
        <v>0</v>
      </c>
      <c r="AJ174" s="3">
        <v>41912.6862847222</v>
      </c>
      <c r="AK174" s="2" t="s">
        <v>1807</v>
      </c>
    </row>
    <row r="175" spans="1:37" x14ac:dyDescent="0.15">
      <c r="A175" s="2" t="s">
        <v>1806</v>
      </c>
      <c r="B175">
        <v>236</v>
      </c>
      <c r="C175" s="3">
        <v>41791</v>
      </c>
      <c r="D175" s="2" t="s">
        <v>37</v>
      </c>
      <c r="E175" s="2" t="s">
        <v>1805</v>
      </c>
      <c r="F175" s="2" t="s">
        <v>41</v>
      </c>
      <c r="G175" s="2" t="s">
        <v>385</v>
      </c>
      <c r="H175" s="2" t="s">
        <v>386</v>
      </c>
      <c r="I175" s="65" t="b">
        <f>导出!I175=计算!I175</f>
        <v>1</v>
      </c>
      <c r="J175" s="65" t="b">
        <f>导出!J175=计算!J175</f>
        <v>1</v>
      </c>
      <c r="K175" s="65" t="b">
        <f>导出!K175=计算!K175</f>
        <v>1</v>
      </c>
      <c r="L175" s="65" t="b">
        <f>导出!L175=计算!L175</f>
        <v>1</v>
      </c>
      <c r="M175" s="65" t="b">
        <f>导出!M175=计算!M175</f>
        <v>1</v>
      </c>
      <c r="N175" s="65" t="b">
        <f>导出!N175=计算!N175</f>
        <v>1</v>
      </c>
      <c r="O175" s="65" t="b">
        <f>导出!O175=计算!O175</f>
        <v>1</v>
      </c>
      <c r="P175" s="65" t="b">
        <f>导出!P175=计算!P175</f>
        <v>1</v>
      </c>
      <c r="Q175" s="65" t="b">
        <f>导出!Q175=计算!Q175</f>
        <v>1</v>
      </c>
      <c r="R175" s="65" t="b">
        <f>导出!R175=计算!R175</f>
        <v>1</v>
      </c>
      <c r="S175" s="65" t="b">
        <f>导出!S175=计算!S175</f>
        <v>1</v>
      </c>
      <c r="T175" s="65" t="b">
        <f>导出!T175=计算!T175</f>
        <v>1</v>
      </c>
      <c r="U175" s="65" t="b">
        <f>导出!U175=计算!U175</f>
        <v>1</v>
      </c>
      <c r="V175" s="65" t="b">
        <f>导出!V175=计算!V175</f>
        <v>1</v>
      </c>
      <c r="W175" s="65" t="b">
        <f>导出!W175=计算!W175</f>
        <v>1</v>
      </c>
      <c r="X175" s="65" t="b">
        <f>导出!X175=计算!X175</f>
        <v>1</v>
      </c>
      <c r="Y175" s="65" t="b">
        <f>导出!Y175=计算!Y175</f>
        <v>1</v>
      </c>
      <c r="Z175" s="65" t="b">
        <f>导出!Z175=计算!Z175</f>
        <v>1</v>
      </c>
      <c r="AA175" s="65" t="b">
        <f>导出!AA175=计算!AA175</f>
        <v>0</v>
      </c>
      <c r="AB175" s="65" t="b">
        <f>导出!AB175=计算!AB175</f>
        <v>1</v>
      </c>
      <c r="AC175" s="65" t="b">
        <f>导出!AC175=计算!AC175</f>
        <v>1</v>
      </c>
      <c r="AD175" s="65" t="b">
        <f>导出!AD175=计算!AD175</f>
        <v>1</v>
      </c>
      <c r="AE175" s="65" t="b">
        <f>导出!AE175=计算!AE175</f>
        <v>1</v>
      </c>
      <c r="AF175" s="65" t="b">
        <f>导出!AF175=计算!AF175</f>
        <v>1</v>
      </c>
      <c r="AG175" s="65" t="b">
        <f>导出!AG175=计算!AG175</f>
        <v>1</v>
      </c>
      <c r="AH175" s="65" t="b">
        <f>导出!AH175=计算!AH175</f>
        <v>1</v>
      </c>
      <c r="AI175">
        <v>0</v>
      </c>
      <c r="AJ175" s="3">
        <v>41912.6862384259</v>
      </c>
      <c r="AK175" s="2" t="s">
        <v>1804</v>
      </c>
    </row>
    <row r="176" spans="1:37" x14ac:dyDescent="0.15">
      <c r="A176" s="2" t="s">
        <v>1803</v>
      </c>
      <c r="B176">
        <v>1188</v>
      </c>
      <c r="C176" s="3">
        <v>41791</v>
      </c>
      <c r="D176" s="2" t="s">
        <v>37</v>
      </c>
      <c r="E176" s="2" t="s">
        <v>1802</v>
      </c>
      <c r="F176" s="2" t="s">
        <v>38</v>
      </c>
      <c r="G176" s="2" t="s">
        <v>387</v>
      </c>
      <c r="H176" s="2" t="s">
        <v>388</v>
      </c>
      <c r="I176" s="65" t="b">
        <f>导出!I176=计算!I176</f>
        <v>1</v>
      </c>
      <c r="J176" s="65" t="b">
        <f>导出!J176=计算!J176</f>
        <v>1</v>
      </c>
      <c r="K176" s="65" t="b">
        <f>导出!K176=计算!K176</f>
        <v>1</v>
      </c>
      <c r="L176" s="65" t="b">
        <f>导出!L176=计算!L176</f>
        <v>1</v>
      </c>
      <c r="M176" s="65" t="b">
        <f>导出!M176=计算!M176</f>
        <v>1</v>
      </c>
      <c r="N176" s="65" t="b">
        <f>导出!N176=计算!N176</f>
        <v>1</v>
      </c>
      <c r="O176" s="65" t="b">
        <f>导出!O176=计算!O176</f>
        <v>1</v>
      </c>
      <c r="P176" s="65" t="b">
        <f>导出!P176=计算!P176</f>
        <v>1</v>
      </c>
      <c r="Q176" s="65" t="b">
        <f>导出!Q176=计算!Q176</f>
        <v>1</v>
      </c>
      <c r="R176" s="65" t="b">
        <f>导出!R176=计算!R176</f>
        <v>1</v>
      </c>
      <c r="S176" s="65" t="b">
        <f>导出!S176=计算!S176</f>
        <v>1</v>
      </c>
      <c r="T176" s="65" t="b">
        <f>导出!T176=计算!T176</f>
        <v>1</v>
      </c>
      <c r="U176" s="65" t="b">
        <f>导出!U176=计算!U176</f>
        <v>1</v>
      </c>
      <c r="V176" s="65" t="b">
        <f>导出!V176=计算!V176</f>
        <v>1</v>
      </c>
      <c r="W176" s="65" t="b">
        <f>导出!W176=计算!W176</f>
        <v>1</v>
      </c>
      <c r="X176" s="65" t="b">
        <f>导出!X176=计算!X176</f>
        <v>1</v>
      </c>
      <c r="Y176" s="65" t="b">
        <f>导出!Y176=计算!Y176</f>
        <v>1</v>
      </c>
      <c r="Z176" s="65" t="b">
        <f>导出!Z176=计算!Z176</f>
        <v>1</v>
      </c>
      <c r="AA176" s="65" t="b">
        <f>导出!AA176=计算!AA176</f>
        <v>0</v>
      </c>
      <c r="AB176" s="65" t="b">
        <f>导出!AB176=计算!AB176</f>
        <v>1</v>
      </c>
      <c r="AC176" s="65" t="b">
        <f>导出!AC176=计算!AC176</f>
        <v>1</v>
      </c>
      <c r="AD176" s="65" t="b">
        <f>导出!AD176=计算!AD176</f>
        <v>1</v>
      </c>
      <c r="AE176" s="65" t="b">
        <f>导出!AE176=计算!AE176</f>
        <v>1</v>
      </c>
      <c r="AF176" s="65" t="b">
        <f>导出!AF176=计算!AF176</f>
        <v>1</v>
      </c>
      <c r="AG176" s="65" t="b">
        <f>导出!AG176=计算!AG176</f>
        <v>1</v>
      </c>
      <c r="AH176" s="65" t="b">
        <f>导出!AH176=计算!AH176</f>
        <v>1</v>
      </c>
      <c r="AI176">
        <v>0</v>
      </c>
      <c r="AJ176" s="3">
        <v>41912.6862847222</v>
      </c>
      <c r="AK176" s="2" t="s">
        <v>1801</v>
      </c>
    </row>
    <row r="177" spans="1:37" x14ac:dyDescent="0.15">
      <c r="A177" s="2" t="s">
        <v>1800</v>
      </c>
      <c r="B177">
        <v>1196</v>
      </c>
      <c r="C177" s="3">
        <v>41820</v>
      </c>
      <c r="D177" s="2" t="s">
        <v>37</v>
      </c>
      <c r="E177" s="2" t="s">
        <v>1799</v>
      </c>
      <c r="F177" s="2" t="s">
        <v>38</v>
      </c>
      <c r="G177" s="2" t="s">
        <v>389</v>
      </c>
      <c r="H177" s="2" t="s">
        <v>390</v>
      </c>
      <c r="I177" s="65" t="b">
        <f>导出!I177=计算!I177</f>
        <v>1</v>
      </c>
      <c r="J177" s="65" t="b">
        <f>导出!J177=计算!J177</f>
        <v>1</v>
      </c>
      <c r="K177" s="65" t="b">
        <f>导出!K177=计算!K177</f>
        <v>1</v>
      </c>
      <c r="L177" s="65" t="b">
        <f>导出!L177=计算!L177</f>
        <v>1</v>
      </c>
      <c r="M177" s="65" t="b">
        <f>导出!M177=计算!M177</f>
        <v>1</v>
      </c>
      <c r="N177" s="65" t="b">
        <f>导出!N177=计算!N177</f>
        <v>1</v>
      </c>
      <c r="O177" s="65" t="b">
        <f>导出!O177=计算!O177</f>
        <v>1</v>
      </c>
      <c r="P177" s="65" t="b">
        <f>导出!P177=计算!P177</f>
        <v>1</v>
      </c>
      <c r="Q177" s="65" t="b">
        <f>导出!Q177=计算!Q177</f>
        <v>1</v>
      </c>
      <c r="R177" s="65" t="b">
        <f>导出!R177=计算!R177</f>
        <v>1</v>
      </c>
      <c r="S177" s="65" t="b">
        <f>导出!S177=计算!S177</f>
        <v>1</v>
      </c>
      <c r="T177" s="65" t="b">
        <f>导出!T177=计算!T177</f>
        <v>1</v>
      </c>
      <c r="U177" s="65" t="b">
        <f>导出!U177=计算!U177</f>
        <v>1</v>
      </c>
      <c r="V177" s="65" t="b">
        <f>导出!V177=计算!V177</f>
        <v>0</v>
      </c>
      <c r="W177" s="65" t="b">
        <f>导出!W177=计算!W177</f>
        <v>1</v>
      </c>
      <c r="X177" s="65" t="b">
        <f>导出!X177=计算!X177</f>
        <v>1</v>
      </c>
      <c r="Y177" s="65" t="b">
        <f>导出!Y177=计算!Y177</f>
        <v>1</v>
      </c>
      <c r="Z177" s="65" t="b">
        <f>导出!Z177=计算!Z177</f>
        <v>1</v>
      </c>
      <c r="AA177" s="65" t="b">
        <f>导出!AA177=计算!AA177</f>
        <v>0</v>
      </c>
      <c r="AB177" s="65" t="b">
        <f>导出!AB177=计算!AB177</f>
        <v>1</v>
      </c>
      <c r="AC177" s="65" t="b">
        <f>导出!AC177=计算!AC177</f>
        <v>1</v>
      </c>
      <c r="AD177" s="65" t="b">
        <f>导出!AD177=计算!AD177</f>
        <v>1</v>
      </c>
      <c r="AE177" s="65" t="b">
        <f>导出!AE177=计算!AE177</f>
        <v>1</v>
      </c>
      <c r="AF177" s="65" t="b">
        <f>导出!AF177=计算!AF177</f>
        <v>1</v>
      </c>
      <c r="AG177" s="65" t="b">
        <f>导出!AG177=计算!AG177</f>
        <v>1</v>
      </c>
      <c r="AH177" s="65" t="b">
        <f>导出!AH177=计算!AH177</f>
        <v>1</v>
      </c>
      <c r="AI177">
        <v>0</v>
      </c>
      <c r="AJ177" s="3">
        <v>41912.6862847222</v>
      </c>
      <c r="AK177" s="2" t="s">
        <v>1798</v>
      </c>
    </row>
    <row r="178" spans="1:37" x14ac:dyDescent="0.15">
      <c r="A178" s="2" t="s">
        <v>1797</v>
      </c>
      <c r="B178">
        <v>252</v>
      </c>
      <c r="C178" s="3">
        <v>41821</v>
      </c>
      <c r="D178" s="2" t="s">
        <v>37</v>
      </c>
      <c r="E178" s="2" t="s">
        <v>1796</v>
      </c>
      <c r="F178" s="2" t="s">
        <v>41</v>
      </c>
      <c r="G178" s="2" t="s">
        <v>403</v>
      </c>
      <c r="H178" s="2" t="s">
        <v>404</v>
      </c>
      <c r="I178" s="65" t="b">
        <f>导出!I178=计算!I178</f>
        <v>1</v>
      </c>
      <c r="J178" s="65" t="b">
        <f>导出!J178=计算!J178</f>
        <v>1</v>
      </c>
      <c r="K178" s="65" t="b">
        <f>导出!K178=计算!K178</f>
        <v>1</v>
      </c>
      <c r="L178" s="65" t="b">
        <f>导出!L178=计算!L178</f>
        <v>1</v>
      </c>
      <c r="M178" s="65" t="b">
        <f>导出!M178=计算!M178</f>
        <v>1</v>
      </c>
      <c r="N178" s="65" t="b">
        <f>导出!N178=计算!N178</f>
        <v>0</v>
      </c>
      <c r="O178" s="65" t="b">
        <f>导出!O178=计算!O178</f>
        <v>1</v>
      </c>
      <c r="P178" s="65" t="b">
        <f>导出!P178=计算!P178</f>
        <v>1</v>
      </c>
      <c r="Q178" s="65" t="b">
        <f>导出!Q178=计算!Q178</f>
        <v>0</v>
      </c>
      <c r="R178" s="65" t="b">
        <f>导出!R178=计算!R178</f>
        <v>1</v>
      </c>
      <c r="S178" s="65" t="b">
        <f>导出!S178=计算!S178</f>
        <v>1</v>
      </c>
      <c r="T178" s="65" t="b">
        <f>导出!T178=计算!T178</f>
        <v>1</v>
      </c>
      <c r="U178" s="65" t="b">
        <f>导出!U178=计算!U178</f>
        <v>1</v>
      </c>
      <c r="V178" s="65" t="b">
        <f>导出!V178=计算!V178</f>
        <v>0</v>
      </c>
      <c r="W178" s="65" t="b">
        <f>导出!W178=计算!W178</f>
        <v>1</v>
      </c>
      <c r="X178" s="65" t="b">
        <f>导出!X178=计算!X178</f>
        <v>1</v>
      </c>
      <c r="Y178" s="65" t="b">
        <f>导出!Y178=计算!Y178</f>
        <v>1</v>
      </c>
      <c r="Z178" s="65" t="b">
        <f>导出!Z178=计算!Z178</f>
        <v>1</v>
      </c>
      <c r="AA178" s="65" t="b">
        <f>导出!AA178=计算!AA178</f>
        <v>0</v>
      </c>
      <c r="AB178" s="65" t="b">
        <f>导出!AB178=计算!AB178</f>
        <v>0</v>
      </c>
      <c r="AC178" s="65" t="b">
        <f>导出!AC178=计算!AC178</f>
        <v>1</v>
      </c>
      <c r="AD178" s="65" t="b">
        <f>导出!AD178=计算!AD178</f>
        <v>1</v>
      </c>
      <c r="AE178" s="65" t="b">
        <f>导出!AE178=计算!AE178</f>
        <v>0</v>
      </c>
      <c r="AF178" s="65" t="b">
        <f>导出!AF178=计算!AF178</f>
        <v>1</v>
      </c>
      <c r="AG178" s="65" t="b">
        <f>导出!AG178=计算!AG178</f>
        <v>1</v>
      </c>
      <c r="AH178" s="65" t="b">
        <f>导出!AH178=计算!AH178</f>
        <v>1</v>
      </c>
      <c r="AI178">
        <v>0</v>
      </c>
      <c r="AJ178" s="3">
        <v>41912.6862384259</v>
      </c>
      <c r="AK178" s="2" t="s">
        <v>1795</v>
      </c>
    </row>
    <row r="179" spans="1:37" x14ac:dyDescent="0.15">
      <c r="A179" s="2" t="s">
        <v>1794</v>
      </c>
      <c r="B179">
        <v>262</v>
      </c>
      <c r="C179" s="3">
        <v>41821</v>
      </c>
      <c r="D179" s="2" t="s">
        <v>37</v>
      </c>
      <c r="E179" s="2" t="s">
        <v>1793</v>
      </c>
      <c r="F179" s="2" t="s">
        <v>41</v>
      </c>
      <c r="G179" s="2" t="s">
        <v>405</v>
      </c>
      <c r="H179" s="2" t="s">
        <v>406</v>
      </c>
      <c r="I179" s="65" t="b">
        <f>导出!I179=计算!I179</f>
        <v>1</v>
      </c>
      <c r="J179" s="65" t="b">
        <f>导出!J179=计算!J179</f>
        <v>1</v>
      </c>
      <c r="K179" s="65" t="b">
        <f>导出!K179=计算!K179</f>
        <v>1</v>
      </c>
      <c r="L179" s="65" t="b">
        <f>导出!L179=计算!L179</f>
        <v>1</v>
      </c>
      <c r="M179" s="65" t="b">
        <f>导出!M179=计算!M179</f>
        <v>1</v>
      </c>
      <c r="N179" s="65" t="b">
        <f>导出!N179=计算!N179</f>
        <v>1</v>
      </c>
      <c r="O179" s="65" t="b">
        <f>导出!O179=计算!O179</f>
        <v>1</v>
      </c>
      <c r="P179" s="65" t="b">
        <f>导出!P179=计算!P179</f>
        <v>1</v>
      </c>
      <c r="Q179" s="65" t="b">
        <f>导出!Q179=计算!Q179</f>
        <v>1</v>
      </c>
      <c r="R179" s="65" t="b">
        <f>导出!R179=计算!R179</f>
        <v>1</v>
      </c>
      <c r="S179" s="65" t="b">
        <f>导出!S179=计算!S179</f>
        <v>1</v>
      </c>
      <c r="T179" s="65" t="b">
        <f>导出!T179=计算!T179</f>
        <v>1</v>
      </c>
      <c r="U179" s="65" t="b">
        <f>导出!U179=计算!U179</f>
        <v>1</v>
      </c>
      <c r="V179" s="65" t="b">
        <f>导出!V179=计算!V179</f>
        <v>0</v>
      </c>
      <c r="W179" s="65" t="b">
        <f>导出!W179=计算!W179</f>
        <v>1</v>
      </c>
      <c r="X179" s="65" t="b">
        <f>导出!X179=计算!X179</f>
        <v>1</v>
      </c>
      <c r="Y179" s="65" t="b">
        <f>导出!Y179=计算!Y179</f>
        <v>1</v>
      </c>
      <c r="Z179" s="65" t="b">
        <f>导出!Z179=计算!Z179</f>
        <v>1</v>
      </c>
      <c r="AA179" s="65" t="b">
        <f>导出!AA179=计算!AA179</f>
        <v>0</v>
      </c>
      <c r="AB179" s="65" t="b">
        <f>导出!AB179=计算!AB179</f>
        <v>1</v>
      </c>
      <c r="AC179" s="65" t="b">
        <f>导出!AC179=计算!AC179</f>
        <v>1</v>
      </c>
      <c r="AD179" s="65" t="b">
        <f>导出!AD179=计算!AD179</f>
        <v>1</v>
      </c>
      <c r="AE179" s="65" t="b">
        <f>导出!AE179=计算!AE179</f>
        <v>1</v>
      </c>
      <c r="AF179" s="65" t="b">
        <f>导出!AF179=计算!AF179</f>
        <v>1</v>
      </c>
      <c r="AG179" s="65" t="b">
        <f>导出!AG179=计算!AG179</f>
        <v>1</v>
      </c>
      <c r="AH179" s="65" t="b">
        <f>导出!AH179=计算!AH179</f>
        <v>1</v>
      </c>
      <c r="AI179">
        <v>0</v>
      </c>
      <c r="AJ179" s="3">
        <v>41912.6862384259</v>
      </c>
      <c r="AK179" s="2" t="s">
        <v>1792</v>
      </c>
    </row>
    <row r="180" spans="1:37" x14ac:dyDescent="0.15">
      <c r="A180" s="2" t="s">
        <v>1791</v>
      </c>
      <c r="B180">
        <v>271</v>
      </c>
      <c r="C180" s="3">
        <v>41821</v>
      </c>
      <c r="D180" s="2" t="s">
        <v>37</v>
      </c>
      <c r="E180" s="2" t="s">
        <v>1790</v>
      </c>
      <c r="F180" s="2" t="s">
        <v>41</v>
      </c>
      <c r="G180" s="2" t="s">
        <v>407</v>
      </c>
      <c r="H180" s="2" t="s">
        <v>408</v>
      </c>
      <c r="I180" s="65" t="b">
        <f>导出!I180=计算!I180</f>
        <v>1</v>
      </c>
      <c r="J180" s="65" t="b">
        <f>导出!J180=计算!J180</f>
        <v>1</v>
      </c>
      <c r="K180" s="65" t="b">
        <f>导出!K180=计算!K180</f>
        <v>1</v>
      </c>
      <c r="L180" s="65" t="b">
        <f>导出!L180=计算!L180</f>
        <v>1</v>
      </c>
      <c r="M180" s="65" t="b">
        <f>导出!M180=计算!M180</f>
        <v>1</v>
      </c>
      <c r="N180" s="65" t="b">
        <f>导出!N180=计算!N180</f>
        <v>1</v>
      </c>
      <c r="O180" s="65" t="b">
        <f>导出!O180=计算!O180</f>
        <v>1</v>
      </c>
      <c r="P180" s="65" t="b">
        <f>导出!P180=计算!P180</f>
        <v>1</v>
      </c>
      <c r="Q180" s="65" t="b">
        <f>导出!Q180=计算!Q180</f>
        <v>1</v>
      </c>
      <c r="R180" s="65" t="b">
        <f>导出!R180=计算!R180</f>
        <v>1</v>
      </c>
      <c r="S180" s="65" t="b">
        <f>导出!S180=计算!S180</f>
        <v>1</v>
      </c>
      <c r="T180" s="65" t="b">
        <f>导出!T180=计算!T180</f>
        <v>1</v>
      </c>
      <c r="U180" s="65" t="b">
        <f>导出!U180=计算!U180</f>
        <v>1</v>
      </c>
      <c r="V180" s="65" t="b">
        <f>导出!V180=计算!V180</f>
        <v>0</v>
      </c>
      <c r="W180" s="65" t="b">
        <f>导出!W180=计算!W180</f>
        <v>1</v>
      </c>
      <c r="X180" s="65" t="b">
        <f>导出!X180=计算!X180</f>
        <v>1</v>
      </c>
      <c r="Y180" s="65" t="b">
        <f>导出!Y180=计算!Y180</f>
        <v>1</v>
      </c>
      <c r="Z180" s="65" t="b">
        <f>导出!Z180=计算!Z180</f>
        <v>1</v>
      </c>
      <c r="AA180" s="65" t="b">
        <f>导出!AA180=计算!AA180</f>
        <v>0</v>
      </c>
      <c r="AB180" s="65" t="b">
        <f>导出!AB180=计算!AB180</f>
        <v>1</v>
      </c>
      <c r="AC180" s="65" t="b">
        <f>导出!AC180=计算!AC180</f>
        <v>1</v>
      </c>
      <c r="AD180" s="65" t="b">
        <f>导出!AD180=计算!AD180</f>
        <v>1</v>
      </c>
      <c r="AE180" s="65" t="b">
        <f>导出!AE180=计算!AE180</f>
        <v>1</v>
      </c>
      <c r="AF180" s="65" t="b">
        <f>导出!AF180=计算!AF180</f>
        <v>1</v>
      </c>
      <c r="AG180" s="65" t="b">
        <f>导出!AG180=计算!AG180</f>
        <v>1</v>
      </c>
      <c r="AH180" s="65" t="b">
        <f>导出!AH180=计算!AH180</f>
        <v>1</v>
      </c>
      <c r="AI180">
        <v>0</v>
      </c>
      <c r="AJ180" s="3">
        <v>41912.686249999999</v>
      </c>
      <c r="AK180" s="2" t="s">
        <v>1789</v>
      </c>
    </row>
    <row r="181" spans="1:37" x14ac:dyDescent="0.15">
      <c r="A181" s="2" t="s">
        <v>1788</v>
      </c>
      <c r="B181">
        <v>282</v>
      </c>
      <c r="C181" s="3">
        <v>41821</v>
      </c>
      <c r="D181" s="2" t="s">
        <v>37</v>
      </c>
      <c r="E181" s="2" t="s">
        <v>1787</v>
      </c>
      <c r="F181" s="2" t="s">
        <v>41</v>
      </c>
      <c r="G181" s="2" t="s">
        <v>413</v>
      </c>
      <c r="H181" s="2" t="s">
        <v>414</v>
      </c>
      <c r="I181" s="65" t="b">
        <f>导出!I181=计算!I181</f>
        <v>1</v>
      </c>
      <c r="J181" s="65" t="b">
        <f>导出!J181=计算!J181</f>
        <v>1</v>
      </c>
      <c r="K181" s="65" t="b">
        <f>导出!K181=计算!K181</f>
        <v>1</v>
      </c>
      <c r="L181" s="65" t="b">
        <f>导出!L181=计算!L181</f>
        <v>1</v>
      </c>
      <c r="M181" s="65" t="b">
        <f>导出!M181=计算!M181</f>
        <v>1</v>
      </c>
      <c r="N181" s="65" t="b">
        <f>导出!N181=计算!N181</f>
        <v>1</v>
      </c>
      <c r="O181" s="65" t="b">
        <f>导出!O181=计算!O181</f>
        <v>1</v>
      </c>
      <c r="P181" s="65" t="b">
        <f>导出!P181=计算!P181</f>
        <v>1</v>
      </c>
      <c r="Q181" s="65" t="b">
        <f>导出!Q181=计算!Q181</f>
        <v>1</v>
      </c>
      <c r="R181" s="65" t="b">
        <f>导出!R181=计算!R181</f>
        <v>1</v>
      </c>
      <c r="S181" s="65" t="b">
        <f>导出!S181=计算!S181</f>
        <v>1</v>
      </c>
      <c r="T181" s="65" t="b">
        <f>导出!T181=计算!T181</f>
        <v>1</v>
      </c>
      <c r="U181" s="65" t="b">
        <f>导出!U181=计算!U181</f>
        <v>1</v>
      </c>
      <c r="V181" s="65" t="b">
        <f>导出!V181=计算!V181</f>
        <v>1</v>
      </c>
      <c r="W181" s="65" t="b">
        <f>导出!W181=计算!W181</f>
        <v>1</v>
      </c>
      <c r="X181" s="65" t="b">
        <f>导出!X181=计算!X181</f>
        <v>1</v>
      </c>
      <c r="Y181" s="65" t="b">
        <f>导出!Y181=计算!Y181</f>
        <v>1</v>
      </c>
      <c r="Z181" s="65" t="b">
        <f>导出!Z181=计算!Z181</f>
        <v>1</v>
      </c>
      <c r="AA181" s="65" t="b">
        <f>导出!AA181=计算!AA181</f>
        <v>0</v>
      </c>
      <c r="AB181" s="65" t="b">
        <f>导出!AB181=计算!AB181</f>
        <v>1</v>
      </c>
      <c r="AC181" s="65" t="b">
        <f>导出!AC181=计算!AC181</f>
        <v>1</v>
      </c>
      <c r="AD181" s="65" t="b">
        <f>导出!AD181=计算!AD181</f>
        <v>1</v>
      </c>
      <c r="AE181" s="65" t="b">
        <f>导出!AE181=计算!AE181</f>
        <v>1</v>
      </c>
      <c r="AF181" s="65" t="b">
        <f>导出!AF181=计算!AF181</f>
        <v>1</v>
      </c>
      <c r="AG181" s="65" t="b">
        <f>导出!AG181=计算!AG181</f>
        <v>1</v>
      </c>
      <c r="AH181" s="65" t="b">
        <f>导出!AH181=计算!AH181</f>
        <v>1</v>
      </c>
      <c r="AI181">
        <v>0</v>
      </c>
      <c r="AJ181" s="3">
        <v>41912.686249999999</v>
      </c>
      <c r="AK181" s="2" t="s">
        <v>1786</v>
      </c>
    </row>
    <row r="182" spans="1:37" x14ac:dyDescent="0.15">
      <c r="A182" s="2" t="s">
        <v>1785</v>
      </c>
      <c r="B182">
        <v>277</v>
      </c>
      <c r="C182" s="3">
        <v>41821</v>
      </c>
      <c r="D182" s="2" t="s">
        <v>37</v>
      </c>
      <c r="E182" s="2" t="s">
        <v>1784</v>
      </c>
      <c r="F182" s="2" t="s">
        <v>41</v>
      </c>
      <c r="G182" s="2" t="s">
        <v>409</v>
      </c>
      <c r="H182" s="2" t="s">
        <v>410</v>
      </c>
      <c r="I182" s="65" t="b">
        <f>导出!I182=计算!I182</f>
        <v>1</v>
      </c>
      <c r="J182" s="65" t="b">
        <f>导出!J182=计算!J182</f>
        <v>1</v>
      </c>
      <c r="K182" s="65" t="b">
        <f>导出!K182=计算!K182</f>
        <v>1</v>
      </c>
      <c r="L182" s="65" t="b">
        <f>导出!L182=计算!L182</f>
        <v>1</v>
      </c>
      <c r="M182" s="65" t="b">
        <f>导出!M182=计算!M182</f>
        <v>1</v>
      </c>
      <c r="N182" s="65" t="b">
        <f>导出!N182=计算!N182</f>
        <v>1</v>
      </c>
      <c r="O182" s="65" t="b">
        <f>导出!O182=计算!O182</f>
        <v>1</v>
      </c>
      <c r="P182" s="65" t="b">
        <f>导出!P182=计算!P182</f>
        <v>1</v>
      </c>
      <c r="Q182" s="65" t="b">
        <f>导出!Q182=计算!Q182</f>
        <v>1</v>
      </c>
      <c r="R182" s="65" t="b">
        <f>导出!R182=计算!R182</f>
        <v>1</v>
      </c>
      <c r="S182" s="65" t="b">
        <f>导出!S182=计算!S182</f>
        <v>1</v>
      </c>
      <c r="T182" s="65" t="b">
        <f>导出!T182=计算!T182</f>
        <v>1</v>
      </c>
      <c r="U182" s="65" t="b">
        <f>导出!U182=计算!U182</f>
        <v>1</v>
      </c>
      <c r="V182" s="65" t="b">
        <f>导出!V182=计算!V182</f>
        <v>1</v>
      </c>
      <c r="W182" s="65" t="b">
        <f>导出!W182=计算!W182</f>
        <v>1</v>
      </c>
      <c r="X182" s="65" t="b">
        <f>导出!X182=计算!X182</f>
        <v>1</v>
      </c>
      <c r="Y182" s="65" t="b">
        <f>导出!Y182=计算!Y182</f>
        <v>1</v>
      </c>
      <c r="Z182" s="65" t="b">
        <f>导出!Z182=计算!Z182</f>
        <v>1</v>
      </c>
      <c r="AA182" s="65" t="b">
        <f>导出!AA182=计算!AA182</f>
        <v>1</v>
      </c>
      <c r="AB182" s="65" t="b">
        <f>导出!AB182=计算!AB182</f>
        <v>1</v>
      </c>
      <c r="AC182" s="65" t="b">
        <f>导出!AC182=计算!AC182</f>
        <v>1</v>
      </c>
      <c r="AD182" s="65" t="b">
        <f>导出!AD182=计算!AD182</f>
        <v>1</v>
      </c>
      <c r="AE182" s="65" t="b">
        <f>导出!AE182=计算!AE182</f>
        <v>1</v>
      </c>
      <c r="AF182" s="65" t="b">
        <f>导出!AF182=计算!AF182</f>
        <v>1</v>
      </c>
      <c r="AG182" s="65" t="b">
        <f>导出!AG182=计算!AG182</f>
        <v>1</v>
      </c>
      <c r="AH182" s="65" t="b">
        <f>导出!AH182=计算!AH182</f>
        <v>1</v>
      </c>
      <c r="AI182">
        <v>0</v>
      </c>
      <c r="AJ182" s="3">
        <v>41912.686249999999</v>
      </c>
      <c r="AK182" s="2" t="s">
        <v>1783</v>
      </c>
    </row>
    <row r="183" spans="1:37" x14ac:dyDescent="0.15">
      <c r="A183" s="2" t="s">
        <v>1782</v>
      </c>
      <c r="B183">
        <v>288</v>
      </c>
      <c r="C183" s="3">
        <v>41821</v>
      </c>
      <c r="D183" s="2" t="s">
        <v>37</v>
      </c>
      <c r="E183" s="2" t="s">
        <v>1781</v>
      </c>
      <c r="F183" s="2" t="s">
        <v>41</v>
      </c>
      <c r="G183" s="2" t="s">
        <v>415</v>
      </c>
      <c r="H183" s="2" t="s">
        <v>416</v>
      </c>
      <c r="I183" s="65" t="b">
        <f>导出!I183=计算!I183</f>
        <v>1</v>
      </c>
      <c r="J183" s="65" t="b">
        <f>导出!J183=计算!J183</f>
        <v>1</v>
      </c>
      <c r="K183" s="65" t="b">
        <f>导出!K183=计算!K183</f>
        <v>1</v>
      </c>
      <c r="L183" s="65" t="b">
        <f>导出!L183=计算!L183</f>
        <v>1</v>
      </c>
      <c r="M183" s="65" t="b">
        <f>导出!M183=计算!M183</f>
        <v>1</v>
      </c>
      <c r="N183" s="65" t="b">
        <f>导出!N183=计算!N183</f>
        <v>1</v>
      </c>
      <c r="O183" s="65" t="b">
        <f>导出!O183=计算!O183</f>
        <v>1</v>
      </c>
      <c r="P183" s="65" t="b">
        <f>导出!P183=计算!P183</f>
        <v>1</v>
      </c>
      <c r="Q183" s="65" t="b">
        <f>导出!Q183=计算!Q183</f>
        <v>1</v>
      </c>
      <c r="R183" s="65" t="b">
        <f>导出!R183=计算!R183</f>
        <v>1</v>
      </c>
      <c r="S183" s="65" t="b">
        <f>导出!S183=计算!S183</f>
        <v>1</v>
      </c>
      <c r="T183" s="65" t="b">
        <f>导出!T183=计算!T183</f>
        <v>1</v>
      </c>
      <c r="U183" s="65" t="b">
        <f>导出!U183=计算!U183</f>
        <v>1</v>
      </c>
      <c r="V183" s="65" t="b">
        <f>导出!V183=计算!V183</f>
        <v>1</v>
      </c>
      <c r="W183" s="65" t="b">
        <f>导出!W183=计算!W183</f>
        <v>1</v>
      </c>
      <c r="X183" s="65" t="b">
        <f>导出!X183=计算!X183</f>
        <v>1</v>
      </c>
      <c r="Y183" s="65" t="b">
        <f>导出!Y183=计算!Y183</f>
        <v>1</v>
      </c>
      <c r="Z183" s="65" t="b">
        <f>导出!Z183=计算!Z183</f>
        <v>1</v>
      </c>
      <c r="AA183" s="65" t="b">
        <f>导出!AA183=计算!AA183</f>
        <v>0</v>
      </c>
      <c r="AB183" s="65" t="b">
        <f>导出!AB183=计算!AB183</f>
        <v>1</v>
      </c>
      <c r="AC183" s="65" t="b">
        <f>导出!AC183=计算!AC183</f>
        <v>1</v>
      </c>
      <c r="AD183" s="65" t="b">
        <f>导出!AD183=计算!AD183</f>
        <v>1</v>
      </c>
      <c r="AE183" s="65" t="b">
        <f>导出!AE183=计算!AE183</f>
        <v>1</v>
      </c>
      <c r="AF183" s="65" t="b">
        <f>导出!AF183=计算!AF183</f>
        <v>1</v>
      </c>
      <c r="AG183" s="65" t="b">
        <f>导出!AG183=计算!AG183</f>
        <v>1</v>
      </c>
      <c r="AH183" s="65" t="b">
        <f>导出!AH183=计算!AH183</f>
        <v>1</v>
      </c>
      <c r="AI183">
        <v>0</v>
      </c>
      <c r="AJ183" s="3">
        <v>41912.686249999999</v>
      </c>
      <c r="AK183" s="2" t="s">
        <v>1780</v>
      </c>
    </row>
    <row r="184" spans="1:37" x14ac:dyDescent="0.15">
      <c r="A184" s="2" t="s">
        <v>1779</v>
      </c>
      <c r="B184">
        <v>1199</v>
      </c>
      <c r="C184" s="3">
        <v>41821</v>
      </c>
      <c r="D184" s="2" t="s">
        <v>37</v>
      </c>
      <c r="E184" s="2" t="s">
        <v>1778</v>
      </c>
      <c r="F184" s="2" t="s">
        <v>38</v>
      </c>
      <c r="G184" s="2" t="s">
        <v>411</v>
      </c>
      <c r="H184" s="2" t="s">
        <v>412</v>
      </c>
      <c r="I184" s="65" t="b">
        <f>导出!I184=计算!I184</f>
        <v>1</v>
      </c>
      <c r="J184" s="65" t="b">
        <f>导出!J184=计算!J184</f>
        <v>1</v>
      </c>
      <c r="K184" s="65" t="b">
        <f>导出!K184=计算!K184</f>
        <v>1</v>
      </c>
      <c r="L184" s="65" t="b">
        <f>导出!L184=计算!L184</f>
        <v>1</v>
      </c>
      <c r="M184" s="65" t="b">
        <f>导出!M184=计算!M184</f>
        <v>1</v>
      </c>
      <c r="N184" s="65" t="b">
        <f>导出!N184=计算!N184</f>
        <v>1</v>
      </c>
      <c r="O184" s="65" t="b">
        <f>导出!O184=计算!O184</f>
        <v>1</v>
      </c>
      <c r="P184" s="65" t="b">
        <f>导出!P184=计算!P184</f>
        <v>1</v>
      </c>
      <c r="Q184" s="65" t="b">
        <f>导出!Q184=计算!Q184</f>
        <v>1</v>
      </c>
      <c r="R184" s="65" t="b">
        <f>导出!R184=计算!R184</f>
        <v>1</v>
      </c>
      <c r="S184" s="65" t="b">
        <f>导出!S184=计算!S184</f>
        <v>1</v>
      </c>
      <c r="T184" s="65" t="b">
        <f>导出!T184=计算!T184</f>
        <v>1</v>
      </c>
      <c r="U184" s="65" t="b">
        <f>导出!U184=计算!U184</f>
        <v>1</v>
      </c>
      <c r="V184" s="65" t="b">
        <f>导出!V184=计算!V184</f>
        <v>1</v>
      </c>
      <c r="W184" s="65" t="b">
        <f>导出!W184=计算!W184</f>
        <v>1</v>
      </c>
      <c r="X184" s="65" t="b">
        <f>导出!X184=计算!X184</f>
        <v>1</v>
      </c>
      <c r="Y184" s="65" t="b">
        <f>导出!Y184=计算!Y184</f>
        <v>1</v>
      </c>
      <c r="Z184" s="65" t="b">
        <f>导出!Z184=计算!Z184</f>
        <v>1</v>
      </c>
      <c r="AA184" s="65" t="b">
        <f>导出!AA184=计算!AA184</f>
        <v>1</v>
      </c>
      <c r="AB184" s="65" t="b">
        <f>导出!AB184=计算!AB184</f>
        <v>1</v>
      </c>
      <c r="AC184" s="65" t="b">
        <f>导出!AC184=计算!AC184</f>
        <v>1</v>
      </c>
      <c r="AD184" s="65" t="b">
        <f>导出!AD184=计算!AD184</f>
        <v>1</v>
      </c>
      <c r="AE184" s="65" t="b">
        <f>导出!AE184=计算!AE184</f>
        <v>1</v>
      </c>
      <c r="AF184" s="65" t="b">
        <f>导出!AF184=计算!AF184</f>
        <v>1</v>
      </c>
      <c r="AG184" s="65" t="b">
        <f>导出!AG184=计算!AG184</f>
        <v>1</v>
      </c>
      <c r="AH184" s="65" t="b">
        <f>导出!AH184=计算!AH184</f>
        <v>1</v>
      </c>
      <c r="AI184">
        <v>0</v>
      </c>
      <c r="AJ184" s="3">
        <v>41912.6862847222</v>
      </c>
      <c r="AK184" s="2" t="s">
        <v>1777</v>
      </c>
    </row>
    <row r="185" spans="1:37" x14ac:dyDescent="0.15">
      <c r="A185" s="2" t="s">
        <v>1776</v>
      </c>
      <c r="B185">
        <v>295</v>
      </c>
      <c r="C185" s="3">
        <v>41821</v>
      </c>
      <c r="D185" s="2" t="s">
        <v>37</v>
      </c>
      <c r="E185" s="2" t="s">
        <v>1775</v>
      </c>
      <c r="F185" s="2" t="s">
        <v>41</v>
      </c>
      <c r="G185" s="2" t="s">
        <v>421</v>
      </c>
      <c r="H185" s="2" t="s">
        <v>422</v>
      </c>
      <c r="I185" s="65" t="b">
        <f>导出!I185=计算!I185</f>
        <v>1</v>
      </c>
      <c r="J185" s="65" t="b">
        <f>导出!J185=计算!J185</f>
        <v>1</v>
      </c>
      <c r="K185" s="65" t="b">
        <f>导出!K185=计算!K185</f>
        <v>1</v>
      </c>
      <c r="L185" s="65" t="b">
        <f>导出!L185=计算!L185</f>
        <v>1</v>
      </c>
      <c r="M185" s="65" t="b">
        <f>导出!M185=计算!M185</f>
        <v>1</v>
      </c>
      <c r="N185" s="65" t="b">
        <f>导出!N185=计算!N185</f>
        <v>1</v>
      </c>
      <c r="O185" s="65" t="b">
        <f>导出!O185=计算!O185</f>
        <v>1</v>
      </c>
      <c r="P185" s="65" t="b">
        <f>导出!P185=计算!P185</f>
        <v>1</v>
      </c>
      <c r="Q185" s="65" t="b">
        <f>导出!Q185=计算!Q185</f>
        <v>1</v>
      </c>
      <c r="R185" s="65" t="b">
        <f>导出!R185=计算!R185</f>
        <v>1</v>
      </c>
      <c r="S185" s="65" t="b">
        <f>导出!S185=计算!S185</f>
        <v>1</v>
      </c>
      <c r="T185" s="65" t="b">
        <f>导出!T185=计算!T185</f>
        <v>1</v>
      </c>
      <c r="U185" s="65" t="b">
        <f>导出!U185=计算!U185</f>
        <v>1</v>
      </c>
      <c r="V185" s="65" t="b">
        <f>导出!V185=计算!V185</f>
        <v>1</v>
      </c>
      <c r="W185" s="65" t="b">
        <f>导出!W185=计算!W185</f>
        <v>1</v>
      </c>
      <c r="X185" s="65" t="b">
        <f>导出!X185=计算!X185</f>
        <v>1</v>
      </c>
      <c r="Y185" s="65" t="b">
        <f>导出!Y185=计算!Y185</f>
        <v>1</v>
      </c>
      <c r="Z185" s="65" t="b">
        <f>导出!Z185=计算!Z185</f>
        <v>1</v>
      </c>
      <c r="AA185" s="65" t="b">
        <f>导出!AA185=计算!AA185</f>
        <v>0</v>
      </c>
      <c r="AB185" s="65" t="b">
        <f>导出!AB185=计算!AB185</f>
        <v>1</v>
      </c>
      <c r="AC185" s="65" t="b">
        <f>导出!AC185=计算!AC185</f>
        <v>1</v>
      </c>
      <c r="AD185" s="65" t="b">
        <f>导出!AD185=计算!AD185</f>
        <v>1</v>
      </c>
      <c r="AE185" s="65" t="b">
        <f>导出!AE185=计算!AE185</f>
        <v>1</v>
      </c>
      <c r="AF185" s="65" t="b">
        <f>导出!AF185=计算!AF185</f>
        <v>1</v>
      </c>
      <c r="AG185" s="65" t="b">
        <f>导出!AG185=计算!AG185</f>
        <v>1</v>
      </c>
      <c r="AH185" s="65" t="b">
        <f>导出!AH185=计算!AH185</f>
        <v>1</v>
      </c>
      <c r="AI185">
        <v>0</v>
      </c>
      <c r="AJ185" s="3">
        <v>41912.686249999999</v>
      </c>
      <c r="AK185" s="2" t="s">
        <v>1774</v>
      </c>
    </row>
    <row r="186" spans="1:37" x14ac:dyDescent="0.15">
      <c r="A186" s="2" t="s">
        <v>1773</v>
      </c>
      <c r="B186">
        <v>303</v>
      </c>
      <c r="C186" s="3">
        <v>41821</v>
      </c>
      <c r="D186" s="2" t="s">
        <v>37</v>
      </c>
      <c r="E186" s="2" t="s">
        <v>1772</v>
      </c>
      <c r="F186" s="2" t="s">
        <v>41</v>
      </c>
      <c r="G186" s="2" t="s">
        <v>419</v>
      </c>
      <c r="H186" s="2" t="s">
        <v>420</v>
      </c>
      <c r="I186" s="65" t="b">
        <f>导出!I186=计算!I186</f>
        <v>1</v>
      </c>
      <c r="J186" s="65" t="b">
        <f>导出!J186=计算!J186</f>
        <v>1</v>
      </c>
      <c r="K186" s="65" t="b">
        <f>导出!K186=计算!K186</f>
        <v>1</v>
      </c>
      <c r="L186" s="65" t="b">
        <f>导出!L186=计算!L186</f>
        <v>1</v>
      </c>
      <c r="M186" s="65" t="b">
        <f>导出!M186=计算!M186</f>
        <v>1</v>
      </c>
      <c r="N186" s="65" t="b">
        <f>导出!N186=计算!N186</f>
        <v>1</v>
      </c>
      <c r="O186" s="65" t="b">
        <f>导出!O186=计算!O186</f>
        <v>1</v>
      </c>
      <c r="P186" s="65" t="b">
        <f>导出!P186=计算!P186</f>
        <v>1</v>
      </c>
      <c r="Q186" s="65" t="b">
        <f>导出!Q186=计算!Q186</f>
        <v>1</v>
      </c>
      <c r="R186" s="65" t="b">
        <f>导出!R186=计算!R186</f>
        <v>1</v>
      </c>
      <c r="S186" s="65" t="b">
        <f>导出!S186=计算!S186</f>
        <v>1</v>
      </c>
      <c r="T186" s="65" t="b">
        <f>导出!T186=计算!T186</f>
        <v>1</v>
      </c>
      <c r="U186" s="65" t="b">
        <f>导出!U186=计算!U186</f>
        <v>1</v>
      </c>
      <c r="V186" s="65" t="b">
        <f>导出!V186=计算!V186</f>
        <v>0</v>
      </c>
      <c r="W186" s="65" t="b">
        <f>导出!W186=计算!W186</f>
        <v>1</v>
      </c>
      <c r="X186" s="65" t="b">
        <f>导出!X186=计算!X186</f>
        <v>1</v>
      </c>
      <c r="Y186" s="65" t="b">
        <f>导出!Y186=计算!Y186</f>
        <v>1</v>
      </c>
      <c r="Z186" s="65" t="b">
        <f>导出!Z186=计算!Z186</f>
        <v>1</v>
      </c>
      <c r="AA186" s="65" t="b">
        <f>导出!AA186=计算!AA186</f>
        <v>0</v>
      </c>
      <c r="AB186" s="65" t="b">
        <f>导出!AB186=计算!AB186</f>
        <v>1</v>
      </c>
      <c r="AC186" s="65" t="b">
        <f>导出!AC186=计算!AC186</f>
        <v>1</v>
      </c>
      <c r="AD186" s="65" t="b">
        <f>导出!AD186=计算!AD186</f>
        <v>1</v>
      </c>
      <c r="AE186" s="65" t="b">
        <f>导出!AE186=计算!AE186</f>
        <v>1</v>
      </c>
      <c r="AF186" s="65" t="b">
        <f>导出!AF186=计算!AF186</f>
        <v>1</v>
      </c>
      <c r="AG186" s="65" t="b">
        <f>导出!AG186=计算!AG186</f>
        <v>1</v>
      </c>
      <c r="AH186" s="65" t="b">
        <f>导出!AH186=计算!AH186</f>
        <v>1</v>
      </c>
      <c r="AI186">
        <v>0</v>
      </c>
      <c r="AJ186" s="3">
        <v>41912.686249999999</v>
      </c>
      <c r="AK186" s="2" t="s">
        <v>1771</v>
      </c>
    </row>
    <row r="187" spans="1:37" x14ac:dyDescent="0.15">
      <c r="A187" s="2" t="s">
        <v>1770</v>
      </c>
      <c r="B187">
        <v>1216</v>
      </c>
      <c r="C187" s="3">
        <v>41821</v>
      </c>
      <c r="D187" s="2" t="s">
        <v>37</v>
      </c>
      <c r="E187" s="2" t="s">
        <v>1769</v>
      </c>
      <c r="F187" s="2" t="s">
        <v>38</v>
      </c>
      <c r="G187" s="2" t="s">
        <v>397</v>
      </c>
      <c r="H187" s="2" t="s">
        <v>398</v>
      </c>
      <c r="I187" s="65" t="b">
        <f>导出!I187=计算!I187</f>
        <v>1</v>
      </c>
      <c r="J187" s="65" t="b">
        <f>导出!J187=计算!J187</f>
        <v>1</v>
      </c>
      <c r="K187" s="65" t="b">
        <f>导出!K187=计算!K187</f>
        <v>1</v>
      </c>
      <c r="L187" s="65" t="b">
        <f>导出!L187=计算!L187</f>
        <v>1</v>
      </c>
      <c r="M187" s="65" t="b">
        <f>导出!M187=计算!M187</f>
        <v>1</v>
      </c>
      <c r="N187" s="65" t="b">
        <f>导出!N187=计算!N187</f>
        <v>1</v>
      </c>
      <c r="O187" s="65" t="b">
        <f>导出!O187=计算!O187</f>
        <v>1</v>
      </c>
      <c r="P187" s="65" t="b">
        <f>导出!P187=计算!P187</f>
        <v>1</v>
      </c>
      <c r="Q187" s="65" t="b">
        <f>导出!Q187=计算!Q187</f>
        <v>1</v>
      </c>
      <c r="R187" s="65" t="b">
        <f>导出!R187=计算!R187</f>
        <v>1</v>
      </c>
      <c r="S187" s="65" t="b">
        <f>导出!S187=计算!S187</f>
        <v>1</v>
      </c>
      <c r="T187" s="65" t="b">
        <f>导出!T187=计算!T187</f>
        <v>1</v>
      </c>
      <c r="U187" s="65" t="b">
        <f>导出!U187=计算!U187</f>
        <v>1</v>
      </c>
      <c r="V187" s="65" t="b">
        <f>导出!V187=计算!V187</f>
        <v>1</v>
      </c>
      <c r="W187" s="65" t="b">
        <f>导出!W187=计算!W187</f>
        <v>1</v>
      </c>
      <c r="X187" s="65" t="b">
        <f>导出!X187=计算!X187</f>
        <v>1</v>
      </c>
      <c r="Y187" s="65" t="b">
        <f>导出!Y187=计算!Y187</f>
        <v>1</v>
      </c>
      <c r="Z187" s="65" t="b">
        <f>导出!Z187=计算!Z187</f>
        <v>1</v>
      </c>
      <c r="AA187" s="65" t="b">
        <f>导出!AA187=计算!AA187</f>
        <v>0</v>
      </c>
      <c r="AB187" s="65" t="b">
        <f>导出!AB187=计算!AB187</f>
        <v>1</v>
      </c>
      <c r="AC187" s="65" t="b">
        <f>导出!AC187=计算!AC187</f>
        <v>1</v>
      </c>
      <c r="AD187" s="65" t="b">
        <f>导出!AD187=计算!AD187</f>
        <v>1</v>
      </c>
      <c r="AE187" s="65" t="b">
        <f>导出!AE187=计算!AE187</f>
        <v>1</v>
      </c>
      <c r="AF187" s="65" t="b">
        <f>导出!AF187=计算!AF187</f>
        <v>1</v>
      </c>
      <c r="AG187" s="65" t="b">
        <f>导出!AG187=计算!AG187</f>
        <v>1</v>
      </c>
      <c r="AH187" s="65" t="b">
        <f>导出!AH187=计算!AH187</f>
        <v>1</v>
      </c>
      <c r="AI187">
        <v>0</v>
      </c>
      <c r="AJ187" s="3">
        <v>41912.6862847222</v>
      </c>
      <c r="AK187" s="2" t="s">
        <v>1768</v>
      </c>
    </row>
    <row r="188" spans="1:37" x14ac:dyDescent="0.15">
      <c r="A188" s="2" t="s">
        <v>1767</v>
      </c>
      <c r="B188">
        <v>308</v>
      </c>
      <c r="C188" s="3">
        <v>41821</v>
      </c>
      <c r="D188" s="2" t="s">
        <v>37</v>
      </c>
      <c r="E188" s="2" t="s">
        <v>1766</v>
      </c>
      <c r="F188" s="2" t="s">
        <v>41</v>
      </c>
      <c r="G188" s="2" t="s">
        <v>423</v>
      </c>
      <c r="H188" s="2" t="s">
        <v>424</v>
      </c>
      <c r="I188" s="65" t="b">
        <f>导出!I188=计算!I188</f>
        <v>1</v>
      </c>
      <c r="J188" s="65" t="b">
        <f>导出!J188=计算!J188</f>
        <v>1</v>
      </c>
      <c r="K188" s="65" t="b">
        <f>导出!K188=计算!K188</f>
        <v>1</v>
      </c>
      <c r="L188" s="65" t="b">
        <f>导出!L188=计算!L188</f>
        <v>1</v>
      </c>
      <c r="M188" s="65" t="b">
        <f>导出!M188=计算!M188</f>
        <v>1</v>
      </c>
      <c r="N188" s="65" t="b">
        <f>导出!N188=计算!N188</f>
        <v>1</v>
      </c>
      <c r="O188" s="65" t="b">
        <f>导出!O188=计算!O188</f>
        <v>1</v>
      </c>
      <c r="P188" s="65" t="b">
        <f>导出!P188=计算!P188</f>
        <v>1</v>
      </c>
      <c r="Q188" s="65" t="b">
        <f>导出!Q188=计算!Q188</f>
        <v>1</v>
      </c>
      <c r="R188" s="65" t="b">
        <f>导出!R188=计算!R188</f>
        <v>1</v>
      </c>
      <c r="S188" s="65" t="b">
        <f>导出!S188=计算!S188</f>
        <v>1</v>
      </c>
      <c r="T188" s="65" t="b">
        <f>导出!T188=计算!T188</f>
        <v>1</v>
      </c>
      <c r="U188" s="65" t="b">
        <f>导出!U188=计算!U188</f>
        <v>1</v>
      </c>
      <c r="V188" s="65" t="b">
        <f>导出!V188=计算!V188</f>
        <v>1</v>
      </c>
      <c r="W188" s="65" t="b">
        <f>导出!W188=计算!W188</f>
        <v>1</v>
      </c>
      <c r="X188" s="65" t="b">
        <f>导出!X188=计算!X188</f>
        <v>1</v>
      </c>
      <c r="Y188" s="65" t="b">
        <f>导出!Y188=计算!Y188</f>
        <v>1</v>
      </c>
      <c r="Z188" s="65" t="b">
        <f>导出!Z188=计算!Z188</f>
        <v>1</v>
      </c>
      <c r="AA188" s="65" t="b">
        <f>导出!AA188=计算!AA188</f>
        <v>0</v>
      </c>
      <c r="AB188" s="65" t="b">
        <f>导出!AB188=计算!AB188</f>
        <v>1</v>
      </c>
      <c r="AC188" s="65" t="b">
        <f>导出!AC188=计算!AC188</f>
        <v>1</v>
      </c>
      <c r="AD188" s="65" t="b">
        <f>导出!AD188=计算!AD188</f>
        <v>1</v>
      </c>
      <c r="AE188" s="65" t="b">
        <f>导出!AE188=计算!AE188</f>
        <v>1</v>
      </c>
      <c r="AF188" s="65" t="b">
        <f>导出!AF188=计算!AF188</f>
        <v>1</v>
      </c>
      <c r="AG188" s="65" t="b">
        <f>导出!AG188=计算!AG188</f>
        <v>1</v>
      </c>
      <c r="AH188" s="65" t="b">
        <f>导出!AH188=计算!AH188</f>
        <v>1</v>
      </c>
      <c r="AI188">
        <v>0</v>
      </c>
      <c r="AJ188" s="3">
        <v>41912.686249999999</v>
      </c>
      <c r="AK188" s="2" t="s">
        <v>1765</v>
      </c>
    </row>
    <row r="189" spans="1:37" x14ac:dyDescent="0.15">
      <c r="A189" s="2" t="s">
        <v>1764</v>
      </c>
      <c r="B189">
        <v>253</v>
      </c>
      <c r="C189" s="3">
        <v>41821</v>
      </c>
      <c r="D189" s="2" t="s">
        <v>37</v>
      </c>
      <c r="E189" s="2" t="s">
        <v>1763</v>
      </c>
      <c r="F189" s="2" t="s">
        <v>41</v>
      </c>
      <c r="G189" s="2" t="s">
        <v>427</v>
      </c>
      <c r="H189" s="2" t="s">
        <v>428</v>
      </c>
      <c r="I189" s="65" t="b">
        <f>导出!I189=计算!I189</f>
        <v>1</v>
      </c>
      <c r="J189" s="65" t="b">
        <f>导出!J189=计算!J189</f>
        <v>1</v>
      </c>
      <c r="K189" s="65" t="b">
        <f>导出!K189=计算!K189</f>
        <v>1</v>
      </c>
      <c r="L189" s="65" t="b">
        <f>导出!L189=计算!L189</f>
        <v>1</v>
      </c>
      <c r="M189" s="65" t="b">
        <f>导出!M189=计算!M189</f>
        <v>1</v>
      </c>
      <c r="N189" s="65" t="b">
        <f>导出!N189=计算!N189</f>
        <v>1</v>
      </c>
      <c r="O189" s="65" t="b">
        <f>导出!O189=计算!O189</f>
        <v>1</v>
      </c>
      <c r="P189" s="65" t="b">
        <f>导出!P189=计算!P189</f>
        <v>1</v>
      </c>
      <c r="Q189" s="65" t="b">
        <f>导出!Q189=计算!Q189</f>
        <v>1</v>
      </c>
      <c r="R189" s="65" t="b">
        <f>导出!R189=计算!R189</f>
        <v>1</v>
      </c>
      <c r="S189" s="65" t="b">
        <f>导出!S189=计算!S189</f>
        <v>1</v>
      </c>
      <c r="T189" s="65" t="b">
        <f>导出!T189=计算!T189</f>
        <v>1</v>
      </c>
      <c r="U189" s="65" t="b">
        <f>导出!U189=计算!U189</f>
        <v>1</v>
      </c>
      <c r="V189" s="65" t="b">
        <f>导出!V189=计算!V189</f>
        <v>1</v>
      </c>
      <c r="W189" s="65" t="b">
        <f>导出!W189=计算!W189</f>
        <v>1</v>
      </c>
      <c r="X189" s="65" t="b">
        <f>导出!X189=计算!X189</f>
        <v>1</v>
      </c>
      <c r="Y189" s="65" t="b">
        <f>导出!Y189=计算!Y189</f>
        <v>1</v>
      </c>
      <c r="Z189" s="65" t="b">
        <f>导出!Z189=计算!Z189</f>
        <v>1</v>
      </c>
      <c r="AA189" s="65" t="b">
        <f>导出!AA189=计算!AA189</f>
        <v>0</v>
      </c>
      <c r="AB189" s="65" t="b">
        <f>导出!AB189=计算!AB189</f>
        <v>1</v>
      </c>
      <c r="AC189" s="65" t="b">
        <f>导出!AC189=计算!AC189</f>
        <v>1</v>
      </c>
      <c r="AD189" s="65" t="b">
        <f>导出!AD189=计算!AD189</f>
        <v>1</v>
      </c>
      <c r="AE189" s="65" t="b">
        <f>导出!AE189=计算!AE189</f>
        <v>1</v>
      </c>
      <c r="AF189" s="65" t="b">
        <f>导出!AF189=计算!AF189</f>
        <v>1</v>
      </c>
      <c r="AG189" s="65" t="b">
        <f>导出!AG189=计算!AG189</f>
        <v>1</v>
      </c>
      <c r="AH189" s="65" t="b">
        <f>导出!AH189=计算!AH189</f>
        <v>1</v>
      </c>
      <c r="AI189">
        <v>0</v>
      </c>
      <c r="AJ189" s="3">
        <v>41912.6862384259</v>
      </c>
      <c r="AK189" s="2" t="s">
        <v>1762</v>
      </c>
    </row>
    <row r="190" spans="1:37" x14ac:dyDescent="0.15">
      <c r="A190" s="2" t="s">
        <v>1761</v>
      </c>
      <c r="B190">
        <v>244</v>
      </c>
      <c r="C190" s="3">
        <v>41821</v>
      </c>
      <c r="D190" s="2" t="s">
        <v>37</v>
      </c>
      <c r="E190" s="2" t="s">
        <v>1760</v>
      </c>
      <c r="F190" s="2" t="s">
        <v>41</v>
      </c>
      <c r="G190" s="2" t="s">
        <v>425</v>
      </c>
      <c r="H190" s="2" t="s">
        <v>426</v>
      </c>
      <c r="I190" s="65" t="b">
        <f>导出!I190=计算!I190</f>
        <v>1</v>
      </c>
      <c r="J190" s="65" t="b">
        <f>导出!J190=计算!J190</f>
        <v>1</v>
      </c>
      <c r="K190" s="65" t="b">
        <f>导出!K190=计算!K190</f>
        <v>1</v>
      </c>
      <c r="L190" s="65" t="b">
        <f>导出!L190=计算!L190</f>
        <v>1</v>
      </c>
      <c r="M190" s="65" t="b">
        <f>导出!M190=计算!M190</f>
        <v>1</v>
      </c>
      <c r="N190" s="65" t="b">
        <f>导出!N190=计算!N190</f>
        <v>1</v>
      </c>
      <c r="O190" s="65" t="b">
        <f>导出!O190=计算!O190</f>
        <v>1</v>
      </c>
      <c r="P190" s="65" t="b">
        <f>导出!P190=计算!P190</f>
        <v>1</v>
      </c>
      <c r="Q190" s="65" t="b">
        <f>导出!Q190=计算!Q190</f>
        <v>1</v>
      </c>
      <c r="R190" s="65" t="b">
        <f>导出!R190=计算!R190</f>
        <v>1</v>
      </c>
      <c r="S190" s="65" t="b">
        <f>导出!S190=计算!S190</f>
        <v>1</v>
      </c>
      <c r="T190" s="65" t="b">
        <f>导出!T190=计算!T190</f>
        <v>1</v>
      </c>
      <c r="U190" s="65" t="b">
        <f>导出!U190=计算!U190</f>
        <v>1</v>
      </c>
      <c r="V190" s="65" t="b">
        <f>导出!V190=计算!V190</f>
        <v>0</v>
      </c>
      <c r="W190" s="65" t="b">
        <f>导出!W190=计算!W190</f>
        <v>1</v>
      </c>
      <c r="X190" s="65" t="b">
        <f>导出!X190=计算!X190</f>
        <v>1</v>
      </c>
      <c r="Y190" s="65" t="b">
        <f>导出!Y190=计算!Y190</f>
        <v>1</v>
      </c>
      <c r="Z190" s="65" t="b">
        <f>导出!Z190=计算!Z190</f>
        <v>1</v>
      </c>
      <c r="AA190" s="65" t="b">
        <f>导出!AA190=计算!AA190</f>
        <v>0</v>
      </c>
      <c r="AB190" s="65" t="b">
        <f>导出!AB190=计算!AB190</f>
        <v>1</v>
      </c>
      <c r="AC190" s="65" t="b">
        <f>导出!AC190=计算!AC190</f>
        <v>1</v>
      </c>
      <c r="AD190" s="65" t="b">
        <f>导出!AD190=计算!AD190</f>
        <v>1</v>
      </c>
      <c r="AE190" s="65" t="b">
        <f>导出!AE190=计算!AE190</f>
        <v>1</v>
      </c>
      <c r="AF190" s="65" t="b">
        <f>导出!AF190=计算!AF190</f>
        <v>1</v>
      </c>
      <c r="AG190" s="65" t="b">
        <f>导出!AG190=计算!AG190</f>
        <v>1</v>
      </c>
      <c r="AH190" s="65" t="b">
        <f>导出!AH190=计算!AH190</f>
        <v>1</v>
      </c>
      <c r="AI190">
        <v>0</v>
      </c>
      <c r="AJ190" s="3">
        <v>41912.6862384259</v>
      </c>
      <c r="AK190" s="2" t="s">
        <v>1759</v>
      </c>
    </row>
    <row r="191" spans="1:37" x14ac:dyDescent="0.15">
      <c r="A191" s="2" t="s">
        <v>1758</v>
      </c>
      <c r="B191">
        <v>266</v>
      </c>
      <c r="C191" s="3">
        <v>41821</v>
      </c>
      <c r="D191" s="2" t="s">
        <v>37</v>
      </c>
      <c r="E191" s="2" t="s">
        <v>1757</v>
      </c>
      <c r="F191" s="2" t="s">
        <v>41</v>
      </c>
      <c r="G191" s="2" t="s">
        <v>429</v>
      </c>
      <c r="H191" s="2" t="s">
        <v>430</v>
      </c>
      <c r="I191" s="65" t="b">
        <f>导出!I191=计算!I191</f>
        <v>1</v>
      </c>
      <c r="J191" s="65" t="b">
        <f>导出!J191=计算!J191</f>
        <v>1</v>
      </c>
      <c r="K191" s="65" t="b">
        <f>导出!K191=计算!K191</f>
        <v>1</v>
      </c>
      <c r="L191" s="65" t="b">
        <f>导出!L191=计算!L191</f>
        <v>1</v>
      </c>
      <c r="M191" s="65" t="b">
        <f>导出!M191=计算!M191</f>
        <v>1</v>
      </c>
      <c r="N191" s="65" t="b">
        <f>导出!N191=计算!N191</f>
        <v>1</v>
      </c>
      <c r="O191" s="65" t="b">
        <f>导出!O191=计算!O191</f>
        <v>1</v>
      </c>
      <c r="P191" s="65" t="b">
        <f>导出!P191=计算!P191</f>
        <v>1</v>
      </c>
      <c r="Q191" s="65" t="b">
        <f>导出!Q191=计算!Q191</f>
        <v>1</v>
      </c>
      <c r="R191" s="65" t="b">
        <f>导出!R191=计算!R191</f>
        <v>1</v>
      </c>
      <c r="S191" s="65" t="b">
        <f>导出!S191=计算!S191</f>
        <v>1</v>
      </c>
      <c r="T191" s="65" t="b">
        <f>导出!T191=计算!T191</f>
        <v>1</v>
      </c>
      <c r="U191" s="65" t="b">
        <f>导出!U191=计算!U191</f>
        <v>1</v>
      </c>
      <c r="V191" s="65" t="b">
        <f>导出!V191=计算!V191</f>
        <v>0</v>
      </c>
      <c r="W191" s="65" t="b">
        <f>导出!W191=计算!W191</f>
        <v>1</v>
      </c>
      <c r="X191" s="65" t="b">
        <f>导出!X191=计算!X191</f>
        <v>1</v>
      </c>
      <c r="Y191" s="65" t="b">
        <f>导出!Y191=计算!Y191</f>
        <v>1</v>
      </c>
      <c r="Z191" s="65" t="b">
        <f>导出!Z191=计算!Z191</f>
        <v>1</v>
      </c>
      <c r="AA191" s="65" t="b">
        <f>导出!AA191=计算!AA191</f>
        <v>0</v>
      </c>
      <c r="AB191" s="65" t="b">
        <f>导出!AB191=计算!AB191</f>
        <v>1</v>
      </c>
      <c r="AC191" s="65" t="b">
        <f>导出!AC191=计算!AC191</f>
        <v>1</v>
      </c>
      <c r="AD191" s="65" t="b">
        <f>导出!AD191=计算!AD191</f>
        <v>1</v>
      </c>
      <c r="AE191" s="65" t="b">
        <f>导出!AE191=计算!AE191</f>
        <v>1</v>
      </c>
      <c r="AF191" s="65" t="b">
        <f>导出!AF191=计算!AF191</f>
        <v>0</v>
      </c>
      <c r="AG191" s="65" t="b">
        <f>导出!AG191=计算!AG191</f>
        <v>1</v>
      </c>
      <c r="AH191" s="65" t="b">
        <f>导出!AH191=计算!AH191</f>
        <v>1</v>
      </c>
      <c r="AI191">
        <v>0</v>
      </c>
      <c r="AJ191" s="3">
        <v>41912.686249999999</v>
      </c>
      <c r="AK191" s="2" t="s">
        <v>1756</v>
      </c>
    </row>
    <row r="192" spans="1:37" x14ac:dyDescent="0.15">
      <c r="A192" s="2" t="s">
        <v>1755</v>
      </c>
      <c r="B192">
        <v>275</v>
      </c>
      <c r="C192" s="3">
        <v>41821</v>
      </c>
      <c r="D192" s="2" t="s">
        <v>37</v>
      </c>
      <c r="E192" s="2" t="s">
        <v>1754</v>
      </c>
      <c r="F192" s="2" t="s">
        <v>41</v>
      </c>
      <c r="G192" s="2" t="s">
        <v>431</v>
      </c>
      <c r="H192" s="2" t="s">
        <v>432</v>
      </c>
      <c r="I192" s="65" t="b">
        <f>导出!I192=计算!I192</f>
        <v>1</v>
      </c>
      <c r="J192" s="65" t="b">
        <f>导出!J192=计算!J192</f>
        <v>1</v>
      </c>
      <c r="K192" s="65" t="b">
        <f>导出!K192=计算!K192</f>
        <v>1</v>
      </c>
      <c r="L192" s="65" t="b">
        <f>导出!L192=计算!L192</f>
        <v>1</v>
      </c>
      <c r="M192" s="65" t="b">
        <f>导出!M192=计算!M192</f>
        <v>1</v>
      </c>
      <c r="N192" s="65" t="b">
        <f>导出!N192=计算!N192</f>
        <v>1</v>
      </c>
      <c r="O192" s="65" t="b">
        <f>导出!O192=计算!O192</f>
        <v>1</v>
      </c>
      <c r="P192" s="65" t="b">
        <f>导出!P192=计算!P192</f>
        <v>1</v>
      </c>
      <c r="Q192" s="65" t="b">
        <f>导出!Q192=计算!Q192</f>
        <v>1</v>
      </c>
      <c r="R192" s="65" t="b">
        <f>导出!R192=计算!R192</f>
        <v>1</v>
      </c>
      <c r="S192" s="65" t="b">
        <f>导出!S192=计算!S192</f>
        <v>1</v>
      </c>
      <c r="T192" s="65" t="b">
        <f>导出!T192=计算!T192</f>
        <v>1</v>
      </c>
      <c r="U192" s="65" t="b">
        <f>导出!U192=计算!U192</f>
        <v>1</v>
      </c>
      <c r="V192" s="65" t="b">
        <f>导出!V192=计算!V192</f>
        <v>0</v>
      </c>
      <c r="W192" s="65" t="b">
        <f>导出!W192=计算!W192</f>
        <v>1</v>
      </c>
      <c r="X192" s="65" t="b">
        <f>导出!X192=计算!X192</f>
        <v>1</v>
      </c>
      <c r="Y192" s="65" t="b">
        <f>导出!Y192=计算!Y192</f>
        <v>1</v>
      </c>
      <c r="Z192" s="65" t="b">
        <f>导出!Z192=计算!Z192</f>
        <v>1</v>
      </c>
      <c r="AA192" s="65" t="b">
        <f>导出!AA192=计算!AA192</f>
        <v>0</v>
      </c>
      <c r="AB192" s="65" t="b">
        <f>导出!AB192=计算!AB192</f>
        <v>1</v>
      </c>
      <c r="AC192" s="65" t="b">
        <f>导出!AC192=计算!AC192</f>
        <v>1</v>
      </c>
      <c r="AD192" s="65" t="b">
        <f>导出!AD192=计算!AD192</f>
        <v>1</v>
      </c>
      <c r="AE192" s="65" t="b">
        <f>导出!AE192=计算!AE192</f>
        <v>1</v>
      </c>
      <c r="AF192" s="65" t="b">
        <f>导出!AF192=计算!AF192</f>
        <v>1</v>
      </c>
      <c r="AG192" s="65" t="b">
        <f>导出!AG192=计算!AG192</f>
        <v>1</v>
      </c>
      <c r="AH192" s="65" t="b">
        <f>导出!AH192=计算!AH192</f>
        <v>1</v>
      </c>
      <c r="AI192">
        <v>0</v>
      </c>
      <c r="AJ192" s="3">
        <v>41912.686249999999</v>
      </c>
      <c r="AK192" s="2" t="s">
        <v>1753</v>
      </c>
    </row>
    <row r="193" spans="1:37" x14ac:dyDescent="0.15">
      <c r="A193" s="2" t="s">
        <v>1752</v>
      </c>
      <c r="B193">
        <v>286</v>
      </c>
      <c r="C193" s="3">
        <v>41821</v>
      </c>
      <c r="D193" s="2" t="s">
        <v>37</v>
      </c>
      <c r="E193" s="2" t="s">
        <v>1751</v>
      </c>
      <c r="F193" s="2" t="s">
        <v>41</v>
      </c>
      <c r="G193" s="2" t="s">
        <v>435</v>
      </c>
      <c r="H193" s="2" t="s">
        <v>436</v>
      </c>
      <c r="I193" s="65" t="b">
        <f>导出!I193=计算!I193</f>
        <v>1</v>
      </c>
      <c r="J193" s="65" t="b">
        <f>导出!J193=计算!J193</f>
        <v>1</v>
      </c>
      <c r="K193" s="65" t="b">
        <f>导出!K193=计算!K193</f>
        <v>1</v>
      </c>
      <c r="L193" s="65" t="b">
        <f>导出!L193=计算!L193</f>
        <v>1</v>
      </c>
      <c r="M193" s="65" t="b">
        <f>导出!M193=计算!M193</f>
        <v>1</v>
      </c>
      <c r="N193" s="65" t="b">
        <f>导出!N193=计算!N193</f>
        <v>1</v>
      </c>
      <c r="O193" s="65" t="b">
        <f>导出!O193=计算!O193</f>
        <v>1</v>
      </c>
      <c r="P193" s="65" t="b">
        <f>导出!P193=计算!P193</f>
        <v>1</v>
      </c>
      <c r="Q193" s="65" t="b">
        <f>导出!Q193=计算!Q193</f>
        <v>1</v>
      </c>
      <c r="R193" s="65" t="b">
        <f>导出!R193=计算!R193</f>
        <v>1</v>
      </c>
      <c r="S193" s="65" t="b">
        <f>导出!S193=计算!S193</f>
        <v>1</v>
      </c>
      <c r="T193" s="65" t="b">
        <f>导出!T193=计算!T193</f>
        <v>1</v>
      </c>
      <c r="U193" s="65" t="b">
        <f>导出!U193=计算!U193</f>
        <v>1</v>
      </c>
      <c r="V193" s="65" t="b">
        <f>导出!V193=计算!V193</f>
        <v>0</v>
      </c>
      <c r="W193" s="65" t="b">
        <f>导出!W193=计算!W193</f>
        <v>1</v>
      </c>
      <c r="X193" s="65" t="b">
        <f>导出!X193=计算!X193</f>
        <v>1</v>
      </c>
      <c r="Y193" s="65" t="b">
        <f>导出!Y193=计算!Y193</f>
        <v>1</v>
      </c>
      <c r="Z193" s="65" t="b">
        <f>导出!Z193=计算!Z193</f>
        <v>1</v>
      </c>
      <c r="AA193" s="65" t="b">
        <f>导出!AA193=计算!AA193</f>
        <v>0</v>
      </c>
      <c r="AB193" s="65" t="b">
        <f>导出!AB193=计算!AB193</f>
        <v>1</v>
      </c>
      <c r="AC193" s="65" t="b">
        <f>导出!AC193=计算!AC193</f>
        <v>1</v>
      </c>
      <c r="AD193" s="65" t="b">
        <f>导出!AD193=计算!AD193</f>
        <v>1</v>
      </c>
      <c r="AE193" s="65" t="b">
        <f>导出!AE193=计算!AE193</f>
        <v>1</v>
      </c>
      <c r="AF193" s="65" t="b">
        <f>导出!AF193=计算!AF193</f>
        <v>1</v>
      </c>
      <c r="AG193" s="65" t="b">
        <f>导出!AG193=计算!AG193</f>
        <v>1</v>
      </c>
      <c r="AH193" s="65" t="b">
        <f>导出!AH193=计算!AH193</f>
        <v>1</v>
      </c>
      <c r="AI193">
        <v>0</v>
      </c>
      <c r="AJ193" s="3">
        <v>41912.686249999999</v>
      </c>
      <c r="AK193" s="2" t="s">
        <v>1750</v>
      </c>
    </row>
    <row r="194" spans="1:37" x14ac:dyDescent="0.15">
      <c r="A194" s="2" t="s">
        <v>1749</v>
      </c>
      <c r="B194">
        <v>280</v>
      </c>
      <c r="C194" s="3">
        <v>41821</v>
      </c>
      <c r="D194" s="2" t="s">
        <v>37</v>
      </c>
      <c r="E194" s="2" t="s">
        <v>1748</v>
      </c>
      <c r="F194" s="2" t="s">
        <v>41</v>
      </c>
      <c r="G194" s="2" t="s">
        <v>433</v>
      </c>
      <c r="H194" s="2" t="s">
        <v>434</v>
      </c>
      <c r="I194" s="65" t="b">
        <f>导出!I194=计算!I194</f>
        <v>1</v>
      </c>
      <c r="J194" s="65" t="b">
        <f>导出!J194=计算!J194</f>
        <v>1</v>
      </c>
      <c r="K194" s="65" t="b">
        <f>导出!K194=计算!K194</f>
        <v>1</v>
      </c>
      <c r="L194" s="65" t="b">
        <f>导出!L194=计算!L194</f>
        <v>1</v>
      </c>
      <c r="M194" s="65" t="b">
        <f>导出!M194=计算!M194</f>
        <v>1</v>
      </c>
      <c r="N194" s="65" t="b">
        <f>导出!N194=计算!N194</f>
        <v>1</v>
      </c>
      <c r="O194" s="65" t="b">
        <f>导出!O194=计算!O194</f>
        <v>1</v>
      </c>
      <c r="P194" s="65" t="b">
        <f>导出!P194=计算!P194</f>
        <v>1</v>
      </c>
      <c r="Q194" s="65" t="b">
        <f>导出!Q194=计算!Q194</f>
        <v>1</v>
      </c>
      <c r="R194" s="65" t="b">
        <f>导出!R194=计算!R194</f>
        <v>1</v>
      </c>
      <c r="S194" s="65" t="b">
        <f>导出!S194=计算!S194</f>
        <v>1</v>
      </c>
      <c r="T194" s="65" t="b">
        <f>导出!T194=计算!T194</f>
        <v>1</v>
      </c>
      <c r="U194" s="65" t="b">
        <f>导出!U194=计算!U194</f>
        <v>1</v>
      </c>
      <c r="V194" s="65" t="b">
        <f>导出!V194=计算!V194</f>
        <v>0</v>
      </c>
      <c r="W194" s="65" t="b">
        <f>导出!W194=计算!W194</f>
        <v>1</v>
      </c>
      <c r="X194" s="65" t="b">
        <f>导出!X194=计算!X194</f>
        <v>1</v>
      </c>
      <c r="Y194" s="65" t="b">
        <f>导出!Y194=计算!Y194</f>
        <v>1</v>
      </c>
      <c r="Z194" s="65" t="b">
        <f>导出!Z194=计算!Z194</f>
        <v>1</v>
      </c>
      <c r="AA194" s="65" t="b">
        <f>导出!AA194=计算!AA194</f>
        <v>0</v>
      </c>
      <c r="AB194" s="65" t="b">
        <f>导出!AB194=计算!AB194</f>
        <v>1</v>
      </c>
      <c r="AC194" s="65" t="b">
        <f>导出!AC194=计算!AC194</f>
        <v>1</v>
      </c>
      <c r="AD194" s="65" t="b">
        <f>导出!AD194=计算!AD194</f>
        <v>1</v>
      </c>
      <c r="AE194" s="65" t="b">
        <f>导出!AE194=计算!AE194</f>
        <v>1</v>
      </c>
      <c r="AF194" s="65" t="b">
        <f>导出!AF194=计算!AF194</f>
        <v>1</v>
      </c>
      <c r="AG194" s="65" t="b">
        <f>导出!AG194=计算!AG194</f>
        <v>1</v>
      </c>
      <c r="AH194" s="65" t="b">
        <f>导出!AH194=计算!AH194</f>
        <v>1</v>
      </c>
      <c r="AI194">
        <v>0</v>
      </c>
      <c r="AJ194" s="3">
        <v>41912.686249999999</v>
      </c>
      <c r="AK194" s="2" t="s">
        <v>1747</v>
      </c>
    </row>
    <row r="195" spans="1:37" x14ac:dyDescent="0.15">
      <c r="A195" s="2" t="s">
        <v>1746</v>
      </c>
      <c r="B195">
        <v>291</v>
      </c>
      <c r="C195" s="3">
        <v>41821</v>
      </c>
      <c r="D195" s="2" t="s">
        <v>37</v>
      </c>
      <c r="E195" s="2" t="s">
        <v>1745</v>
      </c>
      <c r="F195" s="2" t="s">
        <v>41</v>
      </c>
      <c r="G195" s="2" t="s">
        <v>439</v>
      </c>
      <c r="H195" s="2" t="s">
        <v>440</v>
      </c>
      <c r="I195" s="65" t="b">
        <f>导出!I195=计算!I195</f>
        <v>1</v>
      </c>
      <c r="J195" s="65" t="b">
        <f>导出!J195=计算!J195</f>
        <v>1</v>
      </c>
      <c r="K195" s="65" t="b">
        <f>导出!K195=计算!K195</f>
        <v>1</v>
      </c>
      <c r="L195" s="65" t="b">
        <f>导出!L195=计算!L195</f>
        <v>1</v>
      </c>
      <c r="M195" s="65" t="b">
        <f>导出!M195=计算!M195</f>
        <v>1</v>
      </c>
      <c r="N195" s="65" t="b">
        <f>导出!N195=计算!N195</f>
        <v>1</v>
      </c>
      <c r="O195" s="65" t="b">
        <f>导出!O195=计算!O195</f>
        <v>1</v>
      </c>
      <c r="P195" s="65" t="b">
        <f>导出!P195=计算!P195</f>
        <v>1</v>
      </c>
      <c r="Q195" s="65" t="b">
        <f>导出!Q195=计算!Q195</f>
        <v>1</v>
      </c>
      <c r="R195" s="65" t="b">
        <f>导出!R195=计算!R195</f>
        <v>1</v>
      </c>
      <c r="S195" s="65" t="b">
        <f>导出!S195=计算!S195</f>
        <v>1</v>
      </c>
      <c r="T195" s="65" t="b">
        <f>导出!T195=计算!T195</f>
        <v>1</v>
      </c>
      <c r="U195" s="65" t="b">
        <f>导出!U195=计算!U195</f>
        <v>1</v>
      </c>
      <c r="V195" s="65" t="b">
        <f>导出!V195=计算!V195</f>
        <v>0</v>
      </c>
      <c r="W195" s="65" t="b">
        <f>导出!W195=计算!W195</f>
        <v>1</v>
      </c>
      <c r="X195" s="65" t="b">
        <f>导出!X195=计算!X195</f>
        <v>1</v>
      </c>
      <c r="Y195" s="65" t="b">
        <f>导出!Y195=计算!Y195</f>
        <v>1</v>
      </c>
      <c r="Z195" s="65" t="b">
        <f>导出!Z195=计算!Z195</f>
        <v>1</v>
      </c>
      <c r="AA195" s="65" t="b">
        <f>导出!AA195=计算!AA195</f>
        <v>0</v>
      </c>
      <c r="AB195" s="65" t="b">
        <f>导出!AB195=计算!AB195</f>
        <v>1</v>
      </c>
      <c r="AC195" s="65" t="b">
        <f>导出!AC195=计算!AC195</f>
        <v>1</v>
      </c>
      <c r="AD195" s="65" t="b">
        <f>导出!AD195=计算!AD195</f>
        <v>1</v>
      </c>
      <c r="AE195" s="65" t="b">
        <f>导出!AE195=计算!AE195</f>
        <v>1</v>
      </c>
      <c r="AF195" s="65" t="b">
        <f>导出!AF195=计算!AF195</f>
        <v>1</v>
      </c>
      <c r="AG195" s="65" t="b">
        <f>导出!AG195=计算!AG195</f>
        <v>1</v>
      </c>
      <c r="AH195" s="65" t="b">
        <f>导出!AH195=计算!AH195</f>
        <v>1</v>
      </c>
      <c r="AI195">
        <v>0</v>
      </c>
      <c r="AJ195" s="3">
        <v>41912.686249999999</v>
      </c>
      <c r="AK195" s="2" t="s">
        <v>1744</v>
      </c>
    </row>
    <row r="196" spans="1:37" x14ac:dyDescent="0.15">
      <c r="A196" s="2" t="s">
        <v>1743</v>
      </c>
      <c r="B196">
        <v>296</v>
      </c>
      <c r="C196" s="3">
        <v>41821</v>
      </c>
      <c r="D196" s="2" t="s">
        <v>37</v>
      </c>
      <c r="E196" s="2" t="s">
        <v>1742</v>
      </c>
      <c r="F196" s="2" t="s">
        <v>41</v>
      </c>
      <c r="G196" s="2" t="s">
        <v>437</v>
      </c>
      <c r="H196" s="2" t="s">
        <v>438</v>
      </c>
      <c r="I196" s="65" t="b">
        <f>导出!I196=计算!I196</f>
        <v>1</v>
      </c>
      <c r="J196" s="65" t="b">
        <f>导出!J196=计算!J196</f>
        <v>1</v>
      </c>
      <c r="K196" s="65" t="b">
        <f>导出!K196=计算!K196</f>
        <v>1</v>
      </c>
      <c r="L196" s="65" t="b">
        <f>导出!L196=计算!L196</f>
        <v>1</v>
      </c>
      <c r="M196" s="65" t="b">
        <f>导出!M196=计算!M196</f>
        <v>1</v>
      </c>
      <c r="N196" s="65" t="b">
        <f>导出!N196=计算!N196</f>
        <v>1</v>
      </c>
      <c r="O196" s="65" t="b">
        <f>导出!O196=计算!O196</f>
        <v>1</v>
      </c>
      <c r="P196" s="65" t="b">
        <f>导出!P196=计算!P196</f>
        <v>1</v>
      </c>
      <c r="Q196" s="65" t="b">
        <f>导出!Q196=计算!Q196</f>
        <v>1</v>
      </c>
      <c r="R196" s="65" t="b">
        <f>导出!R196=计算!R196</f>
        <v>1</v>
      </c>
      <c r="S196" s="65" t="b">
        <f>导出!S196=计算!S196</f>
        <v>1</v>
      </c>
      <c r="T196" s="65" t="b">
        <f>导出!T196=计算!T196</f>
        <v>1</v>
      </c>
      <c r="U196" s="65" t="b">
        <f>导出!U196=计算!U196</f>
        <v>1</v>
      </c>
      <c r="V196" s="65" t="b">
        <f>导出!V196=计算!V196</f>
        <v>1</v>
      </c>
      <c r="W196" s="65" t="b">
        <f>导出!W196=计算!W196</f>
        <v>1</v>
      </c>
      <c r="X196" s="65" t="b">
        <f>导出!X196=计算!X196</f>
        <v>1</v>
      </c>
      <c r="Y196" s="65" t="b">
        <f>导出!Y196=计算!Y196</f>
        <v>1</v>
      </c>
      <c r="Z196" s="65" t="b">
        <f>导出!Z196=计算!Z196</f>
        <v>1</v>
      </c>
      <c r="AA196" s="65" t="b">
        <f>导出!AA196=计算!AA196</f>
        <v>0</v>
      </c>
      <c r="AB196" s="65" t="b">
        <f>导出!AB196=计算!AB196</f>
        <v>1</v>
      </c>
      <c r="AC196" s="65" t="b">
        <f>导出!AC196=计算!AC196</f>
        <v>1</v>
      </c>
      <c r="AD196" s="65" t="b">
        <f>导出!AD196=计算!AD196</f>
        <v>1</v>
      </c>
      <c r="AE196" s="65" t="b">
        <f>导出!AE196=计算!AE196</f>
        <v>1</v>
      </c>
      <c r="AF196" s="65" t="b">
        <f>导出!AF196=计算!AF196</f>
        <v>1</v>
      </c>
      <c r="AG196" s="65" t="b">
        <f>导出!AG196=计算!AG196</f>
        <v>1</v>
      </c>
      <c r="AH196" s="65" t="b">
        <f>导出!AH196=计算!AH196</f>
        <v>1</v>
      </c>
      <c r="AI196">
        <v>0</v>
      </c>
      <c r="AJ196" s="3">
        <v>41912.686249999999</v>
      </c>
      <c r="AK196" s="2" t="s">
        <v>1741</v>
      </c>
    </row>
    <row r="197" spans="1:37" x14ac:dyDescent="0.15">
      <c r="A197" s="2" t="s">
        <v>1740</v>
      </c>
      <c r="B197">
        <v>1212</v>
      </c>
      <c r="C197" s="3">
        <v>41821</v>
      </c>
      <c r="D197" s="2" t="s">
        <v>37</v>
      </c>
      <c r="E197" s="2" t="s">
        <v>1739</v>
      </c>
      <c r="F197" s="2" t="s">
        <v>38</v>
      </c>
      <c r="G197" s="2" t="s">
        <v>417</v>
      </c>
      <c r="H197" s="2" t="s">
        <v>418</v>
      </c>
      <c r="I197" s="65" t="b">
        <f>导出!I197=计算!I197</f>
        <v>1</v>
      </c>
      <c r="J197" s="65" t="b">
        <f>导出!J197=计算!J197</f>
        <v>1</v>
      </c>
      <c r="K197" s="65" t="b">
        <f>导出!K197=计算!K197</f>
        <v>1</v>
      </c>
      <c r="L197" s="65" t="b">
        <f>导出!L197=计算!L197</f>
        <v>1</v>
      </c>
      <c r="M197" s="65" t="b">
        <f>导出!M197=计算!M197</f>
        <v>1</v>
      </c>
      <c r="N197" s="65" t="b">
        <f>导出!N197=计算!N197</f>
        <v>1</v>
      </c>
      <c r="O197" s="65" t="b">
        <f>导出!O197=计算!O197</f>
        <v>1</v>
      </c>
      <c r="P197" s="65" t="b">
        <f>导出!P197=计算!P197</f>
        <v>1</v>
      </c>
      <c r="Q197" s="65" t="b">
        <f>导出!Q197=计算!Q197</f>
        <v>1</v>
      </c>
      <c r="R197" s="65" t="b">
        <f>导出!R197=计算!R197</f>
        <v>1</v>
      </c>
      <c r="S197" s="65" t="b">
        <f>导出!S197=计算!S197</f>
        <v>1</v>
      </c>
      <c r="T197" s="65" t="b">
        <f>导出!T197=计算!T197</f>
        <v>1</v>
      </c>
      <c r="U197" s="65" t="b">
        <f>导出!U197=计算!U197</f>
        <v>1</v>
      </c>
      <c r="V197" s="65" t="b">
        <f>导出!V197=计算!V197</f>
        <v>1</v>
      </c>
      <c r="W197" s="65" t="b">
        <f>导出!W197=计算!W197</f>
        <v>1</v>
      </c>
      <c r="X197" s="65" t="b">
        <f>导出!X197=计算!X197</f>
        <v>1</v>
      </c>
      <c r="Y197" s="65" t="b">
        <f>导出!Y197=计算!Y197</f>
        <v>1</v>
      </c>
      <c r="Z197" s="65" t="b">
        <f>导出!Z197=计算!Z197</f>
        <v>1</v>
      </c>
      <c r="AA197" s="65" t="b">
        <f>导出!AA197=计算!AA197</f>
        <v>0</v>
      </c>
      <c r="AB197" s="65" t="b">
        <f>导出!AB197=计算!AB197</f>
        <v>1</v>
      </c>
      <c r="AC197" s="65" t="b">
        <f>导出!AC197=计算!AC197</f>
        <v>1</v>
      </c>
      <c r="AD197" s="65" t="b">
        <f>导出!AD197=计算!AD197</f>
        <v>1</v>
      </c>
      <c r="AE197" s="65" t="b">
        <f>导出!AE197=计算!AE197</f>
        <v>1</v>
      </c>
      <c r="AF197" s="65" t="b">
        <f>导出!AF197=计算!AF197</f>
        <v>1</v>
      </c>
      <c r="AG197" s="65" t="b">
        <f>导出!AG197=计算!AG197</f>
        <v>1</v>
      </c>
      <c r="AH197" s="65" t="b">
        <f>导出!AH197=计算!AH197</f>
        <v>1</v>
      </c>
      <c r="AI197">
        <v>0</v>
      </c>
      <c r="AJ197" s="3">
        <v>41912.6862847222</v>
      </c>
      <c r="AK197" s="2" t="s">
        <v>1738</v>
      </c>
    </row>
    <row r="198" spans="1:37" x14ac:dyDescent="0.15">
      <c r="A198" s="2" t="s">
        <v>1737</v>
      </c>
      <c r="B198">
        <v>304</v>
      </c>
      <c r="C198" s="3">
        <v>41821</v>
      </c>
      <c r="D198" s="2" t="s">
        <v>37</v>
      </c>
      <c r="E198" s="2" t="s">
        <v>1736</v>
      </c>
      <c r="F198" s="2" t="s">
        <v>41</v>
      </c>
      <c r="G198" s="2" t="s">
        <v>443</v>
      </c>
      <c r="H198" s="2" t="s">
        <v>444</v>
      </c>
      <c r="I198" s="65" t="b">
        <f>导出!I198=计算!I198</f>
        <v>1</v>
      </c>
      <c r="J198" s="65" t="b">
        <f>导出!J198=计算!J198</f>
        <v>1</v>
      </c>
      <c r="K198" s="65" t="b">
        <f>导出!K198=计算!K198</f>
        <v>1</v>
      </c>
      <c r="L198" s="65" t="b">
        <f>导出!L198=计算!L198</f>
        <v>1</v>
      </c>
      <c r="M198" s="65" t="b">
        <f>导出!M198=计算!M198</f>
        <v>1</v>
      </c>
      <c r="N198" s="65" t="b">
        <f>导出!N198=计算!N198</f>
        <v>1</v>
      </c>
      <c r="O198" s="65" t="b">
        <f>导出!O198=计算!O198</f>
        <v>1</v>
      </c>
      <c r="P198" s="65" t="b">
        <f>导出!P198=计算!P198</f>
        <v>1</v>
      </c>
      <c r="Q198" s="65" t="b">
        <f>导出!Q198=计算!Q198</f>
        <v>1</v>
      </c>
      <c r="R198" s="65" t="b">
        <f>导出!R198=计算!R198</f>
        <v>1</v>
      </c>
      <c r="S198" s="65" t="b">
        <f>导出!S198=计算!S198</f>
        <v>1</v>
      </c>
      <c r="T198" s="65" t="b">
        <f>导出!T198=计算!T198</f>
        <v>1</v>
      </c>
      <c r="U198" s="65" t="b">
        <f>导出!U198=计算!U198</f>
        <v>1</v>
      </c>
      <c r="V198" s="65" t="b">
        <f>导出!V198=计算!V198</f>
        <v>1</v>
      </c>
      <c r="W198" s="65" t="b">
        <f>导出!W198=计算!W198</f>
        <v>1</v>
      </c>
      <c r="X198" s="65" t="b">
        <f>导出!X198=计算!X198</f>
        <v>1</v>
      </c>
      <c r="Y198" s="65" t="b">
        <f>导出!Y198=计算!Y198</f>
        <v>1</v>
      </c>
      <c r="Z198" s="65" t="b">
        <f>导出!Z198=计算!Z198</f>
        <v>1</v>
      </c>
      <c r="AA198" s="65" t="b">
        <f>导出!AA198=计算!AA198</f>
        <v>0</v>
      </c>
      <c r="AB198" s="65" t="b">
        <f>导出!AB198=计算!AB198</f>
        <v>1</v>
      </c>
      <c r="AC198" s="65" t="b">
        <f>导出!AC198=计算!AC198</f>
        <v>1</v>
      </c>
      <c r="AD198" s="65" t="b">
        <f>导出!AD198=计算!AD198</f>
        <v>1</v>
      </c>
      <c r="AE198" s="65" t="b">
        <f>导出!AE198=计算!AE198</f>
        <v>1</v>
      </c>
      <c r="AF198" s="65" t="b">
        <f>导出!AF198=计算!AF198</f>
        <v>1</v>
      </c>
      <c r="AG198" s="65" t="b">
        <f>导出!AG198=计算!AG198</f>
        <v>1</v>
      </c>
      <c r="AH198" s="65" t="b">
        <f>导出!AH198=计算!AH198</f>
        <v>1</v>
      </c>
      <c r="AI198">
        <v>0</v>
      </c>
      <c r="AJ198" s="3">
        <v>41912.686249999999</v>
      </c>
      <c r="AK198" s="2" t="s">
        <v>1735</v>
      </c>
    </row>
    <row r="199" spans="1:37" x14ac:dyDescent="0.15">
      <c r="A199" s="2" t="s">
        <v>1734</v>
      </c>
      <c r="B199">
        <v>309</v>
      </c>
      <c r="C199" s="3">
        <v>41821</v>
      </c>
      <c r="D199" s="2" t="s">
        <v>37</v>
      </c>
      <c r="E199" s="2" t="s">
        <v>1733</v>
      </c>
      <c r="F199" s="2" t="s">
        <v>41</v>
      </c>
      <c r="G199" s="2" t="s">
        <v>445</v>
      </c>
      <c r="H199" s="2" t="s">
        <v>446</v>
      </c>
      <c r="I199" s="65" t="b">
        <f>导出!I199=计算!I199</f>
        <v>1</v>
      </c>
      <c r="J199" s="65" t="b">
        <f>导出!J199=计算!J199</f>
        <v>1</v>
      </c>
      <c r="K199" s="65" t="b">
        <f>导出!K199=计算!K199</f>
        <v>1</v>
      </c>
      <c r="L199" s="65" t="b">
        <f>导出!L199=计算!L199</f>
        <v>1</v>
      </c>
      <c r="M199" s="65" t="b">
        <f>导出!M199=计算!M199</f>
        <v>1</v>
      </c>
      <c r="N199" s="65" t="b">
        <f>导出!N199=计算!N199</f>
        <v>0</v>
      </c>
      <c r="O199" s="65" t="b">
        <f>导出!O199=计算!O199</f>
        <v>1</v>
      </c>
      <c r="P199" s="65" t="b">
        <f>导出!P199=计算!P199</f>
        <v>1</v>
      </c>
      <c r="Q199" s="65" t="b">
        <f>导出!Q199=计算!Q199</f>
        <v>0</v>
      </c>
      <c r="R199" s="65" t="b">
        <f>导出!R199=计算!R199</f>
        <v>1</v>
      </c>
      <c r="S199" s="65" t="b">
        <f>导出!S199=计算!S199</f>
        <v>1</v>
      </c>
      <c r="T199" s="65" t="b">
        <f>导出!T199=计算!T199</f>
        <v>1</v>
      </c>
      <c r="U199" s="65" t="b">
        <f>导出!U199=计算!U199</f>
        <v>1</v>
      </c>
      <c r="V199" s="65" t="b">
        <f>导出!V199=计算!V199</f>
        <v>1</v>
      </c>
      <c r="W199" s="65" t="b">
        <f>导出!W199=计算!W199</f>
        <v>1</v>
      </c>
      <c r="X199" s="65" t="b">
        <f>导出!X199=计算!X199</f>
        <v>1</v>
      </c>
      <c r="Y199" s="65" t="b">
        <f>导出!Y199=计算!Y199</f>
        <v>1</v>
      </c>
      <c r="Z199" s="65" t="b">
        <f>导出!Z199=计算!Z199</f>
        <v>1</v>
      </c>
      <c r="AA199" s="65" t="b">
        <f>导出!AA199=计算!AA199</f>
        <v>1</v>
      </c>
      <c r="AB199" s="65" t="b">
        <f>导出!AB199=计算!AB199</f>
        <v>1</v>
      </c>
      <c r="AC199" s="65" t="b">
        <f>导出!AC199=计算!AC199</f>
        <v>1</v>
      </c>
      <c r="AD199" s="65" t="b">
        <f>导出!AD199=计算!AD199</f>
        <v>1</v>
      </c>
      <c r="AE199" s="65" t="b">
        <f>导出!AE199=计算!AE199</f>
        <v>1</v>
      </c>
      <c r="AF199" s="65" t="b">
        <f>导出!AF199=计算!AF199</f>
        <v>1</v>
      </c>
      <c r="AG199" s="65" t="b">
        <f>导出!AG199=计算!AG199</f>
        <v>1</v>
      </c>
      <c r="AH199" s="65" t="b">
        <f>导出!AH199=计算!AH199</f>
        <v>1</v>
      </c>
      <c r="AI199">
        <v>0</v>
      </c>
      <c r="AJ199" s="3">
        <v>41912.686249999999</v>
      </c>
      <c r="AK199" s="2" t="s">
        <v>1732</v>
      </c>
    </row>
    <row r="200" spans="1:37" x14ac:dyDescent="0.15">
      <c r="A200" s="2" t="s">
        <v>1731</v>
      </c>
      <c r="B200">
        <v>237</v>
      </c>
      <c r="C200" s="3">
        <v>41821</v>
      </c>
      <c r="D200" s="2" t="s">
        <v>37</v>
      </c>
      <c r="E200" s="2" t="s">
        <v>1730</v>
      </c>
      <c r="F200" s="2" t="s">
        <v>41</v>
      </c>
      <c r="G200" s="2" t="s">
        <v>449</v>
      </c>
      <c r="H200" s="2" t="s">
        <v>450</v>
      </c>
      <c r="I200" s="65" t="b">
        <f>导出!I200=计算!I200</f>
        <v>1</v>
      </c>
      <c r="J200" s="65" t="b">
        <f>导出!J200=计算!J200</f>
        <v>1</v>
      </c>
      <c r="K200" s="65" t="b">
        <f>导出!K200=计算!K200</f>
        <v>1</v>
      </c>
      <c r="L200" s="65" t="b">
        <f>导出!L200=计算!L200</f>
        <v>1</v>
      </c>
      <c r="M200" s="65" t="b">
        <f>导出!M200=计算!M200</f>
        <v>1</v>
      </c>
      <c r="N200" s="65" t="b">
        <f>导出!N200=计算!N200</f>
        <v>1</v>
      </c>
      <c r="O200" s="65" t="b">
        <f>导出!O200=计算!O200</f>
        <v>1</v>
      </c>
      <c r="P200" s="65" t="b">
        <f>导出!P200=计算!P200</f>
        <v>1</v>
      </c>
      <c r="Q200" s="65" t="b">
        <f>导出!Q200=计算!Q200</f>
        <v>1</v>
      </c>
      <c r="R200" s="65" t="b">
        <f>导出!R200=计算!R200</f>
        <v>1</v>
      </c>
      <c r="S200" s="65" t="b">
        <f>导出!S200=计算!S200</f>
        <v>1</v>
      </c>
      <c r="T200" s="65" t="b">
        <f>导出!T200=计算!T200</f>
        <v>1</v>
      </c>
      <c r="U200" s="65" t="b">
        <f>导出!U200=计算!U200</f>
        <v>1</v>
      </c>
      <c r="V200" s="65" t="b">
        <f>导出!V200=计算!V200</f>
        <v>1</v>
      </c>
      <c r="W200" s="65" t="b">
        <f>导出!W200=计算!W200</f>
        <v>1</v>
      </c>
      <c r="X200" s="65" t="b">
        <f>导出!X200=计算!X200</f>
        <v>1</v>
      </c>
      <c r="Y200" s="65" t="b">
        <f>导出!Y200=计算!Y200</f>
        <v>1</v>
      </c>
      <c r="Z200" s="65" t="b">
        <f>导出!Z200=计算!Z200</f>
        <v>1</v>
      </c>
      <c r="AA200" s="65" t="b">
        <f>导出!AA200=计算!AA200</f>
        <v>0</v>
      </c>
      <c r="AB200" s="65" t="b">
        <f>导出!AB200=计算!AB200</f>
        <v>1</v>
      </c>
      <c r="AC200" s="65" t="b">
        <f>导出!AC200=计算!AC200</f>
        <v>1</v>
      </c>
      <c r="AD200" s="65" t="b">
        <f>导出!AD200=计算!AD200</f>
        <v>1</v>
      </c>
      <c r="AE200" s="65" t="b">
        <f>导出!AE200=计算!AE200</f>
        <v>1</v>
      </c>
      <c r="AF200" s="65" t="b">
        <f>导出!AF200=计算!AF200</f>
        <v>1</v>
      </c>
      <c r="AG200" s="65" t="b">
        <f>导出!AG200=计算!AG200</f>
        <v>1</v>
      </c>
      <c r="AH200" s="65" t="b">
        <f>导出!AH200=计算!AH200</f>
        <v>1</v>
      </c>
      <c r="AI200">
        <v>0</v>
      </c>
      <c r="AJ200" s="3">
        <v>41912.6862384259</v>
      </c>
      <c r="AK200" s="2" t="s">
        <v>1729</v>
      </c>
    </row>
    <row r="201" spans="1:37" x14ac:dyDescent="0.15">
      <c r="A201" s="2" t="s">
        <v>1728</v>
      </c>
      <c r="B201">
        <v>258</v>
      </c>
      <c r="C201" s="3">
        <v>41821</v>
      </c>
      <c r="D201" s="2" t="s">
        <v>37</v>
      </c>
      <c r="E201" s="2" t="s">
        <v>1727</v>
      </c>
      <c r="F201" s="2" t="s">
        <v>41</v>
      </c>
      <c r="G201" s="2" t="s">
        <v>451</v>
      </c>
      <c r="H201" s="2" t="s">
        <v>452</v>
      </c>
      <c r="I201" s="65" t="b">
        <f>导出!I201=计算!I201</f>
        <v>1</v>
      </c>
      <c r="J201" s="65" t="b">
        <f>导出!J201=计算!J201</f>
        <v>1</v>
      </c>
      <c r="K201" s="65" t="b">
        <f>导出!K201=计算!K201</f>
        <v>1</v>
      </c>
      <c r="L201" s="65" t="b">
        <f>导出!L201=计算!L201</f>
        <v>1</v>
      </c>
      <c r="M201" s="65" t="b">
        <f>导出!M201=计算!M201</f>
        <v>1</v>
      </c>
      <c r="N201" s="65" t="b">
        <f>导出!N201=计算!N201</f>
        <v>1</v>
      </c>
      <c r="O201" s="65" t="b">
        <f>导出!O201=计算!O201</f>
        <v>1</v>
      </c>
      <c r="P201" s="65" t="b">
        <f>导出!P201=计算!P201</f>
        <v>1</v>
      </c>
      <c r="Q201" s="65" t="b">
        <f>导出!Q201=计算!Q201</f>
        <v>1</v>
      </c>
      <c r="R201" s="65" t="b">
        <f>导出!R201=计算!R201</f>
        <v>1</v>
      </c>
      <c r="S201" s="65" t="b">
        <f>导出!S201=计算!S201</f>
        <v>1</v>
      </c>
      <c r="T201" s="65" t="b">
        <f>导出!T201=计算!T201</f>
        <v>1</v>
      </c>
      <c r="U201" s="65" t="b">
        <f>导出!U201=计算!U201</f>
        <v>1</v>
      </c>
      <c r="V201" s="65" t="b">
        <f>导出!V201=计算!V201</f>
        <v>0</v>
      </c>
      <c r="W201" s="65" t="b">
        <f>导出!W201=计算!W201</f>
        <v>1</v>
      </c>
      <c r="X201" s="65" t="b">
        <f>导出!X201=计算!X201</f>
        <v>1</v>
      </c>
      <c r="Y201" s="65" t="b">
        <f>导出!Y201=计算!Y201</f>
        <v>1</v>
      </c>
      <c r="Z201" s="65" t="b">
        <f>导出!Z201=计算!Z201</f>
        <v>1</v>
      </c>
      <c r="AA201" s="65" t="b">
        <f>导出!AA201=计算!AA201</f>
        <v>1</v>
      </c>
      <c r="AB201" s="65" t="b">
        <f>导出!AB201=计算!AB201</f>
        <v>1</v>
      </c>
      <c r="AC201" s="65" t="b">
        <f>导出!AC201=计算!AC201</f>
        <v>1</v>
      </c>
      <c r="AD201" s="65" t="b">
        <f>导出!AD201=计算!AD201</f>
        <v>1</v>
      </c>
      <c r="AE201" s="65" t="b">
        <f>导出!AE201=计算!AE201</f>
        <v>0</v>
      </c>
      <c r="AF201" s="65" t="b">
        <f>导出!AF201=计算!AF201</f>
        <v>1</v>
      </c>
      <c r="AG201" s="65" t="b">
        <f>导出!AG201=计算!AG201</f>
        <v>1</v>
      </c>
      <c r="AH201" s="65" t="b">
        <f>导出!AH201=计算!AH201</f>
        <v>1</v>
      </c>
      <c r="AI201">
        <v>0</v>
      </c>
      <c r="AJ201" s="3">
        <v>41912.6862384259</v>
      </c>
      <c r="AK201" s="2" t="s">
        <v>1726</v>
      </c>
    </row>
    <row r="202" spans="1:37" x14ac:dyDescent="0.15">
      <c r="A202" s="2" t="s">
        <v>1725</v>
      </c>
      <c r="B202">
        <v>248</v>
      </c>
      <c r="C202" s="3">
        <v>41821</v>
      </c>
      <c r="D202" s="2" t="s">
        <v>37</v>
      </c>
      <c r="E202" s="2" t="s">
        <v>1724</v>
      </c>
      <c r="F202" s="2" t="s">
        <v>41</v>
      </c>
      <c r="G202" s="2" t="s">
        <v>447</v>
      </c>
      <c r="H202" s="2" t="s">
        <v>448</v>
      </c>
      <c r="I202" s="65" t="b">
        <f>导出!I202=计算!I202</f>
        <v>1</v>
      </c>
      <c r="J202" s="65" t="b">
        <f>导出!J202=计算!J202</f>
        <v>1</v>
      </c>
      <c r="K202" s="65" t="b">
        <f>导出!K202=计算!K202</f>
        <v>1</v>
      </c>
      <c r="L202" s="65" t="b">
        <f>导出!L202=计算!L202</f>
        <v>1</v>
      </c>
      <c r="M202" s="65" t="b">
        <f>导出!M202=计算!M202</f>
        <v>1</v>
      </c>
      <c r="N202" s="65" t="b">
        <f>导出!N202=计算!N202</f>
        <v>1</v>
      </c>
      <c r="O202" s="65" t="b">
        <f>导出!O202=计算!O202</f>
        <v>1</v>
      </c>
      <c r="P202" s="65" t="b">
        <f>导出!P202=计算!P202</f>
        <v>1</v>
      </c>
      <c r="Q202" s="65" t="b">
        <f>导出!Q202=计算!Q202</f>
        <v>1</v>
      </c>
      <c r="R202" s="65" t="b">
        <f>导出!R202=计算!R202</f>
        <v>1</v>
      </c>
      <c r="S202" s="65" t="b">
        <f>导出!S202=计算!S202</f>
        <v>1</v>
      </c>
      <c r="T202" s="65" t="b">
        <f>导出!T202=计算!T202</f>
        <v>1</v>
      </c>
      <c r="U202" s="65" t="b">
        <f>导出!U202=计算!U202</f>
        <v>1</v>
      </c>
      <c r="V202" s="65" t="b">
        <f>导出!V202=计算!V202</f>
        <v>0</v>
      </c>
      <c r="W202" s="65" t="b">
        <f>导出!W202=计算!W202</f>
        <v>1</v>
      </c>
      <c r="X202" s="65" t="b">
        <f>导出!X202=计算!X202</f>
        <v>1</v>
      </c>
      <c r="Y202" s="65" t="b">
        <f>导出!Y202=计算!Y202</f>
        <v>1</v>
      </c>
      <c r="Z202" s="65" t="b">
        <f>导出!Z202=计算!Z202</f>
        <v>1</v>
      </c>
      <c r="AA202" s="65" t="b">
        <f>导出!AA202=计算!AA202</f>
        <v>0</v>
      </c>
      <c r="AB202" s="65" t="b">
        <f>导出!AB202=计算!AB202</f>
        <v>1</v>
      </c>
      <c r="AC202" s="65" t="b">
        <f>导出!AC202=计算!AC202</f>
        <v>1</v>
      </c>
      <c r="AD202" s="65" t="b">
        <f>导出!AD202=计算!AD202</f>
        <v>1</v>
      </c>
      <c r="AE202" s="65" t="b">
        <f>导出!AE202=计算!AE202</f>
        <v>1</v>
      </c>
      <c r="AF202" s="65" t="b">
        <f>导出!AF202=计算!AF202</f>
        <v>1</v>
      </c>
      <c r="AG202" s="65" t="b">
        <f>导出!AG202=计算!AG202</f>
        <v>1</v>
      </c>
      <c r="AH202" s="65" t="b">
        <f>导出!AH202=计算!AH202</f>
        <v>1</v>
      </c>
      <c r="AI202">
        <v>0</v>
      </c>
      <c r="AJ202" s="3">
        <v>41912.6862384259</v>
      </c>
      <c r="AK202" s="2" t="s">
        <v>1723</v>
      </c>
    </row>
    <row r="203" spans="1:37" x14ac:dyDescent="0.15">
      <c r="A203" s="2" t="s">
        <v>1722</v>
      </c>
      <c r="B203">
        <v>267</v>
      </c>
      <c r="C203" s="3">
        <v>41821</v>
      </c>
      <c r="D203" s="2" t="s">
        <v>37</v>
      </c>
      <c r="E203" s="2" t="s">
        <v>1721</v>
      </c>
      <c r="F203" s="2" t="s">
        <v>41</v>
      </c>
      <c r="G203" s="2" t="s">
        <v>453</v>
      </c>
      <c r="H203" s="2" t="s">
        <v>454</v>
      </c>
      <c r="I203" s="65" t="b">
        <f>导出!I203=计算!I203</f>
        <v>1</v>
      </c>
      <c r="J203" s="65" t="b">
        <f>导出!J203=计算!J203</f>
        <v>1</v>
      </c>
      <c r="K203" s="65" t="b">
        <f>导出!K203=计算!K203</f>
        <v>1</v>
      </c>
      <c r="L203" s="65" t="b">
        <f>导出!L203=计算!L203</f>
        <v>1</v>
      </c>
      <c r="M203" s="65" t="b">
        <f>导出!M203=计算!M203</f>
        <v>1</v>
      </c>
      <c r="N203" s="65" t="b">
        <f>导出!N203=计算!N203</f>
        <v>1</v>
      </c>
      <c r="O203" s="65" t="b">
        <f>导出!O203=计算!O203</f>
        <v>1</v>
      </c>
      <c r="P203" s="65" t="b">
        <f>导出!P203=计算!P203</f>
        <v>1</v>
      </c>
      <c r="Q203" s="65" t="b">
        <f>导出!Q203=计算!Q203</f>
        <v>1</v>
      </c>
      <c r="R203" s="65" t="b">
        <f>导出!R203=计算!R203</f>
        <v>1</v>
      </c>
      <c r="S203" s="65" t="b">
        <f>导出!S203=计算!S203</f>
        <v>1</v>
      </c>
      <c r="T203" s="65" t="b">
        <f>导出!T203=计算!T203</f>
        <v>1</v>
      </c>
      <c r="U203" s="65" t="b">
        <f>导出!U203=计算!U203</f>
        <v>1</v>
      </c>
      <c r="V203" s="65" t="b">
        <f>导出!V203=计算!V203</f>
        <v>1</v>
      </c>
      <c r="W203" s="65" t="b">
        <f>导出!W203=计算!W203</f>
        <v>1</v>
      </c>
      <c r="X203" s="65" t="b">
        <f>导出!X203=计算!X203</f>
        <v>1</v>
      </c>
      <c r="Y203" s="65" t="b">
        <f>导出!Y203=计算!Y203</f>
        <v>1</v>
      </c>
      <c r="Z203" s="65" t="b">
        <f>导出!Z203=计算!Z203</f>
        <v>1</v>
      </c>
      <c r="AA203" s="65" t="b">
        <f>导出!AA203=计算!AA203</f>
        <v>0</v>
      </c>
      <c r="AB203" s="65" t="b">
        <f>导出!AB203=计算!AB203</f>
        <v>1</v>
      </c>
      <c r="AC203" s="65" t="b">
        <f>导出!AC203=计算!AC203</f>
        <v>1</v>
      </c>
      <c r="AD203" s="65" t="b">
        <f>导出!AD203=计算!AD203</f>
        <v>1</v>
      </c>
      <c r="AE203" s="65" t="b">
        <f>导出!AE203=计算!AE203</f>
        <v>1</v>
      </c>
      <c r="AF203" s="65" t="b">
        <f>导出!AF203=计算!AF203</f>
        <v>1</v>
      </c>
      <c r="AG203" s="65" t="b">
        <f>导出!AG203=计算!AG203</f>
        <v>1</v>
      </c>
      <c r="AH203" s="65" t="b">
        <f>导出!AH203=计算!AH203</f>
        <v>1</v>
      </c>
      <c r="AI203">
        <v>0</v>
      </c>
      <c r="AJ203" s="3">
        <v>41912.686249999999</v>
      </c>
      <c r="AK203" s="2" t="s">
        <v>1720</v>
      </c>
    </row>
    <row r="204" spans="1:37" x14ac:dyDescent="0.15">
      <c r="A204" s="2" t="s">
        <v>1719</v>
      </c>
      <c r="B204">
        <v>276</v>
      </c>
      <c r="C204" s="3">
        <v>41821</v>
      </c>
      <c r="D204" s="2" t="s">
        <v>37</v>
      </c>
      <c r="E204" s="2" t="s">
        <v>1718</v>
      </c>
      <c r="F204" s="2" t="s">
        <v>41</v>
      </c>
      <c r="G204" s="2" t="s">
        <v>455</v>
      </c>
      <c r="H204" s="2" t="s">
        <v>456</v>
      </c>
      <c r="I204" s="65" t="b">
        <f>导出!I204=计算!I204</f>
        <v>1</v>
      </c>
      <c r="J204" s="65" t="b">
        <f>导出!J204=计算!J204</f>
        <v>1</v>
      </c>
      <c r="K204" s="65" t="b">
        <f>导出!K204=计算!K204</f>
        <v>1</v>
      </c>
      <c r="L204" s="65" t="b">
        <f>导出!L204=计算!L204</f>
        <v>1</v>
      </c>
      <c r="M204" s="65" t="b">
        <f>导出!M204=计算!M204</f>
        <v>1</v>
      </c>
      <c r="N204" s="65" t="b">
        <f>导出!N204=计算!N204</f>
        <v>1</v>
      </c>
      <c r="O204" s="65" t="b">
        <f>导出!O204=计算!O204</f>
        <v>1</v>
      </c>
      <c r="P204" s="65" t="b">
        <f>导出!P204=计算!P204</f>
        <v>1</v>
      </c>
      <c r="Q204" s="65" t="b">
        <f>导出!Q204=计算!Q204</f>
        <v>1</v>
      </c>
      <c r="R204" s="65" t="b">
        <f>导出!R204=计算!R204</f>
        <v>1</v>
      </c>
      <c r="S204" s="65" t="b">
        <f>导出!S204=计算!S204</f>
        <v>1</v>
      </c>
      <c r="T204" s="65" t="b">
        <f>导出!T204=计算!T204</f>
        <v>1</v>
      </c>
      <c r="U204" s="65" t="b">
        <f>导出!U204=计算!U204</f>
        <v>1</v>
      </c>
      <c r="V204" s="65" t="b">
        <f>导出!V204=计算!V204</f>
        <v>1</v>
      </c>
      <c r="W204" s="65" t="b">
        <f>导出!W204=计算!W204</f>
        <v>1</v>
      </c>
      <c r="X204" s="65" t="b">
        <f>导出!X204=计算!X204</f>
        <v>1</v>
      </c>
      <c r="Y204" s="65" t="b">
        <f>导出!Y204=计算!Y204</f>
        <v>1</v>
      </c>
      <c r="Z204" s="65" t="b">
        <f>导出!Z204=计算!Z204</f>
        <v>1</v>
      </c>
      <c r="AA204" s="65" t="b">
        <f>导出!AA204=计算!AA204</f>
        <v>0</v>
      </c>
      <c r="AB204" s="65" t="b">
        <f>导出!AB204=计算!AB204</f>
        <v>1</v>
      </c>
      <c r="AC204" s="65" t="b">
        <f>导出!AC204=计算!AC204</f>
        <v>1</v>
      </c>
      <c r="AD204" s="65" t="b">
        <f>导出!AD204=计算!AD204</f>
        <v>1</v>
      </c>
      <c r="AE204" s="65" t="b">
        <f>导出!AE204=计算!AE204</f>
        <v>1</v>
      </c>
      <c r="AF204" s="65" t="b">
        <f>导出!AF204=计算!AF204</f>
        <v>1</v>
      </c>
      <c r="AG204" s="65" t="b">
        <f>导出!AG204=计算!AG204</f>
        <v>1</v>
      </c>
      <c r="AH204" s="65" t="b">
        <f>导出!AH204=计算!AH204</f>
        <v>1</v>
      </c>
      <c r="AI204">
        <v>0</v>
      </c>
      <c r="AJ204" s="3">
        <v>41912.686249999999</v>
      </c>
      <c r="AK204" s="2" t="s">
        <v>1717</v>
      </c>
    </row>
    <row r="205" spans="1:37" x14ac:dyDescent="0.15">
      <c r="A205" s="2" t="s">
        <v>1716</v>
      </c>
      <c r="B205">
        <v>287</v>
      </c>
      <c r="C205" s="3">
        <v>41821</v>
      </c>
      <c r="D205" s="2" t="s">
        <v>37</v>
      </c>
      <c r="E205" s="2" t="s">
        <v>1715</v>
      </c>
      <c r="F205" s="2" t="s">
        <v>41</v>
      </c>
      <c r="G205" s="2" t="s">
        <v>391</v>
      </c>
      <c r="H205" s="2" t="s">
        <v>392</v>
      </c>
      <c r="I205" s="65" t="b">
        <f>导出!I205=计算!I205</f>
        <v>1</v>
      </c>
      <c r="J205" s="65" t="b">
        <f>导出!J205=计算!J205</f>
        <v>1</v>
      </c>
      <c r="K205" s="65" t="b">
        <f>导出!K205=计算!K205</f>
        <v>1</v>
      </c>
      <c r="L205" s="65" t="b">
        <f>导出!L205=计算!L205</f>
        <v>1</v>
      </c>
      <c r="M205" s="65" t="b">
        <f>导出!M205=计算!M205</f>
        <v>1</v>
      </c>
      <c r="N205" s="65" t="b">
        <f>导出!N205=计算!N205</f>
        <v>1</v>
      </c>
      <c r="O205" s="65" t="b">
        <f>导出!O205=计算!O205</f>
        <v>1</v>
      </c>
      <c r="P205" s="65" t="b">
        <f>导出!P205=计算!P205</f>
        <v>1</v>
      </c>
      <c r="Q205" s="65" t="b">
        <f>导出!Q205=计算!Q205</f>
        <v>1</v>
      </c>
      <c r="R205" s="65" t="b">
        <f>导出!R205=计算!R205</f>
        <v>1</v>
      </c>
      <c r="S205" s="65" t="b">
        <f>导出!S205=计算!S205</f>
        <v>1</v>
      </c>
      <c r="T205" s="65" t="b">
        <f>导出!T205=计算!T205</f>
        <v>1</v>
      </c>
      <c r="U205" s="65" t="b">
        <f>导出!U205=计算!U205</f>
        <v>1</v>
      </c>
      <c r="V205" s="65" t="b">
        <f>导出!V205=计算!V205</f>
        <v>1</v>
      </c>
      <c r="W205" s="65" t="b">
        <f>导出!W205=计算!W205</f>
        <v>1</v>
      </c>
      <c r="X205" s="65" t="b">
        <f>导出!X205=计算!X205</f>
        <v>1</v>
      </c>
      <c r="Y205" s="65" t="b">
        <f>导出!Y205=计算!Y205</f>
        <v>1</v>
      </c>
      <c r="Z205" s="65" t="b">
        <f>导出!Z205=计算!Z205</f>
        <v>1</v>
      </c>
      <c r="AA205" s="65" t="b">
        <f>导出!AA205=计算!AA205</f>
        <v>0</v>
      </c>
      <c r="AB205" s="65" t="b">
        <f>导出!AB205=计算!AB205</f>
        <v>1</v>
      </c>
      <c r="AC205" s="65" t="b">
        <f>导出!AC205=计算!AC205</f>
        <v>1</v>
      </c>
      <c r="AD205" s="65" t="b">
        <f>导出!AD205=计算!AD205</f>
        <v>1</v>
      </c>
      <c r="AE205" s="65" t="b">
        <f>导出!AE205=计算!AE205</f>
        <v>1</v>
      </c>
      <c r="AF205" s="65" t="b">
        <f>导出!AF205=计算!AF205</f>
        <v>1</v>
      </c>
      <c r="AG205" s="65" t="b">
        <f>导出!AG205=计算!AG205</f>
        <v>1</v>
      </c>
      <c r="AH205" s="65" t="b">
        <f>导出!AH205=计算!AH205</f>
        <v>1</v>
      </c>
      <c r="AI205">
        <v>0</v>
      </c>
      <c r="AJ205" s="3">
        <v>41912.686249999999</v>
      </c>
      <c r="AK205" s="2" t="s">
        <v>1714</v>
      </c>
    </row>
    <row r="206" spans="1:37" x14ac:dyDescent="0.15">
      <c r="A206" s="2" t="s">
        <v>1713</v>
      </c>
      <c r="B206">
        <v>281</v>
      </c>
      <c r="C206" s="3">
        <v>41821</v>
      </c>
      <c r="D206" s="2" t="s">
        <v>37</v>
      </c>
      <c r="E206" s="2" t="s">
        <v>1712</v>
      </c>
      <c r="F206" s="2" t="s">
        <v>41</v>
      </c>
      <c r="G206" s="2" t="s">
        <v>457</v>
      </c>
      <c r="H206" s="2" t="s">
        <v>458</v>
      </c>
      <c r="I206" s="65" t="b">
        <f>导出!I206=计算!I206</f>
        <v>1</v>
      </c>
      <c r="J206" s="65" t="b">
        <f>导出!J206=计算!J206</f>
        <v>1</v>
      </c>
      <c r="K206" s="65" t="b">
        <f>导出!K206=计算!K206</f>
        <v>1</v>
      </c>
      <c r="L206" s="65" t="b">
        <f>导出!L206=计算!L206</f>
        <v>1</v>
      </c>
      <c r="M206" s="65" t="b">
        <f>导出!M206=计算!M206</f>
        <v>1</v>
      </c>
      <c r="N206" s="65" t="b">
        <f>导出!N206=计算!N206</f>
        <v>1</v>
      </c>
      <c r="O206" s="65" t="b">
        <f>导出!O206=计算!O206</f>
        <v>1</v>
      </c>
      <c r="P206" s="65" t="b">
        <f>导出!P206=计算!P206</f>
        <v>1</v>
      </c>
      <c r="Q206" s="65" t="b">
        <f>导出!Q206=计算!Q206</f>
        <v>1</v>
      </c>
      <c r="R206" s="65" t="b">
        <f>导出!R206=计算!R206</f>
        <v>1</v>
      </c>
      <c r="S206" s="65" t="b">
        <f>导出!S206=计算!S206</f>
        <v>1</v>
      </c>
      <c r="T206" s="65" t="b">
        <f>导出!T206=计算!T206</f>
        <v>1</v>
      </c>
      <c r="U206" s="65" t="b">
        <f>导出!U206=计算!U206</f>
        <v>1</v>
      </c>
      <c r="V206" s="65" t="b">
        <f>导出!V206=计算!V206</f>
        <v>1</v>
      </c>
      <c r="W206" s="65" t="b">
        <f>导出!W206=计算!W206</f>
        <v>1</v>
      </c>
      <c r="X206" s="65" t="b">
        <f>导出!X206=计算!X206</f>
        <v>1</v>
      </c>
      <c r="Y206" s="65" t="b">
        <f>导出!Y206=计算!Y206</f>
        <v>1</v>
      </c>
      <c r="Z206" s="65" t="b">
        <f>导出!Z206=计算!Z206</f>
        <v>1</v>
      </c>
      <c r="AA206" s="65" t="b">
        <f>导出!AA206=计算!AA206</f>
        <v>0</v>
      </c>
      <c r="AB206" s="65" t="b">
        <f>导出!AB206=计算!AB206</f>
        <v>1</v>
      </c>
      <c r="AC206" s="65" t="b">
        <f>导出!AC206=计算!AC206</f>
        <v>1</v>
      </c>
      <c r="AD206" s="65" t="b">
        <f>导出!AD206=计算!AD206</f>
        <v>1</v>
      </c>
      <c r="AE206" s="65" t="b">
        <f>导出!AE206=计算!AE206</f>
        <v>1</v>
      </c>
      <c r="AF206" s="65" t="b">
        <f>导出!AF206=计算!AF206</f>
        <v>1</v>
      </c>
      <c r="AG206" s="65" t="b">
        <f>导出!AG206=计算!AG206</f>
        <v>1</v>
      </c>
      <c r="AH206" s="65" t="b">
        <f>导出!AH206=计算!AH206</f>
        <v>1</v>
      </c>
      <c r="AI206">
        <v>0</v>
      </c>
      <c r="AJ206" s="3">
        <v>41912.686249999999</v>
      </c>
      <c r="AK206" s="2" t="s">
        <v>1711</v>
      </c>
    </row>
    <row r="207" spans="1:37" x14ac:dyDescent="0.15">
      <c r="A207" s="2" t="s">
        <v>1710</v>
      </c>
      <c r="B207">
        <v>294</v>
      </c>
      <c r="C207" s="3">
        <v>41821</v>
      </c>
      <c r="D207" s="2" t="s">
        <v>37</v>
      </c>
      <c r="E207" s="2" t="s">
        <v>1709</v>
      </c>
      <c r="F207" s="2" t="s">
        <v>41</v>
      </c>
      <c r="G207" s="2" t="s">
        <v>395</v>
      </c>
      <c r="H207" s="2" t="s">
        <v>396</v>
      </c>
      <c r="I207" s="65" t="b">
        <f>导出!I207=计算!I207</f>
        <v>1</v>
      </c>
      <c r="J207" s="65" t="b">
        <f>导出!J207=计算!J207</f>
        <v>1</v>
      </c>
      <c r="K207" s="65" t="b">
        <f>导出!K207=计算!K207</f>
        <v>1</v>
      </c>
      <c r="L207" s="65" t="b">
        <f>导出!L207=计算!L207</f>
        <v>1</v>
      </c>
      <c r="M207" s="65" t="b">
        <f>导出!M207=计算!M207</f>
        <v>1</v>
      </c>
      <c r="N207" s="65" t="b">
        <f>导出!N207=计算!N207</f>
        <v>0</v>
      </c>
      <c r="O207" s="65" t="b">
        <f>导出!O207=计算!O207</f>
        <v>1</v>
      </c>
      <c r="P207" s="65" t="b">
        <f>导出!P207=计算!P207</f>
        <v>1</v>
      </c>
      <c r="Q207" s="65" t="b">
        <f>导出!Q207=计算!Q207</f>
        <v>0</v>
      </c>
      <c r="R207" s="65" t="b">
        <f>导出!R207=计算!R207</f>
        <v>1</v>
      </c>
      <c r="S207" s="65" t="b">
        <f>导出!S207=计算!S207</f>
        <v>1</v>
      </c>
      <c r="T207" s="65" t="b">
        <f>导出!T207=计算!T207</f>
        <v>1</v>
      </c>
      <c r="U207" s="65" t="b">
        <f>导出!U207=计算!U207</f>
        <v>1</v>
      </c>
      <c r="V207" s="65" t="b">
        <f>导出!V207=计算!V207</f>
        <v>0</v>
      </c>
      <c r="W207" s="65" t="b">
        <f>导出!W207=计算!W207</f>
        <v>1</v>
      </c>
      <c r="X207" s="65" t="b">
        <f>导出!X207=计算!X207</f>
        <v>1</v>
      </c>
      <c r="Y207" s="65" t="b">
        <f>导出!Y207=计算!Y207</f>
        <v>1</v>
      </c>
      <c r="Z207" s="65" t="b">
        <f>导出!Z207=计算!Z207</f>
        <v>1</v>
      </c>
      <c r="AA207" s="65" t="b">
        <f>导出!AA207=计算!AA207</f>
        <v>0</v>
      </c>
      <c r="AB207" s="65" t="b">
        <f>导出!AB207=计算!AB207</f>
        <v>0</v>
      </c>
      <c r="AC207" s="65" t="b">
        <f>导出!AC207=计算!AC207</f>
        <v>1</v>
      </c>
      <c r="AD207" s="65" t="b">
        <f>导出!AD207=计算!AD207</f>
        <v>1</v>
      </c>
      <c r="AE207" s="65" t="b">
        <f>导出!AE207=计算!AE207</f>
        <v>0</v>
      </c>
      <c r="AF207" s="65" t="b">
        <f>导出!AF207=计算!AF207</f>
        <v>1</v>
      </c>
      <c r="AG207" s="65" t="b">
        <f>导出!AG207=计算!AG207</f>
        <v>1</v>
      </c>
      <c r="AH207" s="65" t="b">
        <f>导出!AH207=计算!AH207</f>
        <v>1</v>
      </c>
      <c r="AI207">
        <v>0</v>
      </c>
      <c r="AJ207" s="3">
        <v>41912.686249999999</v>
      </c>
      <c r="AK207" s="2" t="s">
        <v>1708</v>
      </c>
    </row>
    <row r="208" spans="1:37" x14ac:dyDescent="0.15">
      <c r="A208" s="2" t="s">
        <v>1707</v>
      </c>
      <c r="B208">
        <v>299</v>
      </c>
      <c r="C208" s="3">
        <v>41821</v>
      </c>
      <c r="D208" s="2" t="s">
        <v>37</v>
      </c>
      <c r="E208" s="2" t="s">
        <v>1706</v>
      </c>
      <c r="F208" s="2" t="s">
        <v>41</v>
      </c>
      <c r="G208" s="2" t="s">
        <v>393</v>
      </c>
      <c r="H208" s="2" t="s">
        <v>394</v>
      </c>
      <c r="I208" s="65" t="b">
        <f>导出!I208=计算!I208</f>
        <v>1</v>
      </c>
      <c r="J208" s="65" t="b">
        <f>导出!J208=计算!J208</f>
        <v>1</v>
      </c>
      <c r="K208" s="65" t="b">
        <f>导出!K208=计算!K208</f>
        <v>1</v>
      </c>
      <c r="L208" s="65" t="b">
        <f>导出!L208=计算!L208</f>
        <v>1</v>
      </c>
      <c r="M208" s="65" t="b">
        <f>导出!M208=计算!M208</f>
        <v>1</v>
      </c>
      <c r="N208" s="65" t="b">
        <f>导出!N208=计算!N208</f>
        <v>1</v>
      </c>
      <c r="O208" s="65" t="b">
        <f>导出!O208=计算!O208</f>
        <v>1</v>
      </c>
      <c r="P208" s="65" t="b">
        <f>导出!P208=计算!P208</f>
        <v>1</v>
      </c>
      <c r="Q208" s="65" t="b">
        <f>导出!Q208=计算!Q208</f>
        <v>1</v>
      </c>
      <c r="R208" s="65" t="b">
        <f>导出!R208=计算!R208</f>
        <v>1</v>
      </c>
      <c r="S208" s="65" t="b">
        <f>导出!S208=计算!S208</f>
        <v>1</v>
      </c>
      <c r="T208" s="65" t="b">
        <f>导出!T208=计算!T208</f>
        <v>1</v>
      </c>
      <c r="U208" s="65" t="b">
        <f>导出!U208=计算!U208</f>
        <v>1</v>
      </c>
      <c r="V208" s="65" t="b">
        <f>导出!V208=计算!V208</f>
        <v>0</v>
      </c>
      <c r="W208" s="65" t="b">
        <f>导出!W208=计算!W208</f>
        <v>1</v>
      </c>
      <c r="X208" s="65" t="b">
        <f>导出!X208=计算!X208</f>
        <v>1</v>
      </c>
      <c r="Y208" s="65" t="b">
        <f>导出!Y208=计算!Y208</f>
        <v>1</v>
      </c>
      <c r="Z208" s="65" t="b">
        <f>导出!Z208=计算!Z208</f>
        <v>1</v>
      </c>
      <c r="AA208" s="65" t="b">
        <f>导出!AA208=计算!AA208</f>
        <v>0</v>
      </c>
      <c r="AB208" s="65" t="b">
        <f>导出!AB208=计算!AB208</f>
        <v>1</v>
      </c>
      <c r="AC208" s="65" t="b">
        <f>导出!AC208=计算!AC208</f>
        <v>1</v>
      </c>
      <c r="AD208" s="65" t="b">
        <f>导出!AD208=计算!AD208</f>
        <v>1</v>
      </c>
      <c r="AE208" s="65" t="b">
        <f>导出!AE208=计算!AE208</f>
        <v>1</v>
      </c>
      <c r="AF208" s="65" t="b">
        <f>导出!AF208=计算!AF208</f>
        <v>1</v>
      </c>
      <c r="AG208" s="65" t="b">
        <f>导出!AG208=计算!AG208</f>
        <v>1</v>
      </c>
      <c r="AH208" s="65" t="b">
        <f>导出!AH208=计算!AH208</f>
        <v>1</v>
      </c>
      <c r="AI208">
        <v>0</v>
      </c>
      <c r="AJ208" s="3">
        <v>41912.686249999999</v>
      </c>
      <c r="AK208" s="2" t="s">
        <v>1705</v>
      </c>
    </row>
    <row r="209" spans="1:37" x14ac:dyDescent="0.15">
      <c r="A209" s="2" t="s">
        <v>1704</v>
      </c>
      <c r="B209">
        <v>1214</v>
      </c>
      <c r="C209" s="3">
        <v>41821</v>
      </c>
      <c r="D209" s="2" t="s">
        <v>37</v>
      </c>
      <c r="E209" s="2" t="s">
        <v>1703</v>
      </c>
      <c r="F209" s="2" t="s">
        <v>38</v>
      </c>
      <c r="G209" s="2" t="s">
        <v>441</v>
      </c>
      <c r="H209" s="2" t="s">
        <v>442</v>
      </c>
      <c r="I209" s="65" t="b">
        <f>导出!I209=计算!I209</f>
        <v>1</v>
      </c>
      <c r="J209" s="65" t="b">
        <f>导出!J209=计算!J209</f>
        <v>1</v>
      </c>
      <c r="K209" s="65" t="b">
        <f>导出!K209=计算!K209</f>
        <v>1</v>
      </c>
      <c r="L209" s="65" t="b">
        <f>导出!L209=计算!L209</f>
        <v>1</v>
      </c>
      <c r="M209" s="65" t="b">
        <f>导出!M209=计算!M209</f>
        <v>1</v>
      </c>
      <c r="N209" s="65" t="b">
        <f>导出!N209=计算!N209</f>
        <v>1</v>
      </c>
      <c r="O209" s="65" t="b">
        <f>导出!O209=计算!O209</f>
        <v>1</v>
      </c>
      <c r="P209" s="65" t="b">
        <f>导出!P209=计算!P209</f>
        <v>1</v>
      </c>
      <c r="Q209" s="65" t="b">
        <f>导出!Q209=计算!Q209</f>
        <v>1</v>
      </c>
      <c r="R209" s="65" t="b">
        <f>导出!R209=计算!R209</f>
        <v>1</v>
      </c>
      <c r="S209" s="65" t="b">
        <f>导出!S209=计算!S209</f>
        <v>1</v>
      </c>
      <c r="T209" s="65" t="b">
        <f>导出!T209=计算!T209</f>
        <v>1</v>
      </c>
      <c r="U209" s="65" t="b">
        <f>导出!U209=计算!U209</f>
        <v>1</v>
      </c>
      <c r="V209" s="65" t="b">
        <f>导出!V209=计算!V209</f>
        <v>1</v>
      </c>
      <c r="W209" s="65" t="b">
        <f>导出!W209=计算!W209</f>
        <v>1</v>
      </c>
      <c r="X209" s="65" t="b">
        <f>导出!X209=计算!X209</f>
        <v>1</v>
      </c>
      <c r="Y209" s="65" t="b">
        <f>导出!Y209=计算!Y209</f>
        <v>1</v>
      </c>
      <c r="Z209" s="65" t="b">
        <f>导出!Z209=计算!Z209</f>
        <v>1</v>
      </c>
      <c r="AA209" s="65" t="b">
        <f>导出!AA209=计算!AA209</f>
        <v>0</v>
      </c>
      <c r="AB209" s="65" t="b">
        <f>导出!AB209=计算!AB209</f>
        <v>1</v>
      </c>
      <c r="AC209" s="65" t="b">
        <f>导出!AC209=计算!AC209</f>
        <v>1</v>
      </c>
      <c r="AD209" s="65" t="b">
        <f>导出!AD209=计算!AD209</f>
        <v>1</v>
      </c>
      <c r="AE209" s="65" t="b">
        <f>导出!AE209=计算!AE209</f>
        <v>1</v>
      </c>
      <c r="AF209" s="65" t="b">
        <f>导出!AF209=计算!AF209</f>
        <v>1</v>
      </c>
      <c r="AG209" s="65" t="b">
        <f>导出!AG209=计算!AG209</f>
        <v>1</v>
      </c>
      <c r="AH209" s="65" t="b">
        <f>导出!AH209=计算!AH209</f>
        <v>1</v>
      </c>
      <c r="AI209">
        <v>0</v>
      </c>
      <c r="AJ209" s="3">
        <v>41912.6862847222</v>
      </c>
      <c r="AK209" s="2" t="s">
        <v>1702</v>
      </c>
    </row>
    <row r="210" spans="1:37" x14ac:dyDescent="0.15">
      <c r="A210" s="2" t="s">
        <v>1701</v>
      </c>
      <c r="B210">
        <v>307</v>
      </c>
      <c r="C210" s="3">
        <v>41821</v>
      </c>
      <c r="D210" s="2" t="s">
        <v>37</v>
      </c>
      <c r="E210" s="2" t="s">
        <v>1700</v>
      </c>
      <c r="F210" s="2" t="s">
        <v>41</v>
      </c>
      <c r="G210" s="2" t="s">
        <v>399</v>
      </c>
      <c r="H210" s="2" t="s">
        <v>400</v>
      </c>
      <c r="I210" s="65" t="b">
        <f>导出!I210=计算!I210</f>
        <v>1</v>
      </c>
      <c r="J210" s="65" t="b">
        <f>导出!J210=计算!J210</f>
        <v>1</v>
      </c>
      <c r="K210" s="65" t="b">
        <f>导出!K210=计算!K210</f>
        <v>1</v>
      </c>
      <c r="L210" s="65" t="b">
        <f>导出!L210=计算!L210</f>
        <v>1</v>
      </c>
      <c r="M210" s="65" t="b">
        <f>导出!M210=计算!M210</f>
        <v>1</v>
      </c>
      <c r="N210" s="65" t="b">
        <f>导出!N210=计算!N210</f>
        <v>1</v>
      </c>
      <c r="O210" s="65" t="b">
        <f>导出!O210=计算!O210</f>
        <v>1</v>
      </c>
      <c r="P210" s="65" t="b">
        <f>导出!P210=计算!P210</f>
        <v>1</v>
      </c>
      <c r="Q210" s="65" t="b">
        <f>导出!Q210=计算!Q210</f>
        <v>1</v>
      </c>
      <c r="R210" s="65" t="b">
        <f>导出!R210=计算!R210</f>
        <v>1</v>
      </c>
      <c r="S210" s="65" t="b">
        <f>导出!S210=计算!S210</f>
        <v>1</v>
      </c>
      <c r="T210" s="65" t="b">
        <f>导出!T210=计算!T210</f>
        <v>1</v>
      </c>
      <c r="U210" s="65" t="b">
        <f>导出!U210=计算!U210</f>
        <v>1</v>
      </c>
      <c r="V210" s="65" t="b">
        <f>导出!V210=计算!V210</f>
        <v>0</v>
      </c>
      <c r="W210" s="65" t="b">
        <f>导出!W210=计算!W210</f>
        <v>1</v>
      </c>
      <c r="X210" s="65" t="b">
        <f>导出!X210=计算!X210</f>
        <v>1</v>
      </c>
      <c r="Y210" s="65" t="b">
        <f>导出!Y210=计算!Y210</f>
        <v>1</v>
      </c>
      <c r="Z210" s="65" t="b">
        <f>导出!Z210=计算!Z210</f>
        <v>1</v>
      </c>
      <c r="AA210" s="65" t="b">
        <f>导出!AA210=计算!AA210</f>
        <v>0</v>
      </c>
      <c r="AB210" s="65" t="b">
        <f>导出!AB210=计算!AB210</f>
        <v>1</v>
      </c>
      <c r="AC210" s="65" t="b">
        <f>导出!AC210=计算!AC210</f>
        <v>1</v>
      </c>
      <c r="AD210" s="65" t="b">
        <f>导出!AD210=计算!AD210</f>
        <v>1</v>
      </c>
      <c r="AE210" s="65" t="b">
        <f>导出!AE210=计算!AE210</f>
        <v>1</v>
      </c>
      <c r="AF210" s="65" t="b">
        <f>导出!AF210=计算!AF210</f>
        <v>1</v>
      </c>
      <c r="AG210" s="65" t="b">
        <f>导出!AG210=计算!AG210</f>
        <v>1</v>
      </c>
      <c r="AH210" s="65" t="b">
        <f>导出!AH210=计算!AH210</f>
        <v>1</v>
      </c>
      <c r="AI210">
        <v>0</v>
      </c>
      <c r="AJ210" s="3">
        <v>41912.686249999999</v>
      </c>
      <c r="AK210" s="2" t="s">
        <v>1699</v>
      </c>
    </row>
    <row r="211" spans="1:37" x14ac:dyDescent="0.15">
      <c r="A211" s="2" t="s">
        <v>1698</v>
      </c>
      <c r="B211">
        <v>239</v>
      </c>
      <c r="C211" s="3">
        <v>41821</v>
      </c>
      <c r="D211" s="2" t="s">
        <v>37</v>
      </c>
      <c r="E211" s="2" t="s">
        <v>1697</v>
      </c>
      <c r="F211" s="2" t="s">
        <v>41</v>
      </c>
      <c r="G211" s="2" t="s">
        <v>401</v>
      </c>
      <c r="H211" s="2" t="s">
        <v>402</v>
      </c>
      <c r="I211" s="65" t="b">
        <f>导出!I211=计算!I211</f>
        <v>1</v>
      </c>
      <c r="J211" s="65" t="b">
        <f>导出!J211=计算!J211</f>
        <v>1</v>
      </c>
      <c r="K211" s="65" t="b">
        <f>导出!K211=计算!K211</f>
        <v>1</v>
      </c>
      <c r="L211" s="65" t="b">
        <f>导出!L211=计算!L211</f>
        <v>1</v>
      </c>
      <c r="M211" s="65" t="b">
        <f>导出!M211=计算!M211</f>
        <v>1</v>
      </c>
      <c r="N211" s="65" t="b">
        <f>导出!N211=计算!N211</f>
        <v>1</v>
      </c>
      <c r="O211" s="65" t="b">
        <f>导出!O211=计算!O211</f>
        <v>1</v>
      </c>
      <c r="P211" s="65" t="b">
        <f>导出!P211=计算!P211</f>
        <v>1</v>
      </c>
      <c r="Q211" s="65" t="b">
        <f>导出!Q211=计算!Q211</f>
        <v>1</v>
      </c>
      <c r="R211" s="65" t="b">
        <f>导出!R211=计算!R211</f>
        <v>1</v>
      </c>
      <c r="S211" s="65" t="b">
        <f>导出!S211=计算!S211</f>
        <v>1</v>
      </c>
      <c r="T211" s="65" t="b">
        <f>导出!T211=计算!T211</f>
        <v>1</v>
      </c>
      <c r="U211" s="65" t="b">
        <f>导出!U211=计算!U211</f>
        <v>1</v>
      </c>
      <c r="V211" s="65" t="b">
        <f>导出!V211=计算!V211</f>
        <v>1</v>
      </c>
      <c r="W211" s="65" t="b">
        <f>导出!W211=计算!W211</f>
        <v>1</v>
      </c>
      <c r="X211" s="65" t="b">
        <f>导出!X211=计算!X211</f>
        <v>1</v>
      </c>
      <c r="Y211" s="65" t="b">
        <f>导出!Y211=计算!Y211</f>
        <v>1</v>
      </c>
      <c r="Z211" s="65" t="b">
        <f>导出!Z211=计算!Z211</f>
        <v>1</v>
      </c>
      <c r="AA211" s="65" t="b">
        <f>导出!AA211=计算!AA211</f>
        <v>1</v>
      </c>
      <c r="AB211" s="65" t="b">
        <f>导出!AB211=计算!AB211</f>
        <v>1</v>
      </c>
      <c r="AC211" s="65" t="b">
        <f>导出!AC211=计算!AC211</f>
        <v>1</v>
      </c>
      <c r="AD211" s="65" t="b">
        <f>导出!AD211=计算!AD211</f>
        <v>1</v>
      </c>
      <c r="AE211" s="65" t="b">
        <f>导出!AE211=计算!AE211</f>
        <v>1</v>
      </c>
      <c r="AF211" s="65" t="b">
        <f>导出!AF211=计算!AF211</f>
        <v>1</v>
      </c>
      <c r="AG211" s="65" t="b">
        <f>导出!AG211=计算!AG211</f>
        <v>1</v>
      </c>
      <c r="AH211" s="65" t="b">
        <f>导出!AH211=计算!AH211</f>
        <v>1</v>
      </c>
      <c r="AI211">
        <v>0</v>
      </c>
      <c r="AJ211" s="3">
        <v>41912.6862384259</v>
      </c>
      <c r="AK211" s="2" t="s">
        <v>1696</v>
      </c>
    </row>
    <row r="212" spans="1:37" x14ac:dyDescent="0.15">
      <c r="A212" s="2" t="s">
        <v>1695</v>
      </c>
      <c r="B212">
        <v>1209</v>
      </c>
      <c r="C212" s="3">
        <v>41837</v>
      </c>
      <c r="D212" s="2" t="s">
        <v>37</v>
      </c>
      <c r="E212" s="2" t="s">
        <v>1694</v>
      </c>
      <c r="F212" s="2" t="s">
        <v>38</v>
      </c>
      <c r="G212" s="2" t="s">
        <v>459</v>
      </c>
      <c r="H212" s="2" t="s">
        <v>460</v>
      </c>
      <c r="I212" s="65" t="b">
        <f>导出!I212=计算!I212</f>
        <v>1</v>
      </c>
      <c r="J212" s="65" t="b">
        <f>导出!J212=计算!J212</f>
        <v>1</v>
      </c>
      <c r="K212" s="65" t="b">
        <f>导出!K212=计算!K212</f>
        <v>1</v>
      </c>
      <c r="L212" s="65" t="b">
        <f>导出!L212=计算!L212</f>
        <v>1</v>
      </c>
      <c r="M212" s="65" t="b">
        <f>导出!M212=计算!M212</f>
        <v>1</v>
      </c>
      <c r="N212" s="65" t="b">
        <f>导出!N212=计算!N212</f>
        <v>1</v>
      </c>
      <c r="O212" s="65" t="b">
        <f>导出!O212=计算!O212</f>
        <v>1</v>
      </c>
      <c r="P212" s="65" t="b">
        <f>导出!P212=计算!P212</f>
        <v>1</v>
      </c>
      <c r="Q212" s="65" t="b">
        <f>导出!Q212=计算!Q212</f>
        <v>1</v>
      </c>
      <c r="R212" s="65" t="b">
        <f>导出!R212=计算!R212</f>
        <v>1</v>
      </c>
      <c r="S212" s="65" t="b">
        <f>导出!S212=计算!S212</f>
        <v>1</v>
      </c>
      <c r="T212" s="65" t="b">
        <f>导出!T212=计算!T212</f>
        <v>1</v>
      </c>
      <c r="U212" s="65" t="b">
        <f>导出!U212=计算!U212</f>
        <v>1</v>
      </c>
      <c r="V212" s="65" t="b">
        <f>导出!V212=计算!V212</f>
        <v>1</v>
      </c>
      <c r="W212" s="65" t="b">
        <f>导出!W212=计算!W212</f>
        <v>1</v>
      </c>
      <c r="X212" s="65" t="b">
        <f>导出!X212=计算!X212</f>
        <v>1</v>
      </c>
      <c r="Y212" s="65" t="b">
        <f>导出!Y212=计算!Y212</f>
        <v>1</v>
      </c>
      <c r="Z212" s="65" t="b">
        <f>导出!Z212=计算!Z212</f>
        <v>1</v>
      </c>
      <c r="AA212" s="65" t="b">
        <f>导出!AA212=计算!AA212</f>
        <v>0</v>
      </c>
      <c r="AB212" s="65" t="b">
        <f>导出!AB212=计算!AB212</f>
        <v>1</v>
      </c>
      <c r="AC212" s="65" t="b">
        <f>导出!AC212=计算!AC212</f>
        <v>1</v>
      </c>
      <c r="AD212" s="65" t="b">
        <f>导出!AD212=计算!AD212</f>
        <v>1</v>
      </c>
      <c r="AE212" s="65" t="b">
        <f>导出!AE212=计算!AE212</f>
        <v>1</v>
      </c>
      <c r="AF212" s="65" t="b">
        <f>导出!AF212=计算!AF212</f>
        <v>1</v>
      </c>
      <c r="AG212" s="65" t="b">
        <f>导出!AG212=计算!AG212</f>
        <v>1</v>
      </c>
      <c r="AH212" s="65" t="b">
        <f>导出!AH212=计算!AH212</f>
        <v>1</v>
      </c>
      <c r="AI212">
        <v>0</v>
      </c>
      <c r="AJ212" s="3">
        <v>41912.6862847222</v>
      </c>
      <c r="AK212" s="2" t="s">
        <v>1693</v>
      </c>
    </row>
    <row r="213" spans="1:37" x14ac:dyDescent="0.15">
      <c r="A213" s="2" t="s">
        <v>1692</v>
      </c>
      <c r="B213">
        <v>1200</v>
      </c>
      <c r="C213" s="3">
        <v>41837</v>
      </c>
      <c r="D213" s="2" t="s">
        <v>37</v>
      </c>
      <c r="E213" s="2" t="s">
        <v>1691</v>
      </c>
      <c r="F213" s="2" t="s">
        <v>38</v>
      </c>
      <c r="G213" s="2" t="s">
        <v>1645</v>
      </c>
      <c r="H213" s="2" t="s">
        <v>1679</v>
      </c>
      <c r="I213" s="65" t="b">
        <f>导出!I213=计算!I213</f>
        <v>1</v>
      </c>
      <c r="J213" s="65" t="b">
        <f>导出!J213=计算!J213</f>
        <v>1</v>
      </c>
      <c r="K213" s="65" t="b">
        <f>导出!K213=计算!K213</f>
        <v>1</v>
      </c>
      <c r="L213" s="65" t="b">
        <f>导出!L213=计算!L213</f>
        <v>1</v>
      </c>
      <c r="M213" s="65" t="b">
        <f>导出!M213=计算!M213</f>
        <v>1</v>
      </c>
      <c r="N213" s="65" t="b">
        <f>导出!N213=计算!N213</f>
        <v>1</v>
      </c>
      <c r="O213" s="65" t="b">
        <f>导出!O213=计算!O213</f>
        <v>1</v>
      </c>
      <c r="P213" s="65" t="b">
        <f>导出!P213=计算!P213</f>
        <v>1</v>
      </c>
      <c r="Q213" s="65" t="b">
        <f>导出!Q213=计算!Q213</f>
        <v>1</v>
      </c>
      <c r="R213" s="65" t="b">
        <f>导出!R213=计算!R213</f>
        <v>1</v>
      </c>
      <c r="S213" s="65" t="b">
        <f>导出!S213=计算!S213</f>
        <v>1</v>
      </c>
      <c r="T213" s="65" t="b">
        <f>导出!T213=计算!T213</f>
        <v>1</v>
      </c>
      <c r="U213" s="65" t="b">
        <f>导出!U213=计算!U213</f>
        <v>1</v>
      </c>
      <c r="V213" s="65" t="b">
        <f>导出!V213=计算!V213</f>
        <v>1</v>
      </c>
      <c r="W213" s="65" t="b">
        <f>导出!W213=计算!W213</f>
        <v>1</v>
      </c>
      <c r="X213" s="65" t="b">
        <f>导出!X213=计算!X213</f>
        <v>1</v>
      </c>
      <c r="Y213" s="65" t="b">
        <f>导出!Y213=计算!Y213</f>
        <v>1</v>
      </c>
      <c r="Z213" s="65" t="b">
        <f>导出!Z213=计算!Z213</f>
        <v>1</v>
      </c>
      <c r="AA213" s="65" t="b">
        <f>导出!AA213=计算!AA213</f>
        <v>1</v>
      </c>
      <c r="AB213" s="65" t="b">
        <f>导出!AB213=计算!AB213</f>
        <v>1</v>
      </c>
      <c r="AC213" s="65" t="b">
        <f>导出!AC213=计算!AC213</f>
        <v>1</v>
      </c>
      <c r="AD213" s="65" t="b">
        <f>导出!AD213=计算!AD213</f>
        <v>1</v>
      </c>
      <c r="AE213" s="65" t="b">
        <f>导出!AE213=计算!AE213</f>
        <v>1</v>
      </c>
      <c r="AF213" s="65" t="b">
        <f>导出!AF213=计算!AF213</f>
        <v>1</v>
      </c>
      <c r="AG213" s="65" t="b">
        <f>导出!AG213=计算!AG213</f>
        <v>1</v>
      </c>
      <c r="AH213" s="65" t="b">
        <f>导出!AH213=计算!AH213</f>
        <v>1</v>
      </c>
      <c r="AI213">
        <v>0</v>
      </c>
      <c r="AJ213" s="3">
        <v>41912.6862847222</v>
      </c>
      <c r="AK213" s="2" t="s">
        <v>1690</v>
      </c>
    </row>
    <row r="214" spans="1:37" x14ac:dyDescent="0.15">
      <c r="A214" s="2" t="s">
        <v>1689</v>
      </c>
      <c r="B214">
        <v>1208</v>
      </c>
      <c r="C214" s="3">
        <v>41837</v>
      </c>
      <c r="D214" s="2" t="s">
        <v>37</v>
      </c>
      <c r="E214" s="2" t="s">
        <v>1688</v>
      </c>
      <c r="F214" s="2" t="s">
        <v>38</v>
      </c>
      <c r="G214" s="2" t="s">
        <v>461</v>
      </c>
      <c r="H214" s="2" t="s">
        <v>462</v>
      </c>
      <c r="I214" s="65" t="b">
        <f>导出!I214=计算!I214</f>
        <v>1</v>
      </c>
      <c r="J214" s="65" t="b">
        <f>导出!J214=计算!J214</f>
        <v>1</v>
      </c>
      <c r="K214" s="65" t="b">
        <f>导出!K214=计算!K214</f>
        <v>1</v>
      </c>
      <c r="L214" s="65" t="b">
        <f>导出!L214=计算!L214</f>
        <v>1</v>
      </c>
      <c r="M214" s="65" t="b">
        <f>导出!M214=计算!M214</f>
        <v>1</v>
      </c>
      <c r="N214" s="65" t="b">
        <f>导出!N214=计算!N214</f>
        <v>1</v>
      </c>
      <c r="O214" s="65" t="b">
        <f>导出!O214=计算!O214</f>
        <v>1</v>
      </c>
      <c r="P214" s="65" t="b">
        <f>导出!P214=计算!P214</f>
        <v>1</v>
      </c>
      <c r="Q214" s="65" t="b">
        <f>导出!Q214=计算!Q214</f>
        <v>1</v>
      </c>
      <c r="R214" s="65" t="b">
        <f>导出!R214=计算!R214</f>
        <v>1</v>
      </c>
      <c r="S214" s="65" t="b">
        <f>导出!S214=计算!S214</f>
        <v>1</v>
      </c>
      <c r="T214" s="65" t="b">
        <f>导出!T214=计算!T214</f>
        <v>1</v>
      </c>
      <c r="U214" s="65" t="b">
        <f>导出!U214=计算!U214</f>
        <v>1</v>
      </c>
      <c r="V214" s="65" t="b">
        <f>导出!V214=计算!V214</f>
        <v>0</v>
      </c>
      <c r="W214" s="65" t="b">
        <f>导出!W214=计算!W214</f>
        <v>1</v>
      </c>
      <c r="X214" s="65" t="b">
        <f>导出!X214=计算!X214</f>
        <v>1</v>
      </c>
      <c r="Y214" s="65" t="b">
        <f>导出!Y214=计算!Y214</f>
        <v>1</v>
      </c>
      <c r="Z214" s="65" t="b">
        <f>导出!Z214=计算!Z214</f>
        <v>1</v>
      </c>
      <c r="AA214" s="65" t="b">
        <f>导出!AA214=计算!AA214</f>
        <v>0</v>
      </c>
      <c r="AB214" s="65" t="b">
        <f>导出!AB214=计算!AB214</f>
        <v>1</v>
      </c>
      <c r="AC214" s="65" t="b">
        <f>导出!AC214=计算!AC214</f>
        <v>1</v>
      </c>
      <c r="AD214" s="65" t="b">
        <f>导出!AD214=计算!AD214</f>
        <v>1</v>
      </c>
      <c r="AE214" s="65" t="b">
        <f>导出!AE214=计算!AE214</f>
        <v>1</v>
      </c>
      <c r="AF214" s="65" t="b">
        <f>导出!AF214=计算!AF214</f>
        <v>1</v>
      </c>
      <c r="AG214" s="65" t="b">
        <f>导出!AG214=计算!AG214</f>
        <v>1</v>
      </c>
      <c r="AH214" s="65" t="b">
        <f>导出!AH214=计算!AH214</f>
        <v>1</v>
      </c>
      <c r="AI214">
        <v>0</v>
      </c>
      <c r="AJ214" s="3">
        <v>41912.6862847222</v>
      </c>
      <c r="AK214" s="2" t="s">
        <v>1687</v>
      </c>
    </row>
    <row r="215" spans="1:37" x14ac:dyDescent="0.15">
      <c r="A215" s="2" t="s">
        <v>1686</v>
      </c>
      <c r="B215">
        <v>1217</v>
      </c>
      <c r="C215" s="3">
        <v>41855</v>
      </c>
      <c r="D215" s="2" t="s">
        <v>37</v>
      </c>
      <c r="E215" s="2" t="s">
        <v>1685</v>
      </c>
      <c r="F215" s="2" t="s">
        <v>38</v>
      </c>
      <c r="G215" s="2" t="s">
        <v>463</v>
      </c>
      <c r="H215" s="2" t="s">
        <v>464</v>
      </c>
      <c r="I215" s="65" t="b">
        <f>导出!I215=计算!I215</f>
        <v>1</v>
      </c>
      <c r="J215" s="65" t="b">
        <f>导出!J215=计算!J215</f>
        <v>1</v>
      </c>
      <c r="K215" s="65" t="b">
        <f>导出!K215=计算!K215</f>
        <v>1</v>
      </c>
      <c r="L215" s="65" t="b">
        <f>导出!L215=计算!L215</f>
        <v>1</v>
      </c>
      <c r="M215" s="65" t="b">
        <f>导出!M215=计算!M215</f>
        <v>1</v>
      </c>
      <c r="N215" s="65" t="b">
        <f>导出!N215=计算!N215</f>
        <v>1</v>
      </c>
      <c r="O215" s="65" t="b">
        <f>导出!O215=计算!O215</f>
        <v>1</v>
      </c>
      <c r="P215" s="65" t="b">
        <f>导出!P215=计算!P215</f>
        <v>1</v>
      </c>
      <c r="Q215" s="65" t="b">
        <f>导出!Q215=计算!Q215</f>
        <v>1</v>
      </c>
      <c r="R215" s="65" t="b">
        <f>导出!R215=计算!R215</f>
        <v>1</v>
      </c>
      <c r="S215" s="65" t="b">
        <f>导出!S215=计算!S215</f>
        <v>1</v>
      </c>
      <c r="T215" s="65" t="b">
        <f>导出!T215=计算!T215</f>
        <v>1</v>
      </c>
      <c r="U215" s="65" t="b">
        <f>导出!U215=计算!U215</f>
        <v>1</v>
      </c>
      <c r="V215" s="65" t="b">
        <f>导出!V215=计算!V215</f>
        <v>1</v>
      </c>
      <c r="W215" s="65" t="b">
        <f>导出!W215=计算!W215</f>
        <v>1</v>
      </c>
      <c r="X215" s="65" t="b">
        <f>导出!X215=计算!X215</f>
        <v>1</v>
      </c>
      <c r="Y215" s="65" t="b">
        <f>导出!Y215=计算!Y215</f>
        <v>1</v>
      </c>
      <c r="Z215" s="65" t="b">
        <f>导出!Z215=计算!Z215</f>
        <v>1</v>
      </c>
      <c r="AA215" s="65" t="b">
        <f>导出!AA215=计算!AA215</f>
        <v>0</v>
      </c>
      <c r="AB215" s="65" t="b">
        <f>导出!AB215=计算!AB215</f>
        <v>1</v>
      </c>
      <c r="AC215" s="65" t="b">
        <f>导出!AC215=计算!AC215</f>
        <v>1</v>
      </c>
      <c r="AD215" s="65" t="b">
        <f>导出!AD215=计算!AD215</f>
        <v>1</v>
      </c>
      <c r="AE215" s="65" t="b">
        <f>导出!AE215=计算!AE215</f>
        <v>1</v>
      </c>
      <c r="AF215" s="65" t="b">
        <f>导出!AF215=计算!AF215</f>
        <v>1</v>
      </c>
      <c r="AG215" s="65" t="b">
        <f>导出!AG215=计算!AG215</f>
        <v>1</v>
      </c>
      <c r="AH215" s="65" t="b">
        <f>导出!AH215=计算!AH215</f>
        <v>1</v>
      </c>
      <c r="AI215">
        <v>0</v>
      </c>
      <c r="AJ215" s="3">
        <v>41912.6862847222</v>
      </c>
      <c r="AK215" s="2" t="s">
        <v>1684</v>
      </c>
    </row>
  </sheetData>
  <phoneticPr fontId="2" type="noConversion"/>
  <conditionalFormatting sqref="I2:AH215">
    <cfRule type="expression" dxfId="0" priority="1">
      <formula>NOT(I2)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5"/>
  <sheetViews>
    <sheetView topLeftCell="AA130" workbookViewId="0">
      <selection activeCell="AH152" sqref="AH152"/>
    </sheetView>
  </sheetViews>
  <sheetFormatPr defaultRowHeight="13.5" x14ac:dyDescent="0.15"/>
  <cols>
    <col min="1" max="1" width="40.5" bestFit="1" customWidth="1"/>
    <col min="2" max="2" width="10.75" bestFit="1" customWidth="1"/>
    <col min="3" max="3" width="20.5" bestFit="1" customWidth="1"/>
    <col min="4" max="4" width="14.5" bestFit="1" customWidth="1"/>
    <col min="5" max="6" width="40.5" bestFit="1" customWidth="1"/>
    <col min="7" max="7" width="15.875" bestFit="1" customWidth="1"/>
    <col min="8" max="8" width="42.5" bestFit="1" customWidth="1"/>
    <col min="9" max="9" width="18.25" bestFit="1" customWidth="1"/>
    <col min="10" max="10" width="15.75" bestFit="1" customWidth="1"/>
    <col min="11" max="11" width="22" bestFit="1" customWidth="1"/>
    <col min="12" max="12" width="20.75" bestFit="1" customWidth="1"/>
    <col min="13" max="13" width="18.25" bestFit="1" customWidth="1"/>
    <col min="14" max="15" width="25.75" bestFit="1" customWidth="1"/>
    <col min="16" max="16" width="27" bestFit="1" customWidth="1"/>
    <col min="17" max="17" width="24.5" bestFit="1" customWidth="1"/>
    <col min="18" max="18" width="23.25" bestFit="1" customWidth="1"/>
    <col min="19" max="19" width="29.5" bestFit="1" customWidth="1"/>
    <col min="20" max="20" width="22" bestFit="1" customWidth="1"/>
    <col min="21" max="21" width="28.25" bestFit="1" customWidth="1"/>
    <col min="22" max="22" width="19.5" bestFit="1" customWidth="1"/>
    <col min="23" max="23" width="27" bestFit="1" customWidth="1"/>
    <col min="24" max="24" width="33.25" bestFit="1" customWidth="1"/>
    <col min="25" max="25" width="17" bestFit="1" customWidth="1"/>
    <col min="26" max="26" width="23.25" bestFit="1" customWidth="1"/>
    <col min="27" max="27" width="9.625" bestFit="1" customWidth="1"/>
    <col min="28" max="29" width="17" bestFit="1" customWidth="1"/>
    <col min="30" max="30" width="18.25" bestFit="1" customWidth="1"/>
    <col min="31" max="31" width="15.75" bestFit="1" customWidth="1"/>
    <col min="32" max="33" width="17" bestFit="1" customWidth="1"/>
    <col min="34" max="34" width="15.75" bestFit="1" customWidth="1"/>
    <col min="35" max="35" width="9.625" bestFit="1" customWidth="1"/>
    <col min="36" max="36" width="20.5" bestFit="1" customWidth="1"/>
    <col min="37" max="37" width="63.75" bestFit="1" customWidth="1"/>
  </cols>
  <sheetData>
    <row r="1" spans="1:3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15">
      <c r="A2" s="2" t="s">
        <v>2325</v>
      </c>
      <c r="B2">
        <v>317</v>
      </c>
      <c r="C2" s="3">
        <v>39508</v>
      </c>
      <c r="D2" s="2" t="s">
        <v>37</v>
      </c>
      <c r="E2" s="2" t="s">
        <v>2324</v>
      </c>
      <c r="F2" s="2" t="s">
        <v>38</v>
      </c>
      <c r="G2" s="2" t="s">
        <v>39</v>
      </c>
      <c r="H2" s="2" t="s">
        <v>40</v>
      </c>
      <c r="I2" s="4">
        <v>3950000</v>
      </c>
      <c r="J2" s="4">
        <v>838394.62</v>
      </c>
      <c r="K2" s="4">
        <v>838394.62</v>
      </c>
      <c r="L2" s="5">
        <v>4596964</v>
      </c>
      <c r="M2" s="5">
        <v>3.6</v>
      </c>
      <c r="N2" s="6">
        <v>165490.704</v>
      </c>
      <c r="O2" s="4">
        <v>179181</v>
      </c>
      <c r="P2" s="4">
        <v>179181</v>
      </c>
      <c r="Q2" s="6">
        <v>-13690.296</v>
      </c>
      <c r="R2" s="4">
        <v>4986186.2</v>
      </c>
      <c r="S2" s="4">
        <v>4986186.2</v>
      </c>
      <c r="T2" s="4">
        <v>4986186.2</v>
      </c>
      <c r="U2" s="4">
        <v>4986186.2</v>
      </c>
      <c r="V2" s="6">
        <v>108.4669</v>
      </c>
      <c r="W2" s="4">
        <v>4931516.17</v>
      </c>
      <c r="X2" s="4">
        <v>4931516.17</v>
      </c>
      <c r="Y2" s="4">
        <v>4979331.17</v>
      </c>
      <c r="Z2" s="4">
        <v>4979331.17</v>
      </c>
      <c r="AA2" s="4">
        <v>3.4</v>
      </c>
      <c r="AB2" s="6">
        <v>169530.3308</v>
      </c>
      <c r="AC2" s="4">
        <v>169529</v>
      </c>
      <c r="AD2" s="4">
        <v>169529</v>
      </c>
      <c r="AE2" s="6">
        <v>1.3308</v>
      </c>
      <c r="AF2" s="4">
        <v>0</v>
      </c>
      <c r="AG2" s="7">
        <v>0</v>
      </c>
      <c r="AH2" s="2" t="s">
        <v>37</v>
      </c>
      <c r="AI2">
        <v>0</v>
      </c>
      <c r="AJ2" s="3">
        <v>41912.686249999999</v>
      </c>
      <c r="AK2" s="2" t="s">
        <v>2323</v>
      </c>
    </row>
    <row r="3" spans="1:37" x14ac:dyDescent="0.15">
      <c r="A3" s="2" t="s">
        <v>2322</v>
      </c>
      <c r="B3">
        <v>4</v>
      </c>
      <c r="C3" s="3">
        <v>39873</v>
      </c>
      <c r="D3" s="2" t="s">
        <v>37</v>
      </c>
      <c r="E3" s="2" t="s">
        <v>2321</v>
      </c>
      <c r="F3" s="2" t="s">
        <v>41</v>
      </c>
      <c r="G3" s="2" t="s">
        <v>42</v>
      </c>
      <c r="H3" s="2" t="s">
        <v>43</v>
      </c>
      <c r="I3" s="4">
        <v>85000</v>
      </c>
      <c r="J3" s="4">
        <v>0</v>
      </c>
      <c r="K3" s="4">
        <v>0</v>
      </c>
      <c r="L3" s="5">
        <v>85000</v>
      </c>
      <c r="M3" s="5">
        <v>6.6</v>
      </c>
      <c r="N3" s="6">
        <v>5610</v>
      </c>
      <c r="O3" s="4">
        <v>5610</v>
      </c>
      <c r="P3" s="4">
        <v>5610</v>
      </c>
      <c r="Q3" s="6">
        <v>0</v>
      </c>
      <c r="R3" s="4">
        <v>0</v>
      </c>
      <c r="S3" s="4">
        <v>0</v>
      </c>
      <c r="T3" s="4">
        <v>0</v>
      </c>
      <c r="U3" s="4">
        <v>0</v>
      </c>
      <c r="V3" s="6">
        <v>0</v>
      </c>
      <c r="W3" s="4">
        <v>0</v>
      </c>
      <c r="X3" s="4">
        <v>0</v>
      </c>
      <c r="Y3" s="4">
        <v>41400</v>
      </c>
      <c r="Z3" s="4">
        <v>41400</v>
      </c>
      <c r="AA3" s="4">
        <v>3.4</v>
      </c>
      <c r="AB3" s="6">
        <v>2890</v>
      </c>
      <c r="AC3" s="4">
        <v>2890</v>
      </c>
      <c r="AD3" s="4">
        <v>2890</v>
      </c>
      <c r="AE3" s="6">
        <v>0</v>
      </c>
      <c r="AF3" s="4">
        <v>0</v>
      </c>
      <c r="AG3" s="7">
        <v>0</v>
      </c>
      <c r="AH3" s="2" t="s">
        <v>37</v>
      </c>
      <c r="AI3">
        <v>0</v>
      </c>
      <c r="AJ3" s="3">
        <v>41912.6862384259</v>
      </c>
      <c r="AK3" s="2" t="s">
        <v>2320</v>
      </c>
    </row>
    <row r="4" spans="1:37" x14ac:dyDescent="0.15">
      <c r="A4" s="2" t="s">
        <v>2319</v>
      </c>
      <c r="B4">
        <v>9</v>
      </c>
      <c r="C4" s="3">
        <v>40179</v>
      </c>
      <c r="D4" s="2" t="s">
        <v>37</v>
      </c>
      <c r="E4" s="2" t="s">
        <v>2318</v>
      </c>
      <c r="F4" s="2" t="s">
        <v>41</v>
      </c>
      <c r="G4" s="2" t="s">
        <v>44</v>
      </c>
      <c r="H4" s="2" t="s">
        <v>45</v>
      </c>
      <c r="I4" s="4">
        <v>7494658.1799999997</v>
      </c>
      <c r="J4" s="4">
        <v>0</v>
      </c>
      <c r="K4" s="4">
        <v>0</v>
      </c>
      <c r="L4" s="5">
        <v>0</v>
      </c>
      <c r="M4" s="5">
        <v>6.6</v>
      </c>
      <c r="N4" s="6">
        <v>494647.4399</v>
      </c>
      <c r="O4" s="4">
        <v>494647.44</v>
      </c>
      <c r="P4" s="4">
        <v>494647.44</v>
      </c>
      <c r="Q4" s="6">
        <v>-1E-4</v>
      </c>
      <c r="R4" s="4">
        <v>0</v>
      </c>
      <c r="S4" s="4">
        <v>0</v>
      </c>
      <c r="T4" s="4">
        <v>7381694.04</v>
      </c>
      <c r="U4" s="4">
        <v>7381694.04</v>
      </c>
      <c r="V4" s="6">
        <v>98.492699999999999</v>
      </c>
      <c r="W4" s="4">
        <v>0</v>
      </c>
      <c r="X4" s="4">
        <v>0</v>
      </c>
      <c r="Y4" s="4">
        <v>6578447.8700000001</v>
      </c>
      <c r="Z4" s="4">
        <v>6578447.8700000001</v>
      </c>
      <c r="AA4" s="4">
        <v>3.4</v>
      </c>
      <c r="AB4" s="6">
        <v>254818.3781</v>
      </c>
      <c r="AC4" s="4">
        <v>254818.38</v>
      </c>
      <c r="AD4" s="4">
        <v>254818.38</v>
      </c>
      <c r="AE4" s="6">
        <v>-1.9E-3</v>
      </c>
      <c r="AF4" s="4">
        <v>0</v>
      </c>
      <c r="AG4" s="7">
        <v>0</v>
      </c>
      <c r="AH4" s="2" t="s">
        <v>37</v>
      </c>
      <c r="AI4">
        <v>0</v>
      </c>
      <c r="AJ4" s="3">
        <v>41912.6862384259</v>
      </c>
      <c r="AK4" s="2" t="s">
        <v>2317</v>
      </c>
    </row>
    <row r="5" spans="1:37" x14ac:dyDescent="0.15">
      <c r="A5" s="2" t="s">
        <v>2316</v>
      </c>
      <c r="B5">
        <v>14</v>
      </c>
      <c r="C5" s="3">
        <v>40210</v>
      </c>
      <c r="D5" s="2" t="s">
        <v>37</v>
      </c>
      <c r="E5" s="2" t="s">
        <v>2315</v>
      </c>
      <c r="F5" s="2" t="s">
        <v>41</v>
      </c>
      <c r="G5" s="2" t="s">
        <v>46</v>
      </c>
      <c r="H5" s="2" t="s">
        <v>47</v>
      </c>
      <c r="I5" s="4">
        <v>3283372.21</v>
      </c>
      <c r="J5" s="4">
        <v>0</v>
      </c>
      <c r="K5" s="4">
        <v>0</v>
      </c>
      <c r="L5" s="5">
        <v>0</v>
      </c>
      <c r="M5" s="5">
        <v>6.6</v>
      </c>
      <c r="N5" s="6">
        <v>216702.56589999999</v>
      </c>
      <c r="O5" s="4">
        <v>216702.57</v>
      </c>
      <c r="P5" s="4">
        <v>216702.57</v>
      </c>
      <c r="Q5" s="6">
        <v>-4.1000000000000003E-3</v>
      </c>
      <c r="R5" s="4">
        <v>0</v>
      </c>
      <c r="S5" s="4">
        <v>0</v>
      </c>
      <c r="T5" s="4">
        <v>2641685</v>
      </c>
      <c r="U5" s="4">
        <v>2641685</v>
      </c>
      <c r="V5" s="6">
        <v>80.456500000000005</v>
      </c>
      <c r="W5" s="4">
        <v>0</v>
      </c>
      <c r="X5" s="4">
        <v>0</v>
      </c>
      <c r="Y5" s="4">
        <v>0</v>
      </c>
      <c r="Z5" s="4">
        <v>0</v>
      </c>
      <c r="AA5" s="4">
        <v>3.4</v>
      </c>
      <c r="AB5" s="6">
        <v>111634.6551</v>
      </c>
      <c r="AC5" s="4">
        <v>89817.29</v>
      </c>
      <c r="AD5" s="4">
        <v>89817.29</v>
      </c>
      <c r="AE5" s="6">
        <v>21817.365099999999</v>
      </c>
      <c r="AF5" s="4">
        <v>-704031.49</v>
      </c>
      <c r="AG5" s="7">
        <v>0</v>
      </c>
      <c r="AH5" s="2" t="s">
        <v>37</v>
      </c>
      <c r="AI5">
        <v>0</v>
      </c>
      <c r="AJ5" s="3">
        <v>41912.6862384259</v>
      </c>
      <c r="AK5" s="2" t="s">
        <v>2314</v>
      </c>
    </row>
    <row r="6" spans="1:37" x14ac:dyDescent="0.15">
      <c r="A6" s="2" t="s">
        <v>2313</v>
      </c>
      <c r="B6">
        <v>18</v>
      </c>
      <c r="C6" s="3">
        <v>40238</v>
      </c>
      <c r="D6" s="2" t="s">
        <v>37</v>
      </c>
      <c r="E6" s="2" t="s">
        <v>2312</v>
      </c>
      <c r="F6" s="2" t="s">
        <v>41</v>
      </c>
      <c r="G6" s="2" t="s">
        <v>48</v>
      </c>
      <c r="H6" s="2" t="s">
        <v>49</v>
      </c>
      <c r="I6" s="4">
        <v>7212049</v>
      </c>
      <c r="J6" s="4">
        <v>0</v>
      </c>
      <c r="K6" s="4">
        <v>0</v>
      </c>
      <c r="L6" s="5">
        <v>0</v>
      </c>
      <c r="M6" s="5">
        <v>6.6</v>
      </c>
      <c r="N6" s="6">
        <v>475995.234</v>
      </c>
      <c r="O6" s="4">
        <v>475995.23</v>
      </c>
      <c r="P6" s="4">
        <v>475995.23</v>
      </c>
      <c r="Q6" s="6">
        <v>4.0000000000000001E-3</v>
      </c>
      <c r="R6" s="4">
        <v>0</v>
      </c>
      <c r="S6" s="4">
        <v>0</v>
      </c>
      <c r="T6" s="4">
        <v>6569639.2000000002</v>
      </c>
      <c r="U6" s="4">
        <v>6569639.2000000002</v>
      </c>
      <c r="V6" s="6">
        <v>91.092500000000001</v>
      </c>
      <c r="W6" s="4">
        <v>0</v>
      </c>
      <c r="X6" s="4">
        <v>0</v>
      </c>
      <c r="Y6" s="4">
        <v>0</v>
      </c>
      <c r="Z6" s="4">
        <v>0</v>
      </c>
      <c r="AA6" s="4">
        <v>3.4</v>
      </c>
      <c r="AB6" s="6">
        <v>245209.666</v>
      </c>
      <c r="AC6" s="4">
        <v>223367.73</v>
      </c>
      <c r="AD6" s="4">
        <v>223367.73</v>
      </c>
      <c r="AE6" s="6">
        <v>21841.936000000002</v>
      </c>
      <c r="AF6" s="4">
        <v>0</v>
      </c>
      <c r="AG6" s="7">
        <v>0</v>
      </c>
      <c r="AH6" s="2" t="s">
        <v>37</v>
      </c>
      <c r="AI6">
        <v>0</v>
      </c>
      <c r="AJ6" s="3">
        <v>41912.6862384259</v>
      </c>
      <c r="AK6" s="2" t="s">
        <v>2311</v>
      </c>
    </row>
    <row r="7" spans="1:37" x14ac:dyDescent="0.15">
      <c r="A7" s="2" t="s">
        <v>2310</v>
      </c>
      <c r="B7">
        <v>325</v>
      </c>
      <c r="C7" s="3">
        <v>40283</v>
      </c>
      <c r="D7" s="2" t="s">
        <v>37</v>
      </c>
      <c r="E7" s="2" t="s">
        <v>2309</v>
      </c>
      <c r="F7" s="2" t="s">
        <v>38</v>
      </c>
      <c r="G7" s="2" t="s">
        <v>50</v>
      </c>
      <c r="H7" s="2" t="s">
        <v>51</v>
      </c>
      <c r="I7" s="4">
        <v>4300000</v>
      </c>
      <c r="J7" s="4">
        <v>0</v>
      </c>
      <c r="K7" s="4">
        <v>0</v>
      </c>
      <c r="L7" s="5"/>
      <c r="M7" s="5">
        <v>3.6</v>
      </c>
      <c r="N7" s="6">
        <v>154800</v>
      </c>
      <c r="O7" s="4">
        <v>154800</v>
      </c>
      <c r="P7" s="4">
        <v>154800</v>
      </c>
      <c r="Q7" s="6">
        <v>0</v>
      </c>
      <c r="R7" s="4">
        <v>3940000</v>
      </c>
      <c r="S7" s="4">
        <v>3940000</v>
      </c>
      <c r="T7" s="4">
        <v>3940000</v>
      </c>
      <c r="U7" s="4">
        <v>3940000</v>
      </c>
      <c r="V7" s="6">
        <v>91.627899999999997</v>
      </c>
      <c r="W7" s="4">
        <v>3814968.9</v>
      </c>
      <c r="X7" s="4">
        <v>3814968.9</v>
      </c>
      <c r="Y7" s="4">
        <v>3908218.9</v>
      </c>
      <c r="Z7" s="4">
        <v>3908218.9</v>
      </c>
      <c r="AA7" s="4">
        <v>3.4</v>
      </c>
      <c r="AB7" s="6">
        <v>133960</v>
      </c>
      <c r="AC7" s="4">
        <v>133960</v>
      </c>
      <c r="AD7" s="4">
        <v>133960</v>
      </c>
      <c r="AE7" s="6">
        <v>0</v>
      </c>
      <c r="AF7" s="4">
        <v>0</v>
      </c>
      <c r="AG7" s="7">
        <v>65</v>
      </c>
      <c r="AH7" s="2" t="s">
        <v>52</v>
      </c>
      <c r="AI7">
        <v>0</v>
      </c>
      <c r="AJ7" s="3">
        <v>41912.686249999999</v>
      </c>
      <c r="AK7" s="2" t="s">
        <v>2308</v>
      </c>
    </row>
    <row r="8" spans="1:37" x14ac:dyDescent="0.15">
      <c r="A8" s="2" t="s">
        <v>2307</v>
      </c>
      <c r="B8">
        <v>340</v>
      </c>
      <c r="C8" s="3">
        <v>40467</v>
      </c>
      <c r="D8" s="2" t="s">
        <v>37</v>
      </c>
      <c r="E8" s="2" t="s">
        <v>2306</v>
      </c>
      <c r="F8" s="2" t="s">
        <v>38</v>
      </c>
      <c r="G8" s="2" t="s">
        <v>53</v>
      </c>
      <c r="H8" s="2" t="s">
        <v>54</v>
      </c>
      <c r="I8" s="4">
        <v>1787170</v>
      </c>
      <c r="J8" s="4">
        <v>868000</v>
      </c>
      <c r="K8" s="4">
        <v>868000</v>
      </c>
      <c r="L8" s="5">
        <v>2610000</v>
      </c>
      <c r="M8" s="5">
        <v>3.6</v>
      </c>
      <c r="N8" s="6">
        <v>93960</v>
      </c>
      <c r="O8" s="4">
        <v>94830</v>
      </c>
      <c r="P8" s="4">
        <v>94830</v>
      </c>
      <c r="Q8" s="6">
        <v>-870</v>
      </c>
      <c r="R8" s="4">
        <v>2610000</v>
      </c>
      <c r="S8" s="4">
        <v>2610000</v>
      </c>
      <c r="T8" s="4">
        <v>2410000</v>
      </c>
      <c r="U8" s="4">
        <v>2410000</v>
      </c>
      <c r="V8" s="6">
        <v>92.337199999999996</v>
      </c>
      <c r="W8" s="4">
        <v>2356517</v>
      </c>
      <c r="X8" s="4">
        <v>2356517</v>
      </c>
      <c r="Y8" s="4">
        <v>2407227.08</v>
      </c>
      <c r="Z8" s="4">
        <v>2407227.08</v>
      </c>
      <c r="AA8" s="4">
        <v>3.4</v>
      </c>
      <c r="AB8" s="6">
        <v>88740</v>
      </c>
      <c r="AC8" s="4">
        <v>88740</v>
      </c>
      <c r="AD8" s="4">
        <v>88740</v>
      </c>
      <c r="AE8" s="6">
        <v>0</v>
      </c>
      <c r="AF8" s="4">
        <v>0</v>
      </c>
      <c r="AG8" s="7">
        <v>0</v>
      </c>
      <c r="AH8" s="2" t="s">
        <v>37</v>
      </c>
      <c r="AI8">
        <v>0</v>
      </c>
      <c r="AJ8" s="3">
        <v>41912.686249999999</v>
      </c>
      <c r="AK8" s="2" t="s">
        <v>2305</v>
      </c>
    </row>
    <row r="9" spans="1:37" x14ac:dyDescent="0.15">
      <c r="A9" s="2" t="s">
        <v>2304</v>
      </c>
      <c r="B9">
        <v>332</v>
      </c>
      <c r="C9" s="3">
        <v>40491</v>
      </c>
      <c r="D9" s="2" t="s">
        <v>37</v>
      </c>
      <c r="E9" s="2" t="s">
        <v>2303</v>
      </c>
      <c r="F9" s="2" t="s">
        <v>38</v>
      </c>
      <c r="G9" s="2" t="s">
        <v>55</v>
      </c>
      <c r="H9" s="2" t="s">
        <v>56</v>
      </c>
      <c r="I9" s="4">
        <v>842038</v>
      </c>
      <c r="J9" s="4">
        <v>0</v>
      </c>
      <c r="K9" s="4">
        <v>0</v>
      </c>
      <c r="L9" s="5"/>
      <c r="M9" s="5">
        <v>3.6</v>
      </c>
      <c r="N9" s="6">
        <v>30313.367999999999</v>
      </c>
      <c r="O9" s="4">
        <v>30313</v>
      </c>
      <c r="P9" s="4">
        <v>30313</v>
      </c>
      <c r="Q9" s="6">
        <v>0.36799999999999999</v>
      </c>
      <c r="R9" s="4">
        <v>700000</v>
      </c>
      <c r="S9" s="4">
        <v>700000</v>
      </c>
      <c r="T9" s="4">
        <v>700000</v>
      </c>
      <c r="U9" s="4">
        <v>700000</v>
      </c>
      <c r="V9" s="6">
        <v>83.131600000000006</v>
      </c>
      <c r="W9" s="4">
        <v>693200</v>
      </c>
      <c r="X9" s="4">
        <v>693200</v>
      </c>
      <c r="Y9" s="4">
        <v>693200</v>
      </c>
      <c r="Z9" s="4">
        <v>693200</v>
      </c>
      <c r="AA9" s="4">
        <v>3.4</v>
      </c>
      <c r="AB9" s="6">
        <v>23800</v>
      </c>
      <c r="AC9" s="4">
        <v>17000</v>
      </c>
      <c r="AD9" s="4">
        <v>17000</v>
      </c>
      <c r="AE9" s="6">
        <v>6800</v>
      </c>
      <c r="AF9" s="4">
        <v>0</v>
      </c>
      <c r="AG9" s="7">
        <v>0</v>
      </c>
      <c r="AH9" s="2" t="s">
        <v>37</v>
      </c>
      <c r="AI9">
        <v>0</v>
      </c>
      <c r="AJ9" s="3">
        <v>41912.686249999999</v>
      </c>
      <c r="AK9" s="2" t="s">
        <v>2302</v>
      </c>
    </row>
    <row r="10" spans="1:37" x14ac:dyDescent="0.15">
      <c r="A10" s="2" t="s">
        <v>2301</v>
      </c>
      <c r="B10">
        <v>19</v>
      </c>
      <c r="C10" s="3">
        <v>40544</v>
      </c>
      <c r="D10" s="2" t="s">
        <v>37</v>
      </c>
      <c r="E10" s="2" t="s">
        <v>2300</v>
      </c>
      <c r="F10" s="2" t="s">
        <v>41</v>
      </c>
      <c r="G10" s="2" t="s">
        <v>57</v>
      </c>
      <c r="H10" s="2" t="s">
        <v>58</v>
      </c>
      <c r="I10" s="4">
        <v>66000</v>
      </c>
      <c r="J10" s="4">
        <v>0</v>
      </c>
      <c r="K10" s="4">
        <v>0</v>
      </c>
      <c r="L10" s="5">
        <v>0</v>
      </c>
      <c r="M10" s="5">
        <v>6.6</v>
      </c>
      <c r="N10" s="6">
        <v>4356</v>
      </c>
      <c r="O10" s="4">
        <v>0</v>
      </c>
      <c r="P10" s="4">
        <v>0</v>
      </c>
      <c r="Q10" s="6">
        <v>4356</v>
      </c>
      <c r="R10" s="4">
        <v>0</v>
      </c>
      <c r="S10" s="4">
        <v>0</v>
      </c>
      <c r="T10" s="4">
        <v>0</v>
      </c>
      <c r="U10" s="4">
        <v>0</v>
      </c>
      <c r="V10" s="6">
        <v>0</v>
      </c>
      <c r="W10" s="4">
        <v>0</v>
      </c>
      <c r="X10" s="4">
        <v>0</v>
      </c>
      <c r="Y10" s="4">
        <v>0</v>
      </c>
      <c r="Z10" s="4">
        <v>0</v>
      </c>
      <c r="AA10" s="4">
        <v>3.4</v>
      </c>
      <c r="AB10" s="6">
        <v>2244</v>
      </c>
      <c r="AC10" s="4">
        <v>0</v>
      </c>
      <c r="AD10" s="4">
        <v>0</v>
      </c>
      <c r="AE10" s="6">
        <v>2244</v>
      </c>
      <c r="AF10" s="4">
        <v>0</v>
      </c>
      <c r="AG10" s="7">
        <v>0</v>
      </c>
      <c r="AH10" s="2" t="s">
        <v>37</v>
      </c>
      <c r="AI10">
        <v>0</v>
      </c>
      <c r="AJ10" s="3">
        <v>41912.6862384259</v>
      </c>
      <c r="AK10" s="2" t="s">
        <v>2299</v>
      </c>
    </row>
    <row r="11" spans="1:37" x14ac:dyDescent="0.15">
      <c r="A11" s="2" t="s">
        <v>2298</v>
      </c>
      <c r="B11">
        <v>23</v>
      </c>
      <c r="C11" s="3">
        <v>40664</v>
      </c>
      <c r="D11" s="2" t="s">
        <v>37</v>
      </c>
      <c r="E11" s="2" t="s">
        <v>2297</v>
      </c>
      <c r="F11" s="2" t="s">
        <v>41</v>
      </c>
      <c r="G11" s="2" t="s">
        <v>59</v>
      </c>
      <c r="H11" s="2" t="s">
        <v>60</v>
      </c>
      <c r="I11" s="4">
        <v>3283372.21</v>
      </c>
      <c r="J11" s="4">
        <v>0</v>
      </c>
      <c r="K11" s="4">
        <v>0</v>
      </c>
      <c r="L11" s="5">
        <v>0</v>
      </c>
      <c r="M11" s="5">
        <v>6.6</v>
      </c>
      <c r="N11" s="6">
        <v>216702.56589999999</v>
      </c>
      <c r="O11" s="4">
        <v>216702.57</v>
      </c>
      <c r="P11" s="4">
        <v>216702.57</v>
      </c>
      <c r="Q11" s="6">
        <v>-4.1000000000000003E-3</v>
      </c>
      <c r="R11" s="4">
        <v>0</v>
      </c>
      <c r="S11" s="4">
        <v>0</v>
      </c>
      <c r="T11" s="4">
        <v>2641685</v>
      </c>
      <c r="U11" s="4">
        <v>2641685</v>
      </c>
      <c r="V11" s="6">
        <v>80.456500000000005</v>
      </c>
      <c r="W11" s="4">
        <v>0</v>
      </c>
      <c r="X11" s="4">
        <v>0</v>
      </c>
      <c r="Y11" s="4">
        <v>0</v>
      </c>
      <c r="Z11" s="4">
        <v>0</v>
      </c>
      <c r="AA11" s="4">
        <v>3.4</v>
      </c>
      <c r="AB11" s="6">
        <v>111634.6551</v>
      </c>
      <c r="AC11" s="4">
        <v>89817.29</v>
      </c>
      <c r="AD11" s="4">
        <v>89817.29</v>
      </c>
      <c r="AE11" s="6">
        <v>21817.365099999999</v>
      </c>
      <c r="AF11" s="4">
        <v>0</v>
      </c>
      <c r="AG11" s="7">
        <v>0</v>
      </c>
      <c r="AH11" s="2" t="s">
        <v>37</v>
      </c>
      <c r="AI11">
        <v>0</v>
      </c>
      <c r="AJ11" s="3">
        <v>41912.6862384259</v>
      </c>
      <c r="AK11" s="2" t="s">
        <v>2296</v>
      </c>
    </row>
    <row r="12" spans="1:37" x14ac:dyDescent="0.15">
      <c r="A12" s="2" t="s">
        <v>2295</v>
      </c>
      <c r="B12">
        <v>341</v>
      </c>
      <c r="C12" s="3">
        <v>40683</v>
      </c>
      <c r="D12" s="2" t="s">
        <v>37</v>
      </c>
      <c r="E12" s="2" t="s">
        <v>2294</v>
      </c>
      <c r="F12" s="2" t="s">
        <v>38</v>
      </c>
      <c r="G12" s="2" t="s">
        <v>1683</v>
      </c>
      <c r="H12" s="2" t="s">
        <v>1682</v>
      </c>
      <c r="I12" s="4"/>
      <c r="J12" s="4">
        <v>0</v>
      </c>
      <c r="K12" s="4">
        <v>0</v>
      </c>
      <c r="L12" s="5"/>
      <c r="M12" s="5"/>
      <c r="N12" s="6"/>
      <c r="O12" s="4">
        <v>0</v>
      </c>
      <c r="P12" s="4">
        <v>0</v>
      </c>
      <c r="Q12" s="6"/>
      <c r="R12" s="4">
        <v>0</v>
      </c>
      <c r="S12" s="4">
        <v>0</v>
      </c>
      <c r="T12" s="4">
        <v>0</v>
      </c>
      <c r="U12" s="4">
        <v>0</v>
      </c>
      <c r="V12" s="6">
        <v>0</v>
      </c>
      <c r="W12" s="4">
        <v>0</v>
      </c>
      <c r="X12" s="4">
        <v>0</v>
      </c>
      <c r="Y12" s="4">
        <v>0</v>
      </c>
      <c r="Z12" s="4">
        <v>0</v>
      </c>
      <c r="AA12" s="4"/>
      <c r="AB12" s="6"/>
      <c r="AC12" s="4">
        <v>0</v>
      </c>
      <c r="AD12" s="4">
        <v>0</v>
      </c>
      <c r="AE12" s="6"/>
      <c r="AF12" s="4">
        <v>0</v>
      </c>
      <c r="AG12" s="7">
        <v>0</v>
      </c>
      <c r="AH12" s="2" t="s">
        <v>37</v>
      </c>
      <c r="AI12">
        <v>0</v>
      </c>
      <c r="AJ12" s="3">
        <v>41912.686249999999</v>
      </c>
      <c r="AK12" s="2" t="s">
        <v>2293</v>
      </c>
    </row>
    <row r="13" spans="1:37" x14ac:dyDescent="0.15">
      <c r="A13" s="2" t="s">
        <v>2292</v>
      </c>
      <c r="B13">
        <v>28</v>
      </c>
      <c r="C13" s="3">
        <v>40725</v>
      </c>
      <c r="D13" s="2" t="s">
        <v>37</v>
      </c>
      <c r="E13" s="2" t="s">
        <v>2291</v>
      </c>
      <c r="F13" s="2" t="s">
        <v>41</v>
      </c>
      <c r="G13" s="2" t="s">
        <v>63</v>
      </c>
      <c r="H13" s="2" t="s">
        <v>60</v>
      </c>
      <c r="I13" s="4">
        <v>665109</v>
      </c>
      <c r="J13" s="4">
        <v>0</v>
      </c>
      <c r="K13" s="4">
        <v>0</v>
      </c>
      <c r="L13" s="5">
        <v>0</v>
      </c>
      <c r="M13" s="5">
        <v>4</v>
      </c>
      <c r="N13" s="6">
        <v>26604.36</v>
      </c>
      <c r="O13" s="4">
        <v>0</v>
      </c>
      <c r="P13" s="4">
        <v>0</v>
      </c>
      <c r="Q13" s="6">
        <v>26604.36</v>
      </c>
      <c r="R13" s="4">
        <v>0</v>
      </c>
      <c r="S13" s="4">
        <v>0</v>
      </c>
      <c r="T13" s="4">
        <v>0</v>
      </c>
      <c r="U13" s="4">
        <v>0</v>
      </c>
      <c r="V13" s="6">
        <v>0</v>
      </c>
      <c r="W13" s="4">
        <v>0</v>
      </c>
      <c r="X13" s="4">
        <v>0</v>
      </c>
      <c r="Y13" s="4">
        <v>0</v>
      </c>
      <c r="Z13" s="4">
        <v>0</v>
      </c>
      <c r="AA13" s="4">
        <v>3.4</v>
      </c>
      <c r="AB13" s="6">
        <v>22613.705999999998</v>
      </c>
      <c r="AC13" s="4">
        <v>0</v>
      </c>
      <c r="AD13" s="4">
        <v>0</v>
      </c>
      <c r="AE13" s="6">
        <v>22613.705999999998</v>
      </c>
      <c r="AF13" s="4">
        <v>0</v>
      </c>
      <c r="AG13" s="7">
        <v>0</v>
      </c>
      <c r="AH13" s="2" t="s">
        <v>37</v>
      </c>
      <c r="AI13">
        <v>0</v>
      </c>
      <c r="AJ13" s="3">
        <v>41912.6862384259</v>
      </c>
      <c r="AK13" s="2" t="s">
        <v>2290</v>
      </c>
    </row>
    <row r="14" spans="1:37" x14ac:dyDescent="0.15">
      <c r="A14" s="2" t="s">
        <v>2289</v>
      </c>
      <c r="B14">
        <v>27</v>
      </c>
      <c r="C14" s="3">
        <v>40725</v>
      </c>
      <c r="D14" s="2" t="s">
        <v>37</v>
      </c>
      <c r="E14" s="2" t="s">
        <v>2288</v>
      </c>
      <c r="F14" s="2" t="s">
        <v>41</v>
      </c>
      <c r="G14" s="2" t="s">
        <v>61</v>
      </c>
      <c r="H14" s="2" t="s">
        <v>62</v>
      </c>
      <c r="I14" s="4">
        <v>7212049</v>
      </c>
      <c r="J14" s="4">
        <v>0</v>
      </c>
      <c r="K14" s="4">
        <v>0</v>
      </c>
      <c r="L14" s="5">
        <v>0</v>
      </c>
      <c r="M14" s="5">
        <v>6.6</v>
      </c>
      <c r="N14" s="6">
        <v>475995.234</v>
      </c>
      <c r="O14" s="4">
        <v>475995.23</v>
      </c>
      <c r="P14" s="4">
        <v>475995.23</v>
      </c>
      <c r="Q14" s="6">
        <v>4.0000000000000001E-3</v>
      </c>
      <c r="R14" s="4">
        <v>0</v>
      </c>
      <c r="S14" s="4">
        <v>0</v>
      </c>
      <c r="T14" s="4">
        <v>6569639.2000000002</v>
      </c>
      <c r="U14" s="4">
        <v>6569639.2000000002</v>
      </c>
      <c r="V14" s="6">
        <v>91.092500000000001</v>
      </c>
      <c r="W14" s="4">
        <v>0</v>
      </c>
      <c r="X14" s="4">
        <v>0</v>
      </c>
      <c r="Y14" s="4">
        <v>0</v>
      </c>
      <c r="Z14" s="4">
        <v>0</v>
      </c>
      <c r="AA14" s="4">
        <v>3.4</v>
      </c>
      <c r="AB14" s="6">
        <v>245209.666</v>
      </c>
      <c r="AC14" s="4">
        <v>223367.73</v>
      </c>
      <c r="AD14" s="4">
        <v>223367.73</v>
      </c>
      <c r="AE14" s="6">
        <v>21841.936000000002</v>
      </c>
      <c r="AF14" s="4">
        <v>0</v>
      </c>
      <c r="AG14" s="7">
        <v>0</v>
      </c>
      <c r="AH14" s="2" t="s">
        <v>37</v>
      </c>
      <c r="AI14">
        <v>0</v>
      </c>
      <c r="AJ14" s="3">
        <v>41912.6862384259</v>
      </c>
      <c r="AK14" s="2" t="s">
        <v>2287</v>
      </c>
    </row>
    <row r="15" spans="1:37" x14ac:dyDescent="0.15">
      <c r="A15" s="2" t="s">
        <v>2286</v>
      </c>
      <c r="B15">
        <v>350</v>
      </c>
      <c r="C15" s="3">
        <v>40828</v>
      </c>
      <c r="D15" s="2" t="s">
        <v>37</v>
      </c>
      <c r="E15" s="2" t="s">
        <v>2285</v>
      </c>
      <c r="F15" s="2" t="s">
        <v>38</v>
      </c>
      <c r="G15" s="2" t="s">
        <v>64</v>
      </c>
      <c r="H15" s="2" t="s">
        <v>65</v>
      </c>
      <c r="I15" s="4">
        <v>21611588</v>
      </c>
      <c r="J15" s="4">
        <v>2802330.83</v>
      </c>
      <c r="K15" s="4">
        <v>2802330.83</v>
      </c>
      <c r="L15" s="5"/>
      <c r="M15" s="5">
        <v>3</v>
      </c>
      <c r="N15" s="6">
        <v>732417.5649</v>
      </c>
      <c r="O15" s="4">
        <v>671920</v>
      </c>
      <c r="P15" s="4">
        <v>671920</v>
      </c>
      <c r="Q15" s="6">
        <v>60497.564899999998</v>
      </c>
      <c r="R15" s="4">
        <v>22758059.469999999</v>
      </c>
      <c r="S15" s="4">
        <v>22758059.469999999</v>
      </c>
      <c r="T15" s="4">
        <v>22758059.469999999</v>
      </c>
      <c r="U15" s="4">
        <v>22758059.469999999</v>
      </c>
      <c r="V15" s="6">
        <v>93.217600000000004</v>
      </c>
      <c r="W15" s="4">
        <v>20358173.620000001</v>
      </c>
      <c r="X15" s="4">
        <v>20358173.620000001</v>
      </c>
      <c r="Y15" s="4">
        <v>21886603.420000002</v>
      </c>
      <c r="Z15" s="4">
        <v>21886603.420000002</v>
      </c>
      <c r="AA15" s="4">
        <v>3.4</v>
      </c>
      <c r="AB15" s="6">
        <v>773774.022</v>
      </c>
      <c r="AC15" s="4">
        <v>773773</v>
      </c>
      <c r="AD15" s="4">
        <v>773773</v>
      </c>
      <c r="AE15" s="6">
        <v>1.022</v>
      </c>
      <c r="AF15" s="4">
        <v>0</v>
      </c>
      <c r="AG15" s="7">
        <v>140</v>
      </c>
      <c r="AH15" s="2" t="s">
        <v>66</v>
      </c>
      <c r="AI15">
        <v>0</v>
      </c>
      <c r="AJ15" s="3">
        <v>41912.686249999999</v>
      </c>
      <c r="AK15" s="2" t="s">
        <v>2284</v>
      </c>
    </row>
    <row r="16" spans="1:37" x14ac:dyDescent="0.15">
      <c r="A16" s="2" t="s">
        <v>2283</v>
      </c>
      <c r="B16">
        <v>374</v>
      </c>
      <c r="C16" s="3">
        <v>40907</v>
      </c>
      <c r="D16" s="2" t="s">
        <v>37</v>
      </c>
      <c r="E16" s="2" t="s">
        <v>2282</v>
      </c>
      <c r="F16" s="2" t="s">
        <v>38</v>
      </c>
      <c r="G16" s="2" t="s">
        <v>67</v>
      </c>
      <c r="H16" s="2" t="s">
        <v>68</v>
      </c>
      <c r="I16" s="4">
        <v>3405024</v>
      </c>
      <c r="J16" s="4">
        <v>0</v>
      </c>
      <c r="K16" s="4">
        <v>0</v>
      </c>
      <c r="L16" s="5"/>
      <c r="M16" s="5">
        <v>3.6</v>
      </c>
      <c r="N16" s="6">
        <v>122580.864</v>
      </c>
      <c r="O16" s="4">
        <v>122581</v>
      </c>
      <c r="P16" s="4">
        <v>122581</v>
      </c>
      <c r="Q16" s="6">
        <v>-0.13600000000000001</v>
      </c>
      <c r="R16" s="4">
        <v>3111296</v>
      </c>
      <c r="S16" s="4">
        <v>3111296</v>
      </c>
      <c r="T16" s="4">
        <v>3111296</v>
      </c>
      <c r="U16" s="4">
        <v>3111296</v>
      </c>
      <c r="V16" s="6">
        <v>91.373699999999999</v>
      </c>
      <c r="W16" s="4">
        <v>2496087.77</v>
      </c>
      <c r="X16" s="4">
        <v>2496087.77</v>
      </c>
      <c r="Y16" s="4">
        <v>3049860.32</v>
      </c>
      <c r="Z16" s="4">
        <v>3049860.32</v>
      </c>
      <c r="AA16" s="4">
        <v>3.4</v>
      </c>
      <c r="AB16" s="6">
        <v>105784.064</v>
      </c>
      <c r="AC16" s="4">
        <v>105784</v>
      </c>
      <c r="AD16" s="4">
        <v>105784</v>
      </c>
      <c r="AE16" s="6">
        <v>6.4000000000000001E-2</v>
      </c>
      <c r="AF16" s="4">
        <v>0</v>
      </c>
      <c r="AG16" s="7">
        <v>36</v>
      </c>
      <c r="AH16" s="2" t="s">
        <v>69</v>
      </c>
      <c r="AI16">
        <v>0</v>
      </c>
      <c r="AJ16" s="3">
        <v>41912.686249999999</v>
      </c>
      <c r="AK16" s="2" t="s">
        <v>2281</v>
      </c>
    </row>
    <row r="17" spans="1:37" x14ac:dyDescent="0.15">
      <c r="A17" s="2" t="s">
        <v>2280</v>
      </c>
      <c r="B17">
        <v>366</v>
      </c>
      <c r="C17" s="3">
        <v>40909</v>
      </c>
      <c r="D17" s="2" t="s">
        <v>37</v>
      </c>
      <c r="E17" s="2" t="s">
        <v>2279</v>
      </c>
      <c r="F17" s="2" t="s">
        <v>38</v>
      </c>
      <c r="G17" s="2" t="s">
        <v>70</v>
      </c>
      <c r="H17" s="2" t="s">
        <v>71</v>
      </c>
      <c r="I17" s="4">
        <v>3098310</v>
      </c>
      <c r="J17" s="4">
        <v>0</v>
      </c>
      <c r="K17" s="4">
        <v>0</v>
      </c>
      <c r="L17" s="5"/>
      <c r="M17" s="5">
        <v>3.6</v>
      </c>
      <c r="N17" s="6">
        <v>111539.16</v>
      </c>
      <c r="O17" s="4">
        <v>111539</v>
      </c>
      <c r="P17" s="4">
        <v>111539</v>
      </c>
      <c r="Q17" s="6">
        <v>0.16</v>
      </c>
      <c r="R17" s="4">
        <v>2463563</v>
      </c>
      <c r="S17" s="4">
        <v>2463563</v>
      </c>
      <c r="T17" s="4">
        <v>2463563</v>
      </c>
      <c r="U17" s="4">
        <v>2463563</v>
      </c>
      <c r="V17" s="6">
        <v>79.513099999999994</v>
      </c>
      <c r="W17" s="4">
        <v>2225711.98</v>
      </c>
      <c r="X17" s="4">
        <v>2225711.98</v>
      </c>
      <c r="Y17" s="4">
        <v>2424472.98</v>
      </c>
      <c r="Z17" s="4">
        <v>2424472.98</v>
      </c>
      <c r="AA17" s="4">
        <v>3.4</v>
      </c>
      <c r="AB17" s="6">
        <v>83761.142000000007</v>
      </c>
      <c r="AC17" s="4">
        <v>83761</v>
      </c>
      <c r="AD17" s="4">
        <v>83761</v>
      </c>
      <c r="AE17" s="6">
        <v>0.14199999999999999</v>
      </c>
      <c r="AF17" s="4">
        <v>0</v>
      </c>
      <c r="AG17" s="7">
        <v>0</v>
      </c>
      <c r="AH17" s="2" t="s">
        <v>37</v>
      </c>
      <c r="AI17">
        <v>0</v>
      </c>
      <c r="AJ17" s="3">
        <v>41912.686249999999</v>
      </c>
      <c r="AK17" s="2" t="s">
        <v>2278</v>
      </c>
    </row>
    <row r="18" spans="1:37" x14ac:dyDescent="0.15">
      <c r="A18" s="2" t="s">
        <v>2277</v>
      </c>
      <c r="B18">
        <v>33</v>
      </c>
      <c r="C18" s="3">
        <v>40909</v>
      </c>
      <c r="D18" s="2" t="s">
        <v>37</v>
      </c>
      <c r="E18" s="2" t="s">
        <v>2276</v>
      </c>
      <c r="F18" s="2" t="s">
        <v>41</v>
      </c>
      <c r="G18" s="2" t="s">
        <v>76</v>
      </c>
      <c r="H18" s="2" t="s">
        <v>77</v>
      </c>
      <c r="I18" s="4">
        <v>10343049.93</v>
      </c>
      <c r="J18" s="4">
        <v>0</v>
      </c>
      <c r="K18" s="4">
        <v>0</v>
      </c>
      <c r="L18" s="5">
        <v>0</v>
      </c>
      <c r="M18" s="5">
        <v>3.5</v>
      </c>
      <c r="N18" s="6">
        <v>362006.7476</v>
      </c>
      <c r="O18" s="4">
        <v>362006.75</v>
      </c>
      <c r="P18" s="4">
        <v>362006.75</v>
      </c>
      <c r="Q18" s="6">
        <v>-2.3999999999999998E-3</v>
      </c>
      <c r="R18" s="4">
        <v>0</v>
      </c>
      <c r="S18" s="4">
        <v>0</v>
      </c>
      <c r="T18" s="4">
        <v>7860688.0099999998</v>
      </c>
      <c r="U18" s="4">
        <v>7860688.0099999998</v>
      </c>
      <c r="V18" s="6">
        <v>75.999700000000004</v>
      </c>
      <c r="W18" s="4">
        <v>0</v>
      </c>
      <c r="X18" s="4">
        <v>0</v>
      </c>
      <c r="Y18" s="4">
        <v>7748729.1299999999</v>
      </c>
      <c r="Z18" s="4">
        <v>7748729.1299999999</v>
      </c>
      <c r="AA18" s="4">
        <v>3.4</v>
      </c>
      <c r="AB18" s="6">
        <v>351663.69760000001</v>
      </c>
      <c r="AC18" s="4">
        <v>111118.8</v>
      </c>
      <c r="AD18" s="4">
        <v>111118.8</v>
      </c>
      <c r="AE18" s="6">
        <v>240544.8976</v>
      </c>
      <c r="AF18" s="4">
        <v>0</v>
      </c>
      <c r="AG18" s="7">
        <v>0</v>
      </c>
      <c r="AH18" s="2" t="s">
        <v>37</v>
      </c>
      <c r="AI18">
        <v>0</v>
      </c>
      <c r="AJ18" s="3">
        <v>41912.6862384259</v>
      </c>
      <c r="AK18" s="2" t="s">
        <v>2275</v>
      </c>
    </row>
    <row r="19" spans="1:37" x14ac:dyDescent="0.15">
      <c r="A19" s="2" t="s">
        <v>2274</v>
      </c>
      <c r="B19">
        <v>385</v>
      </c>
      <c r="C19" s="3">
        <v>40909</v>
      </c>
      <c r="D19" s="2" t="s">
        <v>37</v>
      </c>
      <c r="E19" s="2" t="s">
        <v>2273</v>
      </c>
      <c r="F19" s="2" t="s">
        <v>38</v>
      </c>
      <c r="G19" s="2" t="s">
        <v>74</v>
      </c>
      <c r="H19" s="2" t="s">
        <v>75</v>
      </c>
      <c r="I19" s="4">
        <v>9708632.2599999998</v>
      </c>
      <c r="J19" s="4">
        <v>2846340</v>
      </c>
      <c r="K19" s="4">
        <v>2846340</v>
      </c>
      <c r="L19" s="5"/>
      <c r="M19" s="5">
        <v>3</v>
      </c>
      <c r="N19" s="6">
        <v>376649.1678</v>
      </c>
      <c r="O19" s="4">
        <v>362780</v>
      </c>
      <c r="P19" s="4">
        <v>362780</v>
      </c>
      <c r="Q19" s="6">
        <v>13869.167799999999</v>
      </c>
      <c r="R19" s="4">
        <v>12554972.26</v>
      </c>
      <c r="S19" s="4">
        <v>12554972.26</v>
      </c>
      <c r="T19" s="4">
        <v>11825835.49</v>
      </c>
      <c r="U19" s="4">
        <v>11825835.49</v>
      </c>
      <c r="V19" s="6">
        <v>94.192400000000006</v>
      </c>
      <c r="W19" s="4">
        <v>10650362.279999999</v>
      </c>
      <c r="X19" s="4">
        <v>10650362.279999999</v>
      </c>
      <c r="Y19" s="4">
        <v>11388881.640000001</v>
      </c>
      <c r="Z19" s="4">
        <v>11388881.640000001</v>
      </c>
      <c r="AA19" s="4">
        <v>3.4</v>
      </c>
      <c r="AB19" s="6">
        <v>426869.05680000002</v>
      </c>
      <c r="AC19" s="4">
        <v>426869</v>
      </c>
      <c r="AD19" s="4">
        <v>426869</v>
      </c>
      <c r="AE19" s="6">
        <v>5.6800000000000003E-2</v>
      </c>
      <c r="AF19" s="4">
        <v>0</v>
      </c>
      <c r="AG19" s="7">
        <v>80</v>
      </c>
      <c r="AH19" s="2" t="s">
        <v>52</v>
      </c>
      <c r="AI19">
        <v>0</v>
      </c>
      <c r="AJ19" s="3">
        <v>41912.686249999999</v>
      </c>
      <c r="AK19" s="2" t="s">
        <v>2272</v>
      </c>
    </row>
    <row r="20" spans="1:37" x14ac:dyDescent="0.15">
      <c r="A20" s="2" t="s">
        <v>2271</v>
      </c>
      <c r="B20">
        <v>359</v>
      </c>
      <c r="C20" s="3">
        <v>40909</v>
      </c>
      <c r="D20" s="2" t="s">
        <v>37</v>
      </c>
      <c r="E20" s="2" t="s">
        <v>2270</v>
      </c>
      <c r="F20" s="2" t="s">
        <v>38</v>
      </c>
      <c r="G20" s="2" t="s">
        <v>72</v>
      </c>
      <c r="H20" s="2" t="s">
        <v>73</v>
      </c>
      <c r="I20" s="4">
        <v>1950000</v>
      </c>
      <c r="J20" s="4">
        <v>6281535</v>
      </c>
      <c r="K20" s="4">
        <v>6281535</v>
      </c>
      <c r="L20" s="5"/>
      <c r="M20" s="5">
        <v>3</v>
      </c>
      <c r="N20" s="6">
        <v>246946.05</v>
      </c>
      <c r="O20" s="4">
        <v>229500</v>
      </c>
      <c r="P20" s="4">
        <v>229500</v>
      </c>
      <c r="Q20" s="6">
        <v>17446.05</v>
      </c>
      <c r="R20" s="4">
        <v>8231535</v>
      </c>
      <c r="S20" s="4">
        <v>8231535</v>
      </c>
      <c r="T20" s="4">
        <v>8231535</v>
      </c>
      <c r="U20" s="4">
        <v>8231535</v>
      </c>
      <c r="V20" s="6">
        <v>100</v>
      </c>
      <c r="W20" s="4">
        <v>7143200</v>
      </c>
      <c r="X20" s="4">
        <v>7143200</v>
      </c>
      <c r="Y20" s="4">
        <v>8223072</v>
      </c>
      <c r="Z20" s="4">
        <v>8223072</v>
      </c>
      <c r="AA20" s="4">
        <v>3.4</v>
      </c>
      <c r="AB20" s="6">
        <v>279872.19</v>
      </c>
      <c r="AC20" s="4">
        <v>279872</v>
      </c>
      <c r="AD20" s="4">
        <v>279872</v>
      </c>
      <c r="AE20" s="6">
        <v>0.19</v>
      </c>
      <c r="AF20" s="4">
        <v>0</v>
      </c>
      <c r="AG20" s="7">
        <v>5</v>
      </c>
      <c r="AH20" s="2" t="s">
        <v>52</v>
      </c>
      <c r="AI20">
        <v>0</v>
      </c>
      <c r="AJ20" s="3">
        <v>41912.686249999999</v>
      </c>
      <c r="AK20" s="2" t="s">
        <v>2269</v>
      </c>
    </row>
    <row r="21" spans="1:37" x14ac:dyDescent="0.15">
      <c r="A21" s="2" t="s">
        <v>2268</v>
      </c>
      <c r="B21">
        <v>395</v>
      </c>
      <c r="C21" s="3">
        <v>40940</v>
      </c>
      <c r="D21" s="2" t="s">
        <v>37</v>
      </c>
      <c r="E21" s="2" t="s">
        <v>2267</v>
      </c>
      <c r="F21" s="2" t="s">
        <v>38</v>
      </c>
      <c r="G21" s="2" t="s">
        <v>78</v>
      </c>
      <c r="H21" s="2" t="s">
        <v>79</v>
      </c>
      <c r="I21" s="4">
        <v>14568703.880000001</v>
      </c>
      <c r="J21" s="4">
        <v>651269</v>
      </c>
      <c r="K21" s="4">
        <v>651269</v>
      </c>
      <c r="L21" s="5"/>
      <c r="M21" s="5">
        <v>3</v>
      </c>
      <c r="N21" s="6">
        <v>456599.18640000001</v>
      </c>
      <c r="O21" s="4">
        <v>437061</v>
      </c>
      <c r="P21" s="4">
        <v>437061</v>
      </c>
      <c r="Q21" s="6">
        <v>19538.186399999999</v>
      </c>
      <c r="R21" s="4">
        <v>11975108</v>
      </c>
      <c r="S21" s="4">
        <v>11975108</v>
      </c>
      <c r="T21" s="4">
        <v>11054072</v>
      </c>
      <c r="U21" s="4">
        <v>11054072</v>
      </c>
      <c r="V21" s="6">
        <v>72.628699999999995</v>
      </c>
      <c r="W21" s="4">
        <v>10047825.75</v>
      </c>
      <c r="X21" s="4">
        <v>10047825.75</v>
      </c>
      <c r="Y21" s="4">
        <v>10958979.75</v>
      </c>
      <c r="Z21" s="4">
        <v>10958979.75</v>
      </c>
      <c r="AA21" s="4">
        <v>3.4</v>
      </c>
      <c r="AB21" s="6">
        <v>407153.67200000002</v>
      </c>
      <c r="AC21" s="4">
        <v>407154</v>
      </c>
      <c r="AD21" s="4">
        <v>407154</v>
      </c>
      <c r="AE21" s="6">
        <v>-0.32800000000000001</v>
      </c>
      <c r="AF21" s="4">
        <v>0</v>
      </c>
      <c r="AG21" s="7">
        <v>220</v>
      </c>
      <c r="AH21" s="2" t="s">
        <v>80</v>
      </c>
      <c r="AI21">
        <v>0</v>
      </c>
      <c r="AJ21" s="3">
        <v>41912.686249999999</v>
      </c>
      <c r="AK21" s="2" t="s">
        <v>2266</v>
      </c>
    </row>
    <row r="22" spans="1:37" x14ac:dyDescent="0.15">
      <c r="A22" s="2" t="s">
        <v>2265</v>
      </c>
      <c r="B22">
        <v>419</v>
      </c>
      <c r="C22" s="3">
        <v>40940</v>
      </c>
      <c r="D22" s="2" t="s">
        <v>37</v>
      </c>
      <c r="E22" s="2" t="s">
        <v>2264</v>
      </c>
      <c r="F22" s="2" t="s">
        <v>38</v>
      </c>
      <c r="G22" s="2" t="s">
        <v>81</v>
      </c>
      <c r="H22" s="2" t="s">
        <v>82</v>
      </c>
      <c r="I22" s="4">
        <v>20000000</v>
      </c>
      <c r="J22" s="4">
        <v>0</v>
      </c>
      <c r="K22" s="4">
        <v>0</v>
      </c>
      <c r="L22" s="5"/>
      <c r="M22" s="5">
        <v>3.5</v>
      </c>
      <c r="N22" s="6">
        <v>700000</v>
      </c>
      <c r="O22" s="4">
        <v>700000</v>
      </c>
      <c r="P22" s="4">
        <v>700000</v>
      </c>
      <c r="Q22" s="6">
        <v>0</v>
      </c>
      <c r="R22" s="4">
        <v>18500000</v>
      </c>
      <c r="S22" s="4">
        <v>18500000</v>
      </c>
      <c r="T22" s="4">
        <v>17500000</v>
      </c>
      <c r="U22" s="4">
        <v>17500000</v>
      </c>
      <c r="V22" s="6">
        <v>87.5</v>
      </c>
      <c r="W22" s="4">
        <v>16533332.5</v>
      </c>
      <c r="X22" s="4">
        <v>16533332.5</v>
      </c>
      <c r="Y22" s="4">
        <v>17306886.41</v>
      </c>
      <c r="Z22" s="4">
        <v>17306886.41</v>
      </c>
      <c r="AA22" s="4">
        <v>3.4</v>
      </c>
      <c r="AB22" s="6">
        <v>629000</v>
      </c>
      <c r="AC22" s="4">
        <v>629000</v>
      </c>
      <c r="AD22" s="4">
        <v>629000</v>
      </c>
      <c r="AE22" s="6">
        <v>0</v>
      </c>
      <c r="AF22" s="4">
        <v>0</v>
      </c>
      <c r="AG22" s="7">
        <v>0</v>
      </c>
      <c r="AH22" s="2" t="s">
        <v>37</v>
      </c>
      <c r="AI22">
        <v>0</v>
      </c>
      <c r="AJ22" s="3">
        <v>41912.686249999999</v>
      </c>
      <c r="AK22" s="2" t="s">
        <v>2263</v>
      </c>
    </row>
    <row r="23" spans="1:37" x14ac:dyDescent="0.15">
      <c r="A23" s="2" t="s">
        <v>2262</v>
      </c>
      <c r="B23">
        <v>404</v>
      </c>
      <c r="C23" s="3">
        <v>40940</v>
      </c>
      <c r="D23" s="2" t="s">
        <v>37</v>
      </c>
      <c r="E23" s="2" t="s">
        <v>2261</v>
      </c>
      <c r="F23" s="2" t="s">
        <v>38</v>
      </c>
      <c r="G23" s="2" t="s">
        <v>85</v>
      </c>
      <c r="H23" s="2" t="s">
        <v>86</v>
      </c>
      <c r="I23" s="4">
        <v>20000000</v>
      </c>
      <c r="J23" s="4">
        <v>5102771</v>
      </c>
      <c r="K23" s="4">
        <v>5102771</v>
      </c>
      <c r="L23" s="5">
        <v>25102771</v>
      </c>
      <c r="M23" s="5">
        <v>3</v>
      </c>
      <c r="N23" s="6">
        <v>753083.13</v>
      </c>
      <c r="O23" s="4">
        <v>753083</v>
      </c>
      <c r="P23" s="4">
        <v>753083</v>
      </c>
      <c r="Q23" s="6">
        <v>0.13</v>
      </c>
      <c r="R23" s="4">
        <v>23847632.449999999</v>
      </c>
      <c r="S23" s="4">
        <v>23847632.449999999</v>
      </c>
      <c r="T23" s="4">
        <v>23847632.449999999</v>
      </c>
      <c r="U23" s="4">
        <v>23847632.449999999</v>
      </c>
      <c r="V23" s="6">
        <v>95</v>
      </c>
      <c r="W23" s="4">
        <v>23095725.170000002</v>
      </c>
      <c r="X23" s="4">
        <v>23095725.170000002</v>
      </c>
      <c r="Y23" s="4">
        <v>23847632.170000002</v>
      </c>
      <c r="Z23" s="4">
        <v>23847632.170000002</v>
      </c>
      <c r="AA23" s="4">
        <v>3.4</v>
      </c>
      <c r="AB23" s="6">
        <v>810819.50329999998</v>
      </c>
      <c r="AC23" s="4">
        <v>810820</v>
      </c>
      <c r="AD23" s="4">
        <v>810820</v>
      </c>
      <c r="AE23" s="6">
        <v>-0.49669999999999997</v>
      </c>
      <c r="AF23" s="4">
        <v>0</v>
      </c>
      <c r="AG23" s="7">
        <v>50</v>
      </c>
      <c r="AH23" s="2" t="s">
        <v>66</v>
      </c>
      <c r="AI23">
        <v>0</v>
      </c>
      <c r="AJ23" s="3">
        <v>41912.686249999999</v>
      </c>
      <c r="AK23" s="2" t="s">
        <v>2260</v>
      </c>
    </row>
    <row r="24" spans="1:37" x14ac:dyDescent="0.15">
      <c r="A24" s="2" t="s">
        <v>2259</v>
      </c>
      <c r="B24">
        <v>411</v>
      </c>
      <c r="C24" s="3">
        <v>40940</v>
      </c>
      <c r="D24" s="2" t="s">
        <v>37</v>
      </c>
      <c r="E24" s="2" t="s">
        <v>2258</v>
      </c>
      <c r="F24" s="2" t="s">
        <v>38</v>
      </c>
      <c r="G24" s="2" t="s">
        <v>87</v>
      </c>
      <c r="H24" s="2" t="s">
        <v>88</v>
      </c>
      <c r="I24" s="4">
        <v>33000000</v>
      </c>
      <c r="J24" s="4">
        <v>0</v>
      </c>
      <c r="K24" s="4">
        <v>0</v>
      </c>
      <c r="L24" s="5"/>
      <c r="M24" s="5">
        <v>3.5</v>
      </c>
      <c r="N24" s="6">
        <v>1155000</v>
      </c>
      <c r="O24" s="4">
        <v>1155000</v>
      </c>
      <c r="P24" s="4">
        <v>1155000</v>
      </c>
      <c r="Q24" s="6">
        <v>0</v>
      </c>
      <c r="R24" s="4">
        <v>22720000</v>
      </c>
      <c r="S24" s="4">
        <v>22720000</v>
      </c>
      <c r="T24" s="4">
        <v>21720000</v>
      </c>
      <c r="U24" s="4">
        <v>21720000</v>
      </c>
      <c r="V24" s="6">
        <v>65.818200000000004</v>
      </c>
      <c r="W24" s="4">
        <v>19634904.469999999</v>
      </c>
      <c r="X24" s="4">
        <v>19634904.469999999</v>
      </c>
      <c r="Y24" s="4">
        <v>21702791.469999999</v>
      </c>
      <c r="Z24" s="4">
        <v>21702791.469999999</v>
      </c>
      <c r="AA24" s="4">
        <v>3.4</v>
      </c>
      <c r="AB24" s="6">
        <v>772480</v>
      </c>
      <c r="AC24" s="4">
        <v>772480</v>
      </c>
      <c r="AD24" s="4">
        <v>772480</v>
      </c>
      <c r="AE24" s="6">
        <v>0</v>
      </c>
      <c r="AF24" s="4">
        <v>0</v>
      </c>
      <c r="AG24" s="7">
        <v>0</v>
      </c>
      <c r="AH24" s="2" t="s">
        <v>37</v>
      </c>
      <c r="AI24">
        <v>0</v>
      </c>
      <c r="AJ24" s="3">
        <v>41912.686249999999</v>
      </c>
      <c r="AK24" s="2" t="s">
        <v>2257</v>
      </c>
    </row>
    <row r="25" spans="1:37" x14ac:dyDescent="0.15">
      <c r="A25" s="2" t="s">
        <v>2256</v>
      </c>
      <c r="B25">
        <v>38</v>
      </c>
      <c r="C25" s="3">
        <v>40940</v>
      </c>
      <c r="D25" s="2" t="s">
        <v>37</v>
      </c>
      <c r="E25" s="2" t="s">
        <v>2255</v>
      </c>
      <c r="F25" s="2" t="s">
        <v>41</v>
      </c>
      <c r="G25" s="2" t="s">
        <v>83</v>
      </c>
      <c r="H25" s="2" t="s">
        <v>84</v>
      </c>
      <c r="I25" s="4">
        <v>90000</v>
      </c>
      <c r="J25" s="4">
        <v>0</v>
      </c>
      <c r="K25" s="4">
        <v>0</v>
      </c>
      <c r="L25" s="5">
        <v>0</v>
      </c>
      <c r="M25" s="5">
        <v>6.4</v>
      </c>
      <c r="N25" s="6">
        <v>5760</v>
      </c>
      <c r="O25" s="4">
        <v>5760</v>
      </c>
      <c r="P25" s="4">
        <v>5760</v>
      </c>
      <c r="Q25" s="6">
        <v>0</v>
      </c>
      <c r="R25" s="4">
        <v>0</v>
      </c>
      <c r="S25" s="4">
        <v>0</v>
      </c>
      <c r="T25" s="4">
        <v>72000</v>
      </c>
      <c r="U25" s="4">
        <v>72000</v>
      </c>
      <c r="V25" s="6">
        <v>80</v>
      </c>
      <c r="W25" s="4">
        <v>0</v>
      </c>
      <c r="X25" s="4">
        <v>0</v>
      </c>
      <c r="Y25" s="4">
        <v>66960</v>
      </c>
      <c r="Z25" s="4">
        <v>66960</v>
      </c>
      <c r="AA25" s="4">
        <v>5.6</v>
      </c>
      <c r="AB25" s="6">
        <v>5040</v>
      </c>
      <c r="AC25" s="4">
        <v>5040</v>
      </c>
      <c r="AD25" s="4">
        <v>5040</v>
      </c>
      <c r="AE25" s="6">
        <v>0</v>
      </c>
      <c r="AF25" s="4">
        <v>0</v>
      </c>
      <c r="AG25" s="7">
        <v>0</v>
      </c>
      <c r="AH25" s="2" t="s">
        <v>37</v>
      </c>
      <c r="AI25">
        <v>0</v>
      </c>
      <c r="AJ25" s="3">
        <v>41912.6862384259</v>
      </c>
      <c r="AK25" s="2" t="s">
        <v>2254</v>
      </c>
    </row>
    <row r="26" spans="1:37" x14ac:dyDescent="0.15">
      <c r="A26" s="2" t="s">
        <v>2253</v>
      </c>
      <c r="B26">
        <v>43</v>
      </c>
      <c r="C26" s="3">
        <v>40969</v>
      </c>
      <c r="D26" s="2" t="s">
        <v>37</v>
      </c>
      <c r="E26" s="2" t="s">
        <v>2252</v>
      </c>
      <c r="F26" s="2" t="s">
        <v>41</v>
      </c>
      <c r="G26" s="2" t="s">
        <v>91</v>
      </c>
      <c r="H26" s="2" t="s">
        <v>92</v>
      </c>
      <c r="I26" s="4">
        <v>552000</v>
      </c>
      <c r="J26" s="4">
        <v>0</v>
      </c>
      <c r="K26" s="4">
        <v>0</v>
      </c>
      <c r="L26" s="5">
        <v>0</v>
      </c>
      <c r="M26" s="5">
        <v>8.6</v>
      </c>
      <c r="N26" s="6">
        <v>47472</v>
      </c>
      <c r="O26" s="4">
        <v>41668.089999999997</v>
      </c>
      <c r="P26" s="4">
        <v>41668.089999999997</v>
      </c>
      <c r="Q26" s="6">
        <v>5803.91</v>
      </c>
      <c r="R26" s="4">
        <v>0</v>
      </c>
      <c r="S26" s="4">
        <v>0</v>
      </c>
      <c r="T26" s="4">
        <v>496800</v>
      </c>
      <c r="U26" s="4">
        <v>496800</v>
      </c>
      <c r="V26" s="6">
        <v>90</v>
      </c>
      <c r="W26" s="4">
        <v>0</v>
      </c>
      <c r="X26" s="4">
        <v>0</v>
      </c>
      <c r="Y26" s="4">
        <v>480537</v>
      </c>
      <c r="Z26" s="4">
        <v>480537</v>
      </c>
      <c r="AA26" s="4"/>
      <c r="AB26" s="6">
        <v>16263.2</v>
      </c>
      <c r="AC26" s="4">
        <v>16263.2</v>
      </c>
      <c r="AD26" s="4">
        <v>16263.2</v>
      </c>
      <c r="AE26" s="6">
        <v>0</v>
      </c>
      <c r="AF26" s="4">
        <v>0</v>
      </c>
      <c r="AG26" s="7">
        <v>0</v>
      </c>
      <c r="AH26" s="2" t="s">
        <v>37</v>
      </c>
      <c r="AI26">
        <v>0</v>
      </c>
      <c r="AJ26" s="3">
        <v>41912.6862384259</v>
      </c>
      <c r="AK26" s="2" t="s">
        <v>2251</v>
      </c>
    </row>
    <row r="27" spans="1:37" x14ac:dyDescent="0.15">
      <c r="A27" s="2" t="s">
        <v>2250</v>
      </c>
      <c r="B27">
        <v>428</v>
      </c>
      <c r="C27" s="3">
        <v>40969</v>
      </c>
      <c r="D27" s="2" t="s">
        <v>37</v>
      </c>
      <c r="E27" s="2" t="s">
        <v>2249</v>
      </c>
      <c r="F27" s="2" t="s">
        <v>38</v>
      </c>
      <c r="G27" s="2" t="s">
        <v>89</v>
      </c>
      <c r="H27" s="2" t="s">
        <v>90</v>
      </c>
      <c r="I27" s="4">
        <v>15000000</v>
      </c>
      <c r="J27" s="4">
        <v>60000</v>
      </c>
      <c r="K27" s="4">
        <v>60000</v>
      </c>
      <c r="L27" s="5"/>
      <c r="M27" s="5">
        <v>3</v>
      </c>
      <c r="N27" s="6">
        <v>451800</v>
      </c>
      <c r="O27" s="4">
        <v>450000</v>
      </c>
      <c r="P27" s="4">
        <v>450000</v>
      </c>
      <c r="Q27" s="6">
        <v>1800</v>
      </c>
      <c r="R27" s="4">
        <v>12400000</v>
      </c>
      <c r="S27" s="4">
        <v>12400000</v>
      </c>
      <c r="T27" s="4">
        <v>12400000</v>
      </c>
      <c r="U27" s="4">
        <v>12400000</v>
      </c>
      <c r="V27" s="6">
        <v>82.337299999999999</v>
      </c>
      <c r="W27" s="4">
        <v>12114323.560000001</v>
      </c>
      <c r="X27" s="4">
        <v>12114323.560000001</v>
      </c>
      <c r="Y27" s="4">
        <v>12399923.560000001</v>
      </c>
      <c r="Z27" s="4">
        <v>12399923.560000001</v>
      </c>
      <c r="AA27" s="4">
        <v>3.4</v>
      </c>
      <c r="AB27" s="6">
        <v>421600</v>
      </c>
      <c r="AC27" s="4">
        <v>421600</v>
      </c>
      <c r="AD27" s="4">
        <v>421600</v>
      </c>
      <c r="AE27" s="6">
        <v>0</v>
      </c>
      <c r="AF27" s="4">
        <v>0</v>
      </c>
      <c r="AG27" s="7">
        <v>25</v>
      </c>
      <c r="AH27" s="2" t="s">
        <v>52</v>
      </c>
      <c r="AI27">
        <v>0</v>
      </c>
      <c r="AJ27" s="3">
        <v>41912.686249999999</v>
      </c>
      <c r="AK27" s="2" t="s">
        <v>2248</v>
      </c>
    </row>
    <row r="28" spans="1:37" x14ac:dyDescent="0.15">
      <c r="A28" s="2" t="s">
        <v>2247</v>
      </c>
      <c r="B28">
        <v>438</v>
      </c>
      <c r="C28" s="3">
        <v>40988</v>
      </c>
      <c r="D28" s="2" t="s">
        <v>37</v>
      </c>
      <c r="E28" s="2" t="s">
        <v>2246</v>
      </c>
      <c r="F28" s="2" t="s">
        <v>38</v>
      </c>
      <c r="G28" s="2" t="s">
        <v>93</v>
      </c>
      <c r="H28" s="2" t="s">
        <v>94</v>
      </c>
      <c r="I28" s="4">
        <v>1523208.31</v>
      </c>
      <c r="J28" s="4">
        <v>0</v>
      </c>
      <c r="K28" s="4">
        <v>0</v>
      </c>
      <c r="L28" s="5"/>
      <c r="M28" s="5">
        <v>3.6</v>
      </c>
      <c r="N28" s="6">
        <v>54835.499199999998</v>
      </c>
      <c r="O28" s="4">
        <v>54835.5</v>
      </c>
      <c r="P28" s="4">
        <v>54835.5</v>
      </c>
      <c r="Q28" s="6">
        <v>-8.0000000000000004E-4</v>
      </c>
      <c r="R28" s="4">
        <v>1294727.06</v>
      </c>
      <c r="S28" s="4">
        <v>1294727.06</v>
      </c>
      <c r="T28" s="4">
        <v>1294727.06</v>
      </c>
      <c r="U28" s="4">
        <v>1294727.06</v>
      </c>
      <c r="V28" s="6">
        <v>85</v>
      </c>
      <c r="W28" s="4">
        <v>1049652.07</v>
      </c>
      <c r="X28" s="4">
        <v>1049652.07</v>
      </c>
      <c r="Y28" s="4">
        <v>1294623.48</v>
      </c>
      <c r="Z28" s="4">
        <v>1294623.48</v>
      </c>
      <c r="AA28" s="4">
        <v>3.4</v>
      </c>
      <c r="AB28" s="6">
        <v>44020.72</v>
      </c>
      <c r="AC28" s="4">
        <v>44021</v>
      </c>
      <c r="AD28" s="4">
        <v>44021</v>
      </c>
      <c r="AE28" s="6">
        <v>-0.28000000000000003</v>
      </c>
      <c r="AF28" s="4">
        <v>0</v>
      </c>
      <c r="AG28" s="7">
        <v>20</v>
      </c>
      <c r="AH28" s="2" t="s">
        <v>66</v>
      </c>
      <c r="AI28">
        <v>0</v>
      </c>
      <c r="AJ28" s="3">
        <v>41912.686249999999</v>
      </c>
      <c r="AK28" s="2" t="s">
        <v>2245</v>
      </c>
    </row>
    <row r="29" spans="1:37" x14ac:dyDescent="0.15">
      <c r="A29" s="2" t="s">
        <v>2244</v>
      </c>
      <c r="B29">
        <v>447</v>
      </c>
      <c r="C29" s="3">
        <v>40988</v>
      </c>
      <c r="D29" s="2" t="s">
        <v>37</v>
      </c>
      <c r="E29" s="2" t="s">
        <v>2243</v>
      </c>
      <c r="F29" s="2" t="s">
        <v>38</v>
      </c>
      <c r="G29" s="2" t="s">
        <v>95</v>
      </c>
      <c r="H29" s="2" t="s">
        <v>96</v>
      </c>
      <c r="I29" s="4">
        <v>3701841.55</v>
      </c>
      <c r="J29" s="4">
        <v>4570557.6500000004</v>
      </c>
      <c r="K29" s="4">
        <v>4570557.6500000004</v>
      </c>
      <c r="L29" s="5"/>
      <c r="M29" s="5">
        <v>3</v>
      </c>
      <c r="N29" s="6">
        <v>248171.976</v>
      </c>
      <c r="O29" s="4">
        <v>248172</v>
      </c>
      <c r="P29" s="4">
        <v>248172</v>
      </c>
      <c r="Q29" s="6">
        <v>-2.4E-2</v>
      </c>
      <c r="R29" s="4">
        <v>7316811.7300000004</v>
      </c>
      <c r="S29" s="4">
        <v>7316811.7300000004</v>
      </c>
      <c r="T29" s="4">
        <v>7294401.4500000002</v>
      </c>
      <c r="U29" s="4">
        <v>7294401.4500000002</v>
      </c>
      <c r="V29" s="6">
        <v>88.177599999999998</v>
      </c>
      <c r="W29" s="4">
        <v>6832563.96</v>
      </c>
      <c r="X29" s="4">
        <v>6832563.96</v>
      </c>
      <c r="Y29" s="4">
        <v>7155469.46</v>
      </c>
      <c r="Z29" s="4">
        <v>7155469.46</v>
      </c>
      <c r="AA29" s="4">
        <v>3.4</v>
      </c>
      <c r="AB29" s="6">
        <v>248771.59880000001</v>
      </c>
      <c r="AC29" s="4">
        <v>248773</v>
      </c>
      <c r="AD29" s="4">
        <v>248773</v>
      </c>
      <c r="AE29" s="6">
        <v>-1.4012</v>
      </c>
      <c r="AF29" s="4">
        <v>0</v>
      </c>
      <c r="AG29" s="7">
        <v>57</v>
      </c>
      <c r="AH29" s="2" t="s">
        <v>97</v>
      </c>
      <c r="AI29">
        <v>0</v>
      </c>
      <c r="AJ29" s="3">
        <v>41912.686249999999</v>
      </c>
      <c r="AK29" s="2" t="s">
        <v>2242</v>
      </c>
    </row>
    <row r="30" spans="1:37" x14ac:dyDescent="0.15">
      <c r="A30" s="2" t="s">
        <v>2241</v>
      </c>
      <c r="B30">
        <v>455</v>
      </c>
      <c r="C30" s="3">
        <v>40989</v>
      </c>
      <c r="D30" s="2" t="s">
        <v>37</v>
      </c>
      <c r="E30" s="2" t="s">
        <v>2240</v>
      </c>
      <c r="F30" s="2" t="s">
        <v>38</v>
      </c>
      <c r="G30" s="2" t="s">
        <v>98</v>
      </c>
      <c r="H30" s="2" t="s">
        <v>99</v>
      </c>
      <c r="I30" s="4">
        <v>5578834.2999999998</v>
      </c>
      <c r="J30" s="4">
        <v>0</v>
      </c>
      <c r="K30" s="4">
        <v>0</v>
      </c>
      <c r="L30" s="5"/>
      <c r="M30" s="5">
        <v>3.6</v>
      </c>
      <c r="N30" s="6">
        <v>200838.03479999999</v>
      </c>
      <c r="O30" s="4">
        <v>200838</v>
      </c>
      <c r="P30" s="4">
        <v>200838</v>
      </c>
      <c r="Q30" s="6">
        <v>3.4799999999999998E-2</v>
      </c>
      <c r="R30" s="4">
        <v>3416000</v>
      </c>
      <c r="S30" s="4">
        <v>3416000</v>
      </c>
      <c r="T30" s="4">
        <v>3416000</v>
      </c>
      <c r="U30" s="4">
        <v>3416000</v>
      </c>
      <c r="V30" s="6">
        <v>61.231400000000001</v>
      </c>
      <c r="W30" s="4">
        <v>3252562.45</v>
      </c>
      <c r="X30" s="4">
        <v>3252562.45</v>
      </c>
      <c r="Y30" s="4">
        <v>3409775.64</v>
      </c>
      <c r="Z30" s="4">
        <v>3409775.64</v>
      </c>
      <c r="AA30" s="4">
        <v>3.4</v>
      </c>
      <c r="AB30" s="6">
        <v>116144</v>
      </c>
      <c r="AC30" s="4">
        <v>116144</v>
      </c>
      <c r="AD30" s="4">
        <v>116144</v>
      </c>
      <c r="AE30" s="6">
        <v>0</v>
      </c>
      <c r="AF30" s="4">
        <v>0</v>
      </c>
      <c r="AG30" s="7">
        <v>64</v>
      </c>
      <c r="AH30" s="2" t="s">
        <v>100</v>
      </c>
      <c r="AI30">
        <v>0</v>
      </c>
      <c r="AJ30" s="3">
        <v>41912.686249999999</v>
      </c>
      <c r="AK30" s="2" t="s">
        <v>2239</v>
      </c>
    </row>
    <row r="31" spans="1:37" x14ac:dyDescent="0.15">
      <c r="A31" s="2" t="s">
        <v>2238</v>
      </c>
      <c r="B31">
        <v>463</v>
      </c>
      <c r="C31" s="3">
        <v>40998</v>
      </c>
      <c r="D31" s="2" t="s">
        <v>37</v>
      </c>
      <c r="E31" s="2" t="s">
        <v>2237</v>
      </c>
      <c r="F31" s="2" t="s">
        <v>38</v>
      </c>
      <c r="G31" s="2" t="s">
        <v>101</v>
      </c>
      <c r="H31" s="2" t="s">
        <v>102</v>
      </c>
      <c r="I31" s="4">
        <v>5045600</v>
      </c>
      <c r="J31" s="4">
        <v>118800</v>
      </c>
      <c r="K31" s="4">
        <v>118800</v>
      </c>
      <c r="L31" s="5"/>
      <c r="M31" s="5">
        <v>3.6</v>
      </c>
      <c r="N31" s="6">
        <v>185918.4</v>
      </c>
      <c r="O31" s="4">
        <v>185919.85</v>
      </c>
      <c r="P31" s="4">
        <v>185919.85</v>
      </c>
      <c r="Q31" s="6">
        <v>-1.45</v>
      </c>
      <c r="R31" s="4">
        <v>4624200</v>
      </c>
      <c r="S31" s="4">
        <v>4624200</v>
      </c>
      <c r="T31" s="4">
        <v>4737414.8600000003</v>
      </c>
      <c r="U31" s="4">
        <v>4737414.8600000003</v>
      </c>
      <c r="V31" s="6">
        <v>91.732100000000003</v>
      </c>
      <c r="W31" s="4">
        <v>4276212.79</v>
      </c>
      <c r="X31" s="4">
        <v>4276212.79</v>
      </c>
      <c r="Y31" s="4">
        <v>4737414.8600000003</v>
      </c>
      <c r="Z31" s="4">
        <v>4737414.8600000003</v>
      </c>
      <c r="AA31" s="4"/>
      <c r="AB31" s="6"/>
      <c r="AC31" s="4">
        <v>0</v>
      </c>
      <c r="AD31" s="4">
        <v>0</v>
      </c>
      <c r="AE31" s="6"/>
      <c r="AF31" s="4">
        <v>0</v>
      </c>
      <c r="AG31" s="7">
        <v>54</v>
      </c>
      <c r="AH31" s="2" t="s">
        <v>103</v>
      </c>
      <c r="AI31">
        <v>0</v>
      </c>
      <c r="AJ31" s="3">
        <v>41912.686249999999</v>
      </c>
      <c r="AK31" s="2" t="s">
        <v>2236</v>
      </c>
    </row>
    <row r="32" spans="1:37" x14ac:dyDescent="0.15">
      <c r="A32" s="2" t="s">
        <v>2235</v>
      </c>
      <c r="B32">
        <v>479</v>
      </c>
      <c r="C32" s="3">
        <v>41000</v>
      </c>
      <c r="D32" s="2" t="s">
        <v>37</v>
      </c>
      <c r="E32" s="2" t="s">
        <v>2234</v>
      </c>
      <c r="F32" s="2" t="s">
        <v>38</v>
      </c>
      <c r="G32" s="2" t="s">
        <v>108</v>
      </c>
      <c r="H32" s="2" t="s">
        <v>109</v>
      </c>
      <c r="I32" s="4">
        <v>416950</v>
      </c>
      <c r="J32" s="4">
        <v>36973.599999999999</v>
      </c>
      <c r="K32" s="4">
        <v>36973.599999999999</v>
      </c>
      <c r="L32" s="5">
        <v>453923.6</v>
      </c>
      <c r="M32" s="5">
        <v>3.6</v>
      </c>
      <c r="N32" s="6">
        <v>16341.249599999999</v>
      </c>
      <c r="O32" s="4">
        <v>15010</v>
      </c>
      <c r="P32" s="4">
        <v>15010</v>
      </c>
      <c r="Q32" s="6">
        <v>1331.2496000000001</v>
      </c>
      <c r="R32" s="4">
        <v>431228</v>
      </c>
      <c r="S32" s="4">
        <v>431228</v>
      </c>
      <c r="T32" s="4">
        <v>431228</v>
      </c>
      <c r="U32" s="4">
        <v>431228</v>
      </c>
      <c r="V32" s="6">
        <v>95.000100000000003</v>
      </c>
      <c r="W32" s="4">
        <v>255500</v>
      </c>
      <c r="X32" s="4">
        <v>255500</v>
      </c>
      <c r="Y32" s="4">
        <v>427020</v>
      </c>
      <c r="Z32" s="4">
        <v>427020</v>
      </c>
      <c r="AA32" s="4">
        <v>3.4</v>
      </c>
      <c r="AB32" s="6">
        <v>14661.752</v>
      </c>
      <c r="AC32" s="4">
        <v>14662</v>
      </c>
      <c r="AD32" s="4">
        <v>14662</v>
      </c>
      <c r="AE32" s="6">
        <v>-0.248</v>
      </c>
      <c r="AF32" s="4">
        <v>0</v>
      </c>
      <c r="AG32" s="7">
        <v>0</v>
      </c>
      <c r="AH32" s="2" t="s">
        <v>37</v>
      </c>
      <c r="AI32">
        <v>0</v>
      </c>
      <c r="AJ32" s="3">
        <v>41912.686249999999</v>
      </c>
      <c r="AK32" s="2" t="s">
        <v>2233</v>
      </c>
    </row>
    <row r="33" spans="1:37" x14ac:dyDescent="0.15">
      <c r="A33" s="2" t="s">
        <v>2232</v>
      </c>
      <c r="B33">
        <v>47</v>
      </c>
      <c r="C33" s="3">
        <v>41000</v>
      </c>
      <c r="D33" s="2" t="s">
        <v>37</v>
      </c>
      <c r="E33" s="2" t="s">
        <v>2231</v>
      </c>
      <c r="F33" s="2" t="s">
        <v>41</v>
      </c>
      <c r="G33" s="2" t="s">
        <v>106</v>
      </c>
      <c r="H33" s="2" t="s">
        <v>107</v>
      </c>
      <c r="I33" s="4">
        <v>28833444.800000001</v>
      </c>
      <c r="J33" s="4">
        <v>0</v>
      </c>
      <c r="K33" s="4">
        <v>0</v>
      </c>
      <c r="L33" s="5">
        <v>0</v>
      </c>
      <c r="M33" s="5">
        <v>5.6</v>
      </c>
      <c r="N33" s="6">
        <v>1614672.9088000001</v>
      </c>
      <c r="O33" s="4">
        <v>1614673</v>
      </c>
      <c r="P33" s="4">
        <v>1614673</v>
      </c>
      <c r="Q33" s="6">
        <v>-9.1200000000000003E-2</v>
      </c>
      <c r="R33" s="4">
        <v>0</v>
      </c>
      <c r="S33" s="4">
        <v>0</v>
      </c>
      <c r="T33" s="4">
        <v>22666755.800000001</v>
      </c>
      <c r="U33" s="4">
        <v>22666755.800000001</v>
      </c>
      <c r="V33" s="6">
        <v>78.612700000000004</v>
      </c>
      <c r="W33" s="4">
        <v>0</v>
      </c>
      <c r="X33" s="4">
        <v>0</v>
      </c>
      <c r="Y33" s="4">
        <v>22653028.379999999</v>
      </c>
      <c r="Z33" s="4">
        <v>22653028.379999999</v>
      </c>
      <c r="AA33" s="4"/>
      <c r="AB33" s="6">
        <v>0</v>
      </c>
      <c r="AC33" s="4">
        <v>0</v>
      </c>
      <c r="AD33" s="4">
        <v>0</v>
      </c>
      <c r="AE33" s="6">
        <v>0</v>
      </c>
      <c r="AF33" s="4">
        <v>0</v>
      </c>
      <c r="AG33" s="7">
        <v>0</v>
      </c>
      <c r="AH33" s="2" t="s">
        <v>37</v>
      </c>
      <c r="AI33">
        <v>0</v>
      </c>
      <c r="AJ33" s="3">
        <v>41912.6862384259</v>
      </c>
      <c r="AK33" s="2" t="s">
        <v>2230</v>
      </c>
    </row>
    <row r="34" spans="1:37" x14ac:dyDescent="0.15">
      <c r="A34" s="2" t="s">
        <v>2229</v>
      </c>
      <c r="B34">
        <v>430</v>
      </c>
      <c r="C34" s="3">
        <v>41000</v>
      </c>
      <c r="D34" s="2" t="s">
        <v>37</v>
      </c>
      <c r="E34" s="2" t="s">
        <v>2228</v>
      </c>
      <c r="F34" s="2" t="s">
        <v>38</v>
      </c>
      <c r="G34" s="2" t="s">
        <v>104</v>
      </c>
      <c r="H34" s="2" t="s">
        <v>105</v>
      </c>
      <c r="I34" s="4">
        <v>1315898</v>
      </c>
      <c r="J34" s="4">
        <v>0</v>
      </c>
      <c r="K34" s="4">
        <v>0</v>
      </c>
      <c r="L34" s="5"/>
      <c r="M34" s="5">
        <v>3.6</v>
      </c>
      <c r="N34" s="6">
        <v>47372.328000000001</v>
      </c>
      <c r="O34" s="4">
        <v>0</v>
      </c>
      <c r="P34" s="4">
        <v>0</v>
      </c>
      <c r="Q34" s="6">
        <v>47372.328000000001</v>
      </c>
      <c r="R34" s="4">
        <v>0</v>
      </c>
      <c r="S34" s="4">
        <v>0</v>
      </c>
      <c r="T34" s="4">
        <v>0</v>
      </c>
      <c r="U34" s="4">
        <v>0</v>
      </c>
      <c r="V34" s="6">
        <v>0</v>
      </c>
      <c r="W34" s="4">
        <v>0</v>
      </c>
      <c r="X34" s="4">
        <v>0</v>
      </c>
      <c r="Y34" s="4">
        <v>0</v>
      </c>
      <c r="Z34" s="4">
        <v>0</v>
      </c>
      <c r="AA34" s="4">
        <v>3.4</v>
      </c>
      <c r="AB34" s="6">
        <v>0</v>
      </c>
      <c r="AC34" s="4">
        <v>0</v>
      </c>
      <c r="AD34" s="4">
        <v>0</v>
      </c>
      <c r="AE34" s="6">
        <v>0</v>
      </c>
      <c r="AF34" s="4">
        <v>0</v>
      </c>
      <c r="AG34" s="7">
        <v>6</v>
      </c>
      <c r="AH34" s="2" t="s">
        <v>97</v>
      </c>
      <c r="AI34">
        <v>0</v>
      </c>
      <c r="AJ34" s="3">
        <v>41912.686249999999</v>
      </c>
      <c r="AK34" s="2" t="s">
        <v>2227</v>
      </c>
    </row>
    <row r="35" spans="1:37" x14ac:dyDescent="0.15">
      <c r="A35" s="2" t="s">
        <v>2226</v>
      </c>
      <c r="B35">
        <v>471</v>
      </c>
      <c r="C35" s="3">
        <v>41006</v>
      </c>
      <c r="D35" s="2" t="s">
        <v>37</v>
      </c>
      <c r="E35" s="2" t="s">
        <v>2225</v>
      </c>
      <c r="F35" s="2" t="s">
        <v>38</v>
      </c>
      <c r="G35" s="2" t="s">
        <v>110</v>
      </c>
      <c r="H35" s="2" t="s">
        <v>111</v>
      </c>
      <c r="I35" s="4">
        <v>4328546</v>
      </c>
      <c r="J35" s="4">
        <v>0</v>
      </c>
      <c r="K35" s="4">
        <v>0</v>
      </c>
      <c r="L35" s="5"/>
      <c r="M35" s="5">
        <v>4.5999999999999996</v>
      </c>
      <c r="N35" s="6">
        <v>199113.11600000001</v>
      </c>
      <c r="O35" s="4">
        <v>199113</v>
      </c>
      <c r="P35" s="4">
        <v>199113</v>
      </c>
      <c r="Q35" s="6">
        <v>0.11600000000000001</v>
      </c>
      <c r="R35" s="4">
        <v>3462837</v>
      </c>
      <c r="S35" s="4">
        <v>3462837</v>
      </c>
      <c r="T35" s="4">
        <v>3462837</v>
      </c>
      <c r="U35" s="4">
        <v>3462837</v>
      </c>
      <c r="V35" s="6">
        <v>80</v>
      </c>
      <c r="W35" s="4">
        <v>3278949.26</v>
      </c>
      <c r="X35" s="4">
        <v>3278949.26</v>
      </c>
      <c r="Y35" s="4">
        <v>3462635.86</v>
      </c>
      <c r="Z35" s="4">
        <v>3462635.86</v>
      </c>
      <c r="AA35" s="4">
        <v>3.4</v>
      </c>
      <c r="AB35" s="6">
        <v>117736.458</v>
      </c>
      <c r="AC35" s="4">
        <v>117737</v>
      </c>
      <c r="AD35" s="4">
        <v>117737</v>
      </c>
      <c r="AE35" s="6">
        <v>-0.54200000000000004</v>
      </c>
      <c r="AF35" s="4">
        <v>0</v>
      </c>
      <c r="AG35" s="7">
        <v>55</v>
      </c>
      <c r="AH35" s="2" t="s">
        <v>66</v>
      </c>
      <c r="AI35">
        <v>0</v>
      </c>
      <c r="AJ35" s="3">
        <v>41912.686249999999</v>
      </c>
      <c r="AK35" s="2" t="s">
        <v>2224</v>
      </c>
    </row>
    <row r="36" spans="1:37" x14ac:dyDescent="0.15">
      <c r="A36" s="2" t="s">
        <v>2223</v>
      </c>
      <c r="B36">
        <v>503</v>
      </c>
      <c r="C36" s="3">
        <v>41030</v>
      </c>
      <c r="D36" s="2" t="s">
        <v>37</v>
      </c>
      <c r="E36" s="2" t="s">
        <v>2222</v>
      </c>
      <c r="F36" s="2" t="s">
        <v>38</v>
      </c>
      <c r="G36" s="2" t="s">
        <v>114</v>
      </c>
      <c r="H36" s="2" t="s">
        <v>115</v>
      </c>
      <c r="I36" s="4">
        <v>5473241</v>
      </c>
      <c r="J36" s="4">
        <v>47753</v>
      </c>
      <c r="K36" s="4">
        <v>47753</v>
      </c>
      <c r="L36" s="5">
        <v>5520994</v>
      </c>
      <c r="M36" s="5">
        <v>3</v>
      </c>
      <c r="N36" s="6">
        <v>165629.82</v>
      </c>
      <c r="O36" s="4">
        <v>164197</v>
      </c>
      <c r="P36" s="4">
        <v>164197</v>
      </c>
      <c r="Q36" s="6">
        <v>1432.82</v>
      </c>
      <c r="R36" s="4">
        <v>5520994</v>
      </c>
      <c r="S36" s="4">
        <v>5520994</v>
      </c>
      <c r="T36" s="4">
        <v>5244944.3</v>
      </c>
      <c r="U36" s="4">
        <v>5244944.3</v>
      </c>
      <c r="V36" s="6">
        <v>95</v>
      </c>
      <c r="W36" s="4">
        <v>4583453.1900000004</v>
      </c>
      <c r="X36" s="4">
        <v>4583453.1900000004</v>
      </c>
      <c r="Y36" s="4">
        <v>5238901.47</v>
      </c>
      <c r="Z36" s="4">
        <v>5238901.47</v>
      </c>
      <c r="AA36" s="4">
        <v>3.74</v>
      </c>
      <c r="AB36" s="6">
        <v>206485.17559999999</v>
      </c>
      <c r="AC36" s="4">
        <v>0</v>
      </c>
      <c r="AD36" s="4">
        <v>0</v>
      </c>
      <c r="AE36" s="6">
        <v>206485.17559999999</v>
      </c>
      <c r="AF36" s="4">
        <v>0</v>
      </c>
      <c r="AG36" s="7">
        <v>0</v>
      </c>
      <c r="AH36" s="2" t="s">
        <v>37</v>
      </c>
      <c r="AI36">
        <v>0</v>
      </c>
      <c r="AJ36" s="3">
        <v>41912.686249999999</v>
      </c>
      <c r="AK36" s="2" t="s">
        <v>2221</v>
      </c>
    </row>
    <row r="37" spans="1:37" x14ac:dyDescent="0.15">
      <c r="A37" s="2" t="s">
        <v>2220</v>
      </c>
      <c r="B37">
        <v>519</v>
      </c>
      <c r="C37" s="3">
        <v>41030</v>
      </c>
      <c r="D37" s="2" t="s">
        <v>37</v>
      </c>
      <c r="E37" s="2" t="s">
        <v>2219</v>
      </c>
      <c r="F37" s="2" t="s">
        <v>38</v>
      </c>
      <c r="G37" s="2" t="s">
        <v>112</v>
      </c>
      <c r="H37" s="2" t="s">
        <v>113</v>
      </c>
      <c r="I37" s="4">
        <v>3831227.57</v>
      </c>
      <c r="J37" s="4">
        <v>0</v>
      </c>
      <c r="K37" s="4">
        <v>0</v>
      </c>
      <c r="L37" s="5"/>
      <c r="M37" s="5">
        <v>3.6</v>
      </c>
      <c r="N37" s="6">
        <v>137924.1925</v>
      </c>
      <c r="O37" s="4">
        <v>137924</v>
      </c>
      <c r="P37" s="4">
        <v>137924</v>
      </c>
      <c r="Q37" s="6">
        <v>0.1925</v>
      </c>
      <c r="R37" s="4">
        <v>3831180</v>
      </c>
      <c r="S37" s="4">
        <v>3831180</v>
      </c>
      <c r="T37" s="4">
        <v>3030000</v>
      </c>
      <c r="U37" s="4">
        <v>3030000</v>
      </c>
      <c r="V37" s="6">
        <v>79.0869</v>
      </c>
      <c r="W37" s="4">
        <v>2725866.33</v>
      </c>
      <c r="X37" s="4">
        <v>2725866.33</v>
      </c>
      <c r="Y37" s="4">
        <v>3007274.13</v>
      </c>
      <c r="Z37" s="4">
        <v>3007274.13</v>
      </c>
      <c r="AA37" s="4">
        <v>3.4</v>
      </c>
      <c r="AB37" s="6">
        <v>130260.12</v>
      </c>
      <c r="AC37" s="4">
        <v>130260</v>
      </c>
      <c r="AD37" s="4">
        <v>130260</v>
      </c>
      <c r="AE37" s="6">
        <v>0.12</v>
      </c>
      <c r="AF37" s="4">
        <v>0</v>
      </c>
      <c r="AG37" s="7">
        <v>31</v>
      </c>
      <c r="AH37" s="2" t="s">
        <v>52</v>
      </c>
      <c r="AI37">
        <v>0</v>
      </c>
      <c r="AJ37" s="3">
        <v>41912.686249999999</v>
      </c>
      <c r="AK37" s="2" t="s">
        <v>2218</v>
      </c>
    </row>
    <row r="38" spans="1:37" x14ac:dyDescent="0.15">
      <c r="A38" s="2" t="s">
        <v>2217</v>
      </c>
      <c r="B38">
        <v>487</v>
      </c>
      <c r="C38" s="3">
        <v>41031</v>
      </c>
      <c r="D38" s="2" t="s">
        <v>37</v>
      </c>
      <c r="E38" s="2" t="s">
        <v>2216</v>
      </c>
      <c r="F38" s="2" t="s">
        <v>38</v>
      </c>
      <c r="G38" s="2" t="s">
        <v>116</v>
      </c>
      <c r="H38" s="2" t="s">
        <v>117</v>
      </c>
      <c r="I38" s="4">
        <v>1785000</v>
      </c>
      <c r="J38" s="4">
        <v>0</v>
      </c>
      <c r="K38" s="4">
        <v>0</v>
      </c>
      <c r="L38" s="5"/>
      <c r="M38" s="5">
        <v>3.6</v>
      </c>
      <c r="N38" s="6">
        <v>64260</v>
      </c>
      <c r="O38" s="4">
        <v>64260</v>
      </c>
      <c r="P38" s="4">
        <v>64260</v>
      </c>
      <c r="Q38" s="6">
        <v>0</v>
      </c>
      <c r="R38" s="4">
        <v>500000</v>
      </c>
      <c r="S38" s="4">
        <v>500000</v>
      </c>
      <c r="T38" s="4">
        <v>500000</v>
      </c>
      <c r="U38" s="4">
        <v>500000</v>
      </c>
      <c r="V38" s="6">
        <v>28.011199999999999</v>
      </c>
      <c r="W38" s="4">
        <v>395996</v>
      </c>
      <c r="X38" s="4">
        <v>395996</v>
      </c>
      <c r="Y38" s="4">
        <v>499041.97</v>
      </c>
      <c r="Z38" s="4">
        <v>499041.97</v>
      </c>
      <c r="AA38" s="4">
        <v>3.4</v>
      </c>
      <c r="AB38" s="6">
        <v>17000</v>
      </c>
      <c r="AC38" s="4">
        <v>17000</v>
      </c>
      <c r="AD38" s="4">
        <v>17000</v>
      </c>
      <c r="AE38" s="6">
        <v>0</v>
      </c>
      <c r="AF38" s="4">
        <v>0</v>
      </c>
      <c r="AG38" s="7">
        <v>20</v>
      </c>
      <c r="AH38" s="2" t="s">
        <v>66</v>
      </c>
      <c r="AI38">
        <v>0</v>
      </c>
      <c r="AJ38" s="3">
        <v>41912.686249999999</v>
      </c>
      <c r="AK38" s="2" t="s">
        <v>2215</v>
      </c>
    </row>
    <row r="39" spans="1:37" x14ac:dyDescent="0.15">
      <c r="A39" s="2" t="s">
        <v>2214</v>
      </c>
      <c r="B39">
        <v>496</v>
      </c>
      <c r="C39" s="3">
        <v>41039</v>
      </c>
      <c r="D39" s="2" t="s">
        <v>37</v>
      </c>
      <c r="E39" s="2" t="s">
        <v>2213</v>
      </c>
      <c r="F39" s="2" t="s">
        <v>38</v>
      </c>
      <c r="G39" s="2" t="s">
        <v>118</v>
      </c>
      <c r="H39" s="2" t="s">
        <v>119</v>
      </c>
      <c r="I39" s="4">
        <v>2220000</v>
      </c>
      <c r="J39" s="4">
        <v>351000</v>
      </c>
      <c r="K39" s="4">
        <v>351000</v>
      </c>
      <c r="L39" s="5">
        <v>2571000</v>
      </c>
      <c r="M39" s="5">
        <v>3.6</v>
      </c>
      <c r="N39" s="6">
        <v>92556</v>
      </c>
      <c r="O39" s="4">
        <v>92556</v>
      </c>
      <c r="P39" s="4">
        <v>92556</v>
      </c>
      <c r="Q39" s="6">
        <v>0</v>
      </c>
      <c r="R39" s="4">
        <v>1550000</v>
      </c>
      <c r="S39" s="4">
        <v>1550000</v>
      </c>
      <c r="T39" s="4">
        <v>1530000</v>
      </c>
      <c r="U39" s="4">
        <v>1530000</v>
      </c>
      <c r="V39" s="6">
        <v>59.509900000000002</v>
      </c>
      <c r="W39" s="4">
        <v>954836</v>
      </c>
      <c r="X39" s="4">
        <v>954836</v>
      </c>
      <c r="Y39" s="4">
        <v>1530000</v>
      </c>
      <c r="Z39" s="4">
        <v>1530000</v>
      </c>
      <c r="AA39" s="4">
        <v>3.4</v>
      </c>
      <c r="AB39" s="6">
        <v>52700</v>
      </c>
      <c r="AC39" s="4">
        <v>52700</v>
      </c>
      <c r="AD39" s="4">
        <v>52700</v>
      </c>
      <c r="AE39" s="6">
        <v>0</v>
      </c>
      <c r="AF39" s="4">
        <v>0</v>
      </c>
      <c r="AG39" s="7">
        <v>26</v>
      </c>
      <c r="AH39" s="2" t="s">
        <v>66</v>
      </c>
      <c r="AI39">
        <v>0</v>
      </c>
      <c r="AJ39" s="3">
        <v>41912.686249999999</v>
      </c>
      <c r="AK39" s="2" t="s">
        <v>2212</v>
      </c>
    </row>
    <row r="40" spans="1:37" x14ac:dyDescent="0.15">
      <c r="A40" s="2" t="s">
        <v>2211</v>
      </c>
      <c r="B40">
        <v>511</v>
      </c>
      <c r="C40" s="3">
        <v>41050</v>
      </c>
      <c r="D40" s="2" t="s">
        <v>37</v>
      </c>
      <c r="E40" s="2" t="s">
        <v>2210</v>
      </c>
      <c r="F40" s="2" t="s">
        <v>38</v>
      </c>
      <c r="G40" s="2" t="s">
        <v>120</v>
      </c>
      <c r="H40" s="2" t="s">
        <v>121</v>
      </c>
      <c r="I40" s="4">
        <v>36296483</v>
      </c>
      <c r="J40" s="4">
        <v>1293588</v>
      </c>
      <c r="K40" s="4">
        <v>1293588</v>
      </c>
      <c r="L40" s="5"/>
      <c r="M40" s="5">
        <v>3</v>
      </c>
      <c r="N40" s="6">
        <v>1127702.1299999999</v>
      </c>
      <c r="O40" s="4">
        <v>1127608</v>
      </c>
      <c r="P40" s="4">
        <v>1127608</v>
      </c>
      <c r="Q40" s="6">
        <v>94.13</v>
      </c>
      <c r="R40" s="4">
        <v>33307394</v>
      </c>
      <c r="S40" s="4">
        <v>33307394</v>
      </c>
      <c r="T40" s="4">
        <v>33307394</v>
      </c>
      <c r="U40" s="4">
        <v>33307394</v>
      </c>
      <c r="V40" s="6">
        <v>88.606899999999996</v>
      </c>
      <c r="W40" s="4">
        <v>28631226.399999999</v>
      </c>
      <c r="X40" s="4">
        <v>28631226.399999999</v>
      </c>
      <c r="Y40" s="4">
        <v>33434705.170000002</v>
      </c>
      <c r="Z40" s="4">
        <v>33434705.170000002</v>
      </c>
      <c r="AA40" s="4">
        <v>3.74</v>
      </c>
      <c r="AB40" s="6">
        <v>1245696.5356000001</v>
      </c>
      <c r="AC40" s="4">
        <v>0</v>
      </c>
      <c r="AD40" s="4">
        <v>0</v>
      </c>
      <c r="AE40" s="6">
        <v>1245696.5356000001</v>
      </c>
      <c r="AF40" s="4">
        <v>0</v>
      </c>
      <c r="AG40" s="7">
        <v>320</v>
      </c>
      <c r="AH40" s="2" t="s">
        <v>66</v>
      </c>
      <c r="AI40">
        <v>0</v>
      </c>
      <c r="AJ40" s="3">
        <v>41912.686249999999</v>
      </c>
      <c r="AK40" s="2" t="s">
        <v>2209</v>
      </c>
    </row>
    <row r="41" spans="1:37" x14ac:dyDescent="0.15">
      <c r="A41" s="2" t="s">
        <v>2208</v>
      </c>
      <c r="B41">
        <v>50</v>
      </c>
      <c r="C41" s="3">
        <v>41061</v>
      </c>
      <c r="D41" s="2" t="s">
        <v>37</v>
      </c>
      <c r="E41" s="2" t="s">
        <v>2207</v>
      </c>
      <c r="F41" s="2" t="s">
        <v>41</v>
      </c>
      <c r="G41" s="2" t="s">
        <v>122</v>
      </c>
      <c r="H41" s="2" t="s">
        <v>123</v>
      </c>
      <c r="I41" s="4">
        <v>6196000</v>
      </c>
      <c r="J41" s="4">
        <v>0</v>
      </c>
      <c r="K41" s="4">
        <v>0</v>
      </c>
      <c r="L41" s="5">
        <v>0</v>
      </c>
      <c r="M41" s="5">
        <v>4</v>
      </c>
      <c r="N41" s="6">
        <v>247840</v>
      </c>
      <c r="O41" s="4">
        <v>0</v>
      </c>
      <c r="P41" s="4">
        <v>0</v>
      </c>
      <c r="Q41" s="6">
        <v>247840</v>
      </c>
      <c r="R41" s="4">
        <v>0</v>
      </c>
      <c r="S41" s="4">
        <v>0</v>
      </c>
      <c r="T41" s="4">
        <v>3500000</v>
      </c>
      <c r="U41" s="4">
        <v>3500000</v>
      </c>
      <c r="V41" s="6">
        <v>56.488100000000003</v>
      </c>
      <c r="W41" s="4">
        <v>0</v>
      </c>
      <c r="X41" s="4">
        <v>0</v>
      </c>
      <c r="Y41" s="4">
        <v>3489148.65</v>
      </c>
      <c r="Z41" s="4">
        <v>3489148.65</v>
      </c>
      <c r="AA41" s="4"/>
      <c r="AB41" s="6">
        <v>0</v>
      </c>
      <c r="AC41" s="4">
        <v>0</v>
      </c>
      <c r="AD41" s="4">
        <v>0</v>
      </c>
      <c r="AE41" s="6">
        <v>0</v>
      </c>
      <c r="AF41" s="4">
        <v>0</v>
      </c>
      <c r="AG41" s="7">
        <v>0</v>
      </c>
      <c r="AH41" s="2" t="s">
        <v>37</v>
      </c>
      <c r="AI41">
        <v>0</v>
      </c>
      <c r="AJ41" s="3">
        <v>41912.6862384259</v>
      </c>
      <c r="AK41" s="2" t="s">
        <v>2206</v>
      </c>
    </row>
    <row r="42" spans="1:37" x14ac:dyDescent="0.15">
      <c r="A42" s="2" t="s">
        <v>2205</v>
      </c>
      <c r="B42">
        <v>528</v>
      </c>
      <c r="C42" s="3">
        <v>41073</v>
      </c>
      <c r="D42" s="2" t="s">
        <v>37</v>
      </c>
      <c r="E42" s="2" t="s">
        <v>2204</v>
      </c>
      <c r="F42" s="2" t="s">
        <v>38</v>
      </c>
      <c r="G42" s="2" t="s">
        <v>124</v>
      </c>
      <c r="H42" s="2" t="s">
        <v>125</v>
      </c>
      <c r="I42" s="4">
        <v>1444588.7</v>
      </c>
      <c r="J42" s="4">
        <v>1770220.47</v>
      </c>
      <c r="K42" s="4">
        <v>1770220.47</v>
      </c>
      <c r="L42" s="5"/>
      <c r="M42" s="5">
        <v>3.6</v>
      </c>
      <c r="N42" s="6">
        <v>115733.13009999999</v>
      </c>
      <c r="O42" s="4">
        <v>115733</v>
      </c>
      <c r="P42" s="4">
        <v>115733</v>
      </c>
      <c r="Q42" s="6">
        <v>0.13009999999999999</v>
      </c>
      <c r="R42" s="4">
        <v>2500366.44</v>
      </c>
      <c r="S42" s="4">
        <v>2500366.44</v>
      </c>
      <c r="T42" s="4">
        <v>2500366.44</v>
      </c>
      <c r="U42" s="4">
        <v>2500366.44</v>
      </c>
      <c r="V42" s="6">
        <v>77.776499999999999</v>
      </c>
      <c r="W42" s="4">
        <v>2230332.1</v>
      </c>
      <c r="X42" s="4">
        <v>2230332.1</v>
      </c>
      <c r="Y42" s="4">
        <v>2492151.1</v>
      </c>
      <c r="Z42" s="4">
        <v>2492151.1</v>
      </c>
      <c r="AA42" s="4">
        <v>3.4</v>
      </c>
      <c r="AB42" s="6">
        <v>85012.459000000003</v>
      </c>
      <c r="AC42" s="4">
        <v>85014</v>
      </c>
      <c r="AD42" s="4">
        <v>85014</v>
      </c>
      <c r="AE42" s="6">
        <v>-1.5409999999999999</v>
      </c>
      <c r="AF42" s="4">
        <v>0</v>
      </c>
      <c r="AG42" s="7">
        <v>31</v>
      </c>
      <c r="AH42" s="2" t="s">
        <v>97</v>
      </c>
      <c r="AI42">
        <v>0</v>
      </c>
      <c r="AJ42" s="3">
        <v>41912.686249999999</v>
      </c>
      <c r="AK42" s="2" t="s">
        <v>2203</v>
      </c>
    </row>
    <row r="43" spans="1:37" x14ac:dyDescent="0.15">
      <c r="A43" s="2" t="s">
        <v>2202</v>
      </c>
      <c r="B43">
        <v>54</v>
      </c>
      <c r="C43" s="3">
        <v>41091</v>
      </c>
      <c r="D43" s="2" t="s">
        <v>37</v>
      </c>
      <c r="E43" s="2" t="s">
        <v>2201</v>
      </c>
      <c r="F43" s="2" t="s">
        <v>41</v>
      </c>
      <c r="G43" s="2" t="s">
        <v>127</v>
      </c>
      <c r="H43" s="2" t="s">
        <v>128</v>
      </c>
      <c r="I43" s="4">
        <v>1810092</v>
      </c>
      <c r="J43" s="4">
        <v>0</v>
      </c>
      <c r="K43" s="4">
        <v>0</v>
      </c>
      <c r="L43" s="5">
        <v>0</v>
      </c>
      <c r="M43" s="5">
        <v>4</v>
      </c>
      <c r="N43" s="6">
        <v>72403.679999999993</v>
      </c>
      <c r="O43" s="4">
        <v>72404</v>
      </c>
      <c r="P43" s="4">
        <v>72404</v>
      </c>
      <c r="Q43" s="6">
        <v>-0.32</v>
      </c>
      <c r="R43" s="4">
        <v>0</v>
      </c>
      <c r="S43" s="4">
        <v>0</v>
      </c>
      <c r="T43" s="4">
        <v>1800000</v>
      </c>
      <c r="U43" s="4">
        <v>1800000</v>
      </c>
      <c r="V43" s="6">
        <v>99.442499999999995</v>
      </c>
      <c r="W43" s="4">
        <v>0</v>
      </c>
      <c r="X43" s="4">
        <v>0</v>
      </c>
      <c r="Y43" s="4">
        <v>1796144</v>
      </c>
      <c r="Z43" s="4">
        <v>1796144</v>
      </c>
      <c r="AA43" s="4"/>
      <c r="AB43" s="6">
        <v>0</v>
      </c>
      <c r="AC43" s="4">
        <v>0</v>
      </c>
      <c r="AD43" s="4">
        <v>0</v>
      </c>
      <c r="AE43" s="6">
        <v>0</v>
      </c>
      <c r="AF43" s="4">
        <v>0</v>
      </c>
      <c r="AG43" s="7">
        <v>0</v>
      </c>
      <c r="AH43" s="2" t="s">
        <v>37</v>
      </c>
      <c r="AI43">
        <v>0</v>
      </c>
      <c r="AJ43" s="3">
        <v>41912.6862384259</v>
      </c>
      <c r="AK43" s="2" t="s">
        <v>2200</v>
      </c>
    </row>
    <row r="44" spans="1:37" x14ac:dyDescent="0.15">
      <c r="A44" s="2" t="s">
        <v>2199</v>
      </c>
      <c r="B44">
        <v>561</v>
      </c>
      <c r="C44" s="3">
        <v>41091</v>
      </c>
      <c r="D44" s="2" t="s">
        <v>37</v>
      </c>
      <c r="E44" s="2" t="s">
        <v>2198</v>
      </c>
      <c r="F44" s="2" t="s">
        <v>38</v>
      </c>
      <c r="G44" s="2" t="s">
        <v>126</v>
      </c>
      <c r="H44" s="2" t="s">
        <v>75</v>
      </c>
      <c r="I44" s="4">
        <v>4400000</v>
      </c>
      <c r="J44" s="4">
        <v>0</v>
      </c>
      <c r="K44" s="4">
        <v>0</v>
      </c>
      <c r="L44" s="5"/>
      <c r="M44" s="5">
        <v>3</v>
      </c>
      <c r="N44" s="6">
        <v>132000</v>
      </c>
      <c r="O44" s="4">
        <v>132000</v>
      </c>
      <c r="P44" s="4">
        <v>132000</v>
      </c>
      <c r="Q44" s="6">
        <v>0</v>
      </c>
      <c r="R44" s="4">
        <v>4100000</v>
      </c>
      <c r="S44" s="4">
        <v>4100000</v>
      </c>
      <c r="T44" s="4">
        <v>3300000</v>
      </c>
      <c r="U44" s="4">
        <v>3300000</v>
      </c>
      <c r="V44" s="6">
        <v>75</v>
      </c>
      <c r="W44" s="4">
        <v>3180103.71</v>
      </c>
      <c r="X44" s="4">
        <v>3180103.71</v>
      </c>
      <c r="Y44" s="4">
        <v>3292303.71</v>
      </c>
      <c r="Z44" s="4">
        <v>3292303.71</v>
      </c>
      <c r="AA44" s="4">
        <v>3.4</v>
      </c>
      <c r="AB44" s="6">
        <v>139400</v>
      </c>
      <c r="AC44" s="4">
        <v>112200</v>
      </c>
      <c r="AD44" s="4">
        <v>112200</v>
      </c>
      <c r="AE44" s="6">
        <v>27200</v>
      </c>
      <c r="AF44" s="4">
        <v>0</v>
      </c>
      <c r="AG44" s="7">
        <v>0</v>
      </c>
      <c r="AH44" s="2" t="s">
        <v>37</v>
      </c>
      <c r="AI44">
        <v>0</v>
      </c>
      <c r="AJ44" s="3">
        <v>41912.686249999999</v>
      </c>
      <c r="AK44" s="2" t="s">
        <v>2197</v>
      </c>
    </row>
    <row r="45" spans="1:37" x14ac:dyDescent="0.15">
      <c r="A45" s="2" t="s">
        <v>2196</v>
      </c>
      <c r="B45">
        <v>569</v>
      </c>
      <c r="C45" s="3">
        <v>41091</v>
      </c>
      <c r="D45" s="2" t="s">
        <v>37</v>
      </c>
      <c r="E45" s="2" t="s">
        <v>2195</v>
      </c>
      <c r="F45" s="2" t="s">
        <v>38</v>
      </c>
      <c r="G45" s="2" t="s">
        <v>131</v>
      </c>
      <c r="H45" s="2" t="s">
        <v>132</v>
      </c>
      <c r="I45" s="4">
        <v>5538662</v>
      </c>
      <c r="J45" s="4">
        <v>3392971</v>
      </c>
      <c r="K45" s="4">
        <v>3392971</v>
      </c>
      <c r="L45" s="5"/>
      <c r="M45" s="5">
        <v>3</v>
      </c>
      <c r="N45" s="6">
        <v>267948.99</v>
      </c>
      <c r="O45" s="4">
        <v>267949</v>
      </c>
      <c r="P45" s="4">
        <v>267949</v>
      </c>
      <c r="Q45" s="6">
        <v>-0.01</v>
      </c>
      <c r="R45" s="4">
        <v>7570000</v>
      </c>
      <c r="S45" s="4">
        <v>7570000</v>
      </c>
      <c r="T45" s="4">
        <v>7570000</v>
      </c>
      <c r="U45" s="4">
        <v>7570000</v>
      </c>
      <c r="V45" s="6">
        <v>84.754900000000006</v>
      </c>
      <c r="W45" s="4">
        <v>7355941.4199999999</v>
      </c>
      <c r="X45" s="4">
        <v>7355941.4199999999</v>
      </c>
      <c r="Y45" s="4">
        <v>7552961.8899999997</v>
      </c>
      <c r="Z45" s="4">
        <v>7552961.8899999997</v>
      </c>
      <c r="AA45" s="4">
        <v>3.74</v>
      </c>
      <c r="AB45" s="6">
        <v>283118</v>
      </c>
      <c r="AC45" s="4">
        <v>283118</v>
      </c>
      <c r="AD45" s="4">
        <v>283118</v>
      </c>
      <c r="AE45" s="6">
        <v>0</v>
      </c>
      <c r="AF45" s="4">
        <v>0</v>
      </c>
      <c r="AG45" s="7">
        <v>0</v>
      </c>
      <c r="AH45" s="2" t="s">
        <v>37</v>
      </c>
      <c r="AI45">
        <v>0</v>
      </c>
      <c r="AJ45" s="3">
        <v>41912.686249999999</v>
      </c>
      <c r="AK45" s="2" t="s">
        <v>2194</v>
      </c>
    </row>
    <row r="46" spans="1:37" x14ac:dyDescent="0.15">
      <c r="A46" s="2" t="s">
        <v>2193</v>
      </c>
      <c r="B46">
        <v>545</v>
      </c>
      <c r="C46" s="3">
        <v>41091</v>
      </c>
      <c r="D46" s="2" t="s">
        <v>37</v>
      </c>
      <c r="E46" s="2" t="s">
        <v>2192</v>
      </c>
      <c r="F46" s="2" t="s">
        <v>38</v>
      </c>
      <c r="G46" s="2" t="s">
        <v>129</v>
      </c>
      <c r="H46" s="2" t="s">
        <v>130</v>
      </c>
      <c r="I46" s="4">
        <v>742782.79</v>
      </c>
      <c r="J46" s="4">
        <v>149141.78</v>
      </c>
      <c r="K46" s="4">
        <v>149141.78</v>
      </c>
      <c r="L46" s="5"/>
      <c r="M46" s="5">
        <v>3.6</v>
      </c>
      <c r="N46" s="6">
        <v>32109.284500000002</v>
      </c>
      <c r="O46" s="4">
        <v>26920</v>
      </c>
      <c r="P46" s="4">
        <v>26920</v>
      </c>
      <c r="Q46" s="6">
        <v>5189.2844999999998</v>
      </c>
      <c r="R46" s="4">
        <v>891924.57</v>
      </c>
      <c r="S46" s="4">
        <v>891924.57</v>
      </c>
      <c r="T46" s="4">
        <v>891924.57</v>
      </c>
      <c r="U46" s="4">
        <v>891924.57</v>
      </c>
      <c r="V46" s="6">
        <v>100</v>
      </c>
      <c r="W46" s="4">
        <v>426993.57</v>
      </c>
      <c r="X46" s="4">
        <v>426993.57</v>
      </c>
      <c r="Y46" s="4">
        <v>886924.57</v>
      </c>
      <c r="Z46" s="4">
        <v>886924.57</v>
      </c>
      <c r="AA46" s="4">
        <v>3.4</v>
      </c>
      <c r="AB46" s="6">
        <v>30325.435399999998</v>
      </c>
      <c r="AC46" s="4">
        <v>30405</v>
      </c>
      <c r="AD46" s="4">
        <v>30405</v>
      </c>
      <c r="AE46" s="6">
        <v>-79.564599999999999</v>
      </c>
      <c r="AF46" s="4">
        <v>0</v>
      </c>
      <c r="AG46" s="7">
        <v>8</v>
      </c>
      <c r="AH46" s="2" t="s">
        <v>97</v>
      </c>
      <c r="AI46">
        <v>0</v>
      </c>
      <c r="AJ46" s="3">
        <v>41912.686249999999</v>
      </c>
      <c r="AK46" s="2" t="s">
        <v>2191</v>
      </c>
    </row>
    <row r="47" spans="1:37" x14ac:dyDescent="0.15">
      <c r="A47" s="2" t="s">
        <v>2190</v>
      </c>
      <c r="B47">
        <v>536</v>
      </c>
      <c r="C47" s="3">
        <v>41092</v>
      </c>
      <c r="D47" s="2" t="s">
        <v>37</v>
      </c>
      <c r="E47" s="2" t="s">
        <v>2189</v>
      </c>
      <c r="F47" s="2" t="s">
        <v>38</v>
      </c>
      <c r="G47" s="2" t="s">
        <v>133</v>
      </c>
      <c r="H47" s="2" t="s">
        <v>134</v>
      </c>
      <c r="I47" s="4">
        <v>1508400</v>
      </c>
      <c r="J47" s="4">
        <v>0</v>
      </c>
      <c r="K47" s="4">
        <v>0</v>
      </c>
      <c r="L47" s="5"/>
      <c r="M47" s="5">
        <v>3.6</v>
      </c>
      <c r="N47" s="6">
        <v>54302.400000000001</v>
      </c>
      <c r="O47" s="4">
        <v>54302</v>
      </c>
      <c r="P47" s="4">
        <v>54302</v>
      </c>
      <c r="Q47" s="6">
        <v>0.4</v>
      </c>
      <c r="R47" s="4">
        <v>1190000</v>
      </c>
      <c r="S47" s="4">
        <v>1190000</v>
      </c>
      <c r="T47" s="4">
        <v>1199905</v>
      </c>
      <c r="U47" s="4">
        <v>1199905</v>
      </c>
      <c r="V47" s="6">
        <v>79.548199999999994</v>
      </c>
      <c r="W47" s="4">
        <v>1152231.93</v>
      </c>
      <c r="X47" s="4">
        <v>1152231.93</v>
      </c>
      <c r="Y47" s="4">
        <v>1192691.93</v>
      </c>
      <c r="Z47" s="4">
        <v>1192691.93</v>
      </c>
      <c r="AA47" s="4">
        <v>3.4</v>
      </c>
      <c r="AB47" s="6">
        <v>40460</v>
      </c>
      <c r="AC47" s="4">
        <v>40460</v>
      </c>
      <c r="AD47" s="4">
        <v>40460</v>
      </c>
      <c r="AE47" s="6">
        <v>0</v>
      </c>
      <c r="AF47" s="4">
        <v>0</v>
      </c>
      <c r="AG47" s="7">
        <v>7</v>
      </c>
      <c r="AH47" s="2" t="s">
        <v>66</v>
      </c>
      <c r="AI47">
        <v>0</v>
      </c>
      <c r="AJ47" s="3">
        <v>41912.686249999999</v>
      </c>
      <c r="AK47" s="2" t="s">
        <v>2188</v>
      </c>
    </row>
    <row r="48" spans="1:37" x14ac:dyDescent="0.15">
      <c r="A48" s="2" t="s">
        <v>2187</v>
      </c>
      <c r="B48">
        <v>578</v>
      </c>
      <c r="C48" s="3">
        <v>41108</v>
      </c>
      <c r="D48" s="2" t="s">
        <v>37</v>
      </c>
      <c r="E48" s="2" t="s">
        <v>2186</v>
      </c>
      <c r="F48" s="2" t="s">
        <v>38</v>
      </c>
      <c r="G48" s="2" t="s">
        <v>135</v>
      </c>
      <c r="H48" s="2" t="s">
        <v>136</v>
      </c>
      <c r="I48" s="4">
        <v>8443771</v>
      </c>
      <c r="J48" s="4">
        <v>1126543.3600000001</v>
      </c>
      <c r="K48" s="4">
        <v>1126543.3600000001</v>
      </c>
      <c r="L48" s="5"/>
      <c r="M48" s="5">
        <v>3</v>
      </c>
      <c r="N48" s="6">
        <v>287109.43079999997</v>
      </c>
      <c r="O48" s="4">
        <v>287109</v>
      </c>
      <c r="P48" s="4">
        <v>287109</v>
      </c>
      <c r="Q48" s="6">
        <v>0.43080000000000002</v>
      </c>
      <c r="R48" s="4">
        <v>8599000</v>
      </c>
      <c r="S48" s="4">
        <v>8599000</v>
      </c>
      <c r="T48" s="4">
        <v>8599000</v>
      </c>
      <c r="U48" s="4">
        <v>8599000</v>
      </c>
      <c r="V48" s="6">
        <v>89.850800000000007</v>
      </c>
      <c r="W48" s="4">
        <v>5958030.2599999998</v>
      </c>
      <c r="X48" s="4">
        <v>5958030.2599999998</v>
      </c>
      <c r="Y48" s="4">
        <v>8594025.5299999993</v>
      </c>
      <c r="Z48" s="4">
        <v>8594025.5299999993</v>
      </c>
      <c r="AA48" s="4">
        <v>3.4</v>
      </c>
      <c r="AB48" s="6">
        <v>292366</v>
      </c>
      <c r="AC48" s="4">
        <v>292366</v>
      </c>
      <c r="AD48" s="4">
        <v>292366</v>
      </c>
      <c r="AE48" s="6">
        <v>0</v>
      </c>
      <c r="AF48" s="4">
        <v>0</v>
      </c>
      <c r="AG48" s="7">
        <v>72</v>
      </c>
      <c r="AH48" s="2" t="s">
        <v>52</v>
      </c>
      <c r="AI48">
        <v>0</v>
      </c>
      <c r="AJ48" s="3">
        <v>41912.686249999999</v>
      </c>
      <c r="AK48" s="2" t="s">
        <v>2185</v>
      </c>
    </row>
    <row r="49" spans="1:37" x14ac:dyDescent="0.15">
      <c r="A49" s="2" t="s">
        <v>2184</v>
      </c>
      <c r="B49">
        <v>585</v>
      </c>
      <c r="C49" s="3">
        <v>41113</v>
      </c>
      <c r="D49" s="2" t="s">
        <v>37</v>
      </c>
      <c r="E49" s="2" t="s">
        <v>2183</v>
      </c>
      <c r="F49" s="2" t="s">
        <v>38</v>
      </c>
      <c r="G49" s="2" t="s">
        <v>137</v>
      </c>
      <c r="H49" s="2" t="s">
        <v>138</v>
      </c>
      <c r="I49" s="4">
        <v>4520000</v>
      </c>
      <c r="J49" s="4">
        <v>0</v>
      </c>
      <c r="K49" s="4">
        <v>0</v>
      </c>
      <c r="L49" s="5"/>
      <c r="M49" s="5">
        <v>3.6</v>
      </c>
      <c r="N49" s="6">
        <v>162720</v>
      </c>
      <c r="O49" s="4">
        <v>162720</v>
      </c>
      <c r="P49" s="4">
        <v>162720</v>
      </c>
      <c r="Q49" s="6">
        <v>0</v>
      </c>
      <c r="R49" s="4">
        <v>4395540.75</v>
      </c>
      <c r="S49" s="4">
        <v>4395540.75</v>
      </c>
      <c r="T49" s="4">
        <v>3616000</v>
      </c>
      <c r="U49" s="4">
        <v>3616000</v>
      </c>
      <c r="V49" s="6">
        <v>80</v>
      </c>
      <c r="W49" s="4">
        <v>3533736</v>
      </c>
      <c r="X49" s="4">
        <v>3533736</v>
      </c>
      <c r="Y49" s="4">
        <v>3616000</v>
      </c>
      <c r="Z49" s="4">
        <v>3616000</v>
      </c>
      <c r="AA49" s="4">
        <v>3.4</v>
      </c>
      <c r="AB49" s="6">
        <v>149448.3855</v>
      </c>
      <c r="AC49" s="4">
        <v>149448</v>
      </c>
      <c r="AD49" s="4">
        <v>149448</v>
      </c>
      <c r="AE49" s="6">
        <v>0.38550000000000001</v>
      </c>
      <c r="AF49" s="4">
        <v>0</v>
      </c>
      <c r="AG49" s="7">
        <v>0</v>
      </c>
      <c r="AH49" s="2" t="s">
        <v>37</v>
      </c>
      <c r="AI49">
        <v>0</v>
      </c>
      <c r="AJ49" s="3">
        <v>41912.686249999999</v>
      </c>
      <c r="AK49" s="2" t="s">
        <v>2182</v>
      </c>
    </row>
    <row r="50" spans="1:37" x14ac:dyDescent="0.15">
      <c r="A50" s="2" t="s">
        <v>2181</v>
      </c>
      <c r="B50">
        <v>593</v>
      </c>
      <c r="C50" s="3">
        <v>41113</v>
      </c>
      <c r="D50" s="2" t="s">
        <v>37</v>
      </c>
      <c r="E50" s="2" t="s">
        <v>2180</v>
      </c>
      <c r="F50" s="2" t="s">
        <v>38</v>
      </c>
      <c r="G50" s="2" t="s">
        <v>139</v>
      </c>
      <c r="H50" s="2" t="s">
        <v>140</v>
      </c>
      <c r="I50" s="4">
        <v>8171765</v>
      </c>
      <c r="J50" s="4">
        <v>0</v>
      </c>
      <c r="K50" s="4">
        <v>0</v>
      </c>
      <c r="L50" s="5"/>
      <c r="M50" s="5">
        <v>3</v>
      </c>
      <c r="N50" s="6">
        <v>245152.95</v>
      </c>
      <c r="O50" s="4">
        <v>245153</v>
      </c>
      <c r="P50" s="4">
        <v>245153</v>
      </c>
      <c r="Q50" s="6">
        <v>-0.05</v>
      </c>
      <c r="R50" s="4">
        <v>6000000</v>
      </c>
      <c r="S50" s="4">
        <v>6000000</v>
      </c>
      <c r="T50" s="4">
        <v>6000000</v>
      </c>
      <c r="U50" s="4">
        <v>6000000</v>
      </c>
      <c r="V50" s="6">
        <v>73.423599999999993</v>
      </c>
      <c r="W50" s="4">
        <v>5613614.3499999996</v>
      </c>
      <c r="X50" s="4">
        <v>5613614.3499999996</v>
      </c>
      <c r="Y50" s="4">
        <v>5991760.5999999996</v>
      </c>
      <c r="Z50" s="4">
        <v>5991760.5999999996</v>
      </c>
      <c r="AA50" s="4">
        <v>3.4</v>
      </c>
      <c r="AB50" s="6">
        <v>204000</v>
      </c>
      <c r="AC50" s="4">
        <v>204000</v>
      </c>
      <c r="AD50" s="4">
        <v>204000</v>
      </c>
      <c r="AE50" s="6">
        <v>0</v>
      </c>
      <c r="AF50" s="4">
        <v>0</v>
      </c>
      <c r="AG50" s="7">
        <v>100</v>
      </c>
      <c r="AH50" s="2" t="s">
        <v>66</v>
      </c>
      <c r="AI50">
        <v>0</v>
      </c>
      <c r="AJ50" s="3">
        <v>41912.686261574097</v>
      </c>
      <c r="AK50" s="2" t="s">
        <v>2179</v>
      </c>
    </row>
    <row r="51" spans="1:37" x14ac:dyDescent="0.15">
      <c r="A51" s="2" t="s">
        <v>2178</v>
      </c>
      <c r="B51">
        <v>554</v>
      </c>
      <c r="C51" s="3">
        <v>41117</v>
      </c>
      <c r="D51" s="2" t="s">
        <v>37</v>
      </c>
      <c r="E51" s="2" t="s">
        <v>2177</v>
      </c>
      <c r="F51" s="2" t="s">
        <v>38</v>
      </c>
      <c r="G51" s="2" t="s">
        <v>141</v>
      </c>
      <c r="H51" s="2" t="s">
        <v>142</v>
      </c>
      <c r="I51" s="4">
        <v>328000</v>
      </c>
      <c r="J51" s="4">
        <v>34031</v>
      </c>
      <c r="K51" s="4">
        <v>34031</v>
      </c>
      <c r="L51" s="5"/>
      <c r="M51" s="5">
        <v>3.6</v>
      </c>
      <c r="N51" s="6">
        <v>13033.116</v>
      </c>
      <c r="O51" s="4">
        <v>13033</v>
      </c>
      <c r="P51" s="4">
        <v>13033</v>
      </c>
      <c r="Q51" s="6">
        <v>0.11600000000000001</v>
      </c>
      <c r="R51" s="4">
        <v>343930</v>
      </c>
      <c r="S51" s="4">
        <v>343930</v>
      </c>
      <c r="T51" s="4">
        <v>343930</v>
      </c>
      <c r="U51" s="4">
        <v>343930</v>
      </c>
      <c r="V51" s="6">
        <v>95.000200000000007</v>
      </c>
      <c r="W51" s="4">
        <v>114435.82</v>
      </c>
      <c r="X51" s="4">
        <v>114435.82</v>
      </c>
      <c r="Y51" s="4">
        <v>339814</v>
      </c>
      <c r="Z51" s="4">
        <v>339814</v>
      </c>
      <c r="AA51" s="4">
        <v>3.4</v>
      </c>
      <c r="AB51" s="6">
        <v>11693.62</v>
      </c>
      <c r="AC51" s="4">
        <v>11693</v>
      </c>
      <c r="AD51" s="4">
        <v>11693</v>
      </c>
      <c r="AE51" s="6">
        <v>0.62</v>
      </c>
      <c r="AF51" s="4">
        <v>0</v>
      </c>
      <c r="AG51" s="7">
        <v>4</v>
      </c>
      <c r="AH51" s="2" t="s">
        <v>66</v>
      </c>
      <c r="AI51">
        <v>0</v>
      </c>
      <c r="AJ51" s="3">
        <v>41912.686249999999</v>
      </c>
      <c r="AK51" s="2" t="s">
        <v>2176</v>
      </c>
    </row>
    <row r="52" spans="1:37" x14ac:dyDescent="0.15">
      <c r="A52" s="2" t="s">
        <v>2175</v>
      </c>
      <c r="B52">
        <v>59</v>
      </c>
      <c r="C52" s="3">
        <v>41122</v>
      </c>
      <c r="D52" s="2" t="s">
        <v>37</v>
      </c>
      <c r="E52" s="2" t="s">
        <v>2174</v>
      </c>
      <c r="F52" s="2" t="s">
        <v>41</v>
      </c>
      <c r="G52" s="2" t="s">
        <v>143</v>
      </c>
      <c r="H52" s="2" t="s">
        <v>144</v>
      </c>
      <c r="I52" s="4">
        <v>10343049.93</v>
      </c>
      <c r="J52" s="4">
        <v>0</v>
      </c>
      <c r="K52" s="4">
        <v>0</v>
      </c>
      <c r="L52" s="5">
        <v>0</v>
      </c>
      <c r="M52" s="5">
        <v>3.5</v>
      </c>
      <c r="N52" s="6">
        <v>362006.7476</v>
      </c>
      <c r="O52" s="4">
        <v>362006.75</v>
      </c>
      <c r="P52" s="4">
        <v>362006.75</v>
      </c>
      <c r="Q52" s="6">
        <v>-2.3999999999999998E-3</v>
      </c>
      <c r="R52" s="4">
        <v>0</v>
      </c>
      <c r="S52" s="4">
        <v>0</v>
      </c>
      <c r="T52" s="4">
        <v>7860688.0099999998</v>
      </c>
      <c r="U52" s="4">
        <v>7860688.0099999998</v>
      </c>
      <c r="V52" s="6">
        <v>75.999700000000004</v>
      </c>
      <c r="W52" s="4">
        <v>0</v>
      </c>
      <c r="X52" s="4">
        <v>0</v>
      </c>
      <c r="Y52" s="4">
        <v>7748729.1299999999</v>
      </c>
      <c r="Z52" s="4">
        <v>7748729.1299999999</v>
      </c>
      <c r="AA52" s="4">
        <v>3.4</v>
      </c>
      <c r="AB52" s="6">
        <v>351663.69760000001</v>
      </c>
      <c r="AC52" s="4">
        <v>111118.8</v>
      </c>
      <c r="AD52" s="4">
        <v>111118.8</v>
      </c>
      <c r="AE52" s="6">
        <v>240544.8976</v>
      </c>
      <c r="AF52" s="4">
        <v>0</v>
      </c>
      <c r="AG52" s="7">
        <v>0</v>
      </c>
      <c r="AH52" s="2" t="s">
        <v>37</v>
      </c>
      <c r="AI52">
        <v>0</v>
      </c>
      <c r="AJ52" s="3">
        <v>41912.6862384259</v>
      </c>
      <c r="AK52" s="2" t="s">
        <v>2173</v>
      </c>
    </row>
    <row r="53" spans="1:37" x14ac:dyDescent="0.15">
      <c r="A53" s="2" t="s">
        <v>2172</v>
      </c>
      <c r="B53">
        <v>601</v>
      </c>
      <c r="C53" s="3">
        <v>41128</v>
      </c>
      <c r="D53" s="2" t="s">
        <v>37</v>
      </c>
      <c r="E53" s="2" t="s">
        <v>2171</v>
      </c>
      <c r="F53" s="2" t="s">
        <v>38</v>
      </c>
      <c r="G53" s="2" t="s">
        <v>145</v>
      </c>
      <c r="H53" s="2" t="s">
        <v>146</v>
      </c>
      <c r="I53" s="4">
        <v>5170956.9400000004</v>
      </c>
      <c r="J53" s="4">
        <v>0</v>
      </c>
      <c r="K53" s="4">
        <v>0</v>
      </c>
      <c r="L53" s="5"/>
      <c r="M53" s="5">
        <v>3</v>
      </c>
      <c r="N53" s="6">
        <v>155128.70819999999</v>
      </c>
      <c r="O53" s="4">
        <v>155129</v>
      </c>
      <c r="P53" s="4">
        <v>155129</v>
      </c>
      <c r="Q53" s="6">
        <v>-0.2918</v>
      </c>
      <c r="R53" s="4">
        <v>4912409.09</v>
      </c>
      <c r="S53" s="4">
        <v>4912409.09</v>
      </c>
      <c r="T53" s="4">
        <v>4912409.09</v>
      </c>
      <c r="U53" s="4">
        <v>4912409.09</v>
      </c>
      <c r="V53" s="6">
        <v>95</v>
      </c>
      <c r="W53" s="4">
        <v>4676282.45</v>
      </c>
      <c r="X53" s="4">
        <v>4676282.45</v>
      </c>
      <c r="Y53" s="4">
        <v>4902104.45</v>
      </c>
      <c r="Z53" s="4">
        <v>4902104.45</v>
      </c>
      <c r="AA53" s="4">
        <v>3.4</v>
      </c>
      <c r="AB53" s="6">
        <v>167021.90909999999</v>
      </c>
      <c r="AC53" s="4">
        <v>167022</v>
      </c>
      <c r="AD53" s="4">
        <v>167022</v>
      </c>
      <c r="AE53" s="6">
        <v>-9.0899999999999995E-2</v>
      </c>
      <c r="AF53" s="4">
        <v>0</v>
      </c>
      <c r="AG53" s="7">
        <v>16</v>
      </c>
      <c r="AH53" s="2" t="s">
        <v>52</v>
      </c>
      <c r="AI53">
        <v>0</v>
      </c>
      <c r="AJ53" s="3">
        <v>41912.686261574097</v>
      </c>
      <c r="AK53" s="2" t="s">
        <v>2170</v>
      </c>
    </row>
    <row r="54" spans="1:37" x14ac:dyDescent="0.15">
      <c r="A54" s="2" t="s">
        <v>2169</v>
      </c>
      <c r="B54">
        <v>612</v>
      </c>
      <c r="C54" s="3">
        <v>41130</v>
      </c>
      <c r="D54" s="2" t="s">
        <v>37</v>
      </c>
      <c r="E54" s="2" t="s">
        <v>2168</v>
      </c>
      <c r="F54" s="2" t="s">
        <v>38</v>
      </c>
      <c r="G54" s="2" t="s">
        <v>147</v>
      </c>
      <c r="H54" s="2" t="s">
        <v>148</v>
      </c>
      <c r="I54" s="4">
        <v>7737463.3499999996</v>
      </c>
      <c r="J54" s="4">
        <v>0</v>
      </c>
      <c r="K54" s="4">
        <v>0</v>
      </c>
      <c r="L54" s="5"/>
      <c r="M54" s="5">
        <v>3</v>
      </c>
      <c r="N54" s="6">
        <v>232123.90049999999</v>
      </c>
      <c r="O54" s="4">
        <v>232124</v>
      </c>
      <c r="P54" s="4">
        <v>232124</v>
      </c>
      <c r="Q54" s="6">
        <v>-9.9500000000000005E-2</v>
      </c>
      <c r="R54" s="4">
        <v>7737463.3600000003</v>
      </c>
      <c r="S54" s="4">
        <v>7737463.3600000003</v>
      </c>
      <c r="T54" s="4">
        <v>7737463.3600000003</v>
      </c>
      <c r="U54" s="4">
        <v>7737463.3600000003</v>
      </c>
      <c r="V54" s="6">
        <v>100</v>
      </c>
      <c r="W54" s="4">
        <v>6908727.1100000003</v>
      </c>
      <c r="X54" s="4">
        <v>6908727.1100000003</v>
      </c>
      <c r="Y54" s="4">
        <v>7737228.21</v>
      </c>
      <c r="Z54" s="4">
        <v>7737228.21</v>
      </c>
      <c r="AA54" s="4">
        <v>3.4</v>
      </c>
      <c r="AB54" s="6">
        <v>263073.75420000002</v>
      </c>
      <c r="AC54" s="4">
        <v>263074</v>
      </c>
      <c r="AD54" s="4">
        <v>263074</v>
      </c>
      <c r="AE54" s="6">
        <v>-0.24579999999999999</v>
      </c>
      <c r="AF54" s="4">
        <v>0</v>
      </c>
      <c r="AG54" s="7">
        <v>10</v>
      </c>
      <c r="AH54" s="2" t="s">
        <v>66</v>
      </c>
      <c r="AI54">
        <v>0</v>
      </c>
      <c r="AJ54" s="3">
        <v>41912.686261574097</v>
      </c>
      <c r="AK54" s="2" t="s">
        <v>2167</v>
      </c>
    </row>
    <row r="55" spans="1:37" x14ac:dyDescent="0.15">
      <c r="A55" s="2" t="s">
        <v>2166</v>
      </c>
      <c r="B55">
        <v>620</v>
      </c>
      <c r="C55" s="3">
        <v>41130</v>
      </c>
      <c r="D55" s="2" t="s">
        <v>37</v>
      </c>
      <c r="E55" s="2" t="s">
        <v>2165</v>
      </c>
      <c r="F55" s="2" t="s">
        <v>38</v>
      </c>
      <c r="G55" s="2" t="s">
        <v>149</v>
      </c>
      <c r="H55" s="2" t="s">
        <v>150</v>
      </c>
      <c r="I55" s="4">
        <v>1615034.9</v>
      </c>
      <c r="J55" s="4">
        <v>20970833.399999999</v>
      </c>
      <c r="K55" s="4">
        <v>20970833.399999999</v>
      </c>
      <c r="L55" s="5"/>
      <c r="M55" s="5">
        <v>3</v>
      </c>
      <c r="N55" s="6">
        <v>677576.049</v>
      </c>
      <c r="O55" s="4">
        <v>677576</v>
      </c>
      <c r="P55" s="4">
        <v>677576</v>
      </c>
      <c r="Q55" s="6">
        <v>4.9000000000000002E-2</v>
      </c>
      <c r="R55" s="4">
        <v>19750000</v>
      </c>
      <c r="S55" s="4">
        <v>19750000</v>
      </c>
      <c r="T55" s="4">
        <v>18850000</v>
      </c>
      <c r="U55" s="4">
        <v>18850000</v>
      </c>
      <c r="V55" s="6">
        <v>83.459299999999999</v>
      </c>
      <c r="W55" s="4">
        <v>16568345.4</v>
      </c>
      <c r="X55" s="4">
        <v>16568345.4</v>
      </c>
      <c r="Y55" s="4">
        <v>18818897.609999999</v>
      </c>
      <c r="Z55" s="4">
        <v>18818897.609999999</v>
      </c>
      <c r="AA55" s="4">
        <v>3.4</v>
      </c>
      <c r="AB55" s="6">
        <v>671500</v>
      </c>
      <c r="AC55" s="4">
        <v>671500</v>
      </c>
      <c r="AD55" s="4">
        <v>671500</v>
      </c>
      <c r="AE55" s="6">
        <v>0</v>
      </c>
      <c r="AF55" s="4">
        <v>0</v>
      </c>
      <c r="AG55" s="7">
        <v>0</v>
      </c>
      <c r="AH55" s="2" t="s">
        <v>37</v>
      </c>
      <c r="AI55">
        <v>0</v>
      </c>
      <c r="AJ55" s="3">
        <v>41912.686261574097</v>
      </c>
      <c r="AK55" s="2" t="s">
        <v>2164</v>
      </c>
    </row>
    <row r="56" spans="1:37" x14ac:dyDescent="0.15">
      <c r="A56" s="2" t="s">
        <v>2163</v>
      </c>
      <c r="B56">
        <v>64</v>
      </c>
      <c r="C56" s="3">
        <v>41153</v>
      </c>
      <c r="D56" s="2" t="s">
        <v>37</v>
      </c>
      <c r="E56" s="2" t="s">
        <v>2162</v>
      </c>
      <c r="F56" s="2" t="s">
        <v>41</v>
      </c>
      <c r="G56" s="2" t="s">
        <v>151</v>
      </c>
      <c r="H56" s="2" t="s">
        <v>152</v>
      </c>
      <c r="I56" s="4">
        <v>10102313.33</v>
      </c>
      <c r="J56" s="4">
        <v>0</v>
      </c>
      <c r="K56" s="4">
        <v>0</v>
      </c>
      <c r="L56" s="5">
        <v>0</v>
      </c>
      <c r="M56" s="5">
        <v>5</v>
      </c>
      <c r="N56" s="6">
        <v>505115.66649999999</v>
      </c>
      <c r="O56" s="4">
        <v>505116</v>
      </c>
      <c r="P56" s="4">
        <v>505116</v>
      </c>
      <c r="Q56" s="6">
        <v>-0.33350000000000002</v>
      </c>
      <c r="R56" s="4">
        <v>0</v>
      </c>
      <c r="S56" s="4">
        <v>0</v>
      </c>
      <c r="T56" s="4">
        <v>8081848.8399999999</v>
      </c>
      <c r="U56" s="4">
        <v>8081848.8399999999</v>
      </c>
      <c r="V56" s="6">
        <v>80</v>
      </c>
      <c r="W56" s="4">
        <v>0</v>
      </c>
      <c r="X56" s="4">
        <v>0</v>
      </c>
      <c r="Y56" s="4">
        <v>7517811.9900000002</v>
      </c>
      <c r="Z56" s="4">
        <v>7517811.9900000002</v>
      </c>
      <c r="AA56" s="4"/>
      <c r="AB56" s="6">
        <v>0</v>
      </c>
      <c r="AC56" s="4">
        <v>306828.08</v>
      </c>
      <c r="AD56" s="4">
        <v>306828.08</v>
      </c>
      <c r="AE56" s="6">
        <v>-306828.08</v>
      </c>
      <c r="AF56" s="4">
        <v>0</v>
      </c>
      <c r="AG56" s="7">
        <v>0</v>
      </c>
      <c r="AH56" s="2" t="s">
        <v>37</v>
      </c>
      <c r="AI56">
        <v>0</v>
      </c>
      <c r="AJ56" s="3">
        <v>41912.6862384259</v>
      </c>
      <c r="AK56" s="2" t="s">
        <v>2161</v>
      </c>
    </row>
    <row r="57" spans="1:37" x14ac:dyDescent="0.15">
      <c r="A57" s="2" t="s">
        <v>2160</v>
      </c>
      <c r="B57">
        <v>628</v>
      </c>
      <c r="C57" s="3">
        <v>41155</v>
      </c>
      <c r="D57" s="2" t="s">
        <v>37</v>
      </c>
      <c r="E57" s="2" t="s">
        <v>2159</v>
      </c>
      <c r="F57" s="2" t="s">
        <v>38</v>
      </c>
      <c r="G57" s="2" t="s">
        <v>153</v>
      </c>
      <c r="H57" s="2" t="s">
        <v>154</v>
      </c>
      <c r="I57" s="4">
        <v>20572132.07</v>
      </c>
      <c r="J57" s="4">
        <v>0</v>
      </c>
      <c r="K57" s="4">
        <v>0</v>
      </c>
      <c r="L57" s="5"/>
      <c r="M57" s="5">
        <v>3</v>
      </c>
      <c r="N57" s="6">
        <v>617163.9621</v>
      </c>
      <c r="O57" s="4">
        <v>617164</v>
      </c>
      <c r="P57" s="4">
        <v>617164</v>
      </c>
      <c r="Q57" s="6">
        <v>-3.7900000000000003E-2</v>
      </c>
      <c r="R57" s="4">
        <v>8450000</v>
      </c>
      <c r="S57" s="4">
        <v>8450000</v>
      </c>
      <c r="T57" s="4">
        <v>11402300</v>
      </c>
      <c r="U57" s="4">
        <v>11402300</v>
      </c>
      <c r="V57" s="6">
        <v>55.426000000000002</v>
      </c>
      <c r="W57" s="4">
        <v>9476128.4499999993</v>
      </c>
      <c r="X57" s="4">
        <v>9476128.4499999993</v>
      </c>
      <c r="Y57" s="4">
        <v>10916099.67</v>
      </c>
      <c r="Z57" s="4">
        <v>10916099.67</v>
      </c>
      <c r="AA57" s="4">
        <v>3.4</v>
      </c>
      <c r="AB57" s="6">
        <v>287300</v>
      </c>
      <c r="AC57" s="4">
        <v>287300</v>
      </c>
      <c r="AD57" s="4">
        <v>287300</v>
      </c>
      <c r="AE57" s="6">
        <v>0</v>
      </c>
      <c r="AF57" s="4">
        <v>0</v>
      </c>
      <c r="AG57" s="7">
        <v>55</v>
      </c>
      <c r="AH57" s="2" t="s">
        <v>66</v>
      </c>
      <c r="AI57">
        <v>0</v>
      </c>
      <c r="AJ57" s="3">
        <v>41912.686261574097</v>
      </c>
      <c r="AK57" s="2" t="s">
        <v>2158</v>
      </c>
    </row>
    <row r="58" spans="1:37" x14ac:dyDescent="0.15">
      <c r="A58" s="2" t="s">
        <v>2157</v>
      </c>
      <c r="B58">
        <v>637</v>
      </c>
      <c r="C58" s="3">
        <v>41155</v>
      </c>
      <c r="D58" s="2" t="s">
        <v>37</v>
      </c>
      <c r="E58" s="2" t="s">
        <v>2156</v>
      </c>
      <c r="F58" s="2" t="s">
        <v>38</v>
      </c>
      <c r="G58" s="2" t="s">
        <v>155</v>
      </c>
      <c r="H58" s="2" t="s">
        <v>156</v>
      </c>
      <c r="I58" s="4">
        <v>500000</v>
      </c>
      <c r="J58" s="4">
        <v>1680151.09</v>
      </c>
      <c r="K58" s="4">
        <v>1680151.09</v>
      </c>
      <c r="L58" s="5"/>
      <c r="M58" s="5">
        <v>3</v>
      </c>
      <c r="N58" s="6">
        <v>65404.532700000003</v>
      </c>
      <c r="O58" s="4">
        <v>65405</v>
      </c>
      <c r="P58" s="4">
        <v>65405</v>
      </c>
      <c r="Q58" s="6">
        <v>-0.46729999999999999</v>
      </c>
      <c r="R58" s="4">
        <v>1736110.48</v>
      </c>
      <c r="S58" s="4">
        <v>1736110.48</v>
      </c>
      <c r="T58" s="4">
        <v>1681703.26</v>
      </c>
      <c r="U58" s="4">
        <v>1681703.26</v>
      </c>
      <c r="V58" s="6">
        <v>77.137</v>
      </c>
      <c r="W58" s="4">
        <v>1289913.1599999999</v>
      </c>
      <c r="X58" s="4">
        <v>1289913.1599999999</v>
      </c>
      <c r="Y58" s="4">
        <v>1348940.16</v>
      </c>
      <c r="Z58" s="4">
        <v>1348940.16</v>
      </c>
      <c r="AA58" s="4">
        <v>3.4</v>
      </c>
      <c r="AB58" s="6">
        <v>59027.756300000001</v>
      </c>
      <c r="AC58" s="4">
        <v>59027</v>
      </c>
      <c r="AD58" s="4">
        <v>59027</v>
      </c>
      <c r="AE58" s="6">
        <v>0.75629999999999997</v>
      </c>
      <c r="AF58" s="4">
        <v>0</v>
      </c>
      <c r="AG58" s="7">
        <v>63</v>
      </c>
      <c r="AH58" s="2" t="s">
        <v>66</v>
      </c>
      <c r="AI58">
        <v>0</v>
      </c>
      <c r="AJ58" s="3">
        <v>41912.686261574097</v>
      </c>
      <c r="AK58" s="2" t="s">
        <v>2155</v>
      </c>
    </row>
    <row r="59" spans="1:37" x14ac:dyDescent="0.15">
      <c r="A59" s="2" t="s">
        <v>2154</v>
      </c>
      <c r="B59">
        <v>648</v>
      </c>
      <c r="C59" s="3">
        <v>41172</v>
      </c>
      <c r="D59" s="2" t="s">
        <v>37</v>
      </c>
      <c r="E59" s="2" t="s">
        <v>2153</v>
      </c>
      <c r="F59" s="2" t="s">
        <v>38</v>
      </c>
      <c r="G59" s="2" t="s">
        <v>157</v>
      </c>
      <c r="H59" s="2" t="s">
        <v>158</v>
      </c>
      <c r="I59" s="4">
        <v>7729248</v>
      </c>
      <c r="J59" s="4">
        <v>364302</v>
      </c>
      <c r="K59" s="4">
        <v>364302</v>
      </c>
      <c r="L59" s="5"/>
      <c r="M59" s="5">
        <v>3</v>
      </c>
      <c r="N59" s="6">
        <v>242806.5</v>
      </c>
      <c r="O59" s="4">
        <v>242806</v>
      </c>
      <c r="P59" s="4">
        <v>242806</v>
      </c>
      <c r="Q59" s="6">
        <v>0.5</v>
      </c>
      <c r="R59" s="4">
        <v>5370000</v>
      </c>
      <c r="S59" s="4">
        <v>5370000</v>
      </c>
      <c r="T59" s="4">
        <v>5370000</v>
      </c>
      <c r="U59" s="4">
        <v>5370000</v>
      </c>
      <c r="V59" s="6">
        <v>66.349100000000007</v>
      </c>
      <c r="W59" s="4">
        <v>4906391</v>
      </c>
      <c r="X59" s="4">
        <v>4906391</v>
      </c>
      <c r="Y59" s="4">
        <v>5098498</v>
      </c>
      <c r="Z59" s="4">
        <v>5098498</v>
      </c>
      <c r="AA59" s="4">
        <v>3.4</v>
      </c>
      <c r="AB59" s="6">
        <v>182580</v>
      </c>
      <c r="AC59" s="4">
        <v>173400</v>
      </c>
      <c r="AD59" s="4">
        <v>173400</v>
      </c>
      <c r="AE59" s="6">
        <v>9180</v>
      </c>
      <c r="AF59" s="4">
        <v>0</v>
      </c>
      <c r="AG59" s="7">
        <v>50</v>
      </c>
      <c r="AH59" s="2" t="s">
        <v>159</v>
      </c>
      <c r="AI59">
        <v>0</v>
      </c>
      <c r="AJ59" s="3">
        <v>41912.686261574097</v>
      </c>
      <c r="AK59" s="2" t="s">
        <v>2152</v>
      </c>
    </row>
    <row r="60" spans="1:37" x14ac:dyDescent="0.15">
      <c r="A60" s="2" t="s">
        <v>2151</v>
      </c>
      <c r="B60">
        <v>69</v>
      </c>
      <c r="C60" s="3">
        <v>41183</v>
      </c>
      <c r="D60" s="2" t="s">
        <v>37</v>
      </c>
      <c r="E60" s="2" t="s">
        <v>2150</v>
      </c>
      <c r="F60" s="2" t="s">
        <v>41</v>
      </c>
      <c r="G60" s="2" t="s">
        <v>160</v>
      </c>
      <c r="H60" s="2" t="s">
        <v>161</v>
      </c>
      <c r="I60" s="4">
        <v>5400000</v>
      </c>
      <c r="J60" s="4">
        <v>0</v>
      </c>
      <c r="K60" s="4">
        <v>0</v>
      </c>
      <c r="L60" s="5"/>
      <c r="M60" s="5">
        <v>4</v>
      </c>
      <c r="N60" s="6">
        <v>216000</v>
      </c>
      <c r="O60" s="4">
        <v>216000</v>
      </c>
      <c r="P60" s="4">
        <v>216000</v>
      </c>
      <c r="Q60" s="6">
        <v>0</v>
      </c>
      <c r="R60" s="4">
        <v>0</v>
      </c>
      <c r="S60" s="4">
        <v>0</v>
      </c>
      <c r="T60" s="4">
        <v>4236242</v>
      </c>
      <c r="U60" s="4">
        <v>4236242</v>
      </c>
      <c r="V60" s="6">
        <v>78.448899999999995</v>
      </c>
      <c r="W60" s="4">
        <v>0</v>
      </c>
      <c r="X60" s="4">
        <v>0</v>
      </c>
      <c r="Y60" s="4">
        <v>4091973.96</v>
      </c>
      <c r="Z60" s="4">
        <v>4091973.96</v>
      </c>
      <c r="AA60" s="4">
        <v>3.4</v>
      </c>
      <c r="AB60" s="6">
        <v>183600</v>
      </c>
      <c r="AC60" s="4">
        <v>144033</v>
      </c>
      <c r="AD60" s="4">
        <v>144033</v>
      </c>
      <c r="AE60" s="6">
        <v>39567</v>
      </c>
      <c r="AF60" s="4">
        <v>0</v>
      </c>
      <c r="AG60" s="7">
        <v>0</v>
      </c>
      <c r="AH60" s="2" t="s">
        <v>37</v>
      </c>
      <c r="AI60">
        <v>0</v>
      </c>
      <c r="AJ60" s="3">
        <v>41912.6862384259</v>
      </c>
      <c r="AK60" s="2" t="s">
        <v>2149</v>
      </c>
    </row>
    <row r="61" spans="1:37" x14ac:dyDescent="0.15">
      <c r="A61" s="2" t="s">
        <v>2148</v>
      </c>
      <c r="B61">
        <v>71</v>
      </c>
      <c r="C61" s="3">
        <v>41183</v>
      </c>
      <c r="D61" s="2" t="s">
        <v>37</v>
      </c>
      <c r="E61" s="2" t="s">
        <v>2147</v>
      </c>
      <c r="F61" s="2" t="s">
        <v>41</v>
      </c>
      <c r="G61" s="2" t="s">
        <v>162</v>
      </c>
      <c r="H61" s="2" t="s">
        <v>161</v>
      </c>
      <c r="I61" s="4">
        <v>248322.8</v>
      </c>
      <c r="J61" s="4">
        <v>0</v>
      </c>
      <c r="K61" s="4">
        <v>0</v>
      </c>
      <c r="L61" s="5"/>
      <c r="M61" s="5">
        <v>4</v>
      </c>
      <c r="N61" s="6">
        <v>9932.9120000000003</v>
      </c>
      <c r="O61" s="4">
        <v>9933</v>
      </c>
      <c r="P61" s="4">
        <v>9933</v>
      </c>
      <c r="Q61" s="6">
        <v>-8.7999999999999995E-2</v>
      </c>
      <c r="R61" s="4">
        <v>0</v>
      </c>
      <c r="S61" s="4">
        <v>0</v>
      </c>
      <c r="T61" s="4">
        <v>0</v>
      </c>
      <c r="U61" s="4">
        <v>0</v>
      </c>
      <c r="V61" s="6">
        <v>0</v>
      </c>
      <c r="W61" s="4">
        <v>0</v>
      </c>
      <c r="X61" s="4">
        <v>0</v>
      </c>
      <c r="Y61" s="4">
        <v>0</v>
      </c>
      <c r="Z61" s="4">
        <v>0</v>
      </c>
      <c r="AA61" s="4"/>
      <c r="AB61" s="6">
        <v>0</v>
      </c>
      <c r="AC61" s="4">
        <v>0</v>
      </c>
      <c r="AD61" s="4">
        <v>0</v>
      </c>
      <c r="AE61" s="6">
        <v>0</v>
      </c>
      <c r="AF61" s="4">
        <v>0</v>
      </c>
      <c r="AG61" s="7">
        <v>0</v>
      </c>
      <c r="AH61" s="2" t="s">
        <v>37</v>
      </c>
      <c r="AI61">
        <v>0</v>
      </c>
      <c r="AJ61" s="3">
        <v>41912.6862384259</v>
      </c>
      <c r="AK61" s="2" t="s">
        <v>2146</v>
      </c>
    </row>
    <row r="62" spans="1:37" x14ac:dyDescent="0.15">
      <c r="A62" s="2" t="s">
        <v>2145</v>
      </c>
      <c r="B62">
        <v>76</v>
      </c>
      <c r="C62" s="3">
        <v>41214</v>
      </c>
      <c r="D62" s="2" t="s">
        <v>37</v>
      </c>
      <c r="E62" s="2" t="s">
        <v>2144</v>
      </c>
      <c r="F62" s="2" t="s">
        <v>41</v>
      </c>
      <c r="G62" s="2" t="s">
        <v>163</v>
      </c>
      <c r="H62" s="2" t="s">
        <v>164</v>
      </c>
      <c r="I62" s="4">
        <v>1095654</v>
      </c>
      <c r="J62" s="4">
        <v>0</v>
      </c>
      <c r="K62" s="4">
        <v>0</v>
      </c>
      <c r="L62" s="5"/>
      <c r="M62" s="5">
        <v>4</v>
      </c>
      <c r="N62" s="6">
        <v>43826.16</v>
      </c>
      <c r="O62" s="4">
        <v>43827</v>
      </c>
      <c r="P62" s="4">
        <v>43827</v>
      </c>
      <c r="Q62" s="6">
        <v>-0.84</v>
      </c>
      <c r="R62" s="4">
        <v>0</v>
      </c>
      <c r="S62" s="4">
        <v>0</v>
      </c>
      <c r="T62" s="4">
        <v>930000</v>
      </c>
      <c r="U62" s="4">
        <v>930000</v>
      </c>
      <c r="V62" s="6">
        <v>84.880799999999994</v>
      </c>
      <c r="W62" s="4">
        <v>0</v>
      </c>
      <c r="X62" s="4">
        <v>0</v>
      </c>
      <c r="Y62" s="4">
        <v>898120.15</v>
      </c>
      <c r="Z62" s="4">
        <v>898120.15</v>
      </c>
      <c r="AA62" s="4">
        <v>3.46</v>
      </c>
      <c r="AB62" s="6">
        <v>37909.628400000001</v>
      </c>
      <c r="AC62" s="4">
        <v>31620</v>
      </c>
      <c r="AD62" s="4">
        <v>31620</v>
      </c>
      <c r="AE62" s="6">
        <v>6289.6283999999996</v>
      </c>
      <c r="AF62" s="4">
        <v>0</v>
      </c>
      <c r="AG62" s="7">
        <v>0</v>
      </c>
      <c r="AH62" s="2" t="s">
        <v>37</v>
      </c>
      <c r="AI62">
        <v>0</v>
      </c>
      <c r="AJ62" s="3">
        <v>41912.6862384259</v>
      </c>
      <c r="AK62" s="2" t="s">
        <v>2143</v>
      </c>
    </row>
    <row r="63" spans="1:37" x14ac:dyDescent="0.15">
      <c r="A63" s="2" t="s">
        <v>2142</v>
      </c>
      <c r="B63">
        <v>656</v>
      </c>
      <c r="C63" s="3">
        <v>41242</v>
      </c>
      <c r="D63" s="2" t="s">
        <v>37</v>
      </c>
      <c r="E63" s="2" t="s">
        <v>2141</v>
      </c>
      <c r="F63" s="2" t="s">
        <v>38</v>
      </c>
      <c r="G63" s="2" t="s">
        <v>165</v>
      </c>
      <c r="H63" s="2" t="s">
        <v>166</v>
      </c>
      <c r="I63" s="4">
        <v>1947790</v>
      </c>
      <c r="J63" s="4">
        <v>3958320</v>
      </c>
      <c r="K63" s="4">
        <v>3958320</v>
      </c>
      <c r="L63" s="5"/>
      <c r="M63" s="5">
        <v>3</v>
      </c>
      <c r="N63" s="6">
        <v>177183.3</v>
      </c>
      <c r="O63" s="4">
        <v>177183</v>
      </c>
      <c r="P63" s="4">
        <v>177183</v>
      </c>
      <c r="Q63" s="6">
        <v>0.3</v>
      </c>
      <c r="R63" s="4">
        <v>4929108.8</v>
      </c>
      <c r="S63" s="4">
        <v>4929108.8</v>
      </c>
      <c r="T63" s="4">
        <v>4679800</v>
      </c>
      <c r="U63" s="4">
        <v>4679800</v>
      </c>
      <c r="V63" s="6">
        <v>79.236599999999996</v>
      </c>
      <c r="W63" s="4">
        <v>3570320.71</v>
      </c>
      <c r="X63" s="4">
        <v>3570320.71</v>
      </c>
      <c r="Y63" s="4">
        <v>3905909.71</v>
      </c>
      <c r="Z63" s="4">
        <v>3905909.71</v>
      </c>
      <c r="AA63" s="4">
        <v>3.4</v>
      </c>
      <c r="AB63" s="6">
        <v>167589.6992</v>
      </c>
      <c r="AC63" s="4">
        <v>167589</v>
      </c>
      <c r="AD63" s="4">
        <v>167589</v>
      </c>
      <c r="AE63" s="6">
        <v>0.69920000000000004</v>
      </c>
      <c r="AF63" s="4">
        <v>0</v>
      </c>
      <c r="AG63" s="7">
        <v>0</v>
      </c>
      <c r="AH63" s="2" t="s">
        <v>37</v>
      </c>
      <c r="AI63">
        <v>0</v>
      </c>
      <c r="AJ63" s="3">
        <v>41912.686261574097</v>
      </c>
      <c r="AK63" s="2" t="s">
        <v>2140</v>
      </c>
    </row>
    <row r="64" spans="1:37" x14ac:dyDescent="0.15">
      <c r="A64" s="2" t="s">
        <v>2139</v>
      </c>
      <c r="B64">
        <v>87</v>
      </c>
      <c r="C64" s="3">
        <v>41244</v>
      </c>
      <c r="D64" s="2" t="s">
        <v>37</v>
      </c>
      <c r="E64" s="2" t="s">
        <v>2138</v>
      </c>
      <c r="F64" s="2" t="s">
        <v>41</v>
      </c>
      <c r="G64" s="2" t="s">
        <v>167</v>
      </c>
      <c r="H64" s="2" t="s">
        <v>168</v>
      </c>
      <c r="I64" s="4">
        <v>1424272.9</v>
      </c>
      <c r="J64" s="4">
        <v>0</v>
      </c>
      <c r="K64" s="4">
        <v>0</v>
      </c>
      <c r="L64" s="5">
        <v>679820</v>
      </c>
      <c r="M64" s="5">
        <v>4</v>
      </c>
      <c r="N64" s="6">
        <v>56970.915999999997</v>
      </c>
      <c r="O64" s="4">
        <v>27192.799999999999</v>
      </c>
      <c r="P64" s="4">
        <v>27192.799999999999</v>
      </c>
      <c r="Q64" s="6">
        <v>29778.116000000002</v>
      </c>
      <c r="R64" s="4">
        <v>0</v>
      </c>
      <c r="S64" s="4">
        <v>0</v>
      </c>
      <c r="T64" s="4">
        <v>646009</v>
      </c>
      <c r="U64" s="4">
        <v>646009</v>
      </c>
      <c r="V64" s="6">
        <v>95.026499999999999</v>
      </c>
      <c r="W64" s="4">
        <v>0</v>
      </c>
      <c r="X64" s="4">
        <v>0</v>
      </c>
      <c r="Y64" s="4">
        <v>620287.39</v>
      </c>
      <c r="Z64" s="4">
        <v>620287.39</v>
      </c>
      <c r="AA64" s="4">
        <v>3.4</v>
      </c>
      <c r="AB64" s="6">
        <v>23113.88</v>
      </c>
      <c r="AC64" s="4">
        <v>21965.39</v>
      </c>
      <c r="AD64" s="4">
        <v>21965.39</v>
      </c>
      <c r="AE64" s="6">
        <v>1148.49</v>
      </c>
      <c r="AF64" s="4">
        <v>0</v>
      </c>
      <c r="AG64" s="7">
        <v>0</v>
      </c>
      <c r="AH64" s="2" t="s">
        <v>37</v>
      </c>
      <c r="AI64">
        <v>0</v>
      </c>
      <c r="AJ64" s="3">
        <v>41912.6862384259</v>
      </c>
      <c r="AK64" s="2" t="s">
        <v>2137</v>
      </c>
    </row>
    <row r="65" spans="1:37" x14ac:dyDescent="0.15">
      <c r="A65" s="2" t="s">
        <v>2136</v>
      </c>
      <c r="B65">
        <v>81</v>
      </c>
      <c r="C65" s="3">
        <v>41244</v>
      </c>
      <c r="D65" s="2" t="s">
        <v>37</v>
      </c>
      <c r="E65" s="2" t="s">
        <v>2135</v>
      </c>
      <c r="F65" s="2" t="s">
        <v>41</v>
      </c>
      <c r="G65" s="2" t="s">
        <v>169</v>
      </c>
      <c r="H65" s="2" t="s">
        <v>170</v>
      </c>
      <c r="I65" s="4">
        <v>7400000</v>
      </c>
      <c r="J65" s="4">
        <v>0</v>
      </c>
      <c r="K65" s="4">
        <v>0</v>
      </c>
      <c r="L65" s="5"/>
      <c r="M65" s="5">
        <v>4</v>
      </c>
      <c r="N65" s="6">
        <v>296000</v>
      </c>
      <c r="O65" s="4">
        <v>296000</v>
      </c>
      <c r="P65" s="4">
        <v>296000</v>
      </c>
      <c r="Q65" s="6">
        <v>0</v>
      </c>
      <c r="R65" s="4">
        <v>0</v>
      </c>
      <c r="S65" s="4">
        <v>0</v>
      </c>
      <c r="T65" s="4">
        <v>3132050</v>
      </c>
      <c r="U65" s="4">
        <v>3132050</v>
      </c>
      <c r="V65" s="6">
        <v>42.325000000000003</v>
      </c>
      <c r="W65" s="4">
        <v>0</v>
      </c>
      <c r="X65" s="4">
        <v>0</v>
      </c>
      <c r="Y65" s="4">
        <v>3103690</v>
      </c>
      <c r="Z65" s="4">
        <v>3103690</v>
      </c>
      <c r="AA65" s="4">
        <v>3.4</v>
      </c>
      <c r="AB65" s="6">
        <v>251600</v>
      </c>
      <c r="AC65" s="4">
        <v>54365.42</v>
      </c>
      <c r="AD65" s="4">
        <v>54365.42</v>
      </c>
      <c r="AE65" s="6">
        <v>197234.58</v>
      </c>
      <c r="AF65" s="4">
        <v>0</v>
      </c>
      <c r="AG65" s="7">
        <v>0</v>
      </c>
      <c r="AH65" s="2" t="s">
        <v>37</v>
      </c>
      <c r="AI65">
        <v>0</v>
      </c>
      <c r="AJ65" s="3">
        <v>41912.6862384259</v>
      </c>
      <c r="AK65" s="2" t="s">
        <v>2134</v>
      </c>
    </row>
    <row r="66" spans="1:37" x14ac:dyDescent="0.15">
      <c r="A66" s="2" t="s">
        <v>2133</v>
      </c>
      <c r="B66">
        <v>89</v>
      </c>
      <c r="C66" s="3">
        <v>41244</v>
      </c>
      <c r="D66" s="2" t="s">
        <v>37</v>
      </c>
      <c r="E66" s="2" t="s">
        <v>2132</v>
      </c>
      <c r="F66" s="2" t="s">
        <v>41</v>
      </c>
      <c r="G66" s="2" t="s">
        <v>171</v>
      </c>
      <c r="H66" s="2" t="s">
        <v>172</v>
      </c>
      <c r="I66" s="4">
        <v>560000</v>
      </c>
      <c r="J66" s="4">
        <v>0</v>
      </c>
      <c r="K66" s="4">
        <v>0</v>
      </c>
      <c r="L66" s="5"/>
      <c r="M66" s="5">
        <v>6.5</v>
      </c>
      <c r="N66" s="6">
        <v>36400</v>
      </c>
      <c r="O66" s="4">
        <v>36400</v>
      </c>
      <c r="P66" s="4">
        <v>36400</v>
      </c>
      <c r="Q66" s="6">
        <v>0</v>
      </c>
      <c r="R66" s="4">
        <v>0</v>
      </c>
      <c r="S66" s="4">
        <v>0</v>
      </c>
      <c r="T66" s="4">
        <v>0</v>
      </c>
      <c r="U66" s="4">
        <v>0</v>
      </c>
      <c r="V66" s="6">
        <v>0</v>
      </c>
      <c r="W66" s="4">
        <v>0</v>
      </c>
      <c r="X66" s="4">
        <v>0</v>
      </c>
      <c r="Y66" s="4">
        <v>0</v>
      </c>
      <c r="Z66" s="4">
        <v>0</v>
      </c>
      <c r="AA66" s="4"/>
      <c r="AB66" s="6">
        <v>0</v>
      </c>
      <c r="AC66" s="4">
        <v>0</v>
      </c>
      <c r="AD66" s="4">
        <v>0</v>
      </c>
      <c r="AE66" s="6">
        <v>0</v>
      </c>
      <c r="AF66" s="4">
        <v>0</v>
      </c>
      <c r="AG66" s="7">
        <v>0</v>
      </c>
      <c r="AH66" s="2" t="s">
        <v>37</v>
      </c>
      <c r="AI66">
        <v>0</v>
      </c>
      <c r="AJ66" s="3">
        <v>41912.6862384259</v>
      </c>
      <c r="AK66" s="2" t="s">
        <v>2131</v>
      </c>
    </row>
    <row r="67" spans="1:37" x14ac:dyDescent="0.15">
      <c r="A67" s="2" t="s">
        <v>2130</v>
      </c>
      <c r="B67">
        <v>82</v>
      </c>
      <c r="C67" s="3">
        <v>41244</v>
      </c>
      <c r="D67" s="2" t="s">
        <v>37</v>
      </c>
      <c r="E67" s="2" t="s">
        <v>2129</v>
      </c>
      <c r="F67" s="2" t="s">
        <v>41</v>
      </c>
      <c r="G67" s="2" t="s">
        <v>175</v>
      </c>
      <c r="H67" s="2" t="s">
        <v>170</v>
      </c>
      <c r="I67" s="4">
        <v>1679000</v>
      </c>
      <c r="J67" s="4">
        <v>0</v>
      </c>
      <c r="K67" s="4">
        <v>0</v>
      </c>
      <c r="L67" s="5"/>
      <c r="M67" s="5">
        <v>3.6</v>
      </c>
      <c r="N67" s="6">
        <v>60444</v>
      </c>
      <c r="O67" s="4">
        <v>0</v>
      </c>
      <c r="P67" s="4">
        <v>0</v>
      </c>
      <c r="Q67" s="6">
        <v>60444</v>
      </c>
      <c r="R67" s="4">
        <v>0</v>
      </c>
      <c r="S67" s="4">
        <v>0</v>
      </c>
      <c r="T67" s="4">
        <v>0</v>
      </c>
      <c r="U67" s="4">
        <v>0</v>
      </c>
      <c r="V67" s="6">
        <v>0</v>
      </c>
      <c r="W67" s="4">
        <v>0</v>
      </c>
      <c r="X67" s="4">
        <v>0</v>
      </c>
      <c r="Y67" s="4">
        <v>0</v>
      </c>
      <c r="Z67" s="4">
        <v>0</v>
      </c>
      <c r="AA67" s="4">
        <v>3.4</v>
      </c>
      <c r="AB67" s="6">
        <v>57086</v>
      </c>
      <c r="AC67" s="4">
        <v>0</v>
      </c>
      <c r="AD67" s="4">
        <v>0</v>
      </c>
      <c r="AE67" s="6">
        <v>57086</v>
      </c>
      <c r="AF67" s="4">
        <v>0</v>
      </c>
      <c r="AG67" s="7">
        <v>0</v>
      </c>
      <c r="AH67" s="2" t="s">
        <v>37</v>
      </c>
      <c r="AI67">
        <v>0</v>
      </c>
      <c r="AJ67" s="3">
        <v>41912.6862384259</v>
      </c>
      <c r="AK67" s="2" t="s">
        <v>2128</v>
      </c>
    </row>
    <row r="68" spans="1:37" x14ac:dyDescent="0.15">
      <c r="A68" s="2" t="s">
        <v>2127</v>
      </c>
      <c r="B68">
        <v>94</v>
      </c>
      <c r="C68" s="3">
        <v>41244</v>
      </c>
      <c r="D68" s="2" t="s">
        <v>37</v>
      </c>
      <c r="E68" s="2" t="s">
        <v>2126</v>
      </c>
      <c r="F68" s="2" t="s">
        <v>41</v>
      </c>
      <c r="G68" s="2" t="s">
        <v>173</v>
      </c>
      <c r="H68" s="2" t="s">
        <v>174</v>
      </c>
      <c r="I68" s="4">
        <v>10496879</v>
      </c>
      <c r="J68" s="4">
        <v>0</v>
      </c>
      <c r="K68" s="4">
        <v>0</v>
      </c>
      <c r="L68" s="5">
        <v>12240225</v>
      </c>
      <c r="M68" s="5">
        <v>3.5</v>
      </c>
      <c r="N68" s="6">
        <v>367390.76500000001</v>
      </c>
      <c r="O68" s="4">
        <v>367390.76</v>
      </c>
      <c r="P68" s="4">
        <v>367390.76</v>
      </c>
      <c r="Q68" s="6">
        <v>5.0000000000000001E-3</v>
      </c>
      <c r="R68" s="4">
        <v>0</v>
      </c>
      <c r="S68" s="4">
        <v>0</v>
      </c>
      <c r="T68" s="4">
        <v>9807180.1999999993</v>
      </c>
      <c r="U68" s="4">
        <v>9807180.1999999993</v>
      </c>
      <c r="V68" s="6">
        <v>80.122500000000002</v>
      </c>
      <c r="W68" s="4">
        <v>0</v>
      </c>
      <c r="X68" s="4">
        <v>0</v>
      </c>
      <c r="Y68" s="4">
        <v>9234785.1899999995</v>
      </c>
      <c r="Z68" s="4">
        <v>9234785.1899999995</v>
      </c>
      <c r="AA68" s="4"/>
      <c r="AB68" s="6">
        <v>414478.41</v>
      </c>
      <c r="AC68" s="4">
        <v>414478.41</v>
      </c>
      <c r="AD68" s="4">
        <v>414478.41</v>
      </c>
      <c r="AE68" s="6">
        <v>0</v>
      </c>
      <c r="AF68" s="4">
        <v>0</v>
      </c>
      <c r="AG68" s="7">
        <v>0</v>
      </c>
      <c r="AH68" s="2" t="s">
        <v>37</v>
      </c>
      <c r="AI68">
        <v>0</v>
      </c>
      <c r="AJ68" s="3">
        <v>41912.6862384259</v>
      </c>
      <c r="AK68" s="2" t="s">
        <v>2125</v>
      </c>
    </row>
    <row r="69" spans="1:37" x14ac:dyDescent="0.15">
      <c r="A69" s="2" t="s">
        <v>2124</v>
      </c>
      <c r="B69">
        <v>99</v>
      </c>
      <c r="C69" s="3">
        <v>41275</v>
      </c>
      <c r="D69" s="2" t="s">
        <v>37</v>
      </c>
      <c r="E69" s="2" t="s">
        <v>2123</v>
      </c>
      <c r="F69" s="2" t="s">
        <v>41</v>
      </c>
      <c r="G69" s="2" t="s">
        <v>176</v>
      </c>
      <c r="H69" s="2" t="s">
        <v>177</v>
      </c>
      <c r="I69" s="4">
        <v>3323897.08</v>
      </c>
      <c r="J69" s="4">
        <v>0</v>
      </c>
      <c r="K69" s="4">
        <v>0</v>
      </c>
      <c r="L69" s="5">
        <v>4884000</v>
      </c>
      <c r="M69" s="5">
        <v>4</v>
      </c>
      <c r="N69" s="6">
        <v>132955.88320000001</v>
      </c>
      <c r="O69" s="4">
        <v>195360</v>
      </c>
      <c r="P69" s="4">
        <v>195360</v>
      </c>
      <c r="Q69" s="6">
        <v>-62404.116800000003</v>
      </c>
      <c r="R69" s="4">
        <v>0</v>
      </c>
      <c r="S69" s="4">
        <v>0</v>
      </c>
      <c r="T69" s="4">
        <v>3816858</v>
      </c>
      <c r="U69" s="4">
        <v>3816858</v>
      </c>
      <c r="V69" s="6">
        <v>78.150199999999998</v>
      </c>
      <c r="W69" s="4">
        <v>0</v>
      </c>
      <c r="X69" s="4">
        <v>0</v>
      </c>
      <c r="Y69" s="4">
        <v>3658680.67</v>
      </c>
      <c r="Z69" s="4">
        <v>3658680.67</v>
      </c>
      <c r="AA69" s="4">
        <v>3.4</v>
      </c>
      <c r="AB69" s="6">
        <v>113012.5007</v>
      </c>
      <c r="AC69" s="4">
        <v>129743</v>
      </c>
      <c r="AD69" s="4">
        <v>129743</v>
      </c>
      <c r="AE69" s="6">
        <v>-16730.499299999999</v>
      </c>
      <c r="AF69" s="4">
        <v>0</v>
      </c>
      <c r="AG69" s="7">
        <v>0</v>
      </c>
      <c r="AH69" s="2" t="s">
        <v>37</v>
      </c>
      <c r="AI69">
        <v>0</v>
      </c>
      <c r="AJ69" s="3">
        <v>41912.6862384259</v>
      </c>
      <c r="AK69" s="2" t="s">
        <v>2122</v>
      </c>
    </row>
    <row r="70" spans="1:37" x14ac:dyDescent="0.15">
      <c r="A70" s="2" t="s">
        <v>2121</v>
      </c>
      <c r="B70">
        <v>665</v>
      </c>
      <c r="C70" s="3">
        <v>41284</v>
      </c>
      <c r="D70" s="2" t="s">
        <v>37</v>
      </c>
      <c r="E70" s="2" t="s">
        <v>2120</v>
      </c>
      <c r="F70" s="2" t="s">
        <v>38</v>
      </c>
      <c r="G70" s="2" t="s">
        <v>178</v>
      </c>
      <c r="H70" s="2" t="s">
        <v>179</v>
      </c>
      <c r="I70" s="4">
        <v>1973264</v>
      </c>
      <c r="J70" s="4">
        <v>1837947</v>
      </c>
      <c r="K70" s="4">
        <v>1837947</v>
      </c>
      <c r="L70" s="5"/>
      <c r="M70" s="5">
        <v>3.6</v>
      </c>
      <c r="N70" s="6">
        <v>137203.59599999999</v>
      </c>
      <c r="O70" s="4">
        <v>137204</v>
      </c>
      <c r="P70" s="4">
        <v>137204</v>
      </c>
      <c r="Q70" s="6">
        <v>-0.40400000000000003</v>
      </c>
      <c r="R70" s="4">
        <v>1500000</v>
      </c>
      <c r="S70" s="4">
        <v>1500000</v>
      </c>
      <c r="T70" s="4">
        <v>1500000</v>
      </c>
      <c r="U70" s="4">
        <v>1500000</v>
      </c>
      <c r="V70" s="6">
        <v>39.357599999999998</v>
      </c>
      <c r="W70" s="4">
        <v>1373403.7</v>
      </c>
      <c r="X70" s="4">
        <v>1373403.7</v>
      </c>
      <c r="Y70" s="4">
        <v>1424403.7</v>
      </c>
      <c r="Z70" s="4">
        <v>1424403.7</v>
      </c>
      <c r="AA70" s="4">
        <v>3.4</v>
      </c>
      <c r="AB70" s="6">
        <v>51000</v>
      </c>
      <c r="AC70" s="4">
        <v>51000</v>
      </c>
      <c r="AD70" s="4">
        <v>51000</v>
      </c>
      <c r="AE70" s="6">
        <v>0</v>
      </c>
      <c r="AF70" s="4">
        <v>0</v>
      </c>
      <c r="AG70" s="7">
        <v>20</v>
      </c>
      <c r="AH70" s="2" t="s">
        <v>52</v>
      </c>
      <c r="AI70">
        <v>0</v>
      </c>
      <c r="AJ70" s="3">
        <v>41912.686261574097</v>
      </c>
      <c r="AK70" s="2" t="s">
        <v>2119</v>
      </c>
    </row>
    <row r="71" spans="1:37" x14ac:dyDescent="0.15">
      <c r="A71" s="2" t="s">
        <v>2118</v>
      </c>
      <c r="B71">
        <v>682</v>
      </c>
      <c r="C71" s="3">
        <v>41294</v>
      </c>
      <c r="D71" s="2" t="s">
        <v>37</v>
      </c>
      <c r="E71" s="2" t="s">
        <v>2117</v>
      </c>
      <c r="F71" s="2" t="s">
        <v>38</v>
      </c>
      <c r="G71" s="2" t="s">
        <v>180</v>
      </c>
      <c r="H71" s="2" t="s">
        <v>181</v>
      </c>
      <c r="I71" s="4">
        <v>5145173.21</v>
      </c>
      <c r="J71" s="4">
        <v>0</v>
      </c>
      <c r="K71" s="4">
        <v>0</v>
      </c>
      <c r="L71" s="5"/>
      <c r="M71" s="5">
        <v>3</v>
      </c>
      <c r="N71" s="6">
        <v>154355.19630000001</v>
      </c>
      <c r="O71" s="4">
        <v>154355</v>
      </c>
      <c r="P71" s="4">
        <v>154355</v>
      </c>
      <c r="Q71" s="6">
        <v>0.1963</v>
      </c>
      <c r="R71" s="4">
        <v>4112000</v>
      </c>
      <c r="S71" s="4">
        <v>4112000</v>
      </c>
      <c r="T71" s="4">
        <v>4112000</v>
      </c>
      <c r="U71" s="4">
        <v>4112000</v>
      </c>
      <c r="V71" s="6">
        <v>79.919600000000003</v>
      </c>
      <c r="W71" s="4">
        <v>3963512.81</v>
      </c>
      <c r="X71" s="4">
        <v>3963512.81</v>
      </c>
      <c r="Y71" s="4">
        <v>4103320.81</v>
      </c>
      <c r="Z71" s="4">
        <v>4103320.81</v>
      </c>
      <c r="AA71" s="4">
        <v>3.4</v>
      </c>
      <c r="AB71" s="6">
        <v>139808</v>
      </c>
      <c r="AC71" s="4">
        <v>139806</v>
      </c>
      <c r="AD71" s="4">
        <v>139806</v>
      </c>
      <c r="AE71" s="6">
        <v>2</v>
      </c>
      <c r="AF71" s="4">
        <v>0</v>
      </c>
      <c r="AG71" s="7">
        <v>75</v>
      </c>
      <c r="AH71" s="2" t="s">
        <v>100</v>
      </c>
      <c r="AI71">
        <v>0</v>
      </c>
      <c r="AJ71" s="3">
        <v>41912.686261574097</v>
      </c>
      <c r="AK71" s="2" t="s">
        <v>2116</v>
      </c>
    </row>
    <row r="72" spans="1:37" x14ac:dyDescent="0.15">
      <c r="A72" s="2" t="s">
        <v>2115</v>
      </c>
      <c r="B72">
        <v>698</v>
      </c>
      <c r="C72" s="3">
        <v>41294</v>
      </c>
      <c r="D72" s="2" t="s">
        <v>37</v>
      </c>
      <c r="E72" s="2" t="s">
        <v>2114</v>
      </c>
      <c r="F72" s="2" t="s">
        <v>38</v>
      </c>
      <c r="G72" s="2" t="s">
        <v>182</v>
      </c>
      <c r="H72" s="2" t="s">
        <v>183</v>
      </c>
      <c r="I72" s="4">
        <v>8338455</v>
      </c>
      <c r="J72" s="4">
        <v>1516000</v>
      </c>
      <c r="K72" s="4">
        <v>1516000</v>
      </c>
      <c r="L72" s="5"/>
      <c r="M72" s="5">
        <v>3</v>
      </c>
      <c r="N72" s="6">
        <v>295633.65000000002</v>
      </c>
      <c r="O72" s="4">
        <v>295634</v>
      </c>
      <c r="P72" s="4">
        <v>295634</v>
      </c>
      <c r="Q72" s="6">
        <v>-0.35</v>
      </c>
      <c r="R72" s="4">
        <v>4000000</v>
      </c>
      <c r="S72" s="4">
        <v>4000000</v>
      </c>
      <c r="T72" s="4">
        <v>6000000</v>
      </c>
      <c r="U72" s="4">
        <v>6000000</v>
      </c>
      <c r="V72" s="6">
        <v>60.886200000000002</v>
      </c>
      <c r="W72" s="4">
        <v>2634546</v>
      </c>
      <c r="X72" s="4">
        <v>2634546</v>
      </c>
      <c r="Y72" s="4">
        <v>4265306</v>
      </c>
      <c r="Z72" s="4">
        <v>4265306</v>
      </c>
      <c r="AA72" s="4"/>
      <c r="AB72" s="6"/>
      <c r="AC72" s="4">
        <v>0</v>
      </c>
      <c r="AD72" s="4">
        <v>0</v>
      </c>
      <c r="AE72" s="6"/>
      <c r="AF72" s="4">
        <v>0</v>
      </c>
      <c r="AG72" s="7">
        <v>75</v>
      </c>
      <c r="AH72" s="2" t="s">
        <v>52</v>
      </c>
      <c r="AI72">
        <v>0</v>
      </c>
      <c r="AJ72" s="3">
        <v>41912.686261574097</v>
      </c>
      <c r="AK72" s="2" t="s">
        <v>2113</v>
      </c>
    </row>
    <row r="73" spans="1:37" x14ac:dyDescent="0.15">
      <c r="A73" s="2" t="s">
        <v>2112</v>
      </c>
      <c r="B73">
        <v>674</v>
      </c>
      <c r="C73" s="3">
        <v>41297</v>
      </c>
      <c r="D73" s="2" t="s">
        <v>37</v>
      </c>
      <c r="E73" s="2" t="s">
        <v>2111</v>
      </c>
      <c r="F73" s="2" t="s">
        <v>38</v>
      </c>
      <c r="G73" s="2" t="s">
        <v>184</v>
      </c>
      <c r="H73" s="2" t="s">
        <v>185</v>
      </c>
      <c r="I73" s="4">
        <v>478942</v>
      </c>
      <c r="J73" s="4">
        <v>19643</v>
      </c>
      <c r="K73" s="4">
        <v>19643</v>
      </c>
      <c r="L73" s="5"/>
      <c r="M73" s="5">
        <v>3.6</v>
      </c>
      <c r="N73" s="6">
        <v>17949.060000000001</v>
      </c>
      <c r="O73" s="4">
        <v>17831</v>
      </c>
      <c r="P73" s="4">
        <v>17831</v>
      </c>
      <c r="Q73" s="6">
        <v>118.06</v>
      </c>
      <c r="R73" s="4">
        <v>498585</v>
      </c>
      <c r="S73" s="4">
        <v>498585</v>
      </c>
      <c r="T73" s="4">
        <v>473655</v>
      </c>
      <c r="U73" s="4">
        <v>473655</v>
      </c>
      <c r="V73" s="6">
        <v>94.999799999999993</v>
      </c>
      <c r="W73" s="4">
        <v>450000</v>
      </c>
      <c r="X73" s="4">
        <v>450000</v>
      </c>
      <c r="Y73" s="4">
        <v>466952</v>
      </c>
      <c r="Z73" s="4">
        <v>466952</v>
      </c>
      <c r="AA73" s="4">
        <v>3.4</v>
      </c>
      <c r="AB73" s="6">
        <v>16951.89</v>
      </c>
      <c r="AC73" s="4">
        <v>16952</v>
      </c>
      <c r="AD73" s="4">
        <v>16952</v>
      </c>
      <c r="AE73" s="6">
        <v>-0.11</v>
      </c>
      <c r="AF73" s="4">
        <v>0</v>
      </c>
      <c r="AG73" s="7">
        <v>6</v>
      </c>
      <c r="AH73" s="2" t="s">
        <v>52</v>
      </c>
      <c r="AI73">
        <v>0</v>
      </c>
      <c r="AJ73" s="3">
        <v>41912.686261574097</v>
      </c>
      <c r="AK73" s="2" t="s">
        <v>2110</v>
      </c>
    </row>
    <row r="74" spans="1:37" x14ac:dyDescent="0.15">
      <c r="A74" s="2" t="s">
        <v>2109</v>
      </c>
      <c r="B74">
        <v>705</v>
      </c>
      <c r="C74" s="3">
        <v>41299</v>
      </c>
      <c r="D74" s="2" t="s">
        <v>37</v>
      </c>
      <c r="E74" s="2" t="s">
        <v>2108</v>
      </c>
      <c r="F74" s="2" t="s">
        <v>38</v>
      </c>
      <c r="G74" s="2" t="s">
        <v>186</v>
      </c>
      <c r="H74" s="2" t="s">
        <v>187</v>
      </c>
      <c r="I74" s="4">
        <v>1707600</v>
      </c>
      <c r="J74" s="4">
        <v>0</v>
      </c>
      <c r="K74" s="4">
        <v>0</v>
      </c>
      <c r="L74" s="5"/>
      <c r="M74" s="5">
        <v>3</v>
      </c>
      <c r="N74" s="6">
        <v>51228</v>
      </c>
      <c r="O74" s="4">
        <v>51228</v>
      </c>
      <c r="P74" s="4">
        <v>51228</v>
      </c>
      <c r="Q74" s="6">
        <v>0</v>
      </c>
      <c r="R74" s="4">
        <v>1536840</v>
      </c>
      <c r="S74" s="4">
        <v>1536840</v>
      </c>
      <c r="T74" s="4">
        <v>1536840</v>
      </c>
      <c r="U74" s="4">
        <v>1536840</v>
      </c>
      <c r="V74" s="6">
        <v>90</v>
      </c>
      <c r="W74" s="4">
        <v>1484089.7</v>
      </c>
      <c r="X74" s="4">
        <v>1484089.7</v>
      </c>
      <c r="Y74" s="4">
        <v>1536342.7</v>
      </c>
      <c r="Z74" s="4">
        <v>1536342.7</v>
      </c>
      <c r="AA74" s="4">
        <v>3.4</v>
      </c>
      <c r="AB74" s="6">
        <v>52252.56</v>
      </c>
      <c r="AC74" s="4">
        <v>52253</v>
      </c>
      <c r="AD74" s="4">
        <v>52253</v>
      </c>
      <c r="AE74" s="6">
        <v>-0.44</v>
      </c>
      <c r="AF74" s="4">
        <v>0</v>
      </c>
      <c r="AG74" s="7">
        <v>0</v>
      </c>
      <c r="AH74" s="2" t="s">
        <v>37</v>
      </c>
      <c r="AI74">
        <v>0</v>
      </c>
      <c r="AJ74" s="3">
        <v>41912.686261574097</v>
      </c>
      <c r="AK74" s="2" t="s">
        <v>2107</v>
      </c>
    </row>
    <row r="75" spans="1:37" x14ac:dyDescent="0.15">
      <c r="A75" s="2" t="s">
        <v>2106</v>
      </c>
      <c r="B75">
        <v>690</v>
      </c>
      <c r="C75" s="3">
        <v>41299</v>
      </c>
      <c r="D75" s="2" t="s">
        <v>37</v>
      </c>
      <c r="E75" s="2" t="s">
        <v>2105</v>
      </c>
      <c r="F75" s="2" t="s">
        <v>38</v>
      </c>
      <c r="G75" s="2" t="s">
        <v>188</v>
      </c>
      <c r="H75" s="2" t="s">
        <v>189</v>
      </c>
      <c r="I75" s="4">
        <v>5903500</v>
      </c>
      <c r="J75" s="4">
        <v>0</v>
      </c>
      <c r="K75" s="4">
        <v>0</v>
      </c>
      <c r="L75" s="5"/>
      <c r="M75" s="5">
        <v>4</v>
      </c>
      <c r="N75" s="6">
        <v>236140</v>
      </c>
      <c r="O75" s="4">
        <v>236140</v>
      </c>
      <c r="P75" s="4">
        <v>236140</v>
      </c>
      <c r="Q75" s="6">
        <v>0</v>
      </c>
      <c r="R75" s="4">
        <v>5400000</v>
      </c>
      <c r="S75" s="4">
        <v>5400000</v>
      </c>
      <c r="T75" s="4">
        <v>4000000</v>
      </c>
      <c r="U75" s="4">
        <v>4000000</v>
      </c>
      <c r="V75" s="6">
        <v>67.756399999999999</v>
      </c>
      <c r="W75" s="4">
        <v>2706499.32</v>
      </c>
      <c r="X75" s="4">
        <v>2706499.32</v>
      </c>
      <c r="Y75" s="4">
        <v>3999943.58</v>
      </c>
      <c r="Z75" s="4">
        <v>3999943.58</v>
      </c>
      <c r="AA75" s="4">
        <v>3.4</v>
      </c>
      <c r="AB75" s="6">
        <v>183600</v>
      </c>
      <c r="AC75" s="4">
        <v>183600</v>
      </c>
      <c r="AD75" s="4">
        <v>183600</v>
      </c>
      <c r="AE75" s="6">
        <v>0</v>
      </c>
      <c r="AF75" s="4">
        <v>0</v>
      </c>
      <c r="AG75" s="7">
        <v>74</v>
      </c>
      <c r="AH75" s="2" t="s">
        <v>52</v>
      </c>
      <c r="AI75">
        <v>0</v>
      </c>
      <c r="AJ75" s="3">
        <v>41912.686261574097</v>
      </c>
      <c r="AK75" s="2" t="s">
        <v>2104</v>
      </c>
    </row>
    <row r="76" spans="1:37" x14ac:dyDescent="0.15">
      <c r="A76" s="2" t="s">
        <v>2103</v>
      </c>
      <c r="B76">
        <v>713</v>
      </c>
      <c r="C76" s="3">
        <v>41303</v>
      </c>
      <c r="D76" s="2" t="s">
        <v>37</v>
      </c>
      <c r="E76" s="2" t="s">
        <v>2102</v>
      </c>
      <c r="F76" s="2" t="s">
        <v>38</v>
      </c>
      <c r="G76" s="2" t="s">
        <v>190</v>
      </c>
      <c r="H76" s="2" t="s">
        <v>191</v>
      </c>
      <c r="I76" s="4">
        <v>3171737</v>
      </c>
      <c r="J76" s="4">
        <v>0</v>
      </c>
      <c r="K76" s="4">
        <v>0</v>
      </c>
      <c r="L76" s="5"/>
      <c r="M76" s="5">
        <v>4</v>
      </c>
      <c r="N76" s="6">
        <v>126869.48</v>
      </c>
      <c r="O76" s="4">
        <v>126870</v>
      </c>
      <c r="P76" s="4">
        <v>126870</v>
      </c>
      <c r="Q76" s="6">
        <v>-0.52</v>
      </c>
      <c r="R76" s="4">
        <v>3000000</v>
      </c>
      <c r="S76" s="4">
        <v>3000000</v>
      </c>
      <c r="T76" s="4">
        <v>3000000</v>
      </c>
      <c r="U76" s="4">
        <v>3000000</v>
      </c>
      <c r="V76" s="6">
        <v>94.585400000000007</v>
      </c>
      <c r="W76" s="4">
        <v>2209075.2000000002</v>
      </c>
      <c r="X76" s="4">
        <v>2209075.2000000002</v>
      </c>
      <c r="Y76" s="4">
        <v>2947212.54</v>
      </c>
      <c r="Z76" s="4">
        <v>2947212.54</v>
      </c>
      <c r="AA76" s="4">
        <v>3.4</v>
      </c>
      <c r="AB76" s="6">
        <v>102000</v>
      </c>
      <c r="AC76" s="4">
        <v>102000</v>
      </c>
      <c r="AD76" s="4">
        <v>102000</v>
      </c>
      <c r="AE76" s="6">
        <v>0</v>
      </c>
      <c r="AF76" s="4">
        <v>0</v>
      </c>
      <c r="AG76" s="7">
        <v>40</v>
      </c>
      <c r="AH76" s="2" t="s">
        <v>52</v>
      </c>
      <c r="AI76">
        <v>0</v>
      </c>
      <c r="AJ76" s="3">
        <v>41912.686261574097</v>
      </c>
      <c r="AK76" s="2" t="s">
        <v>2101</v>
      </c>
    </row>
    <row r="77" spans="1:37" x14ac:dyDescent="0.15">
      <c r="A77" s="2" t="s">
        <v>2100</v>
      </c>
      <c r="B77">
        <v>722</v>
      </c>
      <c r="C77" s="3">
        <v>41304</v>
      </c>
      <c r="D77" s="2" t="s">
        <v>37</v>
      </c>
      <c r="E77" s="2" t="s">
        <v>2099</v>
      </c>
      <c r="F77" s="2" t="s">
        <v>38</v>
      </c>
      <c r="G77" s="2" t="s">
        <v>192</v>
      </c>
      <c r="H77" s="2" t="s">
        <v>193</v>
      </c>
      <c r="I77" s="4">
        <v>3688900</v>
      </c>
      <c r="J77" s="4">
        <v>2437951.61</v>
      </c>
      <c r="K77" s="4">
        <v>2437951.61</v>
      </c>
      <c r="L77" s="5"/>
      <c r="M77" s="5">
        <v>4</v>
      </c>
      <c r="N77" s="6">
        <v>245074.0644</v>
      </c>
      <c r="O77" s="4">
        <v>245074</v>
      </c>
      <c r="P77" s="4">
        <v>245074</v>
      </c>
      <c r="Q77" s="6">
        <v>6.4399999999999999E-2</v>
      </c>
      <c r="R77" s="4">
        <v>4400000</v>
      </c>
      <c r="S77" s="4">
        <v>4400000</v>
      </c>
      <c r="T77" s="4">
        <v>4400000</v>
      </c>
      <c r="U77" s="4">
        <v>4400000</v>
      </c>
      <c r="V77" s="6">
        <v>71.814999999999998</v>
      </c>
      <c r="W77" s="4">
        <v>3910369.07</v>
      </c>
      <c r="X77" s="4">
        <v>3910369.07</v>
      </c>
      <c r="Y77" s="4">
        <v>4363087.07</v>
      </c>
      <c r="Z77" s="4">
        <v>4363087.07</v>
      </c>
      <c r="AA77" s="4">
        <v>3.4</v>
      </c>
      <c r="AB77" s="6">
        <v>149600</v>
      </c>
      <c r="AC77" s="4">
        <v>149600</v>
      </c>
      <c r="AD77" s="4">
        <v>149600</v>
      </c>
      <c r="AE77" s="6">
        <v>0</v>
      </c>
      <c r="AF77" s="4">
        <v>0</v>
      </c>
      <c r="AG77" s="7">
        <v>78</v>
      </c>
      <c r="AH77" s="2" t="s">
        <v>52</v>
      </c>
      <c r="AI77">
        <v>0</v>
      </c>
      <c r="AJ77" s="3">
        <v>41912.686261574097</v>
      </c>
      <c r="AK77" s="2" t="s">
        <v>2098</v>
      </c>
    </row>
    <row r="78" spans="1:37" x14ac:dyDescent="0.15">
      <c r="A78" s="2" t="s">
        <v>2097</v>
      </c>
      <c r="B78">
        <v>104</v>
      </c>
      <c r="C78" s="3">
        <v>41306</v>
      </c>
      <c r="D78" s="2" t="s">
        <v>37</v>
      </c>
      <c r="E78" s="2" t="s">
        <v>2096</v>
      </c>
      <c r="F78" s="2" t="s">
        <v>41</v>
      </c>
      <c r="G78" s="2" t="s">
        <v>194</v>
      </c>
      <c r="H78" s="2" t="s">
        <v>195</v>
      </c>
      <c r="I78" s="4">
        <v>24479188</v>
      </c>
      <c r="J78" s="4">
        <v>0</v>
      </c>
      <c r="K78" s="4">
        <v>0</v>
      </c>
      <c r="L78" s="5"/>
      <c r="M78" s="5">
        <v>3.5</v>
      </c>
      <c r="N78" s="6">
        <v>856771.58</v>
      </c>
      <c r="O78" s="4">
        <v>856771.58</v>
      </c>
      <c r="P78" s="4">
        <v>856771.58</v>
      </c>
      <c r="Q78" s="6">
        <v>0</v>
      </c>
      <c r="R78" s="4">
        <v>0</v>
      </c>
      <c r="S78" s="4">
        <v>0</v>
      </c>
      <c r="T78" s="4">
        <v>14834162.02</v>
      </c>
      <c r="U78" s="4">
        <v>14834162.02</v>
      </c>
      <c r="V78" s="6">
        <v>60.5991</v>
      </c>
      <c r="W78" s="4">
        <v>0</v>
      </c>
      <c r="X78" s="4">
        <v>0</v>
      </c>
      <c r="Y78" s="4">
        <v>14128142.74</v>
      </c>
      <c r="Z78" s="4">
        <v>14128142.74</v>
      </c>
      <c r="AA78" s="4">
        <v>3.7</v>
      </c>
      <c r="AB78" s="6">
        <v>905729.95600000001</v>
      </c>
      <c r="AC78" s="4">
        <v>603593.67000000004</v>
      </c>
      <c r="AD78" s="4">
        <v>603593.67000000004</v>
      </c>
      <c r="AE78" s="6">
        <v>302136.28600000002</v>
      </c>
      <c r="AF78" s="4">
        <v>0</v>
      </c>
      <c r="AG78" s="7">
        <v>0</v>
      </c>
      <c r="AH78" s="2" t="s">
        <v>37</v>
      </c>
      <c r="AI78">
        <v>0</v>
      </c>
      <c r="AJ78" s="3">
        <v>41912.6862384259</v>
      </c>
      <c r="AK78" s="2" t="s">
        <v>2095</v>
      </c>
    </row>
    <row r="79" spans="1:37" x14ac:dyDescent="0.15">
      <c r="A79" s="2" t="s">
        <v>2094</v>
      </c>
      <c r="B79">
        <v>730</v>
      </c>
      <c r="C79" s="3">
        <v>41330</v>
      </c>
      <c r="D79" s="2" t="s">
        <v>37</v>
      </c>
      <c r="E79" s="2" t="s">
        <v>2093</v>
      </c>
      <c r="F79" s="2" t="s">
        <v>38</v>
      </c>
      <c r="G79" s="2" t="s">
        <v>196</v>
      </c>
      <c r="H79" s="2" t="s">
        <v>197</v>
      </c>
      <c r="I79" s="4">
        <v>10242431.93</v>
      </c>
      <c r="J79" s="4">
        <v>0</v>
      </c>
      <c r="K79" s="4">
        <v>0</v>
      </c>
      <c r="L79" s="5"/>
      <c r="M79" s="5">
        <v>3</v>
      </c>
      <c r="N79" s="6">
        <v>307272.95789999998</v>
      </c>
      <c r="O79" s="4">
        <v>307273</v>
      </c>
      <c r="P79" s="4">
        <v>307273</v>
      </c>
      <c r="Q79" s="6">
        <v>-4.2099999999999999E-2</v>
      </c>
      <c r="R79" s="4">
        <v>5355000</v>
      </c>
      <c r="S79" s="4">
        <v>5355000</v>
      </c>
      <c r="T79" s="4">
        <v>5355000</v>
      </c>
      <c r="U79" s="4">
        <v>5355000</v>
      </c>
      <c r="V79" s="6">
        <v>52.282499999999999</v>
      </c>
      <c r="W79" s="4">
        <v>4746409.25</v>
      </c>
      <c r="X79" s="4">
        <v>4746409.25</v>
      </c>
      <c r="Y79" s="4">
        <v>5006374.95</v>
      </c>
      <c r="Z79" s="4">
        <v>5006374.95</v>
      </c>
      <c r="AA79" s="4">
        <v>3.4</v>
      </c>
      <c r="AB79" s="6">
        <v>182070</v>
      </c>
      <c r="AC79" s="4">
        <v>182070</v>
      </c>
      <c r="AD79" s="4">
        <v>182070</v>
      </c>
      <c r="AE79" s="6">
        <v>0</v>
      </c>
      <c r="AF79" s="4">
        <v>0</v>
      </c>
      <c r="AG79" s="7">
        <v>150</v>
      </c>
      <c r="AH79" s="2" t="s">
        <v>66</v>
      </c>
      <c r="AI79">
        <v>0</v>
      </c>
      <c r="AJ79" s="3">
        <v>41912.686261574097</v>
      </c>
      <c r="AK79" s="2" t="s">
        <v>2092</v>
      </c>
    </row>
    <row r="80" spans="1:37" x14ac:dyDescent="0.15">
      <c r="A80" s="2" t="s">
        <v>2091</v>
      </c>
      <c r="B80">
        <v>737</v>
      </c>
      <c r="C80" s="3">
        <v>41334</v>
      </c>
      <c r="D80" s="2" t="s">
        <v>37</v>
      </c>
      <c r="E80" s="2" t="s">
        <v>2090</v>
      </c>
      <c r="F80" s="2" t="s">
        <v>38</v>
      </c>
      <c r="G80" s="2" t="s">
        <v>198</v>
      </c>
      <c r="H80" s="2" t="s">
        <v>199</v>
      </c>
      <c r="I80" s="4">
        <v>10182154.199999999</v>
      </c>
      <c r="J80" s="4">
        <v>0</v>
      </c>
      <c r="K80" s="4">
        <v>0</v>
      </c>
      <c r="L80" s="5"/>
      <c r="M80" s="5">
        <v>3</v>
      </c>
      <c r="N80" s="6">
        <v>305464.62599999999</v>
      </c>
      <c r="O80" s="4">
        <v>305465</v>
      </c>
      <c r="P80" s="4">
        <v>305465</v>
      </c>
      <c r="Q80" s="6">
        <v>-0.374</v>
      </c>
      <c r="R80" s="4">
        <v>6658381.3200000003</v>
      </c>
      <c r="S80" s="4">
        <v>6658381.3200000003</v>
      </c>
      <c r="T80" s="4">
        <v>6658381.3200000003</v>
      </c>
      <c r="U80" s="4">
        <v>6658381.3200000003</v>
      </c>
      <c r="V80" s="6">
        <v>65.392700000000005</v>
      </c>
      <c r="W80" s="4">
        <v>5550984.4000000004</v>
      </c>
      <c r="X80" s="4">
        <v>5550984.4000000004</v>
      </c>
      <c r="Y80" s="4">
        <v>6656819.7599999998</v>
      </c>
      <c r="Z80" s="4">
        <v>6656819.7599999998</v>
      </c>
      <c r="AA80" s="4"/>
      <c r="AB80" s="6"/>
      <c r="AC80" s="4">
        <v>0</v>
      </c>
      <c r="AD80" s="4">
        <v>0</v>
      </c>
      <c r="AE80" s="6"/>
      <c r="AF80" s="4">
        <v>0</v>
      </c>
      <c r="AG80" s="7">
        <v>123</v>
      </c>
      <c r="AH80" s="2" t="s">
        <v>52</v>
      </c>
      <c r="AI80">
        <v>0</v>
      </c>
      <c r="AJ80" s="3">
        <v>41912.686261574097</v>
      </c>
      <c r="AK80" s="2" t="s">
        <v>2089</v>
      </c>
    </row>
    <row r="81" spans="1:37" x14ac:dyDescent="0.15">
      <c r="A81" s="2" t="s">
        <v>2088</v>
      </c>
      <c r="B81">
        <v>108</v>
      </c>
      <c r="C81" s="3">
        <v>41334</v>
      </c>
      <c r="D81" s="2" t="s">
        <v>37</v>
      </c>
      <c r="E81" s="2" t="s">
        <v>2087</v>
      </c>
      <c r="F81" s="2" t="s">
        <v>41</v>
      </c>
      <c r="G81" s="2" t="s">
        <v>200</v>
      </c>
      <c r="H81" s="2" t="s">
        <v>201</v>
      </c>
      <c r="I81" s="4">
        <v>735929</v>
      </c>
      <c r="J81" s="4">
        <v>0</v>
      </c>
      <c r="K81" s="4">
        <v>0</v>
      </c>
      <c r="L81" s="5"/>
      <c r="M81" s="5">
        <v>4</v>
      </c>
      <c r="N81" s="6">
        <v>29437.16</v>
      </c>
      <c r="O81" s="4">
        <v>32438</v>
      </c>
      <c r="P81" s="4">
        <v>32438</v>
      </c>
      <c r="Q81" s="6">
        <v>-3000.84</v>
      </c>
      <c r="R81" s="4">
        <v>0</v>
      </c>
      <c r="S81" s="4">
        <v>0</v>
      </c>
      <c r="T81" s="4">
        <v>369939.53</v>
      </c>
      <c r="U81" s="4">
        <v>369939.53</v>
      </c>
      <c r="V81" s="6">
        <v>50.2684</v>
      </c>
      <c r="W81" s="4">
        <v>0</v>
      </c>
      <c r="X81" s="4">
        <v>0</v>
      </c>
      <c r="Y81" s="4">
        <v>369384</v>
      </c>
      <c r="Z81" s="4">
        <v>369384</v>
      </c>
      <c r="AA81" s="4"/>
      <c r="AB81" s="6">
        <v>0</v>
      </c>
      <c r="AC81" s="4">
        <v>0</v>
      </c>
      <c r="AD81" s="4">
        <v>0</v>
      </c>
      <c r="AE81" s="6">
        <v>0</v>
      </c>
      <c r="AF81" s="4">
        <v>0</v>
      </c>
      <c r="AG81" s="7">
        <v>0</v>
      </c>
      <c r="AH81" s="2" t="s">
        <v>37</v>
      </c>
      <c r="AI81">
        <v>0</v>
      </c>
      <c r="AJ81" s="3">
        <v>41912.6862384259</v>
      </c>
      <c r="AK81" s="2" t="s">
        <v>2086</v>
      </c>
    </row>
    <row r="82" spans="1:37" x14ac:dyDescent="0.15">
      <c r="A82" s="2" t="s">
        <v>2085</v>
      </c>
      <c r="B82">
        <v>748</v>
      </c>
      <c r="C82" s="3">
        <v>41361</v>
      </c>
      <c r="D82" s="2" t="s">
        <v>37</v>
      </c>
      <c r="E82" s="2" t="s">
        <v>2084</v>
      </c>
      <c r="F82" s="2" t="s">
        <v>38</v>
      </c>
      <c r="G82" s="2" t="s">
        <v>202</v>
      </c>
      <c r="H82" s="2" t="s">
        <v>203</v>
      </c>
      <c r="I82" s="4">
        <v>1995000</v>
      </c>
      <c r="J82" s="4">
        <v>0</v>
      </c>
      <c r="K82" s="4">
        <v>0</v>
      </c>
      <c r="L82" s="5"/>
      <c r="M82" s="5">
        <v>3.6</v>
      </c>
      <c r="N82" s="6">
        <v>71820</v>
      </c>
      <c r="O82" s="4">
        <v>0</v>
      </c>
      <c r="P82" s="4">
        <v>0</v>
      </c>
      <c r="Q82" s="6">
        <v>71820</v>
      </c>
      <c r="R82" s="4">
        <v>0</v>
      </c>
      <c r="S82" s="4">
        <v>0</v>
      </c>
      <c r="T82" s="4">
        <v>0</v>
      </c>
      <c r="U82" s="4">
        <v>0</v>
      </c>
      <c r="V82" s="6">
        <v>0</v>
      </c>
      <c r="W82" s="4">
        <v>0</v>
      </c>
      <c r="X82" s="4">
        <v>0</v>
      </c>
      <c r="Y82" s="4">
        <v>0</v>
      </c>
      <c r="Z82" s="4">
        <v>0</v>
      </c>
      <c r="AA82" s="4">
        <v>3.4</v>
      </c>
      <c r="AB82" s="6">
        <v>0</v>
      </c>
      <c r="AC82" s="4">
        <v>0</v>
      </c>
      <c r="AD82" s="4">
        <v>0</v>
      </c>
      <c r="AE82" s="6">
        <v>0</v>
      </c>
      <c r="AF82" s="4">
        <v>0</v>
      </c>
      <c r="AG82" s="7">
        <v>26</v>
      </c>
      <c r="AH82" s="2" t="s">
        <v>66</v>
      </c>
      <c r="AI82">
        <v>0</v>
      </c>
      <c r="AJ82" s="3">
        <v>41912.686261574097</v>
      </c>
      <c r="AK82" s="2" t="s">
        <v>2083</v>
      </c>
    </row>
    <row r="83" spans="1:37" x14ac:dyDescent="0.15">
      <c r="A83" s="2" t="s">
        <v>2082</v>
      </c>
      <c r="B83">
        <v>756</v>
      </c>
      <c r="C83" s="3">
        <v>41361</v>
      </c>
      <c r="D83" s="2" t="s">
        <v>37</v>
      </c>
      <c r="E83" s="2" t="s">
        <v>2081</v>
      </c>
      <c r="F83" s="2" t="s">
        <v>38</v>
      </c>
      <c r="G83" s="2" t="s">
        <v>204</v>
      </c>
      <c r="H83" s="2" t="s">
        <v>205</v>
      </c>
      <c r="I83" s="4">
        <v>9000000</v>
      </c>
      <c r="J83" s="4">
        <v>0</v>
      </c>
      <c r="K83" s="4">
        <v>0</v>
      </c>
      <c r="L83" s="5"/>
      <c r="M83" s="5">
        <v>3</v>
      </c>
      <c r="N83" s="6">
        <v>270000</v>
      </c>
      <c r="O83" s="4">
        <v>210000</v>
      </c>
      <c r="P83" s="4">
        <v>210000</v>
      </c>
      <c r="Q83" s="6">
        <v>60000</v>
      </c>
      <c r="R83" s="4">
        <v>9000000</v>
      </c>
      <c r="S83" s="4">
        <v>9000000</v>
      </c>
      <c r="T83" s="4">
        <v>4800000</v>
      </c>
      <c r="U83" s="4">
        <v>4800000</v>
      </c>
      <c r="V83" s="6">
        <v>53.333300000000001</v>
      </c>
      <c r="W83" s="4">
        <v>2571030.19</v>
      </c>
      <c r="X83" s="4">
        <v>2571030.19</v>
      </c>
      <c r="Y83" s="4">
        <v>4800000</v>
      </c>
      <c r="Z83" s="4">
        <v>4800000</v>
      </c>
      <c r="AA83" s="4">
        <v>3.4</v>
      </c>
      <c r="AB83" s="6">
        <v>306000</v>
      </c>
      <c r="AC83" s="4">
        <v>306000</v>
      </c>
      <c r="AD83" s="4">
        <v>306000</v>
      </c>
      <c r="AE83" s="6">
        <v>0</v>
      </c>
      <c r="AF83" s="4">
        <v>0</v>
      </c>
      <c r="AG83" s="7">
        <v>10</v>
      </c>
      <c r="AH83" s="2" t="s">
        <v>66</v>
      </c>
      <c r="AI83">
        <v>0</v>
      </c>
      <c r="AJ83" s="3">
        <v>41912.686261574097</v>
      </c>
      <c r="AK83" s="2" t="s">
        <v>2080</v>
      </c>
    </row>
    <row r="84" spans="1:37" x14ac:dyDescent="0.15">
      <c r="A84" s="2" t="s">
        <v>2079</v>
      </c>
      <c r="B84">
        <v>746</v>
      </c>
      <c r="C84" s="3">
        <v>41361</v>
      </c>
      <c r="D84" s="2" t="s">
        <v>37</v>
      </c>
      <c r="E84" s="2" t="s">
        <v>2078</v>
      </c>
      <c r="F84" s="2" t="s">
        <v>38</v>
      </c>
      <c r="G84" s="2" t="s">
        <v>206</v>
      </c>
      <c r="H84" s="2" t="s">
        <v>207</v>
      </c>
      <c r="I84" s="4">
        <v>35281540.549999997</v>
      </c>
      <c r="J84" s="4">
        <v>1087789.19</v>
      </c>
      <c r="K84" s="4">
        <v>1087789.19</v>
      </c>
      <c r="L84" s="5"/>
      <c r="M84" s="5">
        <v>3</v>
      </c>
      <c r="N84" s="6">
        <v>1091079.8921999999</v>
      </c>
      <c r="O84" s="4">
        <v>1064887</v>
      </c>
      <c r="P84" s="4">
        <v>1064887</v>
      </c>
      <c r="Q84" s="6">
        <v>26192.892199999998</v>
      </c>
      <c r="R84" s="4">
        <v>25050105</v>
      </c>
      <c r="S84" s="4">
        <v>25050105</v>
      </c>
      <c r="T84" s="4">
        <v>25050105</v>
      </c>
      <c r="U84" s="4">
        <v>25050105</v>
      </c>
      <c r="V84" s="6">
        <v>68.876999999999995</v>
      </c>
      <c r="W84" s="4">
        <v>23540714.640000001</v>
      </c>
      <c r="X84" s="4">
        <v>23540714.640000001</v>
      </c>
      <c r="Y84" s="4">
        <v>25042419.640000001</v>
      </c>
      <c r="Z84" s="4">
        <v>25042419.640000001</v>
      </c>
      <c r="AA84" s="4">
        <v>3.4</v>
      </c>
      <c r="AB84" s="6">
        <v>851703.57</v>
      </c>
      <c r="AC84" s="4">
        <v>851705</v>
      </c>
      <c r="AD84" s="4">
        <v>851705</v>
      </c>
      <c r="AE84" s="6">
        <v>-1.43</v>
      </c>
      <c r="AF84" s="4">
        <v>0</v>
      </c>
      <c r="AG84" s="7">
        <v>180</v>
      </c>
      <c r="AH84" s="2" t="s">
        <v>66</v>
      </c>
      <c r="AI84">
        <v>0</v>
      </c>
      <c r="AJ84" s="3">
        <v>41912.686261574097</v>
      </c>
      <c r="AK84" s="2" t="s">
        <v>2077</v>
      </c>
    </row>
    <row r="85" spans="1:37" x14ac:dyDescent="0.15">
      <c r="A85" s="2" t="s">
        <v>2076</v>
      </c>
      <c r="B85">
        <v>113</v>
      </c>
      <c r="C85" s="3">
        <v>41365</v>
      </c>
      <c r="D85" s="2" t="s">
        <v>37</v>
      </c>
      <c r="E85" s="2" t="s">
        <v>2075</v>
      </c>
      <c r="F85" s="2" t="s">
        <v>41</v>
      </c>
      <c r="G85" s="2" t="s">
        <v>210</v>
      </c>
      <c r="H85" s="2" t="s">
        <v>211</v>
      </c>
      <c r="I85" s="4">
        <v>7457847.71</v>
      </c>
      <c r="J85" s="4">
        <v>0</v>
      </c>
      <c r="K85" s="4">
        <v>0</v>
      </c>
      <c r="L85" s="5"/>
      <c r="M85" s="5">
        <v>4</v>
      </c>
      <c r="N85" s="6">
        <v>298313.90840000001</v>
      </c>
      <c r="O85" s="4">
        <v>298314</v>
      </c>
      <c r="P85" s="4">
        <v>298314</v>
      </c>
      <c r="Q85" s="6">
        <v>-9.1600000000000001E-2</v>
      </c>
      <c r="R85" s="4">
        <v>0</v>
      </c>
      <c r="S85" s="4">
        <v>0</v>
      </c>
      <c r="T85" s="4">
        <v>6847606.6600000001</v>
      </c>
      <c r="U85" s="4">
        <v>6847606.6600000001</v>
      </c>
      <c r="V85" s="6">
        <v>91.817499999999995</v>
      </c>
      <c r="W85" s="4">
        <v>0</v>
      </c>
      <c r="X85" s="4">
        <v>0</v>
      </c>
      <c r="Y85" s="4">
        <v>6685410.4400000004</v>
      </c>
      <c r="Z85" s="4">
        <v>6685410.4400000004</v>
      </c>
      <c r="AA85" s="4">
        <v>3.4</v>
      </c>
      <c r="AB85" s="6">
        <v>253566.82209999999</v>
      </c>
      <c r="AC85" s="4">
        <v>140035.07</v>
      </c>
      <c r="AD85" s="4">
        <v>140035.07</v>
      </c>
      <c r="AE85" s="6">
        <v>113531.7521</v>
      </c>
      <c r="AF85" s="4">
        <v>0</v>
      </c>
      <c r="AG85" s="7">
        <v>0</v>
      </c>
      <c r="AH85" s="2" t="s">
        <v>37</v>
      </c>
      <c r="AI85">
        <v>0</v>
      </c>
      <c r="AJ85" s="3">
        <v>41912.6862384259</v>
      </c>
      <c r="AK85" s="2" t="s">
        <v>2074</v>
      </c>
    </row>
    <row r="86" spans="1:37" x14ac:dyDescent="0.15">
      <c r="A86" s="2" t="s">
        <v>2073</v>
      </c>
      <c r="B86">
        <v>771</v>
      </c>
      <c r="C86" s="3">
        <v>41365</v>
      </c>
      <c r="D86" s="2" t="s">
        <v>37</v>
      </c>
      <c r="E86" s="2" t="s">
        <v>2072</v>
      </c>
      <c r="F86" s="2" t="s">
        <v>38</v>
      </c>
      <c r="G86" s="2" t="s">
        <v>208</v>
      </c>
      <c r="H86" s="2" t="s">
        <v>209</v>
      </c>
      <c r="I86" s="4">
        <v>12491680</v>
      </c>
      <c r="J86" s="4">
        <v>0</v>
      </c>
      <c r="K86" s="4">
        <v>0</v>
      </c>
      <c r="L86" s="5"/>
      <c r="M86" s="5">
        <v>3</v>
      </c>
      <c r="N86" s="6">
        <v>374750.4</v>
      </c>
      <c r="O86" s="4">
        <v>374750</v>
      </c>
      <c r="P86" s="4">
        <v>374750</v>
      </c>
      <c r="Q86" s="6">
        <v>0.4</v>
      </c>
      <c r="R86" s="4">
        <v>11200000</v>
      </c>
      <c r="S86" s="4">
        <v>11200000</v>
      </c>
      <c r="T86" s="4">
        <v>11200000</v>
      </c>
      <c r="U86" s="4">
        <v>11200000</v>
      </c>
      <c r="V86" s="6">
        <v>89.659700000000001</v>
      </c>
      <c r="W86" s="4">
        <v>10579700.51</v>
      </c>
      <c r="X86" s="4">
        <v>10579700.51</v>
      </c>
      <c r="Y86" s="4">
        <v>11184000.51</v>
      </c>
      <c r="Z86" s="4">
        <v>11184000.51</v>
      </c>
      <c r="AA86" s="4">
        <v>3.4</v>
      </c>
      <c r="AB86" s="6">
        <v>380800</v>
      </c>
      <c r="AC86" s="4">
        <v>380800</v>
      </c>
      <c r="AD86" s="4">
        <v>380800</v>
      </c>
      <c r="AE86" s="6">
        <v>0</v>
      </c>
      <c r="AF86" s="4">
        <v>0</v>
      </c>
      <c r="AG86" s="7">
        <v>145</v>
      </c>
      <c r="AH86" s="2" t="s">
        <v>97</v>
      </c>
      <c r="AI86">
        <v>0</v>
      </c>
      <c r="AJ86" s="3">
        <v>41912.686273148101</v>
      </c>
      <c r="AK86" s="2" t="s">
        <v>2071</v>
      </c>
    </row>
    <row r="87" spans="1:37" x14ac:dyDescent="0.15">
      <c r="A87" s="2" t="s">
        <v>2070</v>
      </c>
      <c r="B87">
        <v>780</v>
      </c>
      <c r="C87" s="3">
        <v>41365</v>
      </c>
      <c r="D87" s="2" t="s">
        <v>37</v>
      </c>
      <c r="E87" s="2" t="s">
        <v>2069</v>
      </c>
      <c r="F87" s="2" t="s">
        <v>38</v>
      </c>
      <c r="G87" s="2" t="s">
        <v>212</v>
      </c>
      <c r="H87" s="2" t="s">
        <v>213</v>
      </c>
      <c r="I87" s="4">
        <v>1195559</v>
      </c>
      <c r="J87" s="4">
        <v>934441</v>
      </c>
      <c r="K87" s="4">
        <v>934441</v>
      </c>
      <c r="L87" s="5"/>
      <c r="M87" s="5">
        <v>3.6</v>
      </c>
      <c r="N87" s="6">
        <v>76680</v>
      </c>
      <c r="O87" s="4">
        <v>76680</v>
      </c>
      <c r="P87" s="4">
        <v>76680</v>
      </c>
      <c r="Q87" s="6">
        <v>0</v>
      </c>
      <c r="R87" s="4">
        <v>2130000</v>
      </c>
      <c r="S87" s="4">
        <v>2130000</v>
      </c>
      <c r="T87" s="4">
        <v>2023500</v>
      </c>
      <c r="U87" s="4">
        <v>2023500</v>
      </c>
      <c r="V87" s="6">
        <v>95</v>
      </c>
      <c r="W87" s="4">
        <v>1200000</v>
      </c>
      <c r="X87" s="4">
        <v>1200000</v>
      </c>
      <c r="Y87" s="4">
        <v>1971374.8</v>
      </c>
      <c r="Z87" s="4">
        <v>1971374.8</v>
      </c>
      <c r="AA87" s="4">
        <v>3.4</v>
      </c>
      <c r="AB87" s="6">
        <v>72420</v>
      </c>
      <c r="AC87" s="4">
        <v>72420</v>
      </c>
      <c r="AD87" s="4">
        <v>72420</v>
      </c>
      <c r="AE87" s="6">
        <v>0</v>
      </c>
      <c r="AF87" s="4">
        <v>0</v>
      </c>
      <c r="AG87" s="7">
        <v>16</v>
      </c>
      <c r="AH87" s="2" t="s">
        <v>52</v>
      </c>
      <c r="AI87">
        <v>0</v>
      </c>
      <c r="AJ87" s="3">
        <v>41912.686273148101</v>
      </c>
      <c r="AK87" s="2" t="s">
        <v>2068</v>
      </c>
    </row>
    <row r="88" spans="1:37" x14ac:dyDescent="0.15">
      <c r="A88" s="2" t="s">
        <v>2067</v>
      </c>
      <c r="B88">
        <v>763</v>
      </c>
      <c r="C88" s="3">
        <v>41377</v>
      </c>
      <c r="D88" s="2" t="s">
        <v>37</v>
      </c>
      <c r="E88" s="2" t="s">
        <v>2066</v>
      </c>
      <c r="F88" s="2" t="s">
        <v>38</v>
      </c>
      <c r="G88" s="2" t="s">
        <v>214</v>
      </c>
      <c r="H88" s="2" t="s">
        <v>215</v>
      </c>
      <c r="I88" s="4">
        <v>2600000</v>
      </c>
      <c r="J88" s="4">
        <v>0</v>
      </c>
      <c r="K88" s="4">
        <v>0</v>
      </c>
      <c r="L88" s="5"/>
      <c r="M88" s="5">
        <v>3.6</v>
      </c>
      <c r="N88" s="6">
        <v>93600</v>
      </c>
      <c r="O88" s="4">
        <v>93600</v>
      </c>
      <c r="P88" s="4">
        <v>93600</v>
      </c>
      <c r="Q88" s="6">
        <v>0</v>
      </c>
      <c r="R88" s="4">
        <v>2894471</v>
      </c>
      <c r="S88" s="4">
        <v>2894471</v>
      </c>
      <c r="T88" s="4">
        <v>2894471</v>
      </c>
      <c r="U88" s="4">
        <v>2894471</v>
      </c>
      <c r="V88" s="6">
        <v>111.3258</v>
      </c>
      <c r="W88" s="4">
        <v>2705613.68</v>
      </c>
      <c r="X88" s="4">
        <v>2705613.68</v>
      </c>
      <c r="Y88" s="4">
        <v>2804025.68</v>
      </c>
      <c r="Z88" s="4">
        <v>2804025.68</v>
      </c>
      <c r="AA88" s="4">
        <v>3.4</v>
      </c>
      <c r="AB88" s="6">
        <v>98412.013999999996</v>
      </c>
      <c r="AC88" s="4">
        <v>98412</v>
      </c>
      <c r="AD88" s="4">
        <v>98412</v>
      </c>
      <c r="AE88" s="6">
        <v>1.4E-2</v>
      </c>
      <c r="AF88" s="4">
        <v>0</v>
      </c>
      <c r="AG88" s="7">
        <v>0</v>
      </c>
      <c r="AH88" s="2" t="s">
        <v>37</v>
      </c>
      <c r="AI88">
        <v>0</v>
      </c>
      <c r="AJ88" s="3">
        <v>41912.686273148101</v>
      </c>
      <c r="AK88" s="2" t="s">
        <v>2065</v>
      </c>
    </row>
    <row r="89" spans="1:37" x14ac:dyDescent="0.15">
      <c r="A89" s="2" t="s">
        <v>2064</v>
      </c>
      <c r="B89">
        <v>794</v>
      </c>
      <c r="C89" s="3">
        <v>41395</v>
      </c>
      <c r="D89" s="2" t="s">
        <v>37</v>
      </c>
      <c r="E89" s="2" t="s">
        <v>2063</v>
      </c>
      <c r="F89" s="2" t="s">
        <v>38</v>
      </c>
      <c r="G89" s="2" t="s">
        <v>218</v>
      </c>
      <c r="H89" s="2" t="s">
        <v>219</v>
      </c>
      <c r="I89" s="4">
        <v>2894611</v>
      </c>
      <c r="J89" s="4">
        <v>0</v>
      </c>
      <c r="K89" s="4">
        <v>0</v>
      </c>
      <c r="L89" s="5"/>
      <c r="M89" s="5">
        <v>3.6</v>
      </c>
      <c r="N89" s="6">
        <v>104205.996</v>
      </c>
      <c r="O89" s="4">
        <v>104206</v>
      </c>
      <c r="P89" s="4">
        <v>104206</v>
      </c>
      <c r="Q89" s="6">
        <v>-4.0000000000000001E-3</v>
      </c>
      <c r="R89" s="4">
        <v>1528383.3</v>
      </c>
      <c r="S89" s="4">
        <v>1528383.3</v>
      </c>
      <c r="T89" s="4">
        <v>1528383.3</v>
      </c>
      <c r="U89" s="4">
        <v>1528383.3</v>
      </c>
      <c r="V89" s="6">
        <v>52.801000000000002</v>
      </c>
      <c r="W89" s="4">
        <v>1476000</v>
      </c>
      <c r="X89" s="4">
        <v>1476000</v>
      </c>
      <c r="Y89" s="4">
        <v>1527965</v>
      </c>
      <c r="Z89" s="4">
        <v>1527965</v>
      </c>
      <c r="AA89" s="4">
        <v>3.4</v>
      </c>
      <c r="AB89" s="6">
        <v>51965.032200000001</v>
      </c>
      <c r="AC89" s="4">
        <v>51965</v>
      </c>
      <c r="AD89" s="4">
        <v>51965</v>
      </c>
      <c r="AE89" s="6">
        <v>3.2199999999999999E-2</v>
      </c>
      <c r="AF89" s="4">
        <v>0</v>
      </c>
      <c r="AG89" s="7">
        <v>0</v>
      </c>
      <c r="AH89" s="2" t="s">
        <v>37</v>
      </c>
      <c r="AI89">
        <v>0</v>
      </c>
      <c r="AJ89" s="3">
        <v>41912.686273148101</v>
      </c>
      <c r="AK89" s="2" t="s">
        <v>2062</v>
      </c>
    </row>
    <row r="90" spans="1:37" x14ac:dyDescent="0.15">
      <c r="A90" s="2" t="s">
        <v>2061</v>
      </c>
      <c r="B90">
        <v>118</v>
      </c>
      <c r="C90" s="3">
        <v>41395</v>
      </c>
      <c r="D90" s="2" t="s">
        <v>37</v>
      </c>
      <c r="E90" s="2" t="s">
        <v>2060</v>
      </c>
      <c r="F90" s="2" t="s">
        <v>41</v>
      </c>
      <c r="G90" s="2" t="s">
        <v>223</v>
      </c>
      <c r="H90" s="2" t="s">
        <v>224</v>
      </c>
      <c r="I90" s="4">
        <v>4596832.51</v>
      </c>
      <c r="J90" s="4">
        <v>0</v>
      </c>
      <c r="K90" s="4">
        <v>0</v>
      </c>
      <c r="L90" s="5"/>
      <c r="M90" s="5">
        <v>4</v>
      </c>
      <c r="N90" s="6">
        <v>183873.30040000001</v>
      </c>
      <c r="O90" s="4">
        <v>183873.89</v>
      </c>
      <c r="P90" s="4">
        <v>183873.89</v>
      </c>
      <c r="Q90" s="6">
        <v>-0.58960000000000001</v>
      </c>
      <c r="R90" s="4">
        <v>0</v>
      </c>
      <c r="S90" s="4">
        <v>0</v>
      </c>
      <c r="T90" s="4">
        <v>3403065.97</v>
      </c>
      <c r="U90" s="4">
        <v>3403065.97</v>
      </c>
      <c r="V90" s="6">
        <v>74.030699999999996</v>
      </c>
      <c r="W90" s="4">
        <v>0</v>
      </c>
      <c r="X90" s="4">
        <v>0</v>
      </c>
      <c r="Y90" s="4">
        <v>3112799.8</v>
      </c>
      <c r="Z90" s="4">
        <v>3112799.8</v>
      </c>
      <c r="AA90" s="4"/>
      <c r="AB90" s="6">
        <v>137474.67000000001</v>
      </c>
      <c r="AC90" s="4">
        <v>137474.67000000001</v>
      </c>
      <c r="AD90" s="4">
        <v>137474.67000000001</v>
      </c>
      <c r="AE90" s="6">
        <v>0</v>
      </c>
      <c r="AF90" s="4">
        <v>0</v>
      </c>
      <c r="AG90" s="7">
        <v>0</v>
      </c>
      <c r="AH90" s="2" t="s">
        <v>37</v>
      </c>
      <c r="AI90">
        <v>0</v>
      </c>
      <c r="AJ90" s="3">
        <v>41912.6862384259</v>
      </c>
      <c r="AK90" s="2" t="s">
        <v>2059</v>
      </c>
    </row>
    <row r="91" spans="1:37" x14ac:dyDescent="0.15">
      <c r="A91" s="2" t="s">
        <v>2058</v>
      </c>
      <c r="B91">
        <v>802</v>
      </c>
      <c r="C91" s="3">
        <v>41395</v>
      </c>
      <c r="D91" s="2" t="s">
        <v>37</v>
      </c>
      <c r="E91" s="2" t="s">
        <v>2057</v>
      </c>
      <c r="F91" s="2" t="s">
        <v>38</v>
      </c>
      <c r="G91" s="2" t="s">
        <v>220</v>
      </c>
      <c r="H91" s="2" t="s">
        <v>221</v>
      </c>
      <c r="I91" s="4">
        <v>1691837.01</v>
      </c>
      <c r="J91" s="4">
        <v>0</v>
      </c>
      <c r="K91" s="4">
        <v>0</v>
      </c>
      <c r="L91" s="5"/>
      <c r="M91" s="5">
        <v>3.6</v>
      </c>
      <c r="N91" s="6">
        <v>60906.132400000002</v>
      </c>
      <c r="O91" s="4">
        <v>60906</v>
      </c>
      <c r="P91" s="4">
        <v>60906</v>
      </c>
      <c r="Q91" s="6">
        <v>0.13239999999999999</v>
      </c>
      <c r="R91" s="4">
        <v>1892244</v>
      </c>
      <c r="S91" s="4">
        <v>1892244</v>
      </c>
      <c r="T91" s="4">
        <v>1892244</v>
      </c>
      <c r="U91" s="4">
        <v>1892244</v>
      </c>
      <c r="V91" s="6">
        <v>111.8455</v>
      </c>
      <c r="W91" s="4">
        <v>1729640</v>
      </c>
      <c r="X91" s="4">
        <v>1729640</v>
      </c>
      <c r="Y91" s="4">
        <v>1796006</v>
      </c>
      <c r="Z91" s="4">
        <v>1796006</v>
      </c>
      <c r="AA91" s="4">
        <v>3.4</v>
      </c>
      <c r="AB91" s="6">
        <v>64336.296000000002</v>
      </c>
      <c r="AC91" s="4">
        <v>64336</v>
      </c>
      <c r="AD91" s="4">
        <v>64336</v>
      </c>
      <c r="AE91" s="6">
        <v>0.29599999999999999</v>
      </c>
      <c r="AF91" s="4">
        <v>0</v>
      </c>
      <c r="AG91" s="7">
        <v>15</v>
      </c>
      <c r="AH91" s="2" t="s">
        <v>222</v>
      </c>
      <c r="AI91">
        <v>0</v>
      </c>
      <c r="AJ91" s="3">
        <v>41912.686273148101</v>
      </c>
      <c r="AK91" s="2" t="s">
        <v>2056</v>
      </c>
    </row>
    <row r="92" spans="1:37" x14ac:dyDescent="0.15">
      <c r="A92" s="2" t="s">
        <v>2055</v>
      </c>
      <c r="B92">
        <v>120</v>
      </c>
      <c r="C92" s="3">
        <v>41395</v>
      </c>
      <c r="D92" s="2" t="s">
        <v>37</v>
      </c>
      <c r="E92" s="2" t="s">
        <v>2054</v>
      </c>
      <c r="F92" s="2" t="s">
        <v>41</v>
      </c>
      <c r="G92" s="2" t="s">
        <v>216</v>
      </c>
      <c r="H92" s="2" t="s">
        <v>217</v>
      </c>
      <c r="I92" s="4">
        <v>573502.84</v>
      </c>
      <c r="J92" s="4">
        <v>0</v>
      </c>
      <c r="K92" s="4">
        <v>0</v>
      </c>
      <c r="L92" s="5"/>
      <c r="M92" s="5">
        <v>4</v>
      </c>
      <c r="N92" s="6">
        <v>22940.113600000001</v>
      </c>
      <c r="O92" s="4">
        <v>22940.11</v>
      </c>
      <c r="P92" s="4">
        <v>22940.11</v>
      </c>
      <c r="Q92" s="6">
        <v>3.5999999999999999E-3</v>
      </c>
      <c r="R92" s="4">
        <v>0</v>
      </c>
      <c r="S92" s="4">
        <v>0</v>
      </c>
      <c r="T92" s="4">
        <v>0</v>
      </c>
      <c r="U92" s="4">
        <v>0</v>
      </c>
      <c r="V92" s="6">
        <v>0</v>
      </c>
      <c r="W92" s="4">
        <v>0</v>
      </c>
      <c r="X92" s="4">
        <v>0</v>
      </c>
      <c r="Y92" s="4">
        <v>0</v>
      </c>
      <c r="Z92" s="4">
        <v>0</v>
      </c>
      <c r="AA92" s="4"/>
      <c r="AB92" s="6">
        <v>0</v>
      </c>
      <c r="AC92" s="4">
        <v>0</v>
      </c>
      <c r="AD92" s="4">
        <v>0</v>
      </c>
      <c r="AE92" s="6">
        <v>0</v>
      </c>
      <c r="AF92" s="4">
        <v>0</v>
      </c>
      <c r="AG92" s="7">
        <v>0</v>
      </c>
      <c r="AH92" s="2" t="s">
        <v>37</v>
      </c>
      <c r="AI92">
        <v>0</v>
      </c>
      <c r="AJ92" s="3">
        <v>41912.6862384259</v>
      </c>
      <c r="AK92" s="2" t="s">
        <v>2053</v>
      </c>
    </row>
    <row r="93" spans="1:37" x14ac:dyDescent="0.15">
      <c r="A93" s="2" t="s">
        <v>2052</v>
      </c>
      <c r="B93">
        <v>787</v>
      </c>
      <c r="C93" s="3">
        <v>41396</v>
      </c>
      <c r="D93" s="2" t="s">
        <v>37</v>
      </c>
      <c r="E93" s="2" t="s">
        <v>2051</v>
      </c>
      <c r="F93" s="2" t="s">
        <v>38</v>
      </c>
      <c r="G93" s="2" t="s">
        <v>225</v>
      </c>
      <c r="H93" s="2" t="s">
        <v>226</v>
      </c>
      <c r="I93" s="4">
        <v>1258749</v>
      </c>
      <c r="J93" s="4">
        <v>0</v>
      </c>
      <c r="K93" s="4">
        <v>0</v>
      </c>
      <c r="L93" s="5"/>
      <c r="M93" s="5">
        <v>3.6</v>
      </c>
      <c r="N93" s="6">
        <v>45314.964</v>
      </c>
      <c r="O93" s="4">
        <v>45315</v>
      </c>
      <c r="P93" s="4">
        <v>45315</v>
      </c>
      <c r="Q93" s="6">
        <v>-3.5999999999999997E-2</v>
      </c>
      <c r="R93" s="4">
        <v>1052000</v>
      </c>
      <c r="S93" s="4">
        <v>1052000</v>
      </c>
      <c r="T93" s="4">
        <v>1052000</v>
      </c>
      <c r="U93" s="4">
        <v>1052000</v>
      </c>
      <c r="V93" s="6">
        <v>83.575000000000003</v>
      </c>
      <c r="W93" s="4">
        <v>1009286</v>
      </c>
      <c r="X93" s="4">
        <v>1009286</v>
      </c>
      <c r="Y93" s="4">
        <v>1045054</v>
      </c>
      <c r="Z93" s="4">
        <v>1045054</v>
      </c>
      <c r="AA93" s="4">
        <v>3.4</v>
      </c>
      <c r="AB93" s="6">
        <v>35768</v>
      </c>
      <c r="AC93" s="4">
        <v>35768</v>
      </c>
      <c r="AD93" s="4">
        <v>35768</v>
      </c>
      <c r="AE93" s="6">
        <v>0</v>
      </c>
      <c r="AF93" s="4">
        <v>0</v>
      </c>
      <c r="AG93" s="7">
        <v>0</v>
      </c>
      <c r="AH93" s="2" t="s">
        <v>37</v>
      </c>
      <c r="AI93">
        <v>0</v>
      </c>
      <c r="AJ93" s="3">
        <v>41912.686273148101</v>
      </c>
      <c r="AK93" s="2" t="s">
        <v>2050</v>
      </c>
    </row>
    <row r="94" spans="1:37" x14ac:dyDescent="0.15">
      <c r="A94" s="2" t="s">
        <v>2049</v>
      </c>
      <c r="B94">
        <v>810</v>
      </c>
      <c r="C94" s="3">
        <v>41412</v>
      </c>
      <c r="D94" s="2" t="s">
        <v>37</v>
      </c>
      <c r="E94" s="2" t="s">
        <v>2048</v>
      </c>
      <c r="F94" s="2" t="s">
        <v>38</v>
      </c>
      <c r="G94" s="2" t="s">
        <v>227</v>
      </c>
      <c r="H94" s="2" t="s">
        <v>228</v>
      </c>
      <c r="I94" s="4">
        <v>6498959</v>
      </c>
      <c r="J94" s="4">
        <v>0</v>
      </c>
      <c r="K94" s="4">
        <v>0</v>
      </c>
      <c r="L94" s="5"/>
      <c r="M94" s="5">
        <v>3</v>
      </c>
      <c r="N94" s="6">
        <v>194968.77</v>
      </c>
      <c r="O94" s="4">
        <v>194969</v>
      </c>
      <c r="P94" s="4">
        <v>194969</v>
      </c>
      <c r="Q94" s="6">
        <v>-0.23</v>
      </c>
      <c r="R94" s="4">
        <v>5165199.2</v>
      </c>
      <c r="S94" s="4">
        <v>5165199.2</v>
      </c>
      <c r="T94" s="4">
        <v>4941545.5</v>
      </c>
      <c r="U94" s="4">
        <v>4941545.5</v>
      </c>
      <c r="V94" s="6">
        <v>76.036000000000001</v>
      </c>
      <c r="W94" s="4">
        <v>4612419.2</v>
      </c>
      <c r="X94" s="4">
        <v>4612419.2</v>
      </c>
      <c r="Y94" s="4">
        <v>4934017.45</v>
      </c>
      <c r="Z94" s="4">
        <v>4934017.45</v>
      </c>
      <c r="AA94" s="4">
        <v>3.74</v>
      </c>
      <c r="AB94" s="6">
        <v>193178.45009999999</v>
      </c>
      <c r="AC94" s="4">
        <v>193178.45</v>
      </c>
      <c r="AD94" s="4">
        <v>193178.45</v>
      </c>
      <c r="AE94" s="6">
        <v>1E-4</v>
      </c>
      <c r="AF94" s="4">
        <v>0</v>
      </c>
      <c r="AG94" s="7">
        <v>80</v>
      </c>
      <c r="AH94" s="2" t="s">
        <v>66</v>
      </c>
      <c r="AI94">
        <v>0</v>
      </c>
      <c r="AJ94" s="3">
        <v>41912.686273148101</v>
      </c>
      <c r="AK94" s="2" t="s">
        <v>2047</v>
      </c>
    </row>
    <row r="95" spans="1:37" x14ac:dyDescent="0.15">
      <c r="A95" s="2" t="s">
        <v>2046</v>
      </c>
      <c r="B95">
        <v>818</v>
      </c>
      <c r="C95" s="3">
        <v>41417</v>
      </c>
      <c r="D95" s="2" t="s">
        <v>37</v>
      </c>
      <c r="E95" s="2" t="s">
        <v>2045</v>
      </c>
      <c r="F95" s="2" t="s">
        <v>38</v>
      </c>
      <c r="G95" s="2" t="s">
        <v>229</v>
      </c>
      <c r="H95" s="2" t="s">
        <v>230</v>
      </c>
      <c r="I95" s="4">
        <v>6000000</v>
      </c>
      <c r="J95" s="4">
        <v>2023835.04</v>
      </c>
      <c r="K95" s="4">
        <v>2023835.04</v>
      </c>
      <c r="L95" s="5"/>
      <c r="M95" s="5">
        <v>3</v>
      </c>
      <c r="N95" s="6">
        <v>240715.05119999999</v>
      </c>
      <c r="O95" s="4">
        <v>240715</v>
      </c>
      <c r="P95" s="4">
        <v>240715</v>
      </c>
      <c r="Q95" s="6">
        <v>5.1200000000000002E-2</v>
      </c>
      <c r="R95" s="4">
        <v>8023835.04</v>
      </c>
      <c r="S95" s="4">
        <v>8023835.04</v>
      </c>
      <c r="T95" s="4">
        <v>8023835.04</v>
      </c>
      <c r="U95" s="4">
        <v>8023835.04</v>
      </c>
      <c r="V95" s="6">
        <v>100</v>
      </c>
      <c r="W95" s="4">
        <v>7479804.75</v>
      </c>
      <c r="X95" s="4">
        <v>7479804.75</v>
      </c>
      <c r="Y95" s="4">
        <v>7749964.75</v>
      </c>
      <c r="Z95" s="4">
        <v>7749964.75</v>
      </c>
      <c r="AA95" s="4">
        <v>3.4</v>
      </c>
      <c r="AB95" s="6">
        <v>272810.39140000002</v>
      </c>
      <c r="AC95" s="4">
        <v>272810</v>
      </c>
      <c r="AD95" s="4">
        <v>272810</v>
      </c>
      <c r="AE95" s="6">
        <v>0.39140000000000003</v>
      </c>
      <c r="AF95" s="4">
        <v>0</v>
      </c>
      <c r="AG95" s="7">
        <v>0</v>
      </c>
      <c r="AH95" s="2" t="s">
        <v>37</v>
      </c>
      <c r="AI95">
        <v>0</v>
      </c>
      <c r="AJ95" s="3">
        <v>41912.686273148101</v>
      </c>
      <c r="AK95" s="2" t="s">
        <v>2044</v>
      </c>
    </row>
    <row r="96" spans="1:37" x14ac:dyDescent="0.15">
      <c r="A96" s="2" t="s">
        <v>2043</v>
      </c>
      <c r="B96">
        <v>125</v>
      </c>
      <c r="C96" s="3">
        <v>41426</v>
      </c>
      <c r="D96" s="2" t="s">
        <v>37</v>
      </c>
      <c r="E96" s="2" t="s">
        <v>2042</v>
      </c>
      <c r="F96" s="2" t="s">
        <v>41</v>
      </c>
      <c r="G96" s="2" t="s">
        <v>231</v>
      </c>
      <c r="H96" s="2" t="s">
        <v>232</v>
      </c>
      <c r="I96" s="4">
        <v>773935.04</v>
      </c>
      <c r="J96" s="4">
        <v>0</v>
      </c>
      <c r="K96" s="4">
        <v>0</v>
      </c>
      <c r="L96" s="5"/>
      <c r="M96" s="5">
        <v>4</v>
      </c>
      <c r="N96" s="6">
        <v>30957.401600000001</v>
      </c>
      <c r="O96" s="4">
        <v>30958</v>
      </c>
      <c r="P96" s="4">
        <v>30958</v>
      </c>
      <c r="Q96" s="6">
        <v>-0.59840000000000004</v>
      </c>
      <c r="R96" s="4">
        <v>0</v>
      </c>
      <c r="S96" s="4">
        <v>0</v>
      </c>
      <c r="T96" s="4">
        <v>619147</v>
      </c>
      <c r="U96" s="4">
        <v>619147</v>
      </c>
      <c r="V96" s="6">
        <v>79.999899999999997</v>
      </c>
      <c r="W96" s="4">
        <v>0</v>
      </c>
      <c r="X96" s="4">
        <v>0</v>
      </c>
      <c r="Y96" s="4">
        <v>525687.91</v>
      </c>
      <c r="Z96" s="4">
        <v>525687.91</v>
      </c>
      <c r="AA96" s="4">
        <v>3.4</v>
      </c>
      <c r="AB96" s="6">
        <v>26313.791399999998</v>
      </c>
      <c r="AC96" s="4">
        <v>21051</v>
      </c>
      <c r="AD96" s="4">
        <v>21051</v>
      </c>
      <c r="AE96" s="6">
        <v>5262.7914000000001</v>
      </c>
      <c r="AF96" s="4">
        <v>0</v>
      </c>
      <c r="AG96" s="7">
        <v>0</v>
      </c>
      <c r="AH96" s="2" t="s">
        <v>37</v>
      </c>
      <c r="AI96">
        <v>0</v>
      </c>
      <c r="AJ96" s="3">
        <v>41912.6862384259</v>
      </c>
      <c r="AK96" s="2" t="s">
        <v>2041</v>
      </c>
    </row>
    <row r="97" spans="1:37" x14ac:dyDescent="0.15">
      <c r="A97" s="2" t="s">
        <v>2040</v>
      </c>
      <c r="B97">
        <v>826</v>
      </c>
      <c r="C97" s="3">
        <v>41438</v>
      </c>
      <c r="D97" s="2" t="s">
        <v>37</v>
      </c>
      <c r="E97" s="2" t="s">
        <v>2039</v>
      </c>
      <c r="F97" s="2" t="s">
        <v>38</v>
      </c>
      <c r="G97" s="2" t="s">
        <v>233</v>
      </c>
      <c r="H97" s="2" t="s">
        <v>234</v>
      </c>
      <c r="I97" s="4">
        <v>15283442.58</v>
      </c>
      <c r="J97" s="4">
        <v>1303649.56</v>
      </c>
      <c r="K97" s="4">
        <v>1303649.56</v>
      </c>
      <c r="L97" s="5"/>
      <c r="M97" s="5">
        <v>4</v>
      </c>
      <c r="N97" s="6">
        <v>663483.68559999997</v>
      </c>
      <c r="O97" s="4">
        <v>658269</v>
      </c>
      <c r="P97" s="4">
        <v>658269</v>
      </c>
      <c r="Q97" s="6">
        <v>5214.6855999999998</v>
      </c>
      <c r="R97" s="4">
        <v>14335455.08</v>
      </c>
      <c r="S97" s="4">
        <v>14335455.08</v>
      </c>
      <c r="T97" s="4">
        <v>13433095.439999999</v>
      </c>
      <c r="U97" s="4">
        <v>13433095.439999999</v>
      </c>
      <c r="V97" s="6">
        <v>80.985200000000006</v>
      </c>
      <c r="W97" s="4">
        <v>13740016.289999999</v>
      </c>
      <c r="X97" s="4">
        <v>13740016.289999999</v>
      </c>
      <c r="Y97" s="4">
        <v>14227421.289999999</v>
      </c>
      <c r="Z97" s="4">
        <v>14227421.289999999</v>
      </c>
      <c r="AA97" s="4">
        <v>3.4</v>
      </c>
      <c r="AB97" s="6">
        <v>487405.47269999998</v>
      </c>
      <c r="AC97" s="4">
        <v>487405</v>
      </c>
      <c r="AD97" s="4">
        <v>487405</v>
      </c>
      <c r="AE97" s="6">
        <v>0.47270000000000001</v>
      </c>
      <c r="AF97" s="4">
        <v>0</v>
      </c>
      <c r="AG97" s="7">
        <v>0</v>
      </c>
      <c r="AH97" s="2" t="s">
        <v>37</v>
      </c>
      <c r="AI97">
        <v>0</v>
      </c>
      <c r="AJ97" s="3">
        <v>41912.686273148101</v>
      </c>
      <c r="AK97" s="2" t="s">
        <v>2038</v>
      </c>
    </row>
    <row r="98" spans="1:37" x14ac:dyDescent="0.15">
      <c r="A98" s="2" t="s">
        <v>2037</v>
      </c>
      <c r="B98">
        <v>829</v>
      </c>
      <c r="C98" s="3">
        <v>41439</v>
      </c>
      <c r="D98" s="2" t="s">
        <v>37</v>
      </c>
      <c r="E98" s="2" t="s">
        <v>2036</v>
      </c>
      <c r="F98" s="2" t="s">
        <v>38</v>
      </c>
      <c r="G98" s="2" t="s">
        <v>235</v>
      </c>
      <c r="H98" s="2" t="s">
        <v>236</v>
      </c>
      <c r="I98" s="4">
        <v>1712229.71</v>
      </c>
      <c r="J98" s="4">
        <v>0</v>
      </c>
      <c r="K98" s="4">
        <v>0</v>
      </c>
      <c r="L98" s="5"/>
      <c r="M98" s="5">
        <v>3.6</v>
      </c>
      <c r="N98" s="6">
        <v>61640.2696</v>
      </c>
      <c r="O98" s="4">
        <v>61640</v>
      </c>
      <c r="P98" s="4">
        <v>61640</v>
      </c>
      <c r="Q98" s="6">
        <v>0.26960000000000001</v>
      </c>
      <c r="R98" s="4">
        <v>0</v>
      </c>
      <c r="S98" s="4">
        <v>0</v>
      </c>
      <c r="T98" s="4">
        <v>0</v>
      </c>
      <c r="U98" s="4">
        <v>0</v>
      </c>
      <c r="V98" s="6">
        <v>0</v>
      </c>
      <c r="W98" s="4">
        <v>0</v>
      </c>
      <c r="X98" s="4">
        <v>0</v>
      </c>
      <c r="Y98" s="4">
        <v>0</v>
      </c>
      <c r="Z98" s="4">
        <v>0</v>
      </c>
      <c r="AA98" s="4">
        <v>3.4</v>
      </c>
      <c r="AB98" s="6">
        <v>0</v>
      </c>
      <c r="AC98" s="4">
        <v>0</v>
      </c>
      <c r="AD98" s="4">
        <v>0</v>
      </c>
      <c r="AE98" s="6">
        <v>0</v>
      </c>
      <c r="AF98" s="4">
        <v>0</v>
      </c>
      <c r="AG98" s="7">
        <v>19</v>
      </c>
      <c r="AH98" s="2" t="s">
        <v>97</v>
      </c>
      <c r="AI98">
        <v>0</v>
      </c>
      <c r="AJ98" s="3">
        <v>41912.686273148101</v>
      </c>
      <c r="AK98" s="2" t="s">
        <v>2035</v>
      </c>
    </row>
    <row r="99" spans="1:37" x14ac:dyDescent="0.15">
      <c r="A99" s="2" t="s">
        <v>2034</v>
      </c>
      <c r="B99">
        <v>838</v>
      </c>
      <c r="C99" s="3">
        <v>41443</v>
      </c>
      <c r="D99" s="2" t="s">
        <v>37</v>
      </c>
      <c r="E99" s="2" t="s">
        <v>2033</v>
      </c>
      <c r="F99" s="2" t="s">
        <v>38</v>
      </c>
      <c r="G99" s="2" t="s">
        <v>237</v>
      </c>
      <c r="H99" s="2" t="s">
        <v>238</v>
      </c>
      <c r="I99" s="4">
        <v>7389748</v>
      </c>
      <c r="J99" s="4">
        <v>1116572</v>
      </c>
      <c r="K99" s="4">
        <v>1116572</v>
      </c>
      <c r="L99" s="5"/>
      <c r="M99" s="5">
        <v>3</v>
      </c>
      <c r="N99" s="6">
        <v>255189.6</v>
      </c>
      <c r="O99" s="4">
        <v>255192.27</v>
      </c>
      <c r="P99" s="4">
        <v>255192.27</v>
      </c>
      <c r="Q99" s="6">
        <v>-2.67</v>
      </c>
      <c r="R99" s="4">
        <v>8506320</v>
      </c>
      <c r="S99" s="4">
        <v>8506320</v>
      </c>
      <c r="T99" s="4">
        <v>8506320</v>
      </c>
      <c r="U99" s="4">
        <v>8506320</v>
      </c>
      <c r="V99" s="6">
        <v>100</v>
      </c>
      <c r="W99" s="4">
        <v>8036530.9500000002</v>
      </c>
      <c r="X99" s="4">
        <v>8036530.9500000002</v>
      </c>
      <c r="Y99" s="4">
        <v>8505439.0700000003</v>
      </c>
      <c r="Z99" s="4">
        <v>8505439.0700000003</v>
      </c>
      <c r="AA99" s="4">
        <v>3.4</v>
      </c>
      <c r="AB99" s="6">
        <v>289214.88</v>
      </c>
      <c r="AC99" s="4">
        <v>289214</v>
      </c>
      <c r="AD99" s="4">
        <v>289214</v>
      </c>
      <c r="AE99" s="6">
        <v>0.88</v>
      </c>
      <c r="AF99" s="4">
        <v>0</v>
      </c>
      <c r="AG99" s="7">
        <v>50</v>
      </c>
      <c r="AH99" s="2" t="s">
        <v>66</v>
      </c>
      <c r="AI99">
        <v>0</v>
      </c>
      <c r="AJ99" s="3">
        <v>41912.686273148101</v>
      </c>
      <c r="AK99" s="2" t="s">
        <v>2032</v>
      </c>
    </row>
    <row r="100" spans="1:37" x14ac:dyDescent="0.15">
      <c r="A100" s="2" t="s">
        <v>2031</v>
      </c>
      <c r="B100">
        <v>130</v>
      </c>
      <c r="C100" s="3">
        <v>41456</v>
      </c>
      <c r="D100" s="2" t="s">
        <v>37</v>
      </c>
      <c r="E100" s="2" t="s">
        <v>2030</v>
      </c>
      <c r="F100" s="2" t="s">
        <v>41</v>
      </c>
      <c r="G100" s="2" t="s">
        <v>241</v>
      </c>
      <c r="H100" s="2" t="s">
        <v>242</v>
      </c>
      <c r="I100" s="4">
        <v>238178</v>
      </c>
      <c r="J100" s="4">
        <v>0</v>
      </c>
      <c r="K100" s="4">
        <v>0</v>
      </c>
      <c r="L100" s="5"/>
      <c r="M100" s="5">
        <v>4</v>
      </c>
      <c r="N100" s="6">
        <v>9527.1200000000008</v>
      </c>
      <c r="O100" s="4">
        <v>9569</v>
      </c>
      <c r="P100" s="4">
        <v>9569</v>
      </c>
      <c r="Q100" s="6">
        <v>-41.88</v>
      </c>
      <c r="R100" s="4">
        <v>0</v>
      </c>
      <c r="S100" s="4">
        <v>0</v>
      </c>
      <c r="T100" s="4">
        <v>169089</v>
      </c>
      <c r="U100" s="4">
        <v>169089</v>
      </c>
      <c r="V100" s="6">
        <v>70.992699999999999</v>
      </c>
      <c r="W100" s="4">
        <v>0</v>
      </c>
      <c r="X100" s="4">
        <v>0</v>
      </c>
      <c r="Y100" s="4">
        <v>178578</v>
      </c>
      <c r="Z100" s="4">
        <v>178578</v>
      </c>
      <c r="AA100" s="4">
        <v>3.46</v>
      </c>
      <c r="AB100" s="6">
        <v>8240.9588000000003</v>
      </c>
      <c r="AC100" s="4">
        <v>8240.9599999999991</v>
      </c>
      <c r="AD100" s="4">
        <v>8240.9599999999991</v>
      </c>
      <c r="AE100" s="6">
        <v>-1.1999999999999999E-3</v>
      </c>
      <c r="AF100" s="4">
        <v>0</v>
      </c>
      <c r="AG100" s="7">
        <v>0</v>
      </c>
      <c r="AH100" s="2" t="s">
        <v>37</v>
      </c>
      <c r="AI100">
        <v>0</v>
      </c>
      <c r="AJ100" s="3">
        <v>41912.6862384259</v>
      </c>
      <c r="AK100" s="2" t="s">
        <v>2029</v>
      </c>
    </row>
    <row r="101" spans="1:37" x14ac:dyDescent="0.15">
      <c r="A101" s="2" t="s">
        <v>2028</v>
      </c>
      <c r="B101">
        <v>845</v>
      </c>
      <c r="C101" s="3">
        <v>41456</v>
      </c>
      <c r="D101" s="2" t="s">
        <v>37</v>
      </c>
      <c r="E101" s="2" t="s">
        <v>2027</v>
      </c>
      <c r="F101" s="2" t="s">
        <v>38</v>
      </c>
      <c r="G101" s="2" t="s">
        <v>239</v>
      </c>
      <c r="H101" s="2" t="s">
        <v>240</v>
      </c>
      <c r="I101" s="4">
        <v>205000</v>
      </c>
      <c r="J101" s="4">
        <v>0</v>
      </c>
      <c r="K101" s="4">
        <v>0</v>
      </c>
      <c r="L101" s="5"/>
      <c r="M101" s="5">
        <v>3.6</v>
      </c>
      <c r="N101" s="6">
        <v>7380</v>
      </c>
      <c r="O101" s="4">
        <v>7380</v>
      </c>
      <c r="P101" s="4">
        <v>7380</v>
      </c>
      <c r="Q101" s="6">
        <v>0</v>
      </c>
      <c r="R101" s="4">
        <v>194750</v>
      </c>
      <c r="S101" s="4">
        <v>194750</v>
      </c>
      <c r="T101" s="4">
        <v>194750</v>
      </c>
      <c r="U101" s="4">
        <v>194750</v>
      </c>
      <c r="V101" s="6">
        <v>95</v>
      </c>
      <c r="W101" s="4">
        <v>155447.20000000001</v>
      </c>
      <c r="X101" s="4">
        <v>155447.20000000001</v>
      </c>
      <c r="Y101" s="4">
        <v>192069.2</v>
      </c>
      <c r="Z101" s="4">
        <v>192069.2</v>
      </c>
      <c r="AA101" s="4">
        <v>3.4</v>
      </c>
      <c r="AB101" s="6">
        <v>6621.5</v>
      </c>
      <c r="AC101" s="4">
        <v>6622</v>
      </c>
      <c r="AD101" s="4">
        <v>6622</v>
      </c>
      <c r="AE101" s="6">
        <v>-0.5</v>
      </c>
      <c r="AF101" s="4">
        <v>0</v>
      </c>
      <c r="AG101" s="7">
        <v>0</v>
      </c>
      <c r="AH101" s="2" t="s">
        <v>37</v>
      </c>
      <c r="AI101">
        <v>0</v>
      </c>
      <c r="AJ101" s="3">
        <v>41912.686273148101</v>
      </c>
      <c r="AK101" s="2" t="s">
        <v>2026</v>
      </c>
    </row>
    <row r="102" spans="1:37" x14ac:dyDescent="0.15">
      <c r="A102" s="2" t="s">
        <v>2025</v>
      </c>
      <c r="B102">
        <v>847</v>
      </c>
      <c r="C102" s="3">
        <v>41457</v>
      </c>
      <c r="D102" s="2" t="s">
        <v>37</v>
      </c>
      <c r="E102" s="2" t="s">
        <v>2024</v>
      </c>
      <c r="F102" s="2" t="s">
        <v>38</v>
      </c>
      <c r="G102" s="2" t="s">
        <v>243</v>
      </c>
      <c r="H102" s="2" t="s">
        <v>244</v>
      </c>
      <c r="I102" s="4">
        <v>5287718</v>
      </c>
      <c r="J102" s="4">
        <v>0</v>
      </c>
      <c r="K102" s="4">
        <v>0</v>
      </c>
      <c r="L102" s="5"/>
      <c r="M102" s="5">
        <v>3</v>
      </c>
      <c r="N102" s="6">
        <v>158631.54</v>
      </c>
      <c r="O102" s="4">
        <v>0</v>
      </c>
      <c r="P102" s="4">
        <v>0</v>
      </c>
      <c r="Q102" s="6">
        <v>158631.54</v>
      </c>
      <c r="R102" s="4">
        <v>0</v>
      </c>
      <c r="S102" s="4">
        <v>0</v>
      </c>
      <c r="T102" s="4">
        <v>0</v>
      </c>
      <c r="U102" s="4">
        <v>0</v>
      </c>
      <c r="V102" s="6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3.4</v>
      </c>
      <c r="AB102" s="6">
        <v>0</v>
      </c>
      <c r="AC102" s="4">
        <v>0</v>
      </c>
      <c r="AD102" s="4">
        <v>0</v>
      </c>
      <c r="AE102" s="6">
        <v>0</v>
      </c>
      <c r="AF102" s="4">
        <v>0</v>
      </c>
      <c r="AG102" s="7">
        <v>15</v>
      </c>
      <c r="AH102" s="2" t="s">
        <v>66</v>
      </c>
      <c r="AI102">
        <v>0</v>
      </c>
      <c r="AJ102" s="3">
        <v>41912.686273148101</v>
      </c>
      <c r="AK102" s="2" t="s">
        <v>2023</v>
      </c>
    </row>
    <row r="103" spans="1:37" x14ac:dyDescent="0.15">
      <c r="A103" s="2" t="s">
        <v>2022</v>
      </c>
      <c r="B103">
        <v>854</v>
      </c>
      <c r="C103" s="3">
        <v>41459</v>
      </c>
      <c r="D103" s="2" t="s">
        <v>37</v>
      </c>
      <c r="E103" s="2" t="s">
        <v>2021</v>
      </c>
      <c r="F103" s="2" t="s">
        <v>38</v>
      </c>
      <c r="G103" s="2" t="s">
        <v>245</v>
      </c>
      <c r="H103" s="2" t="s">
        <v>246</v>
      </c>
      <c r="I103" s="4">
        <v>2440063.9</v>
      </c>
      <c r="J103" s="4">
        <v>0</v>
      </c>
      <c r="K103" s="4">
        <v>0</v>
      </c>
      <c r="L103" s="5"/>
      <c r="M103" s="5">
        <v>4.5999999999999996</v>
      </c>
      <c r="N103" s="6">
        <v>112242.9394</v>
      </c>
      <c r="O103" s="4">
        <v>112243.75</v>
      </c>
      <c r="P103" s="4">
        <v>112243.75</v>
      </c>
      <c r="Q103" s="6">
        <v>-0.81059999999999999</v>
      </c>
      <c r="R103" s="4">
        <v>2352756.3199999998</v>
      </c>
      <c r="S103" s="4">
        <v>2352756.3199999998</v>
      </c>
      <c r="T103" s="4">
        <v>1952051.12</v>
      </c>
      <c r="U103" s="4">
        <v>1952051.12</v>
      </c>
      <c r="V103" s="6">
        <v>80</v>
      </c>
      <c r="W103" s="4">
        <v>1554257.75</v>
      </c>
      <c r="X103" s="4">
        <v>1554257.75</v>
      </c>
      <c r="Y103" s="4">
        <v>1936975.93</v>
      </c>
      <c r="Z103" s="4">
        <v>1936975.93</v>
      </c>
      <c r="AA103" s="4">
        <v>3.74</v>
      </c>
      <c r="AB103" s="6">
        <v>87993.0864</v>
      </c>
      <c r="AC103" s="4">
        <v>87993.09</v>
      </c>
      <c r="AD103" s="4">
        <v>87993.09</v>
      </c>
      <c r="AE103" s="6">
        <v>-3.5999999999999999E-3</v>
      </c>
      <c r="AF103" s="4">
        <v>0</v>
      </c>
      <c r="AG103" s="7">
        <v>0</v>
      </c>
      <c r="AH103" s="2" t="s">
        <v>37</v>
      </c>
      <c r="AI103">
        <v>0</v>
      </c>
      <c r="AJ103" s="3">
        <v>41912.686273148101</v>
      </c>
      <c r="AK103" s="2" t="s">
        <v>2020</v>
      </c>
    </row>
    <row r="104" spans="1:37" x14ac:dyDescent="0.15">
      <c r="A104" s="2" t="s">
        <v>2019</v>
      </c>
      <c r="B104">
        <v>861</v>
      </c>
      <c r="C104" s="3">
        <v>41470</v>
      </c>
      <c r="D104" s="2" t="s">
        <v>37</v>
      </c>
      <c r="E104" s="2" t="s">
        <v>2018</v>
      </c>
      <c r="F104" s="2" t="s">
        <v>38</v>
      </c>
      <c r="G104" s="2" t="s">
        <v>247</v>
      </c>
      <c r="H104" s="2" t="s">
        <v>248</v>
      </c>
      <c r="I104" s="4">
        <v>1457017.94</v>
      </c>
      <c r="J104" s="4">
        <v>0</v>
      </c>
      <c r="K104" s="4">
        <v>0</v>
      </c>
      <c r="L104" s="5"/>
      <c r="M104" s="5">
        <v>3.6</v>
      </c>
      <c r="N104" s="6">
        <v>52452.645799999998</v>
      </c>
      <c r="O104" s="4">
        <v>52453</v>
      </c>
      <c r="P104" s="4">
        <v>52453</v>
      </c>
      <c r="Q104" s="6">
        <v>-0.35420000000000001</v>
      </c>
      <c r="R104" s="4">
        <v>1400000</v>
      </c>
      <c r="S104" s="4">
        <v>1400000</v>
      </c>
      <c r="T104" s="4">
        <v>1400000</v>
      </c>
      <c r="U104" s="4">
        <v>1400000</v>
      </c>
      <c r="V104" s="6">
        <v>96.086699999999993</v>
      </c>
      <c r="W104" s="4">
        <v>1335000</v>
      </c>
      <c r="X104" s="4">
        <v>1335000</v>
      </c>
      <c r="Y104" s="4">
        <v>1384348</v>
      </c>
      <c r="Z104" s="4">
        <v>1384348</v>
      </c>
      <c r="AA104" s="4">
        <v>3.4</v>
      </c>
      <c r="AB104" s="6">
        <v>47600</v>
      </c>
      <c r="AC104" s="4">
        <v>47600</v>
      </c>
      <c r="AD104" s="4">
        <v>47600</v>
      </c>
      <c r="AE104" s="6">
        <v>0</v>
      </c>
      <c r="AF104" s="4">
        <v>0</v>
      </c>
      <c r="AG104" s="7">
        <v>0</v>
      </c>
      <c r="AH104" s="2" t="s">
        <v>37</v>
      </c>
      <c r="AI104">
        <v>0</v>
      </c>
      <c r="AJ104" s="3">
        <v>41912.686273148101</v>
      </c>
      <c r="AK104" s="2" t="s">
        <v>2017</v>
      </c>
    </row>
    <row r="105" spans="1:37" x14ac:dyDescent="0.15">
      <c r="A105" s="2" t="s">
        <v>2016</v>
      </c>
      <c r="B105">
        <v>865</v>
      </c>
      <c r="C105" s="3">
        <v>41472</v>
      </c>
      <c r="D105" s="2" t="s">
        <v>37</v>
      </c>
      <c r="E105" s="2" t="s">
        <v>2015</v>
      </c>
      <c r="F105" s="2" t="s">
        <v>38</v>
      </c>
      <c r="G105" s="2" t="s">
        <v>249</v>
      </c>
      <c r="H105" s="2" t="s">
        <v>250</v>
      </c>
      <c r="I105" s="4">
        <v>190000</v>
      </c>
      <c r="J105" s="4">
        <v>0</v>
      </c>
      <c r="K105" s="4">
        <v>0</v>
      </c>
      <c r="L105" s="5"/>
      <c r="M105" s="5">
        <v>3.6</v>
      </c>
      <c r="N105" s="6">
        <v>6840</v>
      </c>
      <c r="O105" s="4">
        <v>0</v>
      </c>
      <c r="P105" s="4">
        <v>0</v>
      </c>
      <c r="Q105" s="6">
        <v>6840</v>
      </c>
      <c r="R105" s="4">
        <v>180500</v>
      </c>
      <c r="S105" s="4">
        <v>180500</v>
      </c>
      <c r="T105" s="4">
        <v>57000</v>
      </c>
      <c r="U105" s="4">
        <v>57000</v>
      </c>
      <c r="V105" s="6">
        <v>30</v>
      </c>
      <c r="W105" s="4">
        <v>0</v>
      </c>
      <c r="X105" s="4">
        <v>0</v>
      </c>
      <c r="Y105" s="4">
        <v>50000</v>
      </c>
      <c r="Z105" s="4">
        <v>50000</v>
      </c>
      <c r="AA105" s="4">
        <v>3.4</v>
      </c>
      <c r="AB105" s="6">
        <v>6137</v>
      </c>
      <c r="AC105" s="4">
        <v>0</v>
      </c>
      <c r="AD105" s="4">
        <v>0</v>
      </c>
      <c r="AE105" s="6">
        <v>6137</v>
      </c>
      <c r="AF105" s="4">
        <v>0</v>
      </c>
      <c r="AG105" s="7">
        <v>0</v>
      </c>
      <c r="AH105" s="2" t="s">
        <v>37</v>
      </c>
      <c r="AI105">
        <v>0</v>
      </c>
      <c r="AJ105" s="3">
        <v>41912.686273148101</v>
      </c>
      <c r="AK105" s="2" t="s">
        <v>2014</v>
      </c>
    </row>
    <row r="106" spans="1:37" x14ac:dyDescent="0.15">
      <c r="A106" s="2" t="s">
        <v>2013</v>
      </c>
      <c r="B106">
        <v>872</v>
      </c>
      <c r="C106" s="3">
        <v>41484</v>
      </c>
      <c r="D106" s="2" t="s">
        <v>37</v>
      </c>
      <c r="E106" s="2" t="s">
        <v>2012</v>
      </c>
      <c r="F106" s="2" t="s">
        <v>38</v>
      </c>
      <c r="G106" s="2" t="s">
        <v>251</v>
      </c>
      <c r="H106" s="2" t="s">
        <v>252</v>
      </c>
      <c r="I106" s="4">
        <v>2768475</v>
      </c>
      <c r="J106" s="4">
        <v>0</v>
      </c>
      <c r="K106" s="4">
        <v>0</v>
      </c>
      <c r="L106" s="5"/>
      <c r="M106" s="5">
        <v>3.6</v>
      </c>
      <c r="N106" s="6">
        <v>99665.1</v>
      </c>
      <c r="O106" s="4">
        <v>99665</v>
      </c>
      <c r="P106" s="4">
        <v>99665</v>
      </c>
      <c r="Q106" s="6">
        <v>0.1</v>
      </c>
      <c r="R106" s="4">
        <v>2353204</v>
      </c>
      <c r="S106" s="4">
        <v>2353204</v>
      </c>
      <c r="T106" s="4">
        <v>2353204</v>
      </c>
      <c r="U106" s="4">
        <v>2353204</v>
      </c>
      <c r="V106" s="6">
        <v>85</v>
      </c>
      <c r="W106" s="4">
        <v>2021228.99</v>
      </c>
      <c r="X106" s="4">
        <v>2021228.99</v>
      </c>
      <c r="Y106" s="4">
        <v>2338304.9900000002</v>
      </c>
      <c r="Z106" s="4">
        <v>2338304.9900000002</v>
      </c>
      <c r="AA106" s="4">
        <v>3.4</v>
      </c>
      <c r="AB106" s="6">
        <v>80008.936000000002</v>
      </c>
      <c r="AC106" s="4">
        <v>80009</v>
      </c>
      <c r="AD106" s="4">
        <v>80009</v>
      </c>
      <c r="AE106" s="6">
        <v>-6.4000000000000001E-2</v>
      </c>
      <c r="AF106" s="4">
        <v>0</v>
      </c>
      <c r="AG106" s="7">
        <v>0</v>
      </c>
      <c r="AH106" s="2" t="s">
        <v>37</v>
      </c>
      <c r="AI106">
        <v>0</v>
      </c>
      <c r="AJ106" s="3">
        <v>41912.686273148101</v>
      </c>
      <c r="AK106" s="2" t="s">
        <v>2011</v>
      </c>
    </row>
    <row r="107" spans="1:37" x14ac:dyDescent="0.15">
      <c r="A107" s="2" t="s">
        <v>2010</v>
      </c>
      <c r="B107">
        <v>880</v>
      </c>
      <c r="C107" s="3">
        <v>41484</v>
      </c>
      <c r="D107" s="2" t="s">
        <v>37</v>
      </c>
      <c r="E107" s="2" t="s">
        <v>2009</v>
      </c>
      <c r="F107" s="2" t="s">
        <v>38</v>
      </c>
      <c r="G107" s="2" t="s">
        <v>253</v>
      </c>
      <c r="H107" s="2" t="s">
        <v>254</v>
      </c>
      <c r="I107" s="4">
        <v>19543207.129999999</v>
      </c>
      <c r="J107" s="4">
        <v>0</v>
      </c>
      <c r="K107" s="4">
        <v>0</v>
      </c>
      <c r="L107" s="5"/>
      <c r="M107" s="5">
        <v>3</v>
      </c>
      <c r="N107" s="6">
        <v>586296.21389999997</v>
      </c>
      <c r="O107" s="4">
        <v>586297</v>
      </c>
      <c r="P107" s="4">
        <v>586297</v>
      </c>
      <c r="Q107" s="6">
        <v>-0.78610000000000002</v>
      </c>
      <c r="R107" s="4">
        <v>12820000</v>
      </c>
      <c r="S107" s="4">
        <v>12820000</v>
      </c>
      <c r="T107" s="4">
        <v>7790000</v>
      </c>
      <c r="U107" s="4">
        <v>7790000</v>
      </c>
      <c r="V107" s="6">
        <v>39.860399999999998</v>
      </c>
      <c r="W107" s="4">
        <v>10117250.52</v>
      </c>
      <c r="X107" s="4">
        <v>10117250.52</v>
      </c>
      <c r="Y107" s="4">
        <v>10577625.82</v>
      </c>
      <c r="Z107" s="4">
        <v>10577625.82</v>
      </c>
      <c r="AA107" s="4">
        <v>3.4</v>
      </c>
      <c r="AB107" s="6">
        <v>435880</v>
      </c>
      <c r="AC107" s="4">
        <v>232900</v>
      </c>
      <c r="AD107" s="4">
        <v>232900</v>
      </c>
      <c r="AE107" s="6">
        <v>202980</v>
      </c>
      <c r="AF107" s="4">
        <v>0</v>
      </c>
      <c r="AG107" s="7">
        <v>96</v>
      </c>
      <c r="AH107" s="2" t="s">
        <v>66</v>
      </c>
      <c r="AI107">
        <v>0</v>
      </c>
      <c r="AJ107" s="3">
        <v>41912.686273148101</v>
      </c>
      <c r="AK107" s="2" t="s">
        <v>2008</v>
      </c>
    </row>
    <row r="108" spans="1:37" x14ac:dyDescent="0.15">
      <c r="A108" s="2" t="s">
        <v>2007</v>
      </c>
      <c r="B108">
        <v>896</v>
      </c>
      <c r="C108" s="3">
        <v>41487</v>
      </c>
      <c r="D108" s="2" t="s">
        <v>37</v>
      </c>
      <c r="E108" s="2" t="s">
        <v>2006</v>
      </c>
      <c r="F108" s="2" t="s">
        <v>38</v>
      </c>
      <c r="G108" s="2" t="s">
        <v>257</v>
      </c>
      <c r="H108" s="2" t="s">
        <v>258</v>
      </c>
      <c r="I108" s="4">
        <v>3427568</v>
      </c>
      <c r="J108" s="4">
        <v>0</v>
      </c>
      <c r="K108" s="4">
        <v>0</v>
      </c>
      <c r="L108" s="5"/>
      <c r="M108" s="5">
        <v>3</v>
      </c>
      <c r="N108" s="6">
        <v>102827.04</v>
      </c>
      <c r="O108" s="4">
        <v>102827</v>
      </c>
      <c r="P108" s="4">
        <v>102827</v>
      </c>
      <c r="Q108" s="6">
        <v>0.04</v>
      </c>
      <c r="R108" s="4">
        <v>2742054.4</v>
      </c>
      <c r="S108" s="4">
        <v>2742054.4</v>
      </c>
      <c r="T108" s="4">
        <v>2576919.6800000002</v>
      </c>
      <c r="U108" s="4">
        <v>2576919.6800000002</v>
      </c>
      <c r="V108" s="6">
        <v>75.182199999999995</v>
      </c>
      <c r="W108" s="4">
        <v>2316496.25</v>
      </c>
      <c r="X108" s="4">
        <v>2316496.25</v>
      </c>
      <c r="Y108" s="4">
        <v>2572434.86</v>
      </c>
      <c r="Z108" s="4">
        <v>2572434.86</v>
      </c>
      <c r="AA108" s="4">
        <v>3.74</v>
      </c>
      <c r="AB108" s="6">
        <v>102552.8346</v>
      </c>
      <c r="AC108" s="4">
        <v>102552.83</v>
      </c>
      <c r="AD108" s="4">
        <v>102552.83</v>
      </c>
      <c r="AE108" s="6">
        <v>4.5999999999999999E-3</v>
      </c>
      <c r="AF108" s="4">
        <v>0</v>
      </c>
      <c r="AG108" s="7">
        <v>42</v>
      </c>
      <c r="AH108" s="2" t="s">
        <v>66</v>
      </c>
      <c r="AI108">
        <v>0</v>
      </c>
      <c r="AJ108" s="3">
        <v>41912.686273148101</v>
      </c>
      <c r="AK108" s="2" t="s">
        <v>2005</v>
      </c>
    </row>
    <row r="109" spans="1:37" x14ac:dyDescent="0.15">
      <c r="A109" s="2" t="s">
        <v>2004</v>
      </c>
      <c r="B109">
        <v>135</v>
      </c>
      <c r="C109" s="3">
        <v>41487</v>
      </c>
      <c r="D109" s="2" t="s">
        <v>37</v>
      </c>
      <c r="E109" s="2" t="s">
        <v>2003</v>
      </c>
      <c r="F109" s="2" t="s">
        <v>41</v>
      </c>
      <c r="G109" s="2" t="s">
        <v>255</v>
      </c>
      <c r="H109" s="2" t="s">
        <v>256</v>
      </c>
      <c r="I109" s="4">
        <v>6455953.0800000001</v>
      </c>
      <c r="J109" s="4">
        <v>0</v>
      </c>
      <c r="K109" s="4">
        <v>0</v>
      </c>
      <c r="L109" s="5"/>
      <c r="M109" s="5">
        <v>4</v>
      </c>
      <c r="N109" s="6">
        <v>258238.1232</v>
      </c>
      <c r="O109" s="4">
        <v>258238.12</v>
      </c>
      <c r="P109" s="4">
        <v>258238.12</v>
      </c>
      <c r="Q109" s="6">
        <v>3.2000000000000002E-3</v>
      </c>
      <c r="R109" s="4">
        <v>0</v>
      </c>
      <c r="S109" s="4">
        <v>0</v>
      </c>
      <c r="T109" s="4">
        <v>6131964.8099999996</v>
      </c>
      <c r="U109" s="4">
        <v>6131964.8099999996</v>
      </c>
      <c r="V109" s="6">
        <v>94.9816</v>
      </c>
      <c r="W109" s="4">
        <v>0</v>
      </c>
      <c r="X109" s="4">
        <v>0</v>
      </c>
      <c r="Y109" s="4">
        <v>5413506.1699999999</v>
      </c>
      <c r="Z109" s="4">
        <v>5413506.1699999999</v>
      </c>
      <c r="AA109" s="4">
        <v>3.4</v>
      </c>
      <c r="AB109" s="6">
        <v>219502.40470000001</v>
      </c>
      <c r="AC109" s="4">
        <v>208486.96</v>
      </c>
      <c r="AD109" s="4">
        <v>208486.96</v>
      </c>
      <c r="AE109" s="6">
        <v>11015.4447</v>
      </c>
      <c r="AF109" s="4">
        <v>0</v>
      </c>
      <c r="AG109" s="7">
        <v>0</v>
      </c>
      <c r="AH109" s="2" t="s">
        <v>37</v>
      </c>
      <c r="AI109">
        <v>0</v>
      </c>
      <c r="AJ109" s="3">
        <v>41912.6862384259</v>
      </c>
      <c r="AK109" s="2" t="s">
        <v>2002</v>
      </c>
    </row>
    <row r="110" spans="1:37" x14ac:dyDescent="0.15">
      <c r="A110" s="2" t="s">
        <v>2001</v>
      </c>
      <c r="B110">
        <v>888</v>
      </c>
      <c r="C110" s="3">
        <v>41494</v>
      </c>
      <c r="D110" s="2" t="s">
        <v>37</v>
      </c>
      <c r="E110" s="2" t="s">
        <v>2000</v>
      </c>
      <c r="F110" s="2" t="s">
        <v>38</v>
      </c>
      <c r="G110" s="2" t="s">
        <v>259</v>
      </c>
      <c r="H110" s="2" t="s">
        <v>260</v>
      </c>
      <c r="I110" s="4">
        <v>8061172</v>
      </c>
      <c r="J110" s="4">
        <v>0</v>
      </c>
      <c r="K110" s="4">
        <v>0</v>
      </c>
      <c r="L110" s="5"/>
      <c r="M110" s="5">
        <v>3</v>
      </c>
      <c r="N110" s="6">
        <v>241835.16</v>
      </c>
      <c r="O110" s="4">
        <v>240000</v>
      </c>
      <c r="P110" s="4">
        <v>240000</v>
      </c>
      <c r="Q110" s="6">
        <v>1835.16</v>
      </c>
      <c r="R110" s="4">
        <v>1600000</v>
      </c>
      <c r="S110" s="4">
        <v>1600000</v>
      </c>
      <c r="T110" s="4">
        <v>1040000</v>
      </c>
      <c r="U110" s="4">
        <v>1040000</v>
      </c>
      <c r="V110" s="6">
        <v>12.901300000000001</v>
      </c>
      <c r="W110" s="4">
        <v>1002259</v>
      </c>
      <c r="X110" s="4">
        <v>1002259</v>
      </c>
      <c r="Y110" s="4">
        <v>1039549</v>
      </c>
      <c r="Z110" s="4">
        <v>1039549</v>
      </c>
      <c r="AA110" s="4">
        <v>3.74</v>
      </c>
      <c r="AB110" s="6">
        <v>59840</v>
      </c>
      <c r="AC110" s="4">
        <v>59840</v>
      </c>
      <c r="AD110" s="4">
        <v>59840</v>
      </c>
      <c r="AE110" s="6">
        <v>0</v>
      </c>
      <c r="AF110" s="4">
        <v>0</v>
      </c>
      <c r="AG110" s="7">
        <v>105</v>
      </c>
      <c r="AH110" s="2" t="s">
        <v>66</v>
      </c>
      <c r="AI110">
        <v>0</v>
      </c>
      <c r="AJ110" s="3">
        <v>41912.686273148101</v>
      </c>
      <c r="AK110" s="2" t="s">
        <v>1999</v>
      </c>
    </row>
    <row r="111" spans="1:37" x14ac:dyDescent="0.15">
      <c r="A111" s="2" t="s">
        <v>1998</v>
      </c>
      <c r="B111">
        <v>904</v>
      </c>
      <c r="C111" s="3">
        <v>41496</v>
      </c>
      <c r="D111" s="2" t="s">
        <v>37</v>
      </c>
      <c r="E111" s="2" t="s">
        <v>1997</v>
      </c>
      <c r="F111" s="2" t="s">
        <v>38</v>
      </c>
      <c r="G111" s="2" t="s">
        <v>261</v>
      </c>
      <c r="H111" s="2" t="s">
        <v>262</v>
      </c>
      <c r="I111" s="4">
        <v>2823828.2</v>
      </c>
      <c r="J111" s="4">
        <v>0</v>
      </c>
      <c r="K111" s="4">
        <v>0</v>
      </c>
      <c r="L111" s="5"/>
      <c r="M111" s="5">
        <v>3</v>
      </c>
      <c r="N111" s="6">
        <v>84714.846000000005</v>
      </c>
      <c r="O111" s="4">
        <v>84715</v>
      </c>
      <c r="P111" s="4">
        <v>84715</v>
      </c>
      <c r="Q111" s="6">
        <v>-0.154</v>
      </c>
      <c r="R111" s="4">
        <v>2034096.63</v>
      </c>
      <c r="S111" s="4">
        <v>2034096.63</v>
      </c>
      <c r="T111" s="4">
        <v>2034096.63</v>
      </c>
      <c r="U111" s="4">
        <v>2034096.63</v>
      </c>
      <c r="V111" s="6">
        <v>72.033299999999997</v>
      </c>
      <c r="W111" s="4">
        <v>1735922.11</v>
      </c>
      <c r="X111" s="4">
        <v>1735922.11</v>
      </c>
      <c r="Y111" s="4">
        <v>1805082.11</v>
      </c>
      <c r="Z111" s="4">
        <v>1805082.11</v>
      </c>
      <c r="AA111" s="4">
        <v>3.4</v>
      </c>
      <c r="AB111" s="6">
        <v>69159.285399999993</v>
      </c>
      <c r="AC111" s="4">
        <v>69160</v>
      </c>
      <c r="AD111" s="4">
        <v>69160</v>
      </c>
      <c r="AE111" s="6">
        <v>-0.71460000000000001</v>
      </c>
      <c r="AF111" s="4">
        <v>0</v>
      </c>
      <c r="AG111" s="7">
        <v>6</v>
      </c>
      <c r="AH111" s="2" t="s">
        <v>66</v>
      </c>
      <c r="AI111">
        <v>0</v>
      </c>
      <c r="AJ111" s="3">
        <v>41912.686273148101</v>
      </c>
      <c r="AK111" s="2" t="s">
        <v>1996</v>
      </c>
    </row>
    <row r="112" spans="1:37" x14ac:dyDescent="0.15">
      <c r="A112" s="2" t="s">
        <v>1995</v>
      </c>
      <c r="B112">
        <v>911</v>
      </c>
      <c r="C112" s="3">
        <v>41506</v>
      </c>
      <c r="D112" s="2" t="s">
        <v>37</v>
      </c>
      <c r="E112" s="2" t="s">
        <v>1994</v>
      </c>
      <c r="F112" s="2" t="s">
        <v>38</v>
      </c>
      <c r="G112" s="2" t="s">
        <v>263</v>
      </c>
      <c r="H112" s="2" t="s">
        <v>264</v>
      </c>
      <c r="I112" s="4">
        <v>17411600</v>
      </c>
      <c r="J112" s="4">
        <v>14846</v>
      </c>
      <c r="K112" s="4">
        <v>14846</v>
      </c>
      <c r="L112" s="5"/>
      <c r="M112" s="5">
        <v>3</v>
      </c>
      <c r="N112" s="6">
        <v>522793.38</v>
      </c>
      <c r="O112" s="4">
        <v>522348</v>
      </c>
      <c r="P112" s="4">
        <v>522348</v>
      </c>
      <c r="Q112" s="6">
        <v>445.38</v>
      </c>
      <c r="R112" s="4">
        <v>17426446</v>
      </c>
      <c r="S112" s="4">
        <v>17426446</v>
      </c>
      <c r="T112" s="4">
        <v>11880000</v>
      </c>
      <c r="U112" s="4">
        <v>11880000</v>
      </c>
      <c r="V112" s="6">
        <v>68.172200000000004</v>
      </c>
      <c r="W112" s="4">
        <v>11232076.699999999</v>
      </c>
      <c r="X112" s="4">
        <v>11232076.699999999</v>
      </c>
      <c r="Y112" s="4">
        <v>11735031.74</v>
      </c>
      <c r="Z112" s="4">
        <v>11735031.74</v>
      </c>
      <c r="AA112" s="4"/>
      <c r="AB112" s="6"/>
      <c r="AC112" s="4">
        <v>0</v>
      </c>
      <c r="AD112" s="4">
        <v>0</v>
      </c>
      <c r="AE112" s="6"/>
      <c r="AF112" s="4">
        <v>0</v>
      </c>
      <c r="AG112" s="7">
        <v>0</v>
      </c>
      <c r="AH112" s="2" t="s">
        <v>37</v>
      </c>
      <c r="AI112">
        <v>0</v>
      </c>
      <c r="AJ112" s="3">
        <v>41912.686273148101</v>
      </c>
      <c r="AK112" s="2" t="s">
        <v>1993</v>
      </c>
    </row>
    <row r="113" spans="1:37" x14ac:dyDescent="0.15">
      <c r="A113" s="2" t="s">
        <v>1992</v>
      </c>
      <c r="B113">
        <v>918</v>
      </c>
      <c r="C113" s="3">
        <v>41511</v>
      </c>
      <c r="D113" s="2" t="s">
        <v>37</v>
      </c>
      <c r="E113" s="2" t="s">
        <v>1991</v>
      </c>
      <c r="F113" s="2" t="s">
        <v>38</v>
      </c>
      <c r="G113" s="2" t="s">
        <v>265</v>
      </c>
      <c r="H113" s="2" t="s">
        <v>266</v>
      </c>
      <c r="I113" s="4">
        <v>407310.98</v>
      </c>
      <c r="J113" s="4">
        <v>0</v>
      </c>
      <c r="K113" s="4">
        <v>0</v>
      </c>
      <c r="L113" s="5"/>
      <c r="M113" s="5">
        <v>3.6</v>
      </c>
      <c r="N113" s="6">
        <v>14663.195299999999</v>
      </c>
      <c r="O113" s="4">
        <v>14663</v>
      </c>
      <c r="P113" s="4">
        <v>14663</v>
      </c>
      <c r="Q113" s="6">
        <v>0.1953</v>
      </c>
      <c r="R113" s="4">
        <v>407310.98</v>
      </c>
      <c r="S113" s="4">
        <v>407310.98</v>
      </c>
      <c r="T113" s="4">
        <v>350000</v>
      </c>
      <c r="U113" s="4">
        <v>350000</v>
      </c>
      <c r="V113" s="6">
        <v>85.929400000000001</v>
      </c>
      <c r="W113" s="4">
        <v>300000</v>
      </c>
      <c r="X113" s="4">
        <v>300000</v>
      </c>
      <c r="Y113" s="4">
        <v>313849</v>
      </c>
      <c r="Z113" s="4">
        <v>313849</v>
      </c>
      <c r="AA113" s="4">
        <v>3.4</v>
      </c>
      <c r="AB113" s="6">
        <v>13848.5733</v>
      </c>
      <c r="AC113" s="4">
        <v>13849</v>
      </c>
      <c r="AD113" s="4">
        <v>13849</v>
      </c>
      <c r="AE113" s="6">
        <v>-0.42670000000000002</v>
      </c>
      <c r="AF113" s="4">
        <v>0</v>
      </c>
      <c r="AG113" s="7">
        <v>0</v>
      </c>
      <c r="AH113" s="2" t="s">
        <v>37</v>
      </c>
      <c r="AI113">
        <v>0</v>
      </c>
      <c r="AJ113" s="3">
        <v>41912.686273148101</v>
      </c>
      <c r="AK113" s="2" t="s">
        <v>1990</v>
      </c>
    </row>
    <row r="114" spans="1:37" x14ac:dyDescent="0.15">
      <c r="A114" s="2" t="s">
        <v>1989</v>
      </c>
      <c r="B114">
        <v>140</v>
      </c>
      <c r="C114" s="3">
        <v>41518</v>
      </c>
      <c r="D114" s="2" t="s">
        <v>37</v>
      </c>
      <c r="E114" s="2" t="s">
        <v>1988</v>
      </c>
      <c r="F114" s="2" t="s">
        <v>41</v>
      </c>
      <c r="G114" s="2" t="s">
        <v>267</v>
      </c>
      <c r="H114" s="2" t="s">
        <v>268</v>
      </c>
      <c r="I114" s="4">
        <v>1860000</v>
      </c>
      <c r="J114" s="4">
        <v>0</v>
      </c>
      <c r="K114" s="4">
        <v>0</v>
      </c>
      <c r="L114" s="5"/>
      <c r="M114" s="5">
        <v>4</v>
      </c>
      <c r="N114" s="6">
        <v>74400</v>
      </c>
      <c r="O114" s="4">
        <v>74400</v>
      </c>
      <c r="P114" s="4">
        <v>74400</v>
      </c>
      <c r="Q114" s="6">
        <v>0</v>
      </c>
      <c r="R114" s="4">
        <v>0</v>
      </c>
      <c r="S114" s="4">
        <v>0</v>
      </c>
      <c r="T114" s="4">
        <v>1250000</v>
      </c>
      <c r="U114" s="4">
        <v>1250000</v>
      </c>
      <c r="V114" s="6">
        <v>67.204300000000003</v>
      </c>
      <c r="W114" s="4">
        <v>0</v>
      </c>
      <c r="X114" s="4">
        <v>0</v>
      </c>
      <c r="Y114" s="4">
        <v>1088668.1499999999</v>
      </c>
      <c r="Z114" s="4">
        <v>1088668.1499999999</v>
      </c>
      <c r="AA114" s="4">
        <v>3.4</v>
      </c>
      <c r="AB114" s="6">
        <v>63240</v>
      </c>
      <c r="AC114" s="4">
        <v>42500</v>
      </c>
      <c r="AD114" s="4">
        <v>42500</v>
      </c>
      <c r="AE114" s="6">
        <v>20740</v>
      </c>
      <c r="AF114" s="4">
        <v>0</v>
      </c>
      <c r="AG114" s="7">
        <v>0</v>
      </c>
      <c r="AH114" s="2" t="s">
        <v>37</v>
      </c>
      <c r="AI114">
        <v>0</v>
      </c>
      <c r="AJ114" s="3">
        <v>41912.6862384259</v>
      </c>
      <c r="AK114" s="2" t="s">
        <v>1987</v>
      </c>
    </row>
    <row r="115" spans="1:37" x14ac:dyDescent="0.15">
      <c r="A115" s="2" t="s">
        <v>1986</v>
      </c>
      <c r="B115">
        <v>927</v>
      </c>
      <c r="C115" s="3">
        <v>41519</v>
      </c>
      <c r="D115" s="2" t="s">
        <v>37</v>
      </c>
      <c r="E115" s="2" t="s">
        <v>1985</v>
      </c>
      <c r="F115" s="2" t="s">
        <v>38</v>
      </c>
      <c r="G115" s="2" t="s">
        <v>269</v>
      </c>
      <c r="H115" s="2" t="s">
        <v>270</v>
      </c>
      <c r="I115" s="4">
        <v>8700000</v>
      </c>
      <c r="J115" s="4">
        <v>7411961</v>
      </c>
      <c r="K115" s="4">
        <v>7411961</v>
      </c>
      <c r="L115" s="5"/>
      <c r="M115" s="5">
        <v>3</v>
      </c>
      <c r="N115" s="6">
        <v>483358.83</v>
      </c>
      <c r="O115" s="4">
        <v>476853</v>
      </c>
      <c r="P115" s="4">
        <v>476853</v>
      </c>
      <c r="Q115" s="6">
        <v>6505.83</v>
      </c>
      <c r="R115" s="4">
        <v>10308167.640000001</v>
      </c>
      <c r="S115" s="4">
        <v>10308167.640000001</v>
      </c>
      <c r="T115" s="4">
        <v>9343700.0500000007</v>
      </c>
      <c r="U115" s="4">
        <v>9343700.0500000007</v>
      </c>
      <c r="V115" s="6">
        <v>57.9923</v>
      </c>
      <c r="W115" s="4">
        <v>7420626.79</v>
      </c>
      <c r="X115" s="4">
        <v>7420626.79</v>
      </c>
      <c r="Y115" s="4">
        <v>8252263.79</v>
      </c>
      <c r="Z115" s="4">
        <v>8252263.79</v>
      </c>
      <c r="AA115" s="4">
        <v>3.4</v>
      </c>
      <c r="AB115" s="6">
        <v>350477.6998</v>
      </c>
      <c r="AC115" s="4">
        <v>350477</v>
      </c>
      <c r="AD115" s="4">
        <v>350477</v>
      </c>
      <c r="AE115" s="6">
        <v>0.69979999999999998</v>
      </c>
      <c r="AF115" s="4">
        <v>0</v>
      </c>
      <c r="AG115" s="7">
        <v>90</v>
      </c>
      <c r="AH115" s="2" t="s">
        <v>66</v>
      </c>
      <c r="AI115">
        <v>0</v>
      </c>
      <c r="AJ115" s="3">
        <v>41912.686273148101</v>
      </c>
      <c r="AK115" s="2" t="s">
        <v>1984</v>
      </c>
    </row>
    <row r="116" spans="1:37" x14ac:dyDescent="0.15">
      <c r="A116" s="2" t="s">
        <v>1983</v>
      </c>
      <c r="B116">
        <v>934</v>
      </c>
      <c r="C116" s="3">
        <v>41522</v>
      </c>
      <c r="D116" s="2" t="s">
        <v>37</v>
      </c>
      <c r="E116" s="2" t="s">
        <v>1982</v>
      </c>
      <c r="F116" s="2" t="s">
        <v>38</v>
      </c>
      <c r="G116" s="2" t="s">
        <v>271</v>
      </c>
      <c r="H116" s="2" t="s">
        <v>272</v>
      </c>
      <c r="I116" s="4">
        <v>360000</v>
      </c>
      <c r="J116" s="4">
        <v>0</v>
      </c>
      <c r="K116" s="4">
        <v>0</v>
      </c>
      <c r="L116" s="5"/>
      <c r="M116" s="5">
        <v>3.6</v>
      </c>
      <c r="N116" s="6">
        <v>12960</v>
      </c>
      <c r="O116" s="4">
        <v>12960</v>
      </c>
      <c r="P116" s="4">
        <v>12960</v>
      </c>
      <c r="Q116" s="6">
        <v>0</v>
      </c>
      <c r="R116" s="4">
        <v>251827</v>
      </c>
      <c r="S116" s="4">
        <v>251827</v>
      </c>
      <c r="T116" s="4">
        <v>250827</v>
      </c>
      <c r="U116" s="4">
        <v>250827</v>
      </c>
      <c r="V116" s="6">
        <v>69.674199999999999</v>
      </c>
      <c r="W116" s="4">
        <v>239535.1</v>
      </c>
      <c r="X116" s="4">
        <v>239535.1</v>
      </c>
      <c r="Y116" s="4">
        <v>248097.1</v>
      </c>
      <c r="Z116" s="4">
        <v>248097.1</v>
      </c>
      <c r="AA116" s="4">
        <v>3.4</v>
      </c>
      <c r="AB116" s="6">
        <v>8562.1180000000004</v>
      </c>
      <c r="AC116" s="4">
        <v>8562</v>
      </c>
      <c r="AD116" s="4">
        <v>8562</v>
      </c>
      <c r="AE116" s="6">
        <v>0.11799999999999999</v>
      </c>
      <c r="AF116" s="4">
        <v>0</v>
      </c>
      <c r="AG116" s="7">
        <v>0</v>
      </c>
      <c r="AH116" s="2" t="s">
        <v>37</v>
      </c>
      <c r="AI116">
        <v>0</v>
      </c>
      <c r="AJ116" s="3">
        <v>41912.686273148101</v>
      </c>
      <c r="AK116" s="2" t="s">
        <v>1981</v>
      </c>
    </row>
    <row r="117" spans="1:37" x14ac:dyDescent="0.15">
      <c r="A117" s="2" t="s">
        <v>1980</v>
      </c>
      <c r="B117">
        <v>946</v>
      </c>
      <c r="C117" s="3">
        <v>41532</v>
      </c>
      <c r="D117" s="2" t="s">
        <v>37</v>
      </c>
      <c r="E117" s="2" t="s">
        <v>1979</v>
      </c>
      <c r="F117" s="2" t="s">
        <v>38</v>
      </c>
      <c r="G117" s="2" t="s">
        <v>273</v>
      </c>
      <c r="H117" s="2" t="s">
        <v>274</v>
      </c>
      <c r="I117" s="4">
        <v>26077738.800000001</v>
      </c>
      <c r="J117" s="4">
        <v>0</v>
      </c>
      <c r="K117" s="4">
        <v>0</v>
      </c>
      <c r="L117" s="5"/>
      <c r="M117" s="5">
        <v>3</v>
      </c>
      <c r="N117" s="6">
        <v>782332.16399999999</v>
      </c>
      <c r="O117" s="4">
        <v>6047</v>
      </c>
      <c r="P117" s="4">
        <v>6047</v>
      </c>
      <c r="Q117" s="6">
        <v>776285.16399999999</v>
      </c>
      <c r="R117" s="4">
        <v>0</v>
      </c>
      <c r="S117" s="4">
        <v>0</v>
      </c>
      <c r="T117" s="4">
        <v>0</v>
      </c>
      <c r="U117" s="4">
        <v>0</v>
      </c>
      <c r="V117" s="6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3.56</v>
      </c>
      <c r="AB117" s="6">
        <v>0</v>
      </c>
      <c r="AC117" s="4">
        <v>0</v>
      </c>
      <c r="AD117" s="4">
        <v>0</v>
      </c>
      <c r="AE117" s="6">
        <v>0</v>
      </c>
      <c r="AF117" s="4">
        <v>0</v>
      </c>
      <c r="AG117" s="7">
        <v>180</v>
      </c>
      <c r="AH117" s="2" t="s">
        <v>66</v>
      </c>
      <c r="AI117">
        <v>0</v>
      </c>
      <c r="AJ117" s="3">
        <v>41912.686273148101</v>
      </c>
      <c r="AK117" s="2" t="s">
        <v>1978</v>
      </c>
    </row>
    <row r="118" spans="1:37" x14ac:dyDescent="0.15">
      <c r="A118" s="2" t="s">
        <v>1977</v>
      </c>
      <c r="B118">
        <v>953</v>
      </c>
      <c r="C118" s="3">
        <v>41535</v>
      </c>
      <c r="D118" s="2" t="s">
        <v>37</v>
      </c>
      <c r="E118" s="2" t="s">
        <v>1976</v>
      </c>
      <c r="F118" s="2" t="s">
        <v>38</v>
      </c>
      <c r="G118" s="2" t="s">
        <v>275</v>
      </c>
      <c r="H118" s="2" t="s">
        <v>276</v>
      </c>
      <c r="I118" s="4">
        <v>937580</v>
      </c>
      <c r="J118" s="4">
        <v>0</v>
      </c>
      <c r="K118" s="4">
        <v>0</v>
      </c>
      <c r="L118" s="5"/>
      <c r="M118" s="5">
        <v>3.6</v>
      </c>
      <c r="N118" s="6">
        <v>33752.879999999997</v>
      </c>
      <c r="O118" s="4">
        <v>33753</v>
      </c>
      <c r="P118" s="4">
        <v>33753</v>
      </c>
      <c r="Q118" s="6">
        <v>-0.12</v>
      </c>
      <c r="R118" s="4">
        <v>589567.19999999995</v>
      </c>
      <c r="S118" s="4">
        <v>589567.19999999995</v>
      </c>
      <c r="T118" s="4">
        <v>589567.19999999995</v>
      </c>
      <c r="U118" s="4">
        <v>589567.19999999995</v>
      </c>
      <c r="V118" s="6">
        <v>62.881799999999998</v>
      </c>
      <c r="W118" s="4">
        <v>562960</v>
      </c>
      <c r="X118" s="4">
        <v>562960</v>
      </c>
      <c r="Y118" s="4">
        <v>583005</v>
      </c>
      <c r="Z118" s="4">
        <v>583005</v>
      </c>
      <c r="AA118" s="4">
        <v>3.4</v>
      </c>
      <c r="AB118" s="6">
        <v>20045.284800000001</v>
      </c>
      <c r="AC118" s="4">
        <v>20045</v>
      </c>
      <c r="AD118" s="4">
        <v>20045</v>
      </c>
      <c r="AE118" s="6">
        <v>0.2848</v>
      </c>
      <c r="AF118" s="4">
        <v>0</v>
      </c>
      <c r="AG118" s="7">
        <v>0</v>
      </c>
      <c r="AH118" s="2" t="s">
        <v>37</v>
      </c>
      <c r="AI118">
        <v>0</v>
      </c>
      <c r="AJ118" s="3">
        <v>41912.686273148101</v>
      </c>
      <c r="AK118" s="2" t="s">
        <v>1975</v>
      </c>
    </row>
    <row r="119" spans="1:37" x14ac:dyDescent="0.15">
      <c r="A119" s="2" t="s">
        <v>1974</v>
      </c>
      <c r="B119">
        <v>146</v>
      </c>
      <c r="C119" s="3">
        <v>41548</v>
      </c>
      <c r="D119" s="2" t="s">
        <v>37</v>
      </c>
      <c r="E119" s="2" t="s">
        <v>1973</v>
      </c>
      <c r="F119" s="2" t="s">
        <v>41</v>
      </c>
      <c r="G119" s="2" t="s">
        <v>277</v>
      </c>
      <c r="H119" s="2" t="s">
        <v>278</v>
      </c>
      <c r="I119" s="4">
        <v>4095378.25</v>
      </c>
      <c r="J119" s="4">
        <v>0</v>
      </c>
      <c r="K119" s="4">
        <v>0</v>
      </c>
      <c r="L119" s="5"/>
      <c r="M119" s="5">
        <v>4</v>
      </c>
      <c r="N119" s="6">
        <v>163815.13</v>
      </c>
      <c r="O119" s="4">
        <v>82026.100000000006</v>
      </c>
      <c r="P119" s="4">
        <v>82026.100000000006</v>
      </c>
      <c r="Q119" s="6">
        <v>81789.03</v>
      </c>
      <c r="R119" s="4">
        <v>0</v>
      </c>
      <c r="S119" s="4">
        <v>0</v>
      </c>
      <c r="T119" s="4">
        <v>2950877.69</v>
      </c>
      <c r="U119" s="4">
        <v>2950877.69</v>
      </c>
      <c r="V119" s="6">
        <v>72.053799999999995</v>
      </c>
      <c r="W119" s="4">
        <v>0</v>
      </c>
      <c r="X119" s="4">
        <v>0</v>
      </c>
      <c r="Y119" s="4">
        <v>2211953.5</v>
      </c>
      <c r="Z119" s="4">
        <v>2211953.5</v>
      </c>
      <c r="AA119" s="4"/>
      <c r="AB119" s="6">
        <v>148512</v>
      </c>
      <c r="AC119" s="4">
        <v>78290.92</v>
      </c>
      <c r="AD119" s="4">
        <v>78290.92</v>
      </c>
      <c r="AE119" s="6">
        <v>70221.08</v>
      </c>
      <c r="AF119" s="4">
        <v>-322921</v>
      </c>
      <c r="AG119" s="7">
        <v>0</v>
      </c>
      <c r="AH119" s="2" t="s">
        <v>37</v>
      </c>
      <c r="AI119">
        <v>0</v>
      </c>
      <c r="AJ119" s="3">
        <v>41912.6862384259</v>
      </c>
      <c r="AK119" s="2" t="s">
        <v>1972</v>
      </c>
    </row>
    <row r="120" spans="1:37" x14ac:dyDescent="0.15">
      <c r="A120" s="2" t="s">
        <v>1971</v>
      </c>
      <c r="B120">
        <v>987</v>
      </c>
      <c r="C120" s="3">
        <v>41552</v>
      </c>
      <c r="D120" s="2" t="s">
        <v>37</v>
      </c>
      <c r="E120" s="2" t="s">
        <v>1970</v>
      </c>
      <c r="F120" s="2" t="s">
        <v>38</v>
      </c>
      <c r="G120" s="2" t="s">
        <v>279</v>
      </c>
      <c r="H120" s="2" t="s">
        <v>280</v>
      </c>
      <c r="I120" s="4">
        <v>14920000</v>
      </c>
      <c r="J120" s="4">
        <v>53188404.710000001</v>
      </c>
      <c r="K120" s="4">
        <v>53188404.710000001</v>
      </c>
      <c r="L120" s="5"/>
      <c r="M120" s="5">
        <v>2.5</v>
      </c>
      <c r="N120" s="6">
        <v>1702710.1177999999</v>
      </c>
      <c r="O120" s="4">
        <v>1103347</v>
      </c>
      <c r="P120" s="4">
        <v>1103347</v>
      </c>
      <c r="Q120" s="6">
        <v>599363.11780000001</v>
      </c>
      <c r="R120" s="4">
        <v>15000000</v>
      </c>
      <c r="S120" s="4">
        <v>15000000</v>
      </c>
      <c r="T120" s="4">
        <v>14978500</v>
      </c>
      <c r="U120" s="4">
        <v>14978500</v>
      </c>
      <c r="V120" s="6">
        <v>21.992100000000001</v>
      </c>
      <c r="W120" s="4">
        <v>11787002.560000001</v>
      </c>
      <c r="X120" s="4">
        <v>11787002.560000001</v>
      </c>
      <c r="Y120" s="4">
        <v>12097000.560000001</v>
      </c>
      <c r="Z120" s="4">
        <v>12097000.560000001</v>
      </c>
      <c r="AA120" s="4">
        <v>3.4</v>
      </c>
      <c r="AB120" s="6">
        <v>510000</v>
      </c>
      <c r="AC120" s="4">
        <v>510000</v>
      </c>
      <c r="AD120" s="4">
        <v>510000</v>
      </c>
      <c r="AE120" s="6">
        <v>0</v>
      </c>
      <c r="AF120" s="4">
        <v>0</v>
      </c>
      <c r="AG120" s="7">
        <v>210</v>
      </c>
      <c r="AH120" s="2" t="s">
        <v>66</v>
      </c>
      <c r="AI120">
        <v>0</v>
      </c>
      <c r="AJ120" s="3">
        <v>41912.686273148101</v>
      </c>
      <c r="AK120" s="2" t="s">
        <v>1969</v>
      </c>
    </row>
    <row r="121" spans="1:37" x14ac:dyDescent="0.15">
      <c r="A121" s="2" t="s">
        <v>1968</v>
      </c>
      <c r="B121">
        <v>961</v>
      </c>
      <c r="C121" s="3">
        <v>41557</v>
      </c>
      <c r="D121" s="2" t="s">
        <v>37</v>
      </c>
      <c r="E121" s="2" t="s">
        <v>1967</v>
      </c>
      <c r="F121" s="2" t="s">
        <v>38</v>
      </c>
      <c r="G121" s="2" t="s">
        <v>281</v>
      </c>
      <c r="H121" s="2" t="s">
        <v>282</v>
      </c>
      <c r="I121" s="4">
        <v>7763574.6600000001</v>
      </c>
      <c r="J121" s="4">
        <v>0</v>
      </c>
      <c r="K121" s="4">
        <v>0</v>
      </c>
      <c r="L121" s="5"/>
      <c r="M121" s="5">
        <v>3</v>
      </c>
      <c r="N121" s="6">
        <v>232907.23980000001</v>
      </c>
      <c r="O121" s="4">
        <v>92979</v>
      </c>
      <c r="P121" s="4">
        <v>92979</v>
      </c>
      <c r="Q121" s="6">
        <v>139928.23980000001</v>
      </c>
      <c r="R121" s="4">
        <v>4906233</v>
      </c>
      <c r="S121" s="4">
        <v>4906233</v>
      </c>
      <c r="T121" s="4">
        <v>3423677</v>
      </c>
      <c r="U121" s="4">
        <v>3423677</v>
      </c>
      <c r="V121" s="6">
        <v>44.099200000000003</v>
      </c>
      <c r="W121" s="4">
        <v>3263646.19</v>
      </c>
      <c r="X121" s="4">
        <v>3263646.19</v>
      </c>
      <c r="Y121" s="4">
        <v>3414292.42</v>
      </c>
      <c r="Z121" s="4">
        <v>3414292.42</v>
      </c>
      <c r="AA121" s="4">
        <v>3.4</v>
      </c>
      <c r="AB121" s="6">
        <v>166811.92199999999</v>
      </c>
      <c r="AC121" s="4">
        <v>87101</v>
      </c>
      <c r="AD121" s="4">
        <v>87101</v>
      </c>
      <c r="AE121" s="6">
        <v>79710.922000000006</v>
      </c>
      <c r="AF121" s="4">
        <v>0</v>
      </c>
      <c r="AG121" s="7">
        <v>100</v>
      </c>
      <c r="AH121" s="2" t="s">
        <v>97</v>
      </c>
      <c r="AI121">
        <v>0</v>
      </c>
      <c r="AJ121" s="3">
        <v>41912.686273148101</v>
      </c>
      <c r="AK121" s="2" t="s">
        <v>1966</v>
      </c>
    </row>
    <row r="122" spans="1:37" x14ac:dyDescent="0.15">
      <c r="A122" s="2" t="s">
        <v>1965</v>
      </c>
      <c r="B122">
        <v>969</v>
      </c>
      <c r="C122" s="3">
        <v>41562</v>
      </c>
      <c r="D122" s="2" t="s">
        <v>37</v>
      </c>
      <c r="E122" s="2" t="s">
        <v>1964</v>
      </c>
      <c r="F122" s="2" t="s">
        <v>38</v>
      </c>
      <c r="G122" s="2" t="s">
        <v>283</v>
      </c>
      <c r="H122" s="2" t="s">
        <v>284</v>
      </c>
      <c r="I122" s="4">
        <v>11700792.689999999</v>
      </c>
      <c r="J122" s="4">
        <v>0</v>
      </c>
      <c r="K122" s="4">
        <v>0</v>
      </c>
      <c r="L122" s="5"/>
      <c r="M122" s="5">
        <v>3</v>
      </c>
      <c r="N122" s="6">
        <v>351023.7807</v>
      </c>
      <c r="O122" s="4">
        <v>351024</v>
      </c>
      <c r="P122" s="4">
        <v>351024</v>
      </c>
      <c r="Q122" s="6">
        <v>-0.21929999999999999</v>
      </c>
      <c r="R122" s="4">
        <v>5874521</v>
      </c>
      <c r="S122" s="4">
        <v>5874521</v>
      </c>
      <c r="T122" s="4">
        <v>5874521</v>
      </c>
      <c r="U122" s="4">
        <v>5874521</v>
      </c>
      <c r="V122" s="6">
        <v>50.206200000000003</v>
      </c>
      <c r="W122" s="4">
        <v>5402150.1299999999</v>
      </c>
      <c r="X122" s="4">
        <v>5402150.1299999999</v>
      </c>
      <c r="Y122" s="4">
        <v>5800083.1299999999</v>
      </c>
      <c r="Z122" s="4">
        <v>5800083.1299999999</v>
      </c>
      <c r="AA122" s="4">
        <v>3.4</v>
      </c>
      <c r="AB122" s="6">
        <v>199733.71400000001</v>
      </c>
      <c r="AC122" s="4">
        <v>199733</v>
      </c>
      <c r="AD122" s="4">
        <v>199733</v>
      </c>
      <c r="AE122" s="6">
        <v>0.71399999999999997</v>
      </c>
      <c r="AF122" s="4">
        <v>0</v>
      </c>
      <c r="AG122" s="7">
        <v>85</v>
      </c>
      <c r="AH122" s="2" t="s">
        <v>66</v>
      </c>
      <c r="AI122">
        <v>0</v>
      </c>
      <c r="AJ122" s="3">
        <v>41912.686273148101</v>
      </c>
      <c r="AK122" s="2" t="s">
        <v>1963</v>
      </c>
    </row>
    <row r="123" spans="1:37" x14ac:dyDescent="0.15">
      <c r="A123" s="2" t="s">
        <v>1962</v>
      </c>
      <c r="B123">
        <v>994</v>
      </c>
      <c r="C123" s="3">
        <v>41562</v>
      </c>
      <c r="D123" s="2" t="s">
        <v>37</v>
      </c>
      <c r="E123" s="2" t="s">
        <v>1961</v>
      </c>
      <c r="F123" s="2" t="s">
        <v>38</v>
      </c>
      <c r="G123" s="2" t="s">
        <v>285</v>
      </c>
      <c r="H123" s="2" t="s">
        <v>286</v>
      </c>
      <c r="I123" s="4">
        <v>126591039.39</v>
      </c>
      <c r="J123" s="4">
        <v>0</v>
      </c>
      <c r="K123" s="4">
        <v>0</v>
      </c>
      <c r="L123" s="5"/>
      <c r="M123" s="5">
        <v>2</v>
      </c>
      <c r="N123" s="6">
        <v>2531820.7878</v>
      </c>
      <c r="O123" s="4">
        <v>2317283.86</v>
      </c>
      <c r="P123" s="4">
        <v>2317283.86</v>
      </c>
      <c r="Q123" s="6">
        <v>214536.9278</v>
      </c>
      <c r="R123" s="4">
        <v>43167474.460000001</v>
      </c>
      <c r="S123" s="4">
        <v>43167474.460000001</v>
      </c>
      <c r="T123" s="4">
        <v>43167473.979999997</v>
      </c>
      <c r="U123" s="4">
        <v>43167473.979999997</v>
      </c>
      <c r="V123" s="6">
        <v>34.099899999999998</v>
      </c>
      <c r="W123" s="4">
        <v>36009565.640000001</v>
      </c>
      <c r="X123" s="4">
        <v>36009565.640000001</v>
      </c>
      <c r="Y123" s="4">
        <v>40907590.869999997</v>
      </c>
      <c r="Z123" s="4">
        <v>40907590.869999997</v>
      </c>
      <c r="AA123" s="4">
        <v>3.36</v>
      </c>
      <c r="AB123" s="6">
        <v>1450427.1418999999</v>
      </c>
      <c r="AC123" s="4">
        <v>0</v>
      </c>
      <c r="AD123" s="4">
        <v>0</v>
      </c>
      <c r="AE123" s="6">
        <v>1450427.1418999999</v>
      </c>
      <c r="AF123" s="4">
        <v>0</v>
      </c>
      <c r="AG123" s="7">
        <v>530</v>
      </c>
      <c r="AH123" s="2" t="s">
        <v>66</v>
      </c>
      <c r="AI123">
        <v>0</v>
      </c>
      <c r="AJ123" s="3">
        <v>41912.686273148101</v>
      </c>
      <c r="AK123" s="2" t="s">
        <v>1960</v>
      </c>
    </row>
    <row r="124" spans="1:37" x14ac:dyDescent="0.15">
      <c r="A124" s="2" t="s">
        <v>1959</v>
      </c>
      <c r="B124">
        <v>1001</v>
      </c>
      <c r="C124" s="3">
        <v>41565</v>
      </c>
      <c r="D124" s="2" t="s">
        <v>37</v>
      </c>
      <c r="E124" s="2" t="s">
        <v>1958</v>
      </c>
      <c r="F124" s="2" t="s">
        <v>38</v>
      </c>
      <c r="G124" s="2" t="s">
        <v>287</v>
      </c>
      <c r="H124" s="2" t="s">
        <v>288</v>
      </c>
      <c r="I124" s="4">
        <v>5992383</v>
      </c>
      <c r="J124" s="4">
        <v>0</v>
      </c>
      <c r="K124" s="4">
        <v>0</v>
      </c>
      <c r="L124" s="5"/>
      <c r="M124" s="5">
        <v>3</v>
      </c>
      <c r="N124" s="6">
        <v>179771.49</v>
      </c>
      <c r="O124" s="4">
        <v>129771</v>
      </c>
      <c r="P124" s="4">
        <v>129771</v>
      </c>
      <c r="Q124" s="6">
        <v>50000.49</v>
      </c>
      <c r="R124" s="4">
        <v>4194668</v>
      </c>
      <c r="S124" s="4">
        <v>4194668</v>
      </c>
      <c r="T124" s="4">
        <v>4194668</v>
      </c>
      <c r="U124" s="4">
        <v>4194668</v>
      </c>
      <c r="V124" s="6">
        <v>70</v>
      </c>
      <c r="W124" s="4">
        <v>3543290</v>
      </c>
      <c r="X124" s="4">
        <v>3543290</v>
      </c>
      <c r="Y124" s="4">
        <v>3845489.24</v>
      </c>
      <c r="Z124" s="4">
        <v>3845489.24</v>
      </c>
      <c r="AA124" s="4">
        <v>3.74</v>
      </c>
      <c r="AB124" s="6">
        <v>156880.58319999999</v>
      </c>
      <c r="AC124" s="4">
        <v>0</v>
      </c>
      <c r="AD124" s="4">
        <v>0</v>
      </c>
      <c r="AE124" s="6">
        <v>156880.58319999999</v>
      </c>
      <c r="AF124" s="4">
        <v>0</v>
      </c>
      <c r="AG124" s="7">
        <v>66</v>
      </c>
      <c r="AH124" s="2" t="s">
        <v>66</v>
      </c>
      <c r="AI124">
        <v>0</v>
      </c>
      <c r="AJ124" s="3">
        <v>41912.686273148101</v>
      </c>
      <c r="AK124" s="2" t="s">
        <v>1957</v>
      </c>
    </row>
    <row r="125" spans="1:37" x14ac:dyDescent="0.15">
      <c r="A125" s="2" t="s">
        <v>1956</v>
      </c>
      <c r="B125">
        <v>978</v>
      </c>
      <c r="C125" s="3">
        <v>41566</v>
      </c>
      <c r="D125" s="2" t="s">
        <v>37</v>
      </c>
      <c r="E125" s="2" t="s">
        <v>1955</v>
      </c>
      <c r="F125" s="2" t="s">
        <v>38</v>
      </c>
      <c r="G125" s="2" t="s">
        <v>289</v>
      </c>
      <c r="H125" s="2" t="s">
        <v>290</v>
      </c>
      <c r="I125" s="4">
        <v>3443591.39</v>
      </c>
      <c r="J125" s="4">
        <v>0</v>
      </c>
      <c r="K125" s="4">
        <v>0</v>
      </c>
      <c r="L125" s="5"/>
      <c r="M125" s="5">
        <v>3.6</v>
      </c>
      <c r="N125" s="6">
        <v>123969.29</v>
      </c>
      <c r="O125" s="4">
        <v>123969</v>
      </c>
      <c r="P125" s="4">
        <v>123969</v>
      </c>
      <c r="Q125" s="6">
        <v>0.28999999999999998</v>
      </c>
      <c r="R125" s="4">
        <v>2421795.42</v>
      </c>
      <c r="S125" s="4">
        <v>2421795.42</v>
      </c>
      <c r="T125" s="4">
        <v>2421795.42</v>
      </c>
      <c r="U125" s="4">
        <v>2421795.42</v>
      </c>
      <c r="V125" s="6">
        <v>70.327600000000004</v>
      </c>
      <c r="W125" s="4">
        <v>2312874.58</v>
      </c>
      <c r="X125" s="4">
        <v>2312874.58</v>
      </c>
      <c r="Y125" s="4">
        <v>2370544.39</v>
      </c>
      <c r="Z125" s="4">
        <v>2370544.39</v>
      </c>
      <c r="AA125" s="4">
        <v>3.4</v>
      </c>
      <c r="AB125" s="6">
        <v>82341.044299999994</v>
      </c>
      <c r="AC125" s="4">
        <v>82341</v>
      </c>
      <c r="AD125" s="4">
        <v>82341</v>
      </c>
      <c r="AE125" s="6">
        <v>4.4299999999999999E-2</v>
      </c>
      <c r="AF125" s="4">
        <v>0</v>
      </c>
      <c r="AG125" s="7">
        <v>52</v>
      </c>
      <c r="AH125" s="2" t="s">
        <v>97</v>
      </c>
      <c r="AI125">
        <v>0</v>
      </c>
      <c r="AJ125" s="3">
        <v>41912.686273148101</v>
      </c>
      <c r="AK125" s="2" t="s">
        <v>1954</v>
      </c>
    </row>
    <row r="126" spans="1:37" x14ac:dyDescent="0.15">
      <c r="A126" s="2" t="s">
        <v>1953</v>
      </c>
      <c r="B126">
        <v>1009</v>
      </c>
      <c r="C126" s="3">
        <v>41579</v>
      </c>
      <c r="D126" s="2" t="s">
        <v>37</v>
      </c>
      <c r="E126" s="2" t="s">
        <v>1952</v>
      </c>
      <c r="F126" s="2" t="s">
        <v>38</v>
      </c>
      <c r="G126" s="2" t="s">
        <v>293</v>
      </c>
      <c r="H126" s="2" t="s">
        <v>294</v>
      </c>
      <c r="I126" s="4">
        <v>3117195.98</v>
      </c>
      <c r="J126" s="4">
        <v>0</v>
      </c>
      <c r="K126" s="4">
        <v>0</v>
      </c>
      <c r="L126" s="5"/>
      <c r="M126" s="5">
        <v>3.6</v>
      </c>
      <c r="N126" s="6">
        <v>112219.05530000001</v>
      </c>
      <c r="O126" s="4">
        <v>112219</v>
      </c>
      <c r="P126" s="4">
        <v>112219</v>
      </c>
      <c r="Q126" s="6">
        <v>5.5300000000000002E-2</v>
      </c>
      <c r="R126" s="4">
        <v>1555000</v>
      </c>
      <c r="S126" s="4">
        <v>1555000</v>
      </c>
      <c r="T126" s="4">
        <v>1520000</v>
      </c>
      <c r="U126" s="4">
        <v>1520000</v>
      </c>
      <c r="V126" s="6">
        <v>48.761800000000001</v>
      </c>
      <c r="W126" s="4">
        <v>1449499.64</v>
      </c>
      <c r="X126" s="4">
        <v>1449499.64</v>
      </c>
      <c r="Y126" s="4">
        <v>1502369.64</v>
      </c>
      <c r="Z126" s="4">
        <v>1502369.64</v>
      </c>
      <c r="AA126" s="4">
        <v>3.4</v>
      </c>
      <c r="AB126" s="6">
        <v>52870</v>
      </c>
      <c r="AC126" s="4">
        <v>52870</v>
      </c>
      <c r="AD126" s="4">
        <v>52870</v>
      </c>
      <c r="AE126" s="6">
        <v>0</v>
      </c>
      <c r="AF126" s="4">
        <v>0</v>
      </c>
      <c r="AG126" s="7">
        <v>35</v>
      </c>
      <c r="AH126" s="2" t="s">
        <v>100</v>
      </c>
      <c r="AI126">
        <v>0</v>
      </c>
      <c r="AJ126" s="3">
        <v>41912.686273148101</v>
      </c>
      <c r="AK126" s="2" t="s">
        <v>1951</v>
      </c>
    </row>
    <row r="127" spans="1:37" x14ac:dyDescent="0.15">
      <c r="A127" s="2" t="s">
        <v>1950</v>
      </c>
      <c r="B127">
        <v>151</v>
      </c>
      <c r="C127" s="3">
        <v>41579</v>
      </c>
      <c r="D127" s="2" t="s">
        <v>37</v>
      </c>
      <c r="E127" s="2" t="s">
        <v>1949</v>
      </c>
      <c r="F127" s="2" t="s">
        <v>41</v>
      </c>
      <c r="G127" s="2" t="s">
        <v>291</v>
      </c>
      <c r="H127" s="2" t="s">
        <v>292</v>
      </c>
      <c r="I127" s="4">
        <v>5489711</v>
      </c>
      <c r="J127" s="4">
        <v>0</v>
      </c>
      <c r="K127" s="4">
        <v>0</v>
      </c>
      <c r="L127" s="5"/>
      <c r="M127" s="5">
        <v>3</v>
      </c>
      <c r="N127" s="6">
        <v>164691.32999999999</v>
      </c>
      <c r="O127" s="4">
        <v>164692</v>
      </c>
      <c r="P127" s="4">
        <v>164692</v>
      </c>
      <c r="Q127" s="6">
        <v>-0.67</v>
      </c>
      <c r="R127" s="4">
        <v>0</v>
      </c>
      <c r="S127" s="4">
        <v>0</v>
      </c>
      <c r="T127" s="4">
        <v>4391768.8</v>
      </c>
      <c r="U127" s="4">
        <v>4391768.8</v>
      </c>
      <c r="V127" s="6">
        <v>80</v>
      </c>
      <c r="W127" s="4">
        <v>0</v>
      </c>
      <c r="X127" s="4">
        <v>0</v>
      </c>
      <c r="Y127" s="4">
        <v>4131953.83</v>
      </c>
      <c r="Z127" s="4">
        <v>4131953.83</v>
      </c>
      <c r="AA127" s="4">
        <v>3.61</v>
      </c>
      <c r="AB127" s="6">
        <v>198178.56709999999</v>
      </c>
      <c r="AC127" s="4">
        <v>158542.85999999999</v>
      </c>
      <c r="AD127" s="4">
        <v>158542.85999999999</v>
      </c>
      <c r="AE127" s="6">
        <v>39635.7071</v>
      </c>
      <c r="AF127" s="4">
        <v>0</v>
      </c>
      <c r="AG127" s="7">
        <v>0</v>
      </c>
      <c r="AH127" s="2" t="s">
        <v>37</v>
      </c>
      <c r="AI127">
        <v>0</v>
      </c>
      <c r="AJ127" s="3">
        <v>41912.6862384259</v>
      </c>
      <c r="AK127" s="2" t="s">
        <v>1948</v>
      </c>
    </row>
    <row r="128" spans="1:37" x14ac:dyDescent="0.15">
      <c r="A128" s="2" t="s">
        <v>1947</v>
      </c>
      <c r="B128">
        <v>1024</v>
      </c>
      <c r="C128" s="3">
        <v>41583</v>
      </c>
      <c r="D128" s="2" t="s">
        <v>37</v>
      </c>
      <c r="E128" s="2" t="s">
        <v>1946</v>
      </c>
      <c r="F128" s="2" t="s">
        <v>38</v>
      </c>
      <c r="G128" s="2" t="s">
        <v>295</v>
      </c>
      <c r="H128" s="2" t="s">
        <v>296</v>
      </c>
      <c r="I128" s="4">
        <v>76467</v>
      </c>
      <c r="J128" s="4">
        <v>479</v>
      </c>
      <c r="K128" s="4">
        <v>479</v>
      </c>
      <c r="L128" s="5"/>
      <c r="M128" s="5">
        <v>3.6</v>
      </c>
      <c r="N128" s="6">
        <v>2770.056</v>
      </c>
      <c r="O128" s="4">
        <v>2753</v>
      </c>
      <c r="P128" s="4">
        <v>2753</v>
      </c>
      <c r="Q128" s="6">
        <v>17.056000000000001</v>
      </c>
      <c r="R128" s="4">
        <v>76946</v>
      </c>
      <c r="S128" s="4">
        <v>76946</v>
      </c>
      <c r="T128" s="4">
        <v>54000</v>
      </c>
      <c r="U128" s="4">
        <v>54000</v>
      </c>
      <c r="V128" s="6">
        <v>70.179100000000005</v>
      </c>
      <c r="W128" s="4">
        <v>50000</v>
      </c>
      <c r="X128" s="4">
        <v>50000</v>
      </c>
      <c r="Y128" s="4">
        <v>52616</v>
      </c>
      <c r="Z128" s="4">
        <v>52616</v>
      </c>
      <c r="AA128" s="4">
        <v>3.4</v>
      </c>
      <c r="AB128" s="6">
        <v>2616.1640000000002</v>
      </c>
      <c r="AC128" s="4">
        <v>2616</v>
      </c>
      <c r="AD128" s="4">
        <v>2616</v>
      </c>
      <c r="AE128" s="6">
        <v>0.16400000000000001</v>
      </c>
      <c r="AF128" s="4">
        <v>0</v>
      </c>
      <c r="AG128" s="7">
        <v>0</v>
      </c>
      <c r="AH128" s="2" t="s">
        <v>37</v>
      </c>
      <c r="AI128">
        <v>0</v>
      </c>
      <c r="AJ128" s="3">
        <v>41912.686273148101</v>
      </c>
      <c r="AK128" s="2" t="s">
        <v>1945</v>
      </c>
    </row>
    <row r="129" spans="1:37" x14ac:dyDescent="0.15">
      <c r="A129" s="2" t="s">
        <v>1944</v>
      </c>
      <c r="B129">
        <v>943</v>
      </c>
      <c r="C129" s="3">
        <v>41588</v>
      </c>
      <c r="D129" s="2" t="s">
        <v>37</v>
      </c>
      <c r="E129" s="2" t="s">
        <v>1943</v>
      </c>
      <c r="F129" s="2" t="s">
        <v>38</v>
      </c>
      <c r="G129" s="2" t="s">
        <v>297</v>
      </c>
      <c r="H129" s="2" t="s">
        <v>298</v>
      </c>
      <c r="I129" s="4">
        <v>20420000</v>
      </c>
      <c r="J129" s="4">
        <v>0</v>
      </c>
      <c r="K129" s="4">
        <v>0</v>
      </c>
      <c r="L129" s="5"/>
      <c r="M129" s="5">
        <v>3</v>
      </c>
      <c r="N129" s="6">
        <v>612600</v>
      </c>
      <c r="O129" s="4">
        <v>612600.5</v>
      </c>
      <c r="P129" s="4">
        <v>612600.5</v>
      </c>
      <c r="Q129" s="6">
        <v>-0.5</v>
      </c>
      <c r="R129" s="4">
        <v>7357840.3600000003</v>
      </c>
      <c r="S129" s="4">
        <v>7357840.3600000003</v>
      </c>
      <c r="T129" s="4">
        <v>7357840.3600000003</v>
      </c>
      <c r="U129" s="4">
        <v>7357840.3600000003</v>
      </c>
      <c r="V129" s="6">
        <v>36.032499999999999</v>
      </c>
      <c r="W129" s="4">
        <v>7006009.7000000002</v>
      </c>
      <c r="X129" s="4">
        <v>7006009.7000000002</v>
      </c>
      <c r="Y129" s="4">
        <v>7150316.3300000001</v>
      </c>
      <c r="Z129" s="4">
        <v>7150316.3300000001</v>
      </c>
      <c r="AA129" s="4">
        <v>3.56</v>
      </c>
      <c r="AB129" s="6">
        <v>261939.11679999999</v>
      </c>
      <c r="AC129" s="4">
        <v>0</v>
      </c>
      <c r="AD129" s="4">
        <v>0</v>
      </c>
      <c r="AE129" s="6">
        <v>261939.11679999999</v>
      </c>
      <c r="AF129" s="4">
        <v>0</v>
      </c>
      <c r="AG129" s="7">
        <v>0</v>
      </c>
      <c r="AH129" s="2" t="s">
        <v>37</v>
      </c>
      <c r="AI129">
        <v>0</v>
      </c>
      <c r="AJ129" s="3">
        <v>41912.686273148101</v>
      </c>
      <c r="AK129" s="2" t="s">
        <v>1942</v>
      </c>
    </row>
    <row r="130" spans="1:37" x14ac:dyDescent="0.15">
      <c r="A130" s="2" t="s">
        <v>1941</v>
      </c>
      <c r="B130">
        <v>1034</v>
      </c>
      <c r="C130" s="3">
        <v>41592</v>
      </c>
      <c r="D130" s="2" t="s">
        <v>37</v>
      </c>
      <c r="E130" s="2" t="s">
        <v>1940</v>
      </c>
      <c r="F130" s="2" t="s">
        <v>38</v>
      </c>
      <c r="G130" s="2" t="s">
        <v>299</v>
      </c>
      <c r="H130" s="2" t="s">
        <v>300</v>
      </c>
      <c r="I130" s="4">
        <v>3058486</v>
      </c>
      <c r="J130" s="4">
        <v>0</v>
      </c>
      <c r="K130" s="4">
        <v>0</v>
      </c>
      <c r="L130" s="5"/>
      <c r="M130" s="5">
        <v>3.6</v>
      </c>
      <c r="N130" s="6">
        <v>110105.496</v>
      </c>
      <c r="O130" s="4">
        <v>110105.36</v>
      </c>
      <c r="P130" s="4">
        <v>110105.36</v>
      </c>
      <c r="Q130" s="6">
        <v>0.13600000000000001</v>
      </c>
      <c r="R130" s="4">
        <v>2140940.2000000002</v>
      </c>
      <c r="S130" s="4">
        <v>2140940.2000000002</v>
      </c>
      <c r="T130" s="4">
        <v>2140940.2000000002</v>
      </c>
      <c r="U130" s="4">
        <v>2140940.2000000002</v>
      </c>
      <c r="V130" s="6">
        <v>70</v>
      </c>
      <c r="W130" s="4">
        <v>1955643.64</v>
      </c>
      <c r="X130" s="4">
        <v>1955643.64</v>
      </c>
      <c r="Y130" s="4">
        <v>2029969.67</v>
      </c>
      <c r="Z130" s="4">
        <v>2029969.67</v>
      </c>
      <c r="AA130" s="4"/>
      <c r="AB130" s="6"/>
      <c r="AC130" s="4">
        <v>0</v>
      </c>
      <c r="AD130" s="4">
        <v>0</v>
      </c>
      <c r="AE130" s="6"/>
      <c r="AF130" s="4">
        <v>0</v>
      </c>
      <c r="AG130" s="7">
        <v>30</v>
      </c>
      <c r="AH130" s="2" t="s">
        <v>66</v>
      </c>
      <c r="AI130">
        <v>0</v>
      </c>
      <c r="AJ130" s="3">
        <v>41912.686273148101</v>
      </c>
      <c r="AK130" s="2" t="s">
        <v>1939</v>
      </c>
    </row>
    <row r="131" spans="1:37" x14ac:dyDescent="0.15">
      <c r="A131" s="2" t="s">
        <v>1938</v>
      </c>
      <c r="B131">
        <v>1036</v>
      </c>
      <c r="C131" s="3">
        <v>41596</v>
      </c>
      <c r="D131" s="2" t="s">
        <v>37</v>
      </c>
      <c r="E131" s="2" t="s">
        <v>1937</v>
      </c>
      <c r="F131" s="2" t="s">
        <v>38</v>
      </c>
      <c r="G131" s="2" t="s">
        <v>301</v>
      </c>
      <c r="H131" s="2" t="s">
        <v>302</v>
      </c>
      <c r="I131" s="4">
        <v>12067070</v>
      </c>
      <c r="J131" s="4">
        <v>0</v>
      </c>
      <c r="K131" s="4">
        <v>0</v>
      </c>
      <c r="L131" s="5"/>
      <c r="M131" s="5">
        <v>3</v>
      </c>
      <c r="N131" s="6">
        <v>362012.1</v>
      </c>
      <c r="O131" s="4">
        <v>0</v>
      </c>
      <c r="P131" s="4">
        <v>0</v>
      </c>
      <c r="Q131" s="6">
        <v>362012.1</v>
      </c>
      <c r="R131" s="4">
        <v>0</v>
      </c>
      <c r="S131" s="4">
        <v>0</v>
      </c>
      <c r="T131" s="4">
        <v>0</v>
      </c>
      <c r="U131" s="4">
        <v>0</v>
      </c>
      <c r="V131" s="6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3.4</v>
      </c>
      <c r="AB131" s="6">
        <v>0</v>
      </c>
      <c r="AC131" s="4">
        <v>0</v>
      </c>
      <c r="AD131" s="4">
        <v>0</v>
      </c>
      <c r="AE131" s="6">
        <v>0</v>
      </c>
      <c r="AF131" s="4">
        <v>0</v>
      </c>
      <c r="AG131" s="7">
        <v>140</v>
      </c>
      <c r="AH131" s="2" t="s">
        <v>303</v>
      </c>
      <c r="AI131">
        <v>0</v>
      </c>
      <c r="AJ131" s="3">
        <v>41912.686273148101</v>
      </c>
      <c r="AK131" s="2" t="s">
        <v>1936</v>
      </c>
    </row>
    <row r="132" spans="1:37" x14ac:dyDescent="0.15">
      <c r="A132" s="2" t="s">
        <v>1935</v>
      </c>
      <c r="B132">
        <v>1016</v>
      </c>
      <c r="C132" s="3">
        <v>41599</v>
      </c>
      <c r="D132" s="2" t="s">
        <v>37</v>
      </c>
      <c r="E132" s="2" t="s">
        <v>1934</v>
      </c>
      <c r="F132" s="2" t="s">
        <v>38</v>
      </c>
      <c r="G132" s="2" t="s">
        <v>304</v>
      </c>
      <c r="H132" s="2" t="s">
        <v>305</v>
      </c>
      <c r="I132" s="4">
        <v>5811890</v>
      </c>
      <c r="J132" s="4">
        <v>0</v>
      </c>
      <c r="K132" s="4">
        <v>0</v>
      </c>
      <c r="L132" s="5"/>
      <c r="M132" s="5">
        <v>4</v>
      </c>
      <c r="N132" s="6">
        <v>232475.6</v>
      </c>
      <c r="O132" s="4">
        <v>232476</v>
      </c>
      <c r="P132" s="4">
        <v>232476</v>
      </c>
      <c r="Q132" s="6">
        <v>-0.4</v>
      </c>
      <c r="R132" s="4">
        <v>2200000</v>
      </c>
      <c r="S132" s="4">
        <v>2200000</v>
      </c>
      <c r="T132" s="4">
        <v>2200000</v>
      </c>
      <c r="U132" s="4">
        <v>2200000</v>
      </c>
      <c r="V132" s="6">
        <v>37.853400000000001</v>
      </c>
      <c r="W132" s="4">
        <v>1623974</v>
      </c>
      <c r="X132" s="4">
        <v>1623974</v>
      </c>
      <c r="Y132" s="4">
        <v>1698774</v>
      </c>
      <c r="Z132" s="4">
        <v>1698774</v>
      </c>
      <c r="AA132" s="4">
        <v>3.4</v>
      </c>
      <c r="AB132" s="6">
        <v>74800</v>
      </c>
      <c r="AC132" s="4">
        <v>74800</v>
      </c>
      <c r="AD132" s="4">
        <v>74800</v>
      </c>
      <c r="AE132" s="6">
        <v>0</v>
      </c>
      <c r="AF132" s="4">
        <v>0</v>
      </c>
      <c r="AG132" s="7">
        <v>0</v>
      </c>
      <c r="AH132" s="2" t="s">
        <v>37</v>
      </c>
      <c r="AI132">
        <v>0</v>
      </c>
      <c r="AJ132" s="3">
        <v>41912.686273148101</v>
      </c>
      <c r="AK132" s="2" t="s">
        <v>1933</v>
      </c>
    </row>
    <row r="133" spans="1:37" x14ac:dyDescent="0.15">
      <c r="A133" s="2" t="s">
        <v>1932</v>
      </c>
      <c r="B133">
        <v>168</v>
      </c>
      <c r="C133" s="3">
        <v>41609</v>
      </c>
      <c r="D133" s="2" t="s">
        <v>37</v>
      </c>
      <c r="E133" s="2" t="s">
        <v>1931</v>
      </c>
      <c r="F133" s="2" t="s">
        <v>41</v>
      </c>
      <c r="G133" s="2" t="s">
        <v>318</v>
      </c>
      <c r="H133" s="2" t="s">
        <v>319</v>
      </c>
      <c r="I133" s="4">
        <v>710641.6</v>
      </c>
      <c r="J133" s="4">
        <v>0</v>
      </c>
      <c r="K133" s="4">
        <v>0</v>
      </c>
      <c r="L133" s="5"/>
      <c r="M133" s="5">
        <v>3.6</v>
      </c>
      <c r="N133" s="6">
        <v>25583.097600000001</v>
      </c>
      <c r="O133" s="4">
        <v>25583.1</v>
      </c>
      <c r="P133" s="4">
        <v>25583.1</v>
      </c>
      <c r="Q133" s="6">
        <v>-2.3999999999999998E-3</v>
      </c>
      <c r="R133" s="4">
        <v>0</v>
      </c>
      <c r="S133" s="4">
        <v>0</v>
      </c>
      <c r="T133" s="4">
        <v>0</v>
      </c>
      <c r="U133" s="4">
        <v>0</v>
      </c>
      <c r="V133" s="6">
        <v>0</v>
      </c>
      <c r="W133" s="4">
        <v>0</v>
      </c>
      <c r="X133" s="4">
        <v>0</v>
      </c>
      <c r="Y133" s="4">
        <v>0</v>
      </c>
      <c r="Z133" s="4">
        <v>0</v>
      </c>
      <c r="AA133" s="4"/>
      <c r="AB133" s="6">
        <v>0</v>
      </c>
      <c r="AC133" s="4">
        <v>0</v>
      </c>
      <c r="AD133" s="4">
        <v>0</v>
      </c>
      <c r="AE133" s="6">
        <v>0</v>
      </c>
      <c r="AF133" s="4">
        <v>0</v>
      </c>
      <c r="AG133" s="7">
        <v>0</v>
      </c>
      <c r="AH133" s="2" t="s">
        <v>37</v>
      </c>
      <c r="AI133">
        <v>0</v>
      </c>
      <c r="AJ133" s="3">
        <v>41912.6862384259</v>
      </c>
      <c r="AK133" s="2" t="s">
        <v>1930</v>
      </c>
    </row>
    <row r="134" spans="1:37" x14ac:dyDescent="0.15">
      <c r="A134" s="2" t="s">
        <v>1929</v>
      </c>
      <c r="B134">
        <v>156</v>
      </c>
      <c r="C134" s="3">
        <v>41609</v>
      </c>
      <c r="D134" s="2" t="s">
        <v>37</v>
      </c>
      <c r="E134" s="2" t="s">
        <v>1928</v>
      </c>
      <c r="F134" s="2" t="s">
        <v>41</v>
      </c>
      <c r="G134" s="2" t="s">
        <v>316</v>
      </c>
      <c r="H134" s="2" t="s">
        <v>317</v>
      </c>
      <c r="I134" s="4">
        <v>9753320.8200000003</v>
      </c>
      <c r="J134" s="4">
        <v>0</v>
      </c>
      <c r="K134" s="4">
        <v>0</v>
      </c>
      <c r="L134" s="5"/>
      <c r="M134" s="5">
        <v>3</v>
      </c>
      <c r="N134" s="6">
        <v>292599.62459999998</v>
      </c>
      <c r="O134" s="4">
        <v>271590.55</v>
      </c>
      <c r="P134" s="4">
        <v>271590.55</v>
      </c>
      <c r="Q134" s="6">
        <v>21009.0746</v>
      </c>
      <c r="R134" s="4">
        <v>0</v>
      </c>
      <c r="S134" s="4">
        <v>0</v>
      </c>
      <c r="T134" s="4">
        <v>4983610.42</v>
      </c>
      <c r="U134" s="4">
        <v>4983610.42</v>
      </c>
      <c r="V134" s="6">
        <v>51.096499999999999</v>
      </c>
      <c r="W134" s="4">
        <v>0</v>
      </c>
      <c r="X134" s="4">
        <v>0</v>
      </c>
      <c r="Y134" s="4">
        <v>4727621</v>
      </c>
      <c r="Z134" s="4">
        <v>4727621</v>
      </c>
      <c r="AA134" s="4">
        <v>3.4</v>
      </c>
      <c r="AB134" s="6">
        <v>331612.90789999999</v>
      </c>
      <c r="AC134" s="4">
        <v>169442.69</v>
      </c>
      <c r="AD134" s="4">
        <v>169442.69</v>
      </c>
      <c r="AE134" s="6">
        <v>162170.21789999999</v>
      </c>
      <c r="AF134" s="4">
        <v>0</v>
      </c>
      <c r="AG134" s="7">
        <v>0</v>
      </c>
      <c r="AH134" s="2" t="s">
        <v>37</v>
      </c>
      <c r="AI134">
        <v>0</v>
      </c>
      <c r="AJ134" s="3">
        <v>41912.6862384259</v>
      </c>
      <c r="AK134" s="2" t="s">
        <v>1927</v>
      </c>
    </row>
    <row r="135" spans="1:37" x14ac:dyDescent="0.15">
      <c r="A135" s="2" t="s">
        <v>1926</v>
      </c>
      <c r="B135">
        <v>183</v>
      </c>
      <c r="C135" s="3">
        <v>41609</v>
      </c>
      <c r="D135" s="2" t="s">
        <v>37</v>
      </c>
      <c r="E135" s="2" t="s">
        <v>1925</v>
      </c>
      <c r="F135" s="2" t="s">
        <v>41</v>
      </c>
      <c r="G135" s="2" t="s">
        <v>322</v>
      </c>
      <c r="H135" s="2" t="s">
        <v>323</v>
      </c>
      <c r="I135" s="4">
        <v>1674815</v>
      </c>
      <c r="J135" s="4">
        <v>0</v>
      </c>
      <c r="K135" s="4">
        <v>0</v>
      </c>
      <c r="L135" s="5"/>
      <c r="M135" s="5">
        <v>4</v>
      </c>
      <c r="N135" s="6">
        <v>66992.600000000006</v>
      </c>
      <c r="O135" s="4">
        <v>66993</v>
      </c>
      <c r="P135" s="4">
        <v>66993</v>
      </c>
      <c r="Q135" s="6">
        <v>-0.4</v>
      </c>
      <c r="R135" s="4">
        <v>0</v>
      </c>
      <c r="S135" s="4">
        <v>0</v>
      </c>
      <c r="T135" s="4">
        <v>1300000</v>
      </c>
      <c r="U135" s="4">
        <v>1300000</v>
      </c>
      <c r="V135" s="6">
        <v>77.620500000000007</v>
      </c>
      <c r="W135" s="4">
        <v>0</v>
      </c>
      <c r="X135" s="4">
        <v>0</v>
      </c>
      <c r="Y135" s="4">
        <v>1233232.5</v>
      </c>
      <c r="Z135" s="4">
        <v>1233232.5</v>
      </c>
      <c r="AA135" s="4">
        <v>3.66</v>
      </c>
      <c r="AB135" s="6">
        <v>61298.228999999999</v>
      </c>
      <c r="AC135" s="4">
        <v>61298.23</v>
      </c>
      <c r="AD135" s="4">
        <v>61298.23</v>
      </c>
      <c r="AE135" s="6">
        <v>-1E-3</v>
      </c>
      <c r="AF135" s="4">
        <v>0</v>
      </c>
      <c r="AG135" s="7">
        <v>0</v>
      </c>
      <c r="AH135" s="2" t="s">
        <v>37</v>
      </c>
      <c r="AI135">
        <v>0</v>
      </c>
      <c r="AJ135" s="3">
        <v>41912.6862384259</v>
      </c>
      <c r="AK135" s="2" t="s">
        <v>1924</v>
      </c>
    </row>
    <row r="136" spans="1:37" x14ac:dyDescent="0.15">
      <c r="A136" s="2" t="s">
        <v>1923</v>
      </c>
      <c r="B136">
        <v>197</v>
      </c>
      <c r="C136" s="3">
        <v>41609</v>
      </c>
      <c r="D136" s="2" t="s">
        <v>37</v>
      </c>
      <c r="E136" s="2" t="s">
        <v>1922</v>
      </c>
      <c r="F136" s="2" t="s">
        <v>41</v>
      </c>
      <c r="G136" s="2" t="s">
        <v>320</v>
      </c>
      <c r="H136" s="2" t="s">
        <v>321</v>
      </c>
      <c r="I136" s="4">
        <v>3480350</v>
      </c>
      <c r="J136" s="4">
        <v>0</v>
      </c>
      <c r="K136" s="4">
        <v>0</v>
      </c>
      <c r="L136" s="5"/>
      <c r="M136" s="5">
        <v>3.6</v>
      </c>
      <c r="N136" s="6">
        <v>125292.6</v>
      </c>
      <c r="O136" s="4">
        <v>125292.6</v>
      </c>
      <c r="P136" s="4">
        <v>125292.6</v>
      </c>
      <c r="Q136" s="6">
        <v>0</v>
      </c>
      <c r="R136" s="4">
        <v>0</v>
      </c>
      <c r="S136" s="4">
        <v>0</v>
      </c>
      <c r="T136" s="4">
        <v>1563875.12</v>
      </c>
      <c r="U136" s="4">
        <v>1563875.12</v>
      </c>
      <c r="V136" s="6">
        <v>44.934399999999997</v>
      </c>
      <c r="W136" s="4">
        <v>0</v>
      </c>
      <c r="X136" s="4">
        <v>0</v>
      </c>
      <c r="Y136" s="4">
        <v>1596613.91</v>
      </c>
      <c r="Z136" s="4">
        <v>1596613.91</v>
      </c>
      <c r="AA136" s="4">
        <v>3.4</v>
      </c>
      <c r="AB136" s="6">
        <v>118331.9</v>
      </c>
      <c r="AC136" s="4">
        <v>51187.45</v>
      </c>
      <c r="AD136" s="4">
        <v>51187.45</v>
      </c>
      <c r="AE136" s="6">
        <v>67144.45</v>
      </c>
      <c r="AF136" s="4">
        <v>0</v>
      </c>
      <c r="AG136" s="7">
        <v>0</v>
      </c>
      <c r="AH136" s="2" t="s">
        <v>37</v>
      </c>
      <c r="AI136">
        <v>0</v>
      </c>
      <c r="AJ136" s="3">
        <v>41912.6862384259</v>
      </c>
      <c r="AK136" s="2" t="s">
        <v>1921</v>
      </c>
    </row>
    <row r="137" spans="1:37" x14ac:dyDescent="0.15">
      <c r="A137" s="2" t="s">
        <v>1920</v>
      </c>
      <c r="B137">
        <v>1043</v>
      </c>
      <c r="C137" s="3">
        <v>41609</v>
      </c>
      <c r="D137" s="2" t="s">
        <v>37</v>
      </c>
      <c r="E137" s="2" t="s">
        <v>1919</v>
      </c>
      <c r="F137" s="2" t="s">
        <v>38</v>
      </c>
      <c r="G137" s="2" t="s">
        <v>312</v>
      </c>
      <c r="H137" s="2" t="s">
        <v>313</v>
      </c>
      <c r="I137" s="4">
        <v>11000000</v>
      </c>
      <c r="J137" s="4">
        <v>0</v>
      </c>
      <c r="K137" s="4">
        <v>0</v>
      </c>
      <c r="L137" s="5"/>
      <c r="M137" s="5">
        <v>3</v>
      </c>
      <c r="N137" s="6">
        <v>330000</v>
      </c>
      <c r="O137" s="4">
        <v>330000</v>
      </c>
      <c r="P137" s="4">
        <v>330000</v>
      </c>
      <c r="Q137" s="6">
        <v>0</v>
      </c>
      <c r="R137" s="4">
        <v>5500000</v>
      </c>
      <c r="S137" s="4">
        <v>5500000</v>
      </c>
      <c r="T137" s="4">
        <v>5000000</v>
      </c>
      <c r="U137" s="4">
        <v>5000000</v>
      </c>
      <c r="V137" s="6">
        <v>45.454500000000003</v>
      </c>
      <c r="W137" s="4">
        <v>4680000</v>
      </c>
      <c r="X137" s="4">
        <v>4680000</v>
      </c>
      <c r="Y137" s="4">
        <v>4916450</v>
      </c>
      <c r="Z137" s="4">
        <v>4916450</v>
      </c>
      <c r="AA137" s="4"/>
      <c r="AB137" s="6"/>
      <c r="AC137" s="4">
        <v>0</v>
      </c>
      <c r="AD137" s="4">
        <v>0</v>
      </c>
      <c r="AE137" s="6"/>
      <c r="AF137" s="4">
        <v>0</v>
      </c>
      <c r="AG137" s="7">
        <v>120</v>
      </c>
      <c r="AH137" s="2" t="s">
        <v>159</v>
      </c>
      <c r="AI137">
        <v>0</v>
      </c>
      <c r="AJ137" s="3">
        <v>41912.6862847222</v>
      </c>
      <c r="AK137" s="2" t="s">
        <v>1918</v>
      </c>
    </row>
    <row r="138" spans="1:37" x14ac:dyDescent="0.15">
      <c r="A138" s="2" t="s">
        <v>1917</v>
      </c>
      <c r="B138">
        <v>211</v>
      </c>
      <c r="C138" s="3">
        <v>41609</v>
      </c>
      <c r="D138" s="2" t="s">
        <v>37</v>
      </c>
      <c r="E138" s="2" t="s">
        <v>1916</v>
      </c>
      <c r="F138" s="2" t="s">
        <v>41</v>
      </c>
      <c r="G138" s="2" t="s">
        <v>326</v>
      </c>
      <c r="H138" s="2" t="s">
        <v>327</v>
      </c>
      <c r="I138" s="4">
        <v>600000</v>
      </c>
      <c r="J138" s="4">
        <v>0</v>
      </c>
      <c r="K138" s="4">
        <v>0</v>
      </c>
      <c r="L138" s="5"/>
      <c r="M138" s="5">
        <v>8.6</v>
      </c>
      <c r="N138" s="6">
        <v>51600</v>
      </c>
      <c r="O138" s="4">
        <v>25800</v>
      </c>
      <c r="P138" s="4">
        <v>25800</v>
      </c>
      <c r="Q138" s="6">
        <v>25800</v>
      </c>
      <c r="R138" s="4">
        <v>0</v>
      </c>
      <c r="S138" s="4">
        <v>0</v>
      </c>
      <c r="T138" s="4">
        <v>120000</v>
      </c>
      <c r="U138" s="4">
        <v>120000</v>
      </c>
      <c r="V138" s="6">
        <v>20</v>
      </c>
      <c r="W138" s="4">
        <v>0</v>
      </c>
      <c r="X138" s="4">
        <v>0</v>
      </c>
      <c r="Y138" s="4">
        <v>120000</v>
      </c>
      <c r="Z138" s="4">
        <v>120000</v>
      </c>
      <c r="AA138" s="4">
        <v>3.4</v>
      </c>
      <c r="AB138" s="6">
        <v>20400</v>
      </c>
      <c r="AC138" s="4">
        <v>4080</v>
      </c>
      <c r="AD138" s="4">
        <v>4080</v>
      </c>
      <c r="AE138" s="6">
        <v>16320</v>
      </c>
      <c r="AF138" s="4">
        <v>0</v>
      </c>
      <c r="AG138" s="7">
        <v>0</v>
      </c>
      <c r="AH138" s="2" t="s">
        <v>37</v>
      </c>
      <c r="AI138">
        <v>0</v>
      </c>
      <c r="AJ138" s="3">
        <v>41912.6862384259</v>
      </c>
      <c r="AK138" s="2" t="s">
        <v>1915</v>
      </c>
    </row>
    <row r="139" spans="1:37" x14ac:dyDescent="0.15">
      <c r="A139" s="2" t="s">
        <v>1914</v>
      </c>
      <c r="B139">
        <v>173</v>
      </c>
      <c r="C139" s="3">
        <v>41609</v>
      </c>
      <c r="D139" s="2" t="s">
        <v>37</v>
      </c>
      <c r="E139" s="2" t="s">
        <v>1913</v>
      </c>
      <c r="F139" s="2" t="s">
        <v>41</v>
      </c>
      <c r="G139" s="2" t="s">
        <v>330</v>
      </c>
      <c r="H139" s="2" t="s">
        <v>331</v>
      </c>
      <c r="I139" s="4">
        <v>4036583.48</v>
      </c>
      <c r="J139" s="4">
        <v>0</v>
      </c>
      <c r="K139" s="4">
        <v>0</v>
      </c>
      <c r="L139" s="5"/>
      <c r="M139" s="5">
        <v>3.6</v>
      </c>
      <c r="N139" s="6">
        <v>145317.00529999999</v>
      </c>
      <c r="O139" s="4">
        <v>145317</v>
      </c>
      <c r="P139" s="4">
        <v>145317</v>
      </c>
      <c r="Q139" s="6">
        <v>5.3E-3</v>
      </c>
      <c r="R139" s="4">
        <v>0</v>
      </c>
      <c r="S139" s="4">
        <v>0</v>
      </c>
      <c r="T139" s="4">
        <v>3478419.92</v>
      </c>
      <c r="U139" s="4">
        <v>3478419.92</v>
      </c>
      <c r="V139" s="6">
        <v>86.172399999999996</v>
      </c>
      <c r="W139" s="4">
        <v>0</v>
      </c>
      <c r="X139" s="4">
        <v>0</v>
      </c>
      <c r="Y139" s="4">
        <v>3359296.75</v>
      </c>
      <c r="Z139" s="4">
        <v>3359296.75</v>
      </c>
      <c r="AA139" s="4">
        <v>3.4</v>
      </c>
      <c r="AB139" s="6">
        <v>137243.8383</v>
      </c>
      <c r="AC139" s="4">
        <v>118235.4</v>
      </c>
      <c r="AD139" s="4">
        <v>118235.4</v>
      </c>
      <c r="AE139" s="6">
        <v>19008.438300000002</v>
      </c>
      <c r="AF139" s="4">
        <v>0</v>
      </c>
      <c r="AG139" s="7">
        <v>0</v>
      </c>
      <c r="AH139" s="2" t="s">
        <v>37</v>
      </c>
      <c r="AI139">
        <v>0</v>
      </c>
      <c r="AJ139" s="3">
        <v>41912.6862384259</v>
      </c>
      <c r="AK139" s="2" t="s">
        <v>1912</v>
      </c>
    </row>
    <row r="140" spans="1:37" x14ac:dyDescent="0.15">
      <c r="A140" s="2" t="s">
        <v>1911</v>
      </c>
      <c r="B140">
        <v>161</v>
      </c>
      <c r="C140" s="3">
        <v>41609</v>
      </c>
      <c r="D140" s="2" t="s">
        <v>37</v>
      </c>
      <c r="E140" s="2" t="s">
        <v>1910</v>
      </c>
      <c r="F140" s="2" t="s">
        <v>41</v>
      </c>
      <c r="G140" s="2" t="s">
        <v>328</v>
      </c>
      <c r="H140" s="2" t="s">
        <v>329</v>
      </c>
      <c r="I140" s="4">
        <v>449812</v>
      </c>
      <c r="J140" s="4">
        <v>0</v>
      </c>
      <c r="K140" s="4">
        <v>0</v>
      </c>
      <c r="L140" s="5"/>
      <c r="M140" s="5">
        <v>4</v>
      </c>
      <c r="N140" s="6">
        <v>17992.48</v>
      </c>
      <c r="O140" s="4">
        <v>17992.48</v>
      </c>
      <c r="P140" s="4">
        <v>17992.48</v>
      </c>
      <c r="Q140" s="6">
        <v>0</v>
      </c>
      <c r="R140" s="4">
        <v>0</v>
      </c>
      <c r="S140" s="4">
        <v>0</v>
      </c>
      <c r="T140" s="4">
        <v>370600</v>
      </c>
      <c r="U140" s="4">
        <v>370600</v>
      </c>
      <c r="V140" s="6">
        <v>82.39</v>
      </c>
      <c r="W140" s="4">
        <v>0</v>
      </c>
      <c r="X140" s="4">
        <v>0</v>
      </c>
      <c r="Y140" s="4">
        <v>365664.6</v>
      </c>
      <c r="Z140" s="4">
        <v>365664.6</v>
      </c>
      <c r="AA140" s="4">
        <v>3.4</v>
      </c>
      <c r="AB140" s="6">
        <v>15293.608</v>
      </c>
      <c r="AC140" s="4">
        <v>12580</v>
      </c>
      <c r="AD140" s="4">
        <v>12580</v>
      </c>
      <c r="AE140" s="6">
        <v>2713.6080000000002</v>
      </c>
      <c r="AF140" s="4">
        <v>0</v>
      </c>
      <c r="AG140" s="7">
        <v>0</v>
      </c>
      <c r="AH140" s="2" t="s">
        <v>37</v>
      </c>
      <c r="AI140">
        <v>0</v>
      </c>
      <c r="AJ140" s="3">
        <v>41912.6862384259</v>
      </c>
      <c r="AK140" s="2" t="s">
        <v>1909</v>
      </c>
    </row>
    <row r="141" spans="1:37" x14ac:dyDescent="0.15">
      <c r="A141" s="2" t="s">
        <v>1908</v>
      </c>
      <c r="B141">
        <v>187</v>
      </c>
      <c r="C141" s="3">
        <v>41609</v>
      </c>
      <c r="D141" s="2" t="s">
        <v>37</v>
      </c>
      <c r="E141" s="2" t="s">
        <v>1907</v>
      </c>
      <c r="F141" s="2" t="s">
        <v>41</v>
      </c>
      <c r="G141" s="2" t="s">
        <v>334</v>
      </c>
      <c r="H141" s="2" t="s">
        <v>335</v>
      </c>
      <c r="I141" s="4">
        <v>260000</v>
      </c>
      <c r="J141" s="4">
        <v>0</v>
      </c>
      <c r="K141" s="4">
        <v>0</v>
      </c>
      <c r="L141" s="5"/>
      <c r="M141" s="5">
        <v>8.6</v>
      </c>
      <c r="N141" s="6">
        <v>22360</v>
      </c>
      <c r="O141" s="4">
        <v>22360</v>
      </c>
      <c r="P141" s="4">
        <v>22360</v>
      </c>
      <c r="Q141" s="6">
        <v>0</v>
      </c>
      <c r="R141" s="4">
        <v>0</v>
      </c>
      <c r="S141" s="4">
        <v>0</v>
      </c>
      <c r="T141" s="4">
        <v>182000</v>
      </c>
      <c r="U141" s="4">
        <v>182000</v>
      </c>
      <c r="V141" s="6">
        <v>70</v>
      </c>
      <c r="W141" s="4">
        <v>0</v>
      </c>
      <c r="X141" s="4">
        <v>0</v>
      </c>
      <c r="Y141" s="4">
        <v>182000</v>
      </c>
      <c r="Z141" s="4">
        <v>182000</v>
      </c>
      <c r="AA141" s="4">
        <v>3.4</v>
      </c>
      <c r="AB141" s="6">
        <v>8840</v>
      </c>
      <c r="AC141" s="4">
        <v>0</v>
      </c>
      <c r="AD141" s="4">
        <v>0</v>
      </c>
      <c r="AE141" s="6">
        <v>8840</v>
      </c>
      <c r="AF141" s="4">
        <v>0</v>
      </c>
      <c r="AG141" s="7">
        <v>0</v>
      </c>
      <c r="AH141" s="2" t="s">
        <v>37</v>
      </c>
      <c r="AI141">
        <v>0</v>
      </c>
      <c r="AJ141" s="3">
        <v>41912.6862384259</v>
      </c>
      <c r="AK141" s="2" t="s">
        <v>1906</v>
      </c>
    </row>
    <row r="142" spans="1:37" x14ac:dyDescent="0.15">
      <c r="A142" s="2" t="s">
        <v>1905</v>
      </c>
      <c r="B142">
        <v>202</v>
      </c>
      <c r="C142" s="3">
        <v>41609</v>
      </c>
      <c r="D142" s="2" t="s">
        <v>37</v>
      </c>
      <c r="E142" s="2" t="s">
        <v>1904</v>
      </c>
      <c r="F142" s="2" t="s">
        <v>41</v>
      </c>
      <c r="G142" s="2" t="s">
        <v>332</v>
      </c>
      <c r="H142" s="2" t="s">
        <v>333</v>
      </c>
      <c r="I142" s="4">
        <v>50000</v>
      </c>
      <c r="J142" s="4">
        <v>0</v>
      </c>
      <c r="K142" s="4">
        <v>0</v>
      </c>
      <c r="L142" s="5"/>
      <c r="M142" s="5">
        <v>8.6</v>
      </c>
      <c r="N142" s="6">
        <v>4300</v>
      </c>
      <c r="O142" s="4">
        <v>4300</v>
      </c>
      <c r="P142" s="4">
        <v>4300</v>
      </c>
      <c r="Q142" s="6">
        <v>0</v>
      </c>
      <c r="R142" s="4">
        <v>0</v>
      </c>
      <c r="S142" s="4">
        <v>0</v>
      </c>
      <c r="T142" s="4">
        <v>40000</v>
      </c>
      <c r="U142" s="4">
        <v>40000</v>
      </c>
      <c r="V142" s="6">
        <v>80</v>
      </c>
      <c r="W142" s="4">
        <v>0</v>
      </c>
      <c r="X142" s="4">
        <v>0</v>
      </c>
      <c r="Y142" s="4">
        <v>40000</v>
      </c>
      <c r="Z142" s="4">
        <v>40000</v>
      </c>
      <c r="AA142" s="4">
        <v>3.4</v>
      </c>
      <c r="AB142" s="6">
        <v>1700</v>
      </c>
      <c r="AC142" s="4">
        <v>1360</v>
      </c>
      <c r="AD142" s="4">
        <v>1360</v>
      </c>
      <c r="AE142" s="6">
        <v>340</v>
      </c>
      <c r="AF142" s="4">
        <v>0</v>
      </c>
      <c r="AG142" s="7">
        <v>0</v>
      </c>
      <c r="AH142" s="2" t="s">
        <v>37</v>
      </c>
      <c r="AI142">
        <v>0</v>
      </c>
      <c r="AJ142" s="3">
        <v>41912.6862384259</v>
      </c>
      <c r="AK142" s="2" t="s">
        <v>1903</v>
      </c>
    </row>
    <row r="143" spans="1:37" x14ac:dyDescent="0.15">
      <c r="A143" s="2" t="s">
        <v>1902</v>
      </c>
      <c r="B143">
        <v>1052</v>
      </c>
      <c r="C143" s="3">
        <v>41609</v>
      </c>
      <c r="D143" s="2" t="s">
        <v>37</v>
      </c>
      <c r="E143" s="2" t="s">
        <v>1901</v>
      </c>
      <c r="F143" s="2" t="s">
        <v>38</v>
      </c>
      <c r="G143" s="2" t="s">
        <v>324</v>
      </c>
      <c r="H143" s="2" t="s">
        <v>325</v>
      </c>
      <c r="I143" s="4">
        <v>924545</v>
      </c>
      <c r="J143" s="4">
        <v>0</v>
      </c>
      <c r="K143" s="4">
        <v>0</v>
      </c>
      <c r="L143" s="5"/>
      <c r="M143" s="5">
        <v>3</v>
      </c>
      <c r="N143" s="6">
        <v>27736.35</v>
      </c>
      <c r="O143" s="4">
        <v>2200</v>
      </c>
      <c r="P143" s="4">
        <v>2200</v>
      </c>
      <c r="Q143" s="6">
        <v>25536.35</v>
      </c>
      <c r="R143" s="4">
        <v>300000</v>
      </c>
      <c r="S143" s="4">
        <v>300000</v>
      </c>
      <c r="T143" s="4">
        <v>300000</v>
      </c>
      <c r="U143" s="4">
        <v>300000</v>
      </c>
      <c r="V143" s="6">
        <v>32.448399999999999</v>
      </c>
      <c r="W143" s="4">
        <v>202490</v>
      </c>
      <c r="X143" s="4">
        <v>202490</v>
      </c>
      <c r="Y143" s="4">
        <v>221812.49</v>
      </c>
      <c r="Z143" s="4">
        <v>221812.49</v>
      </c>
      <c r="AA143" s="4">
        <v>3.4</v>
      </c>
      <c r="AB143" s="6">
        <v>10200</v>
      </c>
      <c r="AC143" s="4">
        <v>10200</v>
      </c>
      <c r="AD143" s="4">
        <v>10200</v>
      </c>
      <c r="AE143" s="6">
        <v>0</v>
      </c>
      <c r="AF143" s="4">
        <v>0</v>
      </c>
      <c r="AG143" s="7">
        <v>7</v>
      </c>
      <c r="AH143" s="2" t="s">
        <v>52</v>
      </c>
      <c r="AI143">
        <v>0</v>
      </c>
      <c r="AJ143" s="3">
        <v>41912.6862847222</v>
      </c>
      <c r="AK143" s="2" t="s">
        <v>1900</v>
      </c>
    </row>
    <row r="144" spans="1:37" x14ac:dyDescent="0.15">
      <c r="A144" s="2" t="s">
        <v>1899</v>
      </c>
      <c r="B144">
        <v>166</v>
      </c>
      <c r="C144" s="3">
        <v>41609</v>
      </c>
      <c r="D144" s="2" t="s">
        <v>37</v>
      </c>
      <c r="E144" s="2" t="s">
        <v>1898</v>
      </c>
      <c r="F144" s="2" t="s">
        <v>41</v>
      </c>
      <c r="G144" s="2" t="s">
        <v>306</v>
      </c>
      <c r="H144" s="2" t="s">
        <v>307</v>
      </c>
      <c r="I144" s="4">
        <v>1440423.32</v>
      </c>
      <c r="J144" s="4">
        <v>0</v>
      </c>
      <c r="K144" s="4">
        <v>0</v>
      </c>
      <c r="L144" s="5"/>
      <c r="M144" s="5">
        <v>4</v>
      </c>
      <c r="N144" s="6">
        <v>57616.932800000002</v>
      </c>
      <c r="O144" s="4">
        <v>57617</v>
      </c>
      <c r="P144" s="4">
        <v>57617</v>
      </c>
      <c r="Q144" s="6">
        <v>-6.7199999999999996E-2</v>
      </c>
      <c r="R144" s="4">
        <v>0</v>
      </c>
      <c r="S144" s="4">
        <v>0</v>
      </c>
      <c r="T144" s="4">
        <v>1200000</v>
      </c>
      <c r="U144" s="4">
        <v>1200000</v>
      </c>
      <c r="V144" s="6">
        <v>83.308800000000005</v>
      </c>
      <c r="W144" s="4">
        <v>0</v>
      </c>
      <c r="X144" s="4">
        <v>0</v>
      </c>
      <c r="Y144" s="4">
        <v>1145710</v>
      </c>
      <c r="Z144" s="4">
        <v>1145710</v>
      </c>
      <c r="AA144" s="4"/>
      <c r="AB144" s="6">
        <v>52719.49</v>
      </c>
      <c r="AC144" s="4">
        <v>52719.49</v>
      </c>
      <c r="AD144" s="4">
        <v>52719.49</v>
      </c>
      <c r="AE144" s="6">
        <v>0</v>
      </c>
      <c r="AF144" s="4">
        <v>0</v>
      </c>
      <c r="AG144" s="7">
        <v>0</v>
      </c>
      <c r="AH144" s="2" t="s">
        <v>37</v>
      </c>
      <c r="AI144">
        <v>0</v>
      </c>
      <c r="AJ144" s="3">
        <v>41912.6862384259</v>
      </c>
      <c r="AK144" s="2" t="s">
        <v>1897</v>
      </c>
    </row>
    <row r="145" spans="1:37" x14ac:dyDescent="0.15">
      <c r="A145" s="2" t="s">
        <v>1896</v>
      </c>
      <c r="B145">
        <v>178</v>
      </c>
      <c r="C145" s="3">
        <v>41609</v>
      </c>
      <c r="D145" s="2" t="s">
        <v>37</v>
      </c>
      <c r="E145" s="2" t="s">
        <v>1895</v>
      </c>
      <c r="F145" s="2" t="s">
        <v>41</v>
      </c>
      <c r="G145" s="2" t="s">
        <v>308</v>
      </c>
      <c r="H145" s="2" t="s">
        <v>309</v>
      </c>
      <c r="I145" s="4">
        <v>1236415</v>
      </c>
      <c r="J145" s="4">
        <v>0</v>
      </c>
      <c r="K145" s="4">
        <v>0</v>
      </c>
      <c r="L145" s="5"/>
      <c r="M145" s="5">
        <v>4</v>
      </c>
      <c r="N145" s="6">
        <v>49456.6</v>
      </c>
      <c r="O145" s="4">
        <v>47920</v>
      </c>
      <c r="P145" s="4">
        <v>47920</v>
      </c>
      <c r="Q145" s="6">
        <v>1536.6</v>
      </c>
      <c r="R145" s="4">
        <v>0</v>
      </c>
      <c r="S145" s="4">
        <v>0</v>
      </c>
      <c r="T145" s="4">
        <v>936915</v>
      </c>
      <c r="U145" s="4">
        <v>936915</v>
      </c>
      <c r="V145" s="6">
        <v>75.776700000000005</v>
      </c>
      <c r="W145" s="4">
        <v>0</v>
      </c>
      <c r="X145" s="4">
        <v>0</v>
      </c>
      <c r="Y145" s="4">
        <v>859342.86</v>
      </c>
      <c r="Z145" s="4">
        <v>859342.86</v>
      </c>
      <c r="AA145" s="4">
        <v>3.4</v>
      </c>
      <c r="AB145" s="6">
        <v>42038.11</v>
      </c>
      <c r="AC145" s="4">
        <v>31855.31</v>
      </c>
      <c r="AD145" s="4">
        <v>31855.31</v>
      </c>
      <c r="AE145" s="6">
        <v>10182.799999999999</v>
      </c>
      <c r="AF145" s="4">
        <v>0</v>
      </c>
      <c r="AG145" s="7">
        <v>0</v>
      </c>
      <c r="AH145" s="2" t="s">
        <v>37</v>
      </c>
      <c r="AI145">
        <v>0</v>
      </c>
      <c r="AJ145" s="3">
        <v>41912.6862384259</v>
      </c>
      <c r="AK145" s="2" t="s">
        <v>1894</v>
      </c>
    </row>
    <row r="146" spans="1:37" x14ac:dyDescent="0.15">
      <c r="A146" s="2" t="s">
        <v>1893</v>
      </c>
      <c r="B146">
        <v>192</v>
      </c>
      <c r="C146" s="3">
        <v>41609</v>
      </c>
      <c r="D146" s="2" t="s">
        <v>37</v>
      </c>
      <c r="E146" s="2" t="s">
        <v>1892</v>
      </c>
      <c r="F146" s="2" t="s">
        <v>41</v>
      </c>
      <c r="G146" s="2" t="s">
        <v>310</v>
      </c>
      <c r="H146" s="2" t="s">
        <v>311</v>
      </c>
      <c r="I146" s="4">
        <v>1042588.3</v>
      </c>
      <c r="J146" s="4">
        <v>0</v>
      </c>
      <c r="K146" s="4">
        <v>0</v>
      </c>
      <c r="L146" s="5"/>
      <c r="M146" s="5">
        <v>3.6</v>
      </c>
      <c r="N146" s="6">
        <v>37533.178800000002</v>
      </c>
      <c r="O146" s="4">
        <v>2892.48</v>
      </c>
      <c r="P146" s="4">
        <v>2892.48</v>
      </c>
      <c r="Q146" s="6">
        <v>34640.698799999998</v>
      </c>
      <c r="R146" s="4">
        <v>0</v>
      </c>
      <c r="S146" s="4">
        <v>0</v>
      </c>
      <c r="T146" s="4">
        <v>300000</v>
      </c>
      <c r="U146" s="4">
        <v>300000</v>
      </c>
      <c r="V146" s="6">
        <v>28.7745</v>
      </c>
      <c r="W146" s="4">
        <v>0</v>
      </c>
      <c r="X146" s="4">
        <v>0</v>
      </c>
      <c r="Y146" s="4">
        <v>289800</v>
      </c>
      <c r="Z146" s="4">
        <v>289800</v>
      </c>
      <c r="AA146" s="4">
        <v>3.4</v>
      </c>
      <c r="AB146" s="6">
        <v>35448.002200000003</v>
      </c>
      <c r="AC146" s="4">
        <v>10200</v>
      </c>
      <c r="AD146" s="4">
        <v>10200</v>
      </c>
      <c r="AE146" s="6">
        <v>25248.002199999999</v>
      </c>
      <c r="AF146" s="4">
        <v>0</v>
      </c>
      <c r="AG146" s="7">
        <v>0</v>
      </c>
      <c r="AH146" s="2" t="s">
        <v>37</v>
      </c>
      <c r="AI146">
        <v>0</v>
      </c>
      <c r="AJ146" s="3">
        <v>41912.6862384259</v>
      </c>
      <c r="AK146" s="2" t="s">
        <v>1891</v>
      </c>
    </row>
    <row r="147" spans="1:37" x14ac:dyDescent="0.15">
      <c r="A147" s="2" t="s">
        <v>1890</v>
      </c>
      <c r="B147">
        <v>206</v>
      </c>
      <c r="C147" s="3">
        <v>41609</v>
      </c>
      <c r="D147" s="2" t="s">
        <v>37</v>
      </c>
      <c r="E147" s="2" t="s">
        <v>1889</v>
      </c>
      <c r="F147" s="2" t="s">
        <v>41</v>
      </c>
      <c r="G147" s="2" t="s">
        <v>314</v>
      </c>
      <c r="H147" s="2" t="s">
        <v>315</v>
      </c>
      <c r="I147" s="4">
        <v>1976165.98</v>
      </c>
      <c r="J147" s="4">
        <v>0</v>
      </c>
      <c r="K147" s="4">
        <v>0</v>
      </c>
      <c r="L147" s="5"/>
      <c r="M147" s="5">
        <v>3.6</v>
      </c>
      <c r="N147" s="6">
        <v>71141.975300000006</v>
      </c>
      <c r="O147" s="4">
        <v>0</v>
      </c>
      <c r="P147" s="4">
        <v>0</v>
      </c>
      <c r="Q147" s="6">
        <v>71141.975300000006</v>
      </c>
      <c r="R147" s="4">
        <v>0</v>
      </c>
      <c r="S147" s="4">
        <v>0</v>
      </c>
      <c r="T147" s="4">
        <v>1585970</v>
      </c>
      <c r="U147" s="4">
        <v>1585970</v>
      </c>
      <c r="V147" s="6">
        <v>80.254900000000006</v>
      </c>
      <c r="W147" s="4">
        <v>0</v>
      </c>
      <c r="X147" s="4">
        <v>0</v>
      </c>
      <c r="Y147" s="4">
        <v>1529184.12</v>
      </c>
      <c r="Z147" s="4">
        <v>1529184.12</v>
      </c>
      <c r="AA147" s="4">
        <v>3.4</v>
      </c>
      <c r="AB147" s="6">
        <v>67189.643299999996</v>
      </c>
      <c r="AC147" s="4">
        <v>33594.800000000003</v>
      </c>
      <c r="AD147" s="4">
        <v>33594.800000000003</v>
      </c>
      <c r="AE147" s="6">
        <v>33594.8433</v>
      </c>
      <c r="AF147" s="4">
        <v>0</v>
      </c>
      <c r="AG147" s="7">
        <v>0</v>
      </c>
      <c r="AH147" s="2" t="s">
        <v>37</v>
      </c>
      <c r="AI147">
        <v>0</v>
      </c>
      <c r="AJ147" s="3">
        <v>41912.6862384259</v>
      </c>
      <c r="AK147" s="2" t="s">
        <v>1888</v>
      </c>
    </row>
    <row r="148" spans="1:37" x14ac:dyDescent="0.15">
      <c r="A148" s="2" t="s">
        <v>1887</v>
      </c>
      <c r="B148">
        <v>1058</v>
      </c>
      <c r="C148" s="3">
        <v>41618</v>
      </c>
      <c r="D148" s="2" t="s">
        <v>37</v>
      </c>
      <c r="E148" s="2" t="s">
        <v>1886</v>
      </c>
      <c r="F148" s="2" t="s">
        <v>38</v>
      </c>
      <c r="G148" s="2" t="s">
        <v>336</v>
      </c>
      <c r="H148" s="2" t="s">
        <v>337</v>
      </c>
      <c r="I148" s="4">
        <v>19413696.16</v>
      </c>
      <c r="J148" s="4">
        <v>0</v>
      </c>
      <c r="K148" s="4">
        <v>0</v>
      </c>
      <c r="L148" s="5"/>
      <c r="M148" s="5">
        <v>3</v>
      </c>
      <c r="N148" s="6">
        <v>582410.8848</v>
      </c>
      <c r="O148" s="4">
        <v>582411</v>
      </c>
      <c r="P148" s="4">
        <v>582411</v>
      </c>
      <c r="Q148" s="6">
        <v>-0.1152</v>
      </c>
      <c r="R148" s="4">
        <v>11410745</v>
      </c>
      <c r="S148" s="4">
        <v>11410745</v>
      </c>
      <c r="T148" s="4">
        <v>12320000</v>
      </c>
      <c r="U148" s="4">
        <v>12320000</v>
      </c>
      <c r="V148" s="6">
        <v>63.4604</v>
      </c>
      <c r="W148" s="4">
        <v>11478428.550000001</v>
      </c>
      <c r="X148" s="4">
        <v>11478428.550000001</v>
      </c>
      <c r="Y148" s="4">
        <v>11478428.550000001</v>
      </c>
      <c r="Z148" s="4">
        <v>11478428.550000001</v>
      </c>
      <c r="AA148" s="4"/>
      <c r="AB148" s="6"/>
      <c r="AC148" s="4">
        <v>0</v>
      </c>
      <c r="AD148" s="4">
        <v>0</v>
      </c>
      <c r="AE148" s="6"/>
      <c r="AF148" s="4">
        <v>0</v>
      </c>
      <c r="AG148" s="7">
        <v>0</v>
      </c>
      <c r="AH148" s="2" t="s">
        <v>37</v>
      </c>
      <c r="AI148">
        <v>0</v>
      </c>
      <c r="AJ148" s="3">
        <v>41912.6862847222</v>
      </c>
      <c r="AK148" s="2" t="s">
        <v>1885</v>
      </c>
    </row>
    <row r="149" spans="1:37" x14ac:dyDescent="0.15">
      <c r="A149" s="2" t="s">
        <v>1884</v>
      </c>
      <c r="B149">
        <v>1064</v>
      </c>
      <c r="C149" s="3">
        <v>41626</v>
      </c>
      <c r="D149" s="2" t="s">
        <v>37</v>
      </c>
      <c r="E149" s="2" t="s">
        <v>1883</v>
      </c>
      <c r="F149" s="2" t="s">
        <v>38</v>
      </c>
      <c r="G149" s="2" t="s">
        <v>338</v>
      </c>
      <c r="H149" s="2" t="s">
        <v>339</v>
      </c>
      <c r="I149" s="4">
        <v>8060000</v>
      </c>
      <c r="J149" s="4">
        <v>0</v>
      </c>
      <c r="K149" s="4">
        <v>0</v>
      </c>
      <c r="L149" s="5"/>
      <c r="M149" s="5">
        <v>3</v>
      </c>
      <c r="N149" s="6">
        <v>241800</v>
      </c>
      <c r="O149" s="4">
        <v>241800</v>
      </c>
      <c r="P149" s="4">
        <v>241800</v>
      </c>
      <c r="Q149" s="6">
        <v>0</v>
      </c>
      <c r="R149" s="4">
        <v>0</v>
      </c>
      <c r="S149" s="4">
        <v>0</v>
      </c>
      <c r="T149" s="4">
        <v>3057158</v>
      </c>
      <c r="U149" s="4">
        <v>3057158</v>
      </c>
      <c r="V149" s="6">
        <v>37.93</v>
      </c>
      <c r="W149" s="4">
        <v>2765096.52</v>
      </c>
      <c r="X149" s="4">
        <v>2765096.52</v>
      </c>
      <c r="Y149" s="4">
        <v>2765096.52</v>
      </c>
      <c r="Z149" s="4">
        <v>2765096.52</v>
      </c>
      <c r="AA149" s="4"/>
      <c r="AB149" s="6"/>
      <c r="AC149" s="4">
        <v>0</v>
      </c>
      <c r="AD149" s="4">
        <v>0</v>
      </c>
      <c r="AE149" s="6"/>
      <c r="AF149" s="4">
        <v>0</v>
      </c>
      <c r="AG149" s="7">
        <v>104</v>
      </c>
      <c r="AH149" s="2" t="s">
        <v>97</v>
      </c>
      <c r="AI149">
        <v>0</v>
      </c>
      <c r="AJ149" s="3">
        <v>41912.6862847222</v>
      </c>
      <c r="AK149" s="2" t="s">
        <v>1882</v>
      </c>
    </row>
    <row r="150" spans="1:37" x14ac:dyDescent="0.15">
      <c r="A150" s="2" t="s">
        <v>1881</v>
      </c>
      <c r="B150">
        <v>1071</v>
      </c>
      <c r="C150" s="3">
        <v>41626</v>
      </c>
      <c r="D150" s="2" t="s">
        <v>37</v>
      </c>
      <c r="E150" s="2" t="s">
        <v>1880</v>
      </c>
      <c r="F150" s="2" t="s">
        <v>38</v>
      </c>
      <c r="G150" s="2" t="s">
        <v>340</v>
      </c>
      <c r="H150" s="2" t="s">
        <v>341</v>
      </c>
      <c r="I150" s="4">
        <v>229276</v>
      </c>
      <c r="J150" s="4">
        <v>0</v>
      </c>
      <c r="K150" s="4">
        <v>0</v>
      </c>
      <c r="L150" s="5"/>
      <c r="M150" s="5">
        <v>3</v>
      </c>
      <c r="N150" s="6">
        <v>6878.28</v>
      </c>
      <c r="O150" s="4">
        <v>0</v>
      </c>
      <c r="P150" s="4">
        <v>0</v>
      </c>
      <c r="Q150" s="6">
        <v>6878.28</v>
      </c>
      <c r="R150" s="4">
        <v>91710.76</v>
      </c>
      <c r="S150" s="4">
        <v>91710.76</v>
      </c>
      <c r="T150" s="4">
        <v>91710.76</v>
      </c>
      <c r="U150" s="4">
        <v>91710.76</v>
      </c>
      <c r="V150" s="6">
        <v>40.0002</v>
      </c>
      <c r="W150" s="4">
        <v>60349</v>
      </c>
      <c r="X150" s="4">
        <v>60349</v>
      </c>
      <c r="Y150" s="4">
        <v>66158</v>
      </c>
      <c r="Z150" s="4">
        <v>66158</v>
      </c>
      <c r="AA150" s="4">
        <v>3.4</v>
      </c>
      <c r="AB150" s="6">
        <v>3118.1658000000002</v>
      </c>
      <c r="AC150" s="4">
        <v>3118</v>
      </c>
      <c r="AD150" s="4">
        <v>3118</v>
      </c>
      <c r="AE150" s="6">
        <v>0.1658</v>
      </c>
      <c r="AF150" s="4">
        <v>0</v>
      </c>
      <c r="AG150" s="7">
        <v>2</v>
      </c>
      <c r="AH150" s="2" t="s">
        <v>66</v>
      </c>
      <c r="AI150">
        <v>0</v>
      </c>
      <c r="AJ150" s="3">
        <v>41912.6862847222</v>
      </c>
      <c r="AK150" s="2" t="s">
        <v>1879</v>
      </c>
    </row>
    <row r="151" spans="1:37" x14ac:dyDescent="0.15">
      <c r="A151" s="2" t="s">
        <v>1878</v>
      </c>
      <c r="B151">
        <v>1080</v>
      </c>
      <c r="C151" s="3">
        <v>41628</v>
      </c>
      <c r="D151" s="2" t="s">
        <v>37</v>
      </c>
      <c r="E151" s="2" t="s">
        <v>1877</v>
      </c>
      <c r="F151" s="2" t="s">
        <v>38</v>
      </c>
      <c r="G151" s="2" t="s">
        <v>342</v>
      </c>
      <c r="H151" s="2" t="s">
        <v>343</v>
      </c>
      <c r="I151" s="4">
        <v>330000</v>
      </c>
      <c r="J151" s="4">
        <v>0</v>
      </c>
      <c r="K151" s="4">
        <v>0</v>
      </c>
      <c r="L151" s="5"/>
      <c r="M151" s="5">
        <v>3.6</v>
      </c>
      <c r="N151" s="6">
        <v>11880</v>
      </c>
      <c r="O151" s="4">
        <v>3405.5</v>
      </c>
      <c r="P151" s="4">
        <v>3405.5</v>
      </c>
      <c r="Q151" s="6">
        <v>8474.5</v>
      </c>
      <c r="R151" s="4">
        <v>180000</v>
      </c>
      <c r="S151" s="4">
        <v>180000</v>
      </c>
      <c r="T151" s="4">
        <v>180000</v>
      </c>
      <c r="U151" s="4">
        <v>180000</v>
      </c>
      <c r="V151" s="6">
        <v>54.545499999999997</v>
      </c>
      <c r="W151" s="4">
        <v>170720</v>
      </c>
      <c r="X151" s="4">
        <v>170720</v>
      </c>
      <c r="Y151" s="4">
        <v>176840</v>
      </c>
      <c r="Z151" s="4">
        <v>176840</v>
      </c>
      <c r="AA151" s="4">
        <v>3.4</v>
      </c>
      <c r="AB151" s="6">
        <v>6120</v>
      </c>
      <c r="AC151" s="4">
        <v>6120</v>
      </c>
      <c r="AD151" s="4">
        <v>6120</v>
      </c>
      <c r="AE151" s="6">
        <v>0</v>
      </c>
      <c r="AF151" s="4">
        <v>0</v>
      </c>
      <c r="AG151" s="7">
        <v>5</v>
      </c>
      <c r="AH151" s="2" t="s">
        <v>159</v>
      </c>
      <c r="AI151">
        <v>0</v>
      </c>
      <c r="AJ151" s="3">
        <v>41912.6862847222</v>
      </c>
      <c r="AK151" s="2" t="s">
        <v>1876</v>
      </c>
    </row>
    <row r="152" spans="1:37" x14ac:dyDescent="0.15">
      <c r="A152" s="2" t="s">
        <v>1875</v>
      </c>
      <c r="B152">
        <v>1086</v>
      </c>
      <c r="C152" s="3">
        <v>41640</v>
      </c>
      <c r="D152" s="2" t="s">
        <v>37</v>
      </c>
      <c r="E152" s="2" t="s">
        <v>1874</v>
      </c>
      <c r="F152" s="2" t="s">
        <v>38</v>
      </c>
      <c r="G152" s="2" t="s">
        <v>344</v>
      </c>
      <c r="H152" s="2" t="s">
        <v>345</v>
      </c>
      <c r="I152" s="4">
        <v>61225227</v>
      </c>
      <c r="J152" s="4">
        <v>0</v>
      </c>
      <c r="K152" s="4">
        <v>0</v>
      </c>
      <c r="L152" s="5"/>
      <c r="M152" s="5">
        <v>2.5</v>
      </c>
      <c r="N152" s="6">
        <v>1530630.675</v>
      </c>
      <c r="O152" s="4">
        <v>790000</v>
      </c>
      <c r="P152" s="4">
        <v>790000</v>
      </c>
      <c r="Q152" s="6">
        <v>740630.67500000005</v>
      </c>
      <c r="R152" s="4">
        <v>28124956.18</v>
      </c>
      <c r="S152" s="4">
        <v>28124956.18</v>
      </c>
      <c r="T152" s="4">
        <v>19687469.329999998</v>
      </c>
      <c r="U152" s="4">
        <v>19687469.329999998</v>
      </c>
      <c r="V152" s="6">
        <v>32.155799999999999</v>
      </c>
      <c r="W152" s="4">
        <v>14697501.279999999</v>
      </c>
      <c r="X152" s="4">
        <v>14697501.279999999</v>
      </c>
      <c r="Y152" s="4">
        <v>17777554.559999999</v>
      </c>
      <c r="Z152" s="4">
        <v>17777554.559999999</v>
      </c>
      <c r="AA152" s="4">
        <v>3.56</v>
      </c>
      <c r="AB152" s="6">
        <v>1001248.44</v>
      </c>
      <c r="AC152" s="4">
        <v>0</v>
      </c>
      <c r="AD152" s="4">
        <v>0</v>
      </c>
      <c r="AE152" s="6">
        <v>1001248.44</v>
      </c>
      <c r="AF152" s="4">
        <v>0</v>
      </c>
      <c r="AG152" s="7">
        <v>0</v>
      </c>
      <c r="AH152" s="2" t="s">
        <v>37</v>
      </c>
      <c r="AI152">
        <v>0</v>
      </c>
      <c r="AJ152" s="3">
        <v>41912.6862847222</v>
      </c>
      <c r="AK152" s="2" t="s">
        <v>1873</v>
      </c>
    </row>
    <row r="153" spans="1:37" x14ac:dyDescent="0.15">
      <c r="A153" s="2" t="s">
        <v>1872</v>
      </c>
      <c r="B153">
        <v>1102</v>
      </c>
      <c r="C153" s="3">
        <v>41640</v>
      </c>
      <c r="D153" s="2" t="s">
        <v>37</v>
      </c>
      <c r="E153" s="2" t="s">
        <v>1871</v>
      </c>
      <c r="F153" s="2" t="s">
        <v>38</v>
      </c>
      <c r="G153" s="2" t="s">
        <v>350</v>
      </c>
      <c r="H153" s="2" t="s">
        <v>351</v>
      </c>
      <c r="I153" s="4">
        <v>42615176.350000001</v>
      </c>
      <c r="J153" s="4">
        <v>0</v>
      </c>
      <c r="K153" s="4">
        <v>0</v>
      </c>
      <c r="L153" s="5"/>
      <c r="M153" s="5">
        <v>3</v>
      </c>
      <c r="N153" s="6">
        <v>1278455.2904999999</v>
      </c>
      <c r="O153" s="4">
        <v>800000</v>
      </c>
      <c r="P153" s="4">
        <v>800000</v>
      </c>
      <c r="Q153" s="6">
        <v>478455.2905</v>
      </c>
      <c r="R153" s="4">
        <v>17886113.5</v>
      </c>
      <c r="S153" s="4">
        <v>17886113.5</v>
      </c>
      <c r="T153" s="4">
        <v>17886113.5</v>
      </c>
      <c r="U153" s="4">
        <v>17886113.5</v>
      </c>
      <c r="V153" s="6">
        <v>41.971200000000003</v>
      </c>
      <c r="W153" s="4">
        <v>16222938.1</v>
      </c>
      <c r="X153" s="4">
        <v>16222938.1</v>
      </c>
      <c r="Y153" s="4">
        <v>17003848.52</v>
      </c>
      <c r="Z153" s="4">
        <v>17003848.52</v>
      </c>
      <c r="AA153" s="4">
        <v>3.4</v>
      </c>
      <c r="AB153" s="6">
        <v>608127.85900000005</v>
      </c>
      <c r="AC153" s="4">
        <v>608128</v>
      </c>
      <c r="AD153" s="4">
        <v>608128</v>
      </c>
      <c r="AE153" s="6">
        <v>-0.14099999999999999</v>
      </c>
      <c r="AF153" s="4">
        <v>0</v>
      </c>
      <c r="AG153" s="7">
        <v>150</v>
      </c>
      <c r="AH153" s="2" t="s">
        <v>52</v>
      </c>
      <c r="AI153">
        <v>0</v>
      </c>
      <c r="AJ153" s="3">
        <v>41912.6862847222</v>
      </c>
      <c r="AK153" s="2" t="s">
        <v>1870</v>
      </c>
    </row>
    <row r="154" spans="1:37" x14ac:dyDescent="0.15">
      <c r="A154" s="2" t="s">
        <v>1869</v>
      </c>
      <c r="B154">
        <v>216</v>
      </c>
      <c r="C154" s="3">
        <v>41640</v>
      </c>
      <c r="D154" s="2" t="s">
        <v>37</v>
      </c>
      <c r="E154" s="2" t="s">
        <v>1868</v>
      </c>
      <c r="F154" s="2" t="s">
        <v>41</v>
      </c>
      <c r="G154" s="2" t="s">
        <v>348</v>
      </c>
      <c r="H154" s="2" t="s">
        <v>349</v>
      </c>
      <c r="I154" s="4">
        <v>8084018.7400000002</v>
      </c>
      <c r="J154" s="4">
        <v>0</v>
      </c>
      <c r="K154" s="4">
        <v>0</v>
      </c>
      <c r="L154" s="5"/>
      <c r="M154" s="5">
        <v>3</v>
      </c>
      <c r="N154" s="6">
        <v>242520.56219999999</v>
      </c>
      <c r="O154" s="4">
        <v>121260</v>
      </c>
      <c r="P154" s="4">
        <v>121260</v>
      </c>
      <c r="Q154" s="6">
        <v>121260.5622</v>
      </c>
      <c r="R154" s="4">
        <v>0</v>
      </c>
      <c r="S154" s="4">
        <v>0</v>
      </c>
      <c r="T154" s="4">
        <v>1578401</v>
      </c>
      <c r="U154" s="4">
        <v>1578401</v>
      </c>
      <c r="V154" s="6">
        <v>19.524999999999999</v>
      </c>
      <c r="W154" s="4">
        <v>0</v>
      </c>
      <c r="X154" s="4">
        <v>0</v>
      </c>
      <c r="Y154" s="4">
        <v>1516729</v>
      </c>
      <c r="Z154" s="4">
        <v>1516729</v>
      </c>
      <c r="AA154" s="4">
        <v>3.4</v>
      </c>
      <c r="AB154" s="6">
        <v>274856.6372</v>
      </c>
      <c r="AC154" s="4">
        <v>53665.63</v>
      </c>
      <c r="AD154" s="4">
        <v>53665.63</v>
      </c>
      <c r="AE154" s="6">
        <v>221191.00719999999</v>
      </c>
      <c r="AF154" s="4">
        <v>0</v>
      </c>
      <c r="AG154" s="7">
        <v>0</v>
      </c>
      <c r="AH154" s="2" t="s">
        <v>37</v>
      </c>
      <c r="AI154">
        <v>0</v>
      </c>
      <c r="AJ154" s="3">
        <v>41912.6862384259</v>
      </c>
      <c r="AK154" s="2" t="s">
        <v>1867</v>
      </c>
    </row>
    <row r="155" spans="1:37" x14ac:dyDescent="0.15">
      <c r="A155" s="2" t="s">
        <v>1866</v>
      </c>
      <c r="B155">
        <v>1093</v>
      </c>
      <c r="C155" s="3">
        <v>41640</v>
      </c>
      <c r="D155" s="2" t="s">
        <v>37</v>
      </c>
      <c r="E155" s="2" t="s">
        <v>1865</v>
      </c>
      <c r="F155" s="2" t="s">
        <v>38</v>
      </c>
      <c r="G155" s="2" t="s">
        <v>346</v>
      </c>
      <c r="H155" s="2" t="s">
        <v>347</v>
      </c>
      <c r="I155" s="4">
        <v>14355608.07</v>
      </c>
      <c r="J155" s="4">
        <v>0</v>
      </c>
      <c r="K155" s="4">
        <v>0</v>
      </c>
      <c r="L155" s="5"/>
      <c r="M155" s="5">
        <v>3.2</v>
      </c>
      <c r="N155" s="6">
        <v>459379.45819999999</v>
      </c>
      <c r="O155" s="4">
        <v>459379</v>
      </c>
      <c r="P155" s="4">
        <v>459379</v>
      </c>
      <c r="Q155" s="6">
        <v>0.4582</v>
      </c>
      <c r="R155" s="4">
        <v>10766705.58</v>
      </c>
      <c r="S155" s="4">
        <v>10766705.58</v>
      </c>
      <c r="T155" s="4">
        <v>10766705.58</v>
      </c>
      <c r="U155" s="4">
        <v>10766705.58</v>
      </c>
      <c r="V155" s="6">
        <v>75</v>
      </c>
      <c r="W155" s="4">
        <v>8237236.8899999997</v>
      </c>
      <c r="X155" s="4">
        <v>8237236.8899999997</v>
      </c>
      <c r="Y155" s="4">
        <v>10005119.24</v>
      </c>
      <c r="Z155" s="4">
        <v>10005119.24</v>
      </c>
      <c r="AA155" s="4">
        <v>3.4</v>
      </c>
      <c r="AB155" s="6">
        <v>366067.98969999998</v>
      </c>
      <c r="AC155" s="4">
        <v>366068</v>
      </c>
      <c r="AD155" s="4">
        <v>366068</v>
      </c>
      <c r="AE155" s="6">
        <v>-1.03E-2</v>
      </c>
      <c r="AF155" s="4">
        <v>0</v>
      </c>
      <c r="AG155" s="7">
        <v>0</v>
      </c>
      <c r="AH155" s="2" t="s">
        <v>37</v>
      </c>
      <c r="AI155">
        <v>0</v>
      </c>
      <c r="AJ155" s="3">
        <v>41912.6862847222</v>
      </c>
      <c r="AK155" s="2" t="s">
        <v>1864</v>
      </c>
    </row>
    <row r="156" spans="1:37" x14ac:dyDescent="0.15">
      <c r="A156" s="2" t="s">
        <v>1863</v>
      </c>
      <c r="B156">
        <v>1094</v>
      </c>
      <c r="C156" s="3">
        <v>41640</v>
      </c>
      <c r="D156" s="2" t="s">
        <v>37</v>
      </c>
      <c r="E156" s="2" t="s">
        <v>1862</v>
      </c>
      <c r="F156" s="2" t="s">
        <v>38</v>
      </c>
      <c r="G156" s="2" t="s">
        <v>1547</v>
      </c>
      <c r="H156" s="2" t="s">
        <v>1681</v>
      </c>
      <c r="I156" s="4"/>
      <c r="J156" s="4">
        <v>0</v>
      </c>
      <c r="K156" s="4">
        <v>0</v>
      </c>
      <c r="L156" s="5"/>
      <c r="M156" s="5"/>
      <c r="N156" s="6"/>
      <c r="O156" s="4">
        <v>0</v>
      </c>
      <c r="P156" s="4">
        <v>0</v>
      </c>
      <c r="Q156" s="6"/>
      <c r="R156" s="4">
        <v>0</v>
      </c>
      <c r="S156" s="4">
        <v>0</v>
      </c>
      <c r="T156" s="4">
        <v>0</v>
      </c>
      <c r="U156" s="4">
        <v>0</v>
      </c>
      <c r="V156" s="6">
        <v>0</v>
      </c>
      <c r="W156" s="4">
        <v>0</v>
      </c>
      <c r="X156" s="4">
        <v>0</v>
      </c>
      <c r="Y156" s="4">
        <v>0</v>
      </c>
      <c r="Z156" s="4">
        <v>0</v>
      </c>
      <c r="AA156" s="4"/>
      <c r="AB156" s="6">
        <v>0</v>
      </c>
      <c r="AC156" s="4">
        <v>0</v>
      </c>
      <c r="AD156" s="4">
        <v>0</v>
      </c>
      <c r="AE156" s="6">
        <v>0</v>
      </c>
      <c r="AF156" s="4">
        <v>0</v>
      </c>
      <c r="AG156" s="7">
        <v>0</v>
      </c>
      <c r="AH156" s="2" t="s">
        <v>37</v>
      </c>
      <c r="AI156">
        <v>0</v>
      </c>
      <c r="AJ156" s="3">
        <v>41912.6862847222</v>
      </c>
      <c r="AK156" s="2" t="s">
        <v>1861</v>
      </c>
    </row>
    <row r="157" spans="1:37" x14ac:dyDescent="0.15">
      <c r="A157" s="2" t="s">
        <v>1860</v>
      </c>
      <c r="B157">
        <v>221</v>
      </c>
      <c r="C157" s="3">
        <v>41671</v>
      </c>
      <c r="D157" s="2" t="s">
        <v>37</v>
      </c>
      <c r="E157" s="2" t="s">
        <v>1859</v>
      </c>
      <c r="F157" s="2" t="s">
        <v>41</v>
      </c>
      <c r="G157" s="2" t="s">
        <v>352</v>
      </c>
      <c r="H157" s="2" t="s">
        <v>353</v>
      </c>
      <c r="I157" s="4">
        <v>2915737.56</v>
      </c>
      <c r="J157" s="4">
        <v>0</v>
      </c>
      <c r="K157" s="4">
        <v>0</v>
      </c>
      <c r="L157" s="5"/>
      <c r="M157" s="5">
        <v>3.6</v>
      </c>
      <c r="N157" s="6">
        <v>104966.55220000001</v>
      </c>
      <c r="O157" s="4">
        <v>97955.71</v>
      </c>
      <c r="P157" s="4">
        <v>97955.71</v>
      </c>
      <c r="Q157" s="6">
        <v>7010.8422</v>
      </c>
      <c r="R157" s="4">
        <v>0</v>
      </c>
      <c r="S157" s="4">
        <v>0</v>
      </c>
      <c r="T157" s="4">
        <v>1360496</v>
      </c>
      <c r="U157" s="4">
        <v>1360496</v>
      </c>
      <c r="V157" s="6">
        <v>46.660400000000003</v>
      </c>
      <c r="W157" s="4">
        <v>0</v>
      </c>
      <c r="X157" s="4">
        <v>0</v>
      </c>
      <c r="Y157" s="4">
        <v>1145067.95</v>
      </c>
      <c r="Z157" s="4">
        <v>1145067.95</v>
      </c>
      <c r="AA157" s="4">
        <v>3.4</v>
      </c>
      <c r="AB157" s="6">
        <v>99135.077000000005</v>
      </c>
      <c r="AC157" s="4">
        <v>74010.98</v>
      </c>
      <c r="AD157" s="4">
        <v>74010.98</v>
      </c>
      <c r="AE157" s="6">
        <v>25124.097000000002</v>
      </c>
      <c r="AF157" s="4">
        <v>0</v>
      </c>
      <c r="AG157" s="7">
        <v>0</v>
      </c>
      <c r="AH157" s="2" t="s">
        <v>37</v>
      </c>
      <c r="AI157">
        <v>0</v>
      </c>
      <c r="AJ157" s="3">
        <v>41912.6862384259</v>
      </c>
      <c r="AK157" s="2" t="s">
        <v>1858</v>
      </c>
    </row>
    <row r="158" spans="1:37" x14ac:dyDescent="0.15">
      <c r="A158" s="2" t="s">
        <v>1857</v>
      </c>
      <c r="B158">
        <v>1117</v>
      </c>
      <c r="C158" s="3">
        <v>41699</v>
      </c>
      <c r="D158" s="2" t="s">
        <v>37</v>
      </c>
      <c r="E158" s="2" t="s">
        <v>1856</v>
      </c>
      <c r="F158" s="2" t="s">
        <v>38</v>
      </c>
      <c r="G158" s="2" t="s">
        <v>358</v>
      </c>
      <c r="H158" s="2" t="s">
        <v>359</v>
      </c>
      <c r="I158" s="4">
        <v>1054353.53</v>
      </c>
      <c r="J158" s="4">
        <v>0</v>
      </c>
      <c r="K158" s="4">
        <v>0</v>
      </c>
      <c r="L158" s="5"/>
      <c r="M158" s="5">
        <v>3</v>
      </c>
      <c r="N158" s="6">
        <v>31630.605899999999</v>
      </c>
      <c r="O158" s="4">
        <v>31631</v>
      </c>
      <c r="P158" s="4">
        <v>31631</v>
      </c>
      <c r="Q158" s="6">
        <v>-0.39410000000000001</v>
      </c>
      <c r="R158" s="4">
        <v>200000</v>
      </c>
      <c r="S158" s="4">
        <v>200000</v>
      </c>
      <c r="T158" s="4">
        <v>200000</v>
      </c>
      <c r="U158" s="4">
        <v>200000</v>
      </c>
      <c r="V158" s="6">
        <v>18.969000000000001</v>
      </c>
      <c r="W158" s="4">
        <v>80000</v>
      </c>
      <c r="X158" s="4">
        <v>80000</v>
      </c>
      <c r="Y158" s="4">
        <v>86800</v>
      </c>
      <c r="Z158" s="4">
        <v>86800</v>
      </c>
      <c r="AA158" s="4">
        <v>3.4</v>
      </c>
      <c r="AB158" s="6">
        <v>6800</v>
      </c>
      <c r="AC158" s="4">
        <v>6800</v>
      </c>
      <c r="AD158" s="4">
        <v>6800</v>
      </c>
      <c r="AE158" s="6">
        <v>0</v>
      </c>
      <c r="AF158" s="4">
        <v>0</v>
      </c>
      <c r="AG158" s="7">
        <v>15</v>
      </c>
      <c r="AH158" s="2" t="s">
        <v>159</v>
      </c>
      <c r="AI158">
        <v>0</v>
      </c>
      <c r="AJ158" s="3">
        <v>41912.6862847222</v>
      </c>
      <c r="AK158" s="2" t="s">
        <v>1855</v>
      </c>
    </row>
    <row r="159" spans="1:37" x14ac:dyDescent="0.15">
      <c r="A159" s="2" t="s">
        <v>1854</v>
      </c>
      <c r="B159">
        <v>226</v>
      </c>
      <c r="C159" s="3">
        <v>41699</v>
      </c>
      <c r="D159" s="2" t="s">
        <v>37</v>
      </c>
      <c r="E159" s="2" t="s">
        <v>1853</v>
      </c>
      <c r="F159" s="2" t="s">
        <v>41</v>
      </c>
      <c r="G159" s="2" t="s">
        <v>356</v>
      </c>
      <c r="H159" s="2" t="s">
        <v>357</v>
      </c>
      <c r="I159" s="4">
        <v>12750000</v>
      </c>
      <c r="J159" s="4">
        <v>0</v>
      </c>
      <c r="K159" s="4">
        <v>0</v>
      </c>
      <c r="L159" s="5"/>
      <c r="M159" s="5">
        <v>3</v>
      </c>
      <c r="N159" s="6">
        <v>382500</v>
      </c>
      <c r="O159" s="4">
        <v>382500</v>
      </c>
      <c r="P159" s="4">
        <v>382500</v>
      </c>
      <c r="Q159" s="6">
        <v>0</v>
      </c>
      <c r="R159" s="4">
        <v>0</v>
      </c>
      <c r="S159" s="4">
        <v>0</v>
      </c>
      <c r="T159" s="4">
        <v>7596524.4199999999</v>
      </c>
      <c r="U159" s="4">
        <v>7596524.4199999999</v>
      </c>
      <c r="V159" s="6">
        <v>59.580599999999997</v>
      </c>
      <c r="W159" s="4">
        <v>0</v>
      </c>
      <c r="X159" s="4">
        <v>0</v>
      </c>
      <c r="Y159" s="4">
        <v>6030422.2000000002</v>
      </c>
      <c r="Z159" s="4">
        <v>6030422.2000000002</v>
      </c>
      <c r="AA159" s="4"/>
      <c r="AB159" s="6">
        <v>297937.5</v>
      </c>
      <c r="AC159" s="4">
        <v>297937.5</v>
      </c>
      <c r="AD159" s="4">
        <v>297937.5</v>
      </c>
      <c r="AE159" s="6">
        <v>0</v>
      </c>
      <c r="AF159" s="4">
        <v>0</v>
      </c>
      <c r="AG159" s="7">
        <v>0</v>
      </c>
      <c r="AH159" s="2" t="s">
        <v>37</v>
      </c>
      <c r="AI159">
        <v>0</v>
      </c>
      <c r="AJ159" s="3">
        <v>41912.6862384259</v>
      </c>
      <c r="AK159" s="2" t="s">
        <v>1852</v>
      </c>
    </row>
    <row r="160" spans="1:37" x14ac:dyDescent="0.15">
      <c r="A160" s="2" t="s">
        <v>1851</v>
      </c>
      <c r="B160">
        <v>1109</v>
      </c>
      <c r="C160" s="3">
        <v>41699</v>
      </c>
      <c r="D160" s="2" t="s">
        <v>37</v>
      </c>
      <c r="E160" s="2" t="s">
        <v>1850</v>
      </c>
      <c r="F160" s="2" t="s">
        <v>38</v>
      </c>
      <c r="G160" s="2" t="s">
        <v>354</v>
      </c>
      <c r="H160" s="2" t="s">
        <v>355</v>
      </c>
      <c r="I160" s="4">
        <v>261648.41</v>
      </c>
      <c r="J160" s="4">
        <v>0</v>
      </c>
      <c r="K160" s="4">
        <v>0</v>
      </c>
      <c r="L160" s="5"/>
      <c r="M160" s="5">
        <v>3.6</v>
      </c>
      <c r="N160" s="6">
        <v>9419.3428000000004</v>
      </c>
      <c r="O160" s="4">
        <v>9419</v>
      </c>
      <c r="P160" s="4">
        <v>9419</v>
      </c>
      <c r="Q160" s="6">
        <v>0.34279999999999999</v>
      </c>
      <c r="R160" s="4">
        <v>248565.99</v>
      </c>
      <c r="S160" s="4">
        <v>248565.99</v>
      </c>
      <c r="T160" s="4">
        <v>248565.99</v>
      </c>
      <c r="U160" s="4">
        <v>248565.99</v>
      </c>
      <c r="V160" s="6">
        <v>95</v>
      </c>
      <c r="W160" s="4">
        <v>109977</v>
      </c>
      <c r="X160" s="4">
        <v>109977</v>
      </c>
      <c r="Y160" s="4">
        <v>248518</v>
      </c>
      <c r="Z160" s="4">
        <v>248518</v>
      </c>
      <c r="AA160" s="4">
        <v>3.4</v>
      </c>
      <c r="AB160" s="6">
        <v>8451.2437000000009</v>
      </c>
      <c r="AC160" s="4">
        <v>8541</v>
      </c>
      <c r="AD160" s="4">
        <v>8541</v>
      </c>
      <c r="AE160" s="6">
        <v>-89.756299999999996</v>
      </c>
      <c r="AF160" s="4">
        <v>0</v>
      </c>
      <c r="AG160" s="7">
        <v>0</v>
      </c>
      <c r="AH160" s="2" t="s">
        <v>37</v>
      </c>
      <c r="AI160">
        <v>0</v>
      </c>
      <c r="AJ160" s="3">
        <v>41912.6862847222</v>
      </c>
      <c r="AK160" s="2" t="s">
        <v>1849</v>
      </c>
    </row>
    <row r="161" spans="1:37" x14ac:dyDescent="0.15">
      <c r="A161" s="2" t="s">
        <v>1848</v>
      </c>
      <c r="B161">
        <v>1126</v>
      </c>
      <c r="C161" s="3">
        <v>41730</v>
      </c>
      <c r="D161" s="2" t="s">
        <v>37</v>
      </c>
      <c r="E161" s="2" t="s">
        <v>1847</v>
      </c>
      <c r="F161" s="2" t="s">
        <v>38</v>
      </c>
      <c r="G161" s="2" t="s">
        <v>364</v>
      </c>
      <c r="H161" s="2" t="s">
        <v>365</v>
      </c>
      <c r="I161" s="4">
        <v>1393840</v>
      </c>
      <c r="J161" s="4">
        <v>853433.7</v>
      </c>
      <c r="K161" s="4">
        <v>853433.7</v>
      </c>
      <c r="L161" s="5"/>
      <c r="M161" s="5">
        <v>3.6</v>
      </c>
      <c r="N161" s="6">
        <v>80901.853199999998</v>
      </c>
      <c r="O161" s="4">
        <v>50613</v>
      </c>
      <c r="P161" s="4">
        <v>50613</v>
      </c>
      <c r="Q161" s="6">
        <v>30288.853200000001</v>
      </c>
      <c r="R161" s="4">
        <v>1142434.71</v>
      </c>
      <c r="S161" s="4">
        <v>1142434.71</v>
      </c>
      <c r="T161" s="4">
        <v>1142434.71</v>
      </c>
      <c r="U161" s="4">
        <v>1142434.71</v>
      </c>
      <c r="V161" s="6">
        <v>50.836500000000001</v>
      </c>
      <c r="W161" s="4">
        <v>932058.05</v>
      </c>
      <c r="X161" s="4">
        <v>932058.05</v>
      </c>
      <c r="Y161" s="4">
        <v>972572.05</v>
      </c>
      <c r="Z161" s="4">
        <v>972572.05</v>
      </c>
      <c r="AA161" s="4">
        <v>3.4</v>
      </c>
      <c r="AB161" s="6">
        <v>38842.780100000004</v>
      </c>
      <c r="AC161" s="4">
        <v>38842</v>
      </c>
      <c r="AD161" s="4">
        <v>38842</v>
      </c>
      <c r="AE161" s="6">
        <v>0.78010000000000002</v>
      </c>
      <c r="AF161" s="4">
        <v>0</v>
      </c>
      <c r="AG161" s="7">
        <v>20</v>
      </c>
      <c r="AH161" s="2" t="s">
        <v>97</v>
      </c>
      <c r="AI161">
        <v>0</v>
      </c>
      <c r="AJ161" s="3">
        <v>41912.6862847222</v>
      </c>
      <c r="AK161" s="2" t="s">
        <v>1846</v>
      </c>
    </row>
    <row r="162" spans="1:37" x14ac:dyDescent="0.15">
      <c r="A162" s="2" t="s">
        <v>1845</v>
      </c>
      <c r="B162">
        <v>231</v>
      </c>
      <c r="C162" s="3">
        <v>41730</v>
      </c>
      <c r="D162" s="2" t="s">
        <v>37</v>
      </c>
      <c r="E162" s="2" t="s">
        <v>1844</v>
      </c>
      <c r="F162" s="2" t="s">
        <v>41</v>
      </c>
      <c r="G162" s="2" t="s">
        <v>362</v>
      </c>
      <c r="H162" s="2" t="s">
        <v>363</v>
      </c>
      <c r="I162" s="4">
        <v>50000</v>
      </c>
      <c r="J162" s="4">
        <v>0</v>
      </c>
      <c r="K162" s="4">
        <v>0</v>
      </c>
      <c r="L162" s="5"/>
      <c r="M162" s="5">
        <v>8.6</v>
      </c>
      <c r="N162" s="6">
        <v>4300</v>
      </c>
      <c r="O162" s="4">
        <v>4300</v>
      </c>
      <c r="P162" s="4">
        <v>4300</v>
      </c>
      <c r="Q162" s="6">
        <v>0</v>
      </c>
      <c r="R162" s="4">
        <v>0</v>
      </c>
      <c r="S162" s="4">
        <v>0</v>
      </c>
      <c r="T162" s="4">
        <v>40000</v>
      </c>
      <c r="U162" s="4">
        <v>40000</v>
      </c>
      <c r="V162" s="6">
        <v>80</v>
      </c>
      <c r="W162" s="4">
        <v>0</v>
      </c>
      <c r="X162" s="4">
        <v>0</v>
      </c>
      <c r="Y162" s="4">
        <v>40000</v>
      </c>
      <c r="Z162" s="4">
        <v>40000</v>
      </c>
      <c r="AA162" s="4">
        <v>3.4</v>
      </c>
      <c r="AB162" s="6">
        <v>1700</v>
      </c>
      <c r="AC162" s="4">
        <v>1700</v>
      </c>
      <c r="AD162" s="4">
        <v>1700</v>
      </c>
      <c r="AE162" s="6">
        <v>0</v>
      </c>
      <c r="AF162" s="4">
        <v>0</v>
      </c>
      <c r="AG162" s="7">
        <v>0</v>
      </c>
      <c r="AH162" s="2" t="s">
        <v>37</v>
      </c>
      <c r="AI162">
        <v>0</v>
      </c>
      <c r="AJ162" s="3">
        <v>41912.6862384259</v>
      </c>
      <c r="AK162" s="2" t="s">
        <v>1843</v>
      </c>
    </row>
    <row r="163" spans="1:37" x14ac:dyDescent="0.15">
      <c r="A163" s="2" t="s">
        <v>1842</v>
      </c>
      <c r="B163">
        <v>1133</v>
      </c>
      <c r="C163" s="3">
        <v>41730</v>
      </c>
      <c r="D163" s="2" t="s">
        <v>37</v>
      </c>
      <c r="E163" s="2" t="s">
        <v>1841</v>
      </c>
      <c r="F163" s="2" t="s">
        <v>38</v>
      </c>
      <c r="G163" s="2" t="s">
        <v>360</v>
      </c>
      <c r="H163" s="2" t="s">
        <v>361</v>
      </c>
      <c r="I163" s="4">
        <v>1470000</v>
      </c>
      <c r="J163" s="4">
        <v>0</v>
      </c>
      <c r="K163" s="4">
        <v>0</v>
      </c>
      <c r="L163" s="5"/>
      <c r="M163" s="5">
        <v>3.6</v>
      </c>
      <c r="N163" s="6">
        <v>52920</v>
      </c>
      <c r="O163" s="4">
        <v>0</v>
      </c>
      <c r="P163" s="4">
        <v>0</v>
      </c>
      <c r="Q163" s="6">
        <v>52920</v>
      </c>
      <c r="R163" s="4">
        <v>1176000.01</v>
      </c>
      <c r="S163" s="4">
        <v>1176000.01</v>
      </c>
      <c r="T163" s="4">
        <v>664033.28000000003</v>
      </c>
      <c r="U163" s="4">
        <v>664033.28000000003</v>
      </c>
      <c r="V163" s="6">
        <v>45.1723</v>
      </c>
      <c r="W163" s="4">
        <v>243938.24</v>
      </c>
      <c r="X163" s="4">
        <v>243938.24</v>
      </c>
      <c r="Y163" s="4">
        <v>283922.24</v>
      </c>
      <c r="Z163" s="4">
        <v>283922.24</v>
      </c>
      <c r="AA163" s="4">
        <v>3.4</v>
      </c>
      <c r="AB163" s="6">
        <v>39984.0003</v>
      </c>
      <c r="AC163" s="4">
        <v>39984</v>
      </c>
      <c r="AD163" s="4">
        <v>39984</v>
      </c>
      <c r="AE163" s="6">
        <v>2.9999999999999997E-4</v>
      </c>
      <c r="AF163" s="4">
        <v>0</v>
      </c>
      <c r="AG163" s="7">
        <v>1</v>
      </c>
      <c r="AH163" s="2" t="s">
        <v>97</v>
      </c>
      <c r="AI163">
        <v>0</v>
      </c>
      <c r="AJ163" s="3">
        <v>41912.6862847222</v>
      </c>
      <c r="AK163" s="2" t="s">
        <v>1840</v>
      </c>
    </row>
    <row r="164" spans="1:37" x14ac:dyDescent="0.15">
      <c r="A164" s="2" t="s">
        <v>1839</v>
      </c>
      <c r="B164">
        <v>1151</v>
      </c>
      <c r="C164" s="3">
        <v>41744</v>
      </c>
      <c r="D164" s="2" t="s">
        <v>37</v>
      </c>
      <c r="E164" s="2" t="s">
        <v>1838</v>
      </c>
      <c r="F164" s="2" t="s">
        <v>38</v>
      </c>
      <c r="G164" s="2" t="s">
        <v>366</v>
      </c>
      <c r="H164" s="2" t="s">
        <v>367</v>
      </c>
      <c r="I164" s="4">
        <v>1414102.49</v>
      </c>
      <c r="J164" s="4">
        <v>0</v>
      </c>
      <c r="K164" s="4">
        <v>0</v>
      </c>
      <c r="L164" s="5"/>
      <c r="M164" s="5">
        <v>3.6</v>
      </c>
      <c r="N164" s="6">
        <v>50907.689599999998</v>
      </c>
      <c r="O164" s="4">
        <v>50908</v>
      </c>
      <c r="P164" s="4">
        <v>50908</v>
      </c>
      <c r="Q164" s="6">
        <v>-0.31040000000000001</v>
      </c>
      <c r="R164" s="4">
        <v>0</v>
      </c>
      <c r="S164" s="4">
        <v>0</v>
      </c>
      <c r="T164" s="4">
        <v>0</v>
      </c>
      <c r="U164" s="4">
        <v>0</v>
      </c>
      <c r="V164" s="6">
        <v>0</v>
      </c>
      <c r="W164" s="4">
        <v>0</v>
      </c>
      <c r="X164" s="4">
        <v>0</v>
      </c>
      <c r="Y164" s="4">
        <v>0</v>
      </c>
      <c r="Z164" s="4">
        <v>0</v>
      </c>
      <c r="AA164" s="4"/>
      <c r="AB164" s="6">
        <v>0</v>
      </c>
      <c r="AC164" s="4">
        <v>0</v>
      </c>
      <c r="AD164" s="4">
        <v>0</v>
      </c>
      <c r="AE164" s="6">
        <v>0</v>
      </c>
      <c r="AF164" s="4">
        <v>0</v>
      </c>
      <c r="AG164" s="7">
        <v>15</v>
      </c>
      <c r="AH164" s="2" t="s">
        <v>66</v>
      </c>
      <c r="AI164">
        <v>0</v>
      </c>
      <c r="AJ164" s="3">
        <v>41912.6862847222</v>
      </c>
      <c r="AK164" s="2" t="s">
        <v>1837</v>
      </c>
    </row>
    <row r="165" spans="1:37" x14ac:dyDescent="0.15">
      <c r="A165" s="2" t="s">
        <v>1836</v>
      </c>
      <c r="B165">
        <v>1141</v>
      </c>
      <c r="C165" s="3">
        <v>41745</v>
      </c>
      <c r="D165" s="2" t="s">
        <v>37</v>
      </c>
      <c r="E165" s="2" t="s">
        <v>1835</v>
      </c>
      <c r="F165" s="2" t="s">
        <v>38</v>
      </c>
      <c r="G165" s="2" t="s">
        <v>368</v>
      </c>
      <c r="H165" s="2" t="s">
        <v>369</v>
      </c>
      <c r="I165" s="4">
        <v>1287679</v>
      </c>
      <c r="J165" s="4">
        <v>0</v>
      </c>
      <c r="K165" s="4">
        <v>0</v>
      </c>
      <c r="L165" s="5"/>
      <c r="M165" s="5">
        <v>3.6</v>
      </c>
      <c r="N165" s="6">
        <v>46356.444000000003</v>
      </c>
      <c r="O165" s="4">
        <v>46356</v>
      </c>
      <c r="P165" s="4">
        <v>46356</v>
      </c>
      <c r="Q165" s="6">
        <v>0.44400000000000001</v>
      </c>
      <c r="R165" s="4">
        <v>400000</v>
      </c>
      <c r="S165" s="4">
        <v>400000</v>
      </c>
      <c r="T165" s="4">
        <v>400000</v>
      </c>
      <c r="U165" s="4">
        <v>400000</v>
      </c>
      <c r="V165" s="6">
        <v>31.063600000000001</v>
      </c>
      <c r="W165" s="4">
        <v>353418.72</v>
      </c>
      <c r="X165" s="4">
        <v>353418.72</v>
      </c>
      <c r="Y165" s="4">
        <v>367018.72</v>
      </c>
      <c r="Z165" s="4">
        <v>367018.72</v>
      </c>
      <c r="AA165" s="4">
        <v>3.4</v>
      </c>
      <c r="AB165" s="6">
        <v>13600</v>
      </c>
      <c r="AC165" s="4">
        <v>13600</v>
      </c>
      <c r="AD165" s="4">
        <v>13600</v>
      </c>
      <c r="AE165" s="6">
        <v>0</v>
      </c>
      <c r="AF165" s="4">
        <v>0</v>
      </c>
      <c r="AG165" s="7">
        <v>20</v>
      </c>
      <c r="AH165" s="2" t="s">
        <v>97</v>
      </c>
      <c r="AI165">
        <v>0</v>
      </c>
      <c r="AJ165" s="3">
        <v>41912.6862847222</v>
      </c>
      <c r="AK165" s="2" t="s">
        <v>1834</v>
      </c>
    </row>
    <row r="166" spans="1:37" x14ac:dyDescent="0.15">
      <c r="A166" s="2" t="s">
        <v>1833</v>
      </c>
      <c r="B166">
        <v>1148</v>
      </c>
      <c r="C166" s="3">
        <v>41747</v>
      </c>
      <c r="D166" s="2" t="s">
        <v>37</v>
      </c>
      <c r="E166" s="2" t="s">
        <v>1832</v>
      </c>
      <c r="F166" s="2" t="s">
        <v>38</v>
      </c>
      <c r="G166" s="2" t="s">
        <v>370</v>
      </c>
      <c r="H166" s="2" t="s">
        <v>371</v>
      </c>
      <c r="I166" s="4">
        <v>420488.3</v>
      </c>
      <c r="J166" s="4">
        <v>0</v>
      </c>
      <c r="K166" s="4">
        <v>0</v>
      </c>
      <c r="L166" s="5"/>
      <c r="M166" s="5">
        <v>3.6</v>
      </c>
      <c r="N166" s="6">
        <v>15137.578799999999</v>
      </c>
      <c r="O166" s="4">
        <v>0</v>
      </c>
      <c r="P166" s="4">
        <v>0</v>
      </c>
      <c r="Q166" s="6">
        <v>15137.578799999999</v>
      </c>
      <c r="R166" s="4">
        <v>378000</v>
      </c>
      <c r="S166" s="4">
        <v>378000</v>
      </c>
      <c r="T166" s="4">
        <v>378000</v>
      </c>
      <c r="U166" s="4">
        <v>378000</v>
      </c>
      <c r="V166" s="6">
        <v>89.895499999999998</v>
      </c>
      <c r="W166" s="4">
        <v>318684.49</v>
      </c>
      <c r="X166" s="4">
        <v>318684.49</v>
      </c>
      <c r="Y166" s="4">
        <v>351536.49</v>
      </c>
      <c r="Z166" s="4">
        <v>351536.49</v>
      </c>
      <c r="AA166" s="4">
        <v>3.4</v>
      </c>
      <c r="AB166" s="6">
        <v>12852</v>
      </c>
      <c r="AC166" s="4">
        <v>12852</v>
      </c>
      <c r="AD166" s="4">
        <v>12852</v>
      </c>
      <c r="AE166" s="6">
        <v>0</v>
      </c>
      <c r="AF166" s="4">
        <v>0</v>
      </c>
      <c r="AG166" s="7">
        <v>5</v>
      </c>
      <c r="AH166" s="2" t="s">
        <v>97</v>
      </c>
      <c r="AI166">
        <v>0</v>
      </c>
      <c r="AJ166" s="3">
        <v>41912.6862847222</v>
      </c>
      <c r="AK166" s="2" t="s">
        <v>1831</v>
      </c>
    </row>
    <row r="167" spans="1:37" x14ac:dyDescent="0.15">
      <c r="A167" s="2" t="s">
        <v>1830</v>
      </c>
      <c r="B167">
        <v>1159</v>
      </c>
      <c r="C167" s="3">
        <v>41760</v>
      </c>
      <c r="D167" s="2" t="s">
        <v>37</v>
      </c>
      <c r="E167" s="2" t="s">
        <v>1829</v>
      </c>
      <c r="F167" s="2" t="s">
        <v>38</v>
      </c>
      <c r="G167" s="2" t="s">
        <v>376</v>
      </c>
      <c r="H167" s="2" t="s">
        <v>260</v>
      </c>
      <c r="I167" s="4">
        <v>10118443</v>
      </c>
      <c r="J167" s="4">
        <v>0</v>
      </c>
      <c r="K167" s="4">
        <v>0</v>
      </c>
      <c r="L167" s="5"/>
      <c r="M167" s="5">
        <v>3</v>
      </c>
      <c r="N167" s="6">
        <v>303553.28999999998</v>
      </c>
      <c r="O167" s="4">
        <v>100000</v>
      </c>
      <c r="P167" s="4">
        <v>100000</v>
      </c>
      <c r="Q167" s="6">
        <v>203553.29</v>
      </c>
      <c r="R167" s="4">
        <v>4800000</v>
      </c>
      <c r="S167" s="4">
        <v>4800000</v>
      </c>
      <c r="T167" s="4">
        <v>1800000</v>
      </c>
      <c r="U167" s="4">
        <v>1800000</v>
      </c>
      <c r="V167" s="6">
        <v>17.789300000000001</v>
      </c>
      <c r="W167" s="4">
        <v>1739791</v>
      </c>
      <c r="X167" s="4">
        <v>1739791</v>
      </c>
      <c r="Y167" s="4">
        <v>1800811</v>
      </c>
      <c r="Z167" s="4">
        <v>1800811</v>
      </c>
      <c r="AA167" s="4">
        <v>3.74</v>
      </c>
      <c r="AB167" s="6">
        <v>179520</v>
      </c>
      <c r="AC167" s="4">
        <v>179520</v>
      </c>
      <c r="AD167" s="4">
        <v>179520</v>
      </c>
      <c r="AE167" s="6">
        <v>0</v>
      </c>
      <c r="AF167" s="4">
        <v>0</v>
      </c>
      <c r="AG167" s="7">
        <v>132</v>
      </c>
      <c r="AH167" s="2" t="s">
        <v>66</v>
      </c>
      <c r="AI167">
        <v>0</v>
      </c>
      <c r="AJ167" s="3">
        <v>41912.6862847222</v>
      </c>
      <c r="AK167" s="2" t="s">
        <v>1828</v>
      </c>
    </row>
    <row r="168" spans="1:37" x14ac:dyDescent="0.15">
      <c r="A168" s="2" t="s">
        <v>1827</v>
      </c>
      <c r="B168">
        <v>1170</v>
      </c>
      <c r="C168" s="3">
        <v>41760</v>
      </c>
      <c r="D168" s="2" t="s">
        <v>37</v>
      </c>
      <c r="E168" s="2" t="s">
        <v>1826</v>
      </c>
      <c r="F168" s="2" t="s">
        <v>38</v>
      </c>
      <c r="G168" s="2" t="s">
        <v>1610</v>
      </c>
      <c r="H168" s="2" t="s">
        <v>1680</v>
      </c>
      <c r="I168" s="4"/>
      <c r="J168" s="4">
        <v>0</v>
      </c>
      <c r="K168" s="4">
        <v>0</v>
      </c>
      <c r="L168" s="5"/>
      <c r="M168" s="5"/>
      <c r="N168" s="6"/>
      <c r="O168" s="4">
        <v>0</v>
      </c>
      <c r="P168" s="4">
        <v>0</v>
      </c>
      <c r="Q168" s="6"/>
      <c r="R168" s="4">
        <v>0</v>
      </c>
      <c r="S168" s="4">
        <v>0</v>
      </c>
      <c r="T168" s="4">
        <v>0</v>
      </c>
      <c r="U168" s="4">
        <v>0</v>
      </c>
      <c r="V168" s="6">
        <v>0</v>
      </c>
      <c r="W168" s="4">
        <v>0</v>
      </c>
      <c r="X168" s="4">
        <v>0</v>
      </c>
      <c r="Y168" s="4">
        <v>0</v>
      </c>
      <c r="Z168" s="4">
        <v>0</v>
      </c>
      <c r="AA168" s="4"/>
      <c r="AB168" s="6">
        <v>0</v>
      </c>
      <c r="AC168" s="4">
        <v>0</v>
      </c>
      <c r="AD168" s="4">
        <v>0</v>
      </c>
      <c r="AE168" s="6">
        <v>0</v>
      </c>
      <c r="AF168" s="4">
        <v>0</v>
      </c>
      <c r="AG168" s="7">
        <v>0</v>
      </c>
      <c r="AH168" s="2" t="s">
        <v>37</v>
      </c>
      <c r="AI168">
        <v>0</v>
      </c>
      <c r="AJ168" s="3">
        <v>41912.6862847222</v>
      </c>
      <c r="AK168" s="2" t="s">
        <v>1825</v>
      </c>
    </row>
    <row r="169" spans="1:37" x14ac:dyDescent="0.15">
      <c r="A169" s="2" t="s">
        <v>1824</v>
      </c>
      <c r="B169">
        <v>1173</v>
      </c>
      <c r="C169" s="3">
        <v>41760</v>
      </c>
      <c r="D169" s="2" t="s">
        <v>37</v>
      </c>
      <c r="E169" s="2" t="s">
        <v>1823</v>
      </c>
      <c r="F169" s="2" t="s">
        <v>38</v>
      </c>
      <c r="G169" s="2" t="s">
        <v>377</v>
      </c>
      <c r="H169" s="2" t="s">
        <v>378</v>
      </c>
      <c r="I169" s="4">
        <v>769500</v>
      </c>
      <c r="J169" s="4">
        <v>0</v>
      </c>
      <c r="K169" s="4">
        <v>0</v>
      </c>
      <c r="L169" s="5"/>
      <c r="M169" s="5">
        <v>4.5999999999999996</v>
      </c>
      <c r="N169" s="6">
        <v>35397</v>
      </c>
      <c r="O169" s="4">
        <v>35397</v>
      </c>
      <c r="P169" s="4">
        <v>35397</v>
      </c>
      <c r="Q169" s="6">
        <v>0</v>
      </c>
      <c r="R169" s="4">
        <v>0</v>
      </c>
      <c r="S169" s="4">
        <v>0</v>
      </c>
      <c r="T169" s="4">
        <v>0</v>
      </c>
      <c r="U169" s="4">
        <v>0</v>
      </c>
      <c r="V169" s="6">
        <v>0</v>
      </c>
      <c r="W169" s="4">
        <v>0</v>
      </c>
      <c r="X169" s="4">
        <v>0</v>
      </c>
      <c r="Y169" s="4">
        <v>0</v>
      </c>
      <c r="Z169" s="4">
        <v>0</v>
      </c>
      <c r="AA169" s="4"/>
      <c r="AB169" s="6">
        <v>0</v>
      </c>
      <c r="AC169" s="4">
        <v>0</v>
      </c>
      <c r="AD169" s="4">
        <v>0</v>
      </c>
      <c r="AE169" s="6">
        <v>0</v>
      </c>
      <c r="AF169" s="4">
        <v>0</v>
      </c>
      <c r="AG169" s="7">
        <v>6</v>
      </c>
      <c r="AH169" s="2" t="s">
        <v>52</v>
      </c>
      <c r="AI169">
        <v>0</v>
      </c>
      <c r="AJ169" s="3">
        <v>41912.6862847222</v>
      </c>
      <c r="AK169" s="2" t="s">
        <v>1822</v>
      </c>
    </row>
    <row r="170" spans="1:37" x14ac:dyDescent="0.15">
      <c r="A170" s="2" t="s">
        <v>1821</v>
      </c>
      <c r="B170">
        <v>1169</v>
      </c>
      <c r="C170" s="3">
        <v>41760</v>
      </c>
      <c r="D170" s="2" t="s">
        <v>37</v>
      </c>
      <c r="E170" s="2" t="s">
        <v>1820</v>
      </c>
      <c r="F170" s="2" t="s">
        <v>38</v>
      </c>
      <c r="G170" s="2" t="s">
        <v>374</v>
      </c>
      <c r="H170" s="2" t="s">
        <v>375</v>
      </c>
      <c r="I170" s="4">
        <v>14986416.529999999</v>
      </c>
      <c r="J170" s="4">
        <v>0</v>
      </c>
      <c r="K170" s="4">
        <v>0</v>
      </c>
      <c r="L170" s="5"/>
      <c r="M170" s="5">
        <v>3</v>
      </c>
      <c r="N170" s="6">
        <v>449592.49589999998</v>
      </c>
      <c r="O170" s="4">
        <v>0</v>
      </c>
      <c r="P170" s="4">
        <v>0</v>
      </c>
      <c r="Q170" s="6">
        <v>449592.49589999998</v>
      </c>
      <c r="R170" s="4">
        <v>0</v>
      </c>
      <c r="S170" s="4">
        <v>0</v>
      </c>
      <c r="T170" s="4">
        <v>0</v>
      </c>
      <c r="U170" s="4">
        <v>0</v>
      </c>
      <c r="V170" s="6">
        <v>0</v>
      </c>
      <c r="W170" s="4">
        <v>0</v>
      </c>
      <c r="X170" s="4">
        <v>0</v>
      </c>
      <c r="Y170" s="4">
        <v>0</v>
      </c>
      <c r="Z170" s="4">
        <v>0</v>
      </c>
      <c r="AA170" s="4"/>
      <c r="AB170" s="6">
        <v>0</v>
      </c>
      <c r="AC170" s="4">
        <v>0</v>
      </c>
      <c r="AD170" s="4">
        <v>0</v>
      </c>
      <c r="AE170" s="6">
        <v>0</v>
      </c>
      <c r="AF170" s="4">
        <v>0</v>
      </c>
      <c r="AG170" s="7">
        <v>110</v>
      </c>
      <c r="AH170" s="2" t="s">
        <v>97</v>
      </c>
      <c r="AI170">
        <v>0</v>
      </c>
      <c r="AJ170" s="3">
        <v>41912.6862847222</v>
      </c>
      <c r="AK170" s="2" t="s">
        <v>1819</v>
      </c>
    </row>
    <row r="171" spans="1:37" x14ac:dyDescent="0.15">
      <c r="A171" s="2" t="s">
        <v>1818</v>
      </c>
      <c r="B171">
        <v>235</v>
      </c>
      <c r="C171" s="3">
        <v>41760</v>
      </c>
      <c r="D171" s="2" t="s">
        <v>37</v>
      </c>
      <c r="E171" s="2" t="s">
        <v>1817</v>
      </c>
      <c r="F171" s="2" t="s">
        <v>41</v>
      </c>
      <c r="G171" s="2" t="s">
        <v>372</v>
      </c>
      <c r="H171" s="2" t="s">
        <v>373</v>
      </c>
      <c r="I171" s="4">
        <v>50000</v>
      </c>
      <c r="J171" s="4">
        <v>0</v>
      </c>
      <c r="K171" s="4">
        <v>0</v>
      </c>
      <c r="L171" s="5"/>
      <c r="M171" s="5">
        <v>8.6</v>
      </c>
      <c r="N171" s="6">
        <v>4300</v>
      </c>
      <c r="O171" s="4">
        <v>4300</v>
      </c>
      <c r="P171" s="4">
        <v>4300</v>
      </c>
      <c r="Q171" s="6">
        <v>0</v>
      </c>
      <c r="R171" s="4">
        <v>0</v>
      </c>
      <c r="S171" s="4">
        <v>0</v>
      </c>
      <c r="T171" s="4">
        <v>40000</v>
      </c>
      <c r="U171" s="4">
        <v>40000</v>
      </c>
      <c r="V171" s="6">
        <v>80</v>
      </c>
      <c r="W171" s="4">
        <v>0</v>
      </c>
      <c r="X171" s="4">
        <v>0</v>
      </c>
      <c r="Y171" s="4">
        <v>40000</v>
      </c>
      <c r="Z171" s="4">
        <v>40000</v>
      </c>
      <c r="AA171" s="4">
        <v>3.4</v>
      </c>
      <c r="AB171" s="6">
        <v>1700</v>
      </c>
      <c r="AC171" s="4">
        <v>0</v>
      </c>
      <c r="AD171" s="4">
        <v>0</v>
      </c>
      <c r="AE171" s="6">
        <v>1700</v>
      </c>
      <c r="AF171" s="4">
        <v>0</v>
      </c>
      <c r="AG171" s="7">
        <v>0</v>
      </c>
      <c r="AH171" s="2" t="s">
        <v>37</v>
      </c>
      <c r="AI171">
        <v>0</v>
      </c>
      <c r="AJ171" s="3">
        <v>41912.6862384259</v>
      </c>
      <c r="AK171" s="2" t="s">
        <v>1816</v>
      </c>
    </row>
    <row r="172" spans="1:37" x14ac:dyDescent="0.15">
      <c r="A172" s="2" t="s">
        <v>1815</v>
      </c>
      <c r="B172">
        <v>1167</v>
      </c>
      <c r="C172" s="3">
        <v>41767</v>
      </c>
      <c r="D172" s="2" t="s">
        <v>37</v>
      </c>
      <c r="E172" s="2" t="s">
        <v>1814</v>
      </c>
      <c r="F172" s="2" t="s">
        <v>38</v>
      </c>
      <c r="G172" s="2" t="s">
        <v>379</v>
      </c>
      <c r="H172" s="2" t="s">
        <v>380</v>
      </c>
      <c r="I172" s="4">
        <v>944953.41</v>
      </c>
      <c r="J172" s="4">
        <v>0</v>
      </c>
      <c r="K172" s="4">
        <v>0</v>
      </c>
      <c r="L172" s="5"/>
      <c r="M172" s="5">
        <v>3.6</v>
      </c>
      <c r="N172" s="6">
        <v>34018.322800000002</v>
      </c>
      <c r="O172" s="4">
        <v>19298.8</v>
      </c>
      <c r="P172" s="4">
        <v>19298.8</v>
      </c>
      <c r="Q172" s="6">
        <v>14719.522800000001</v>
      </c>
      <c r="R172" s="4">
        <v>500000</v>
      </c>
      <c r="S172" s="4">
        <v>500000</v>
      </c>
      <c r="T172" s="4">
        <v>500000</v>
      </c>
      <c r="U172" s="4">
        <v>500000</v>
      </c>
      <c r="V172" s="6">
        <v>52.912700000000001</v>
      </c>
      <c r="W172" s="4">
        <v>358429.09</v>
      </c>
      <c r="X172" s="4">
        <v>358429.09</v>
      </c>
      <c r="Y172" s="4">
        <v>404563.09</v>
      </c>
      <c r="Z172" s="4">
        <v>404563.09</v>
      </c>
      <c r="AA172" s="4">
        <v>3.4</v>
      </c>
      <c r="AB172" s="6">
        <v>17000</v>
      </c>
      <c r="AC172" s="4">
        <v>10200</v>
      </c>
      <c r="AD172" s="4">
        <v>10200</v>
      </c>
      <c r="AE172" s="6">
        <v>6800</v>
      </c>
      <c r="AF172" s="4">
        <v>0</v>
      </c>
      <c r="AG172" s="7">
        <v>4</v>
      </c>
      <c r="AH172" s="2" t="s">
        <v>100</v>
      </c>
      <c r="AI172">
        <v>0</v>
      </c>
      <c r="AJ172" s="3">
        <v>41912.6862847222</v>
      </c>
      <c r="AK172" s="2" t="s">
        <v>1813</v>
      </c>
    </row>
    <row r="173" spans="1:37" x14ac:dyDescent="0.15">
      <c r="A173" s="2" t="s">
        <v>1812</v>
      </c>
      <c r="B173">
        <v>1180</v>
      </c>
      <c r="C173" s="3">
        <v>41779</v>
      </c>
      <c r="D173" s="2" t="s">
        <v>37</v>
      </c>
      <c r="E173" s="2" t="s">
        <v>1811</v>
      </c>
      <c r="F173" s="2" t="s">
        <v>38</v>
      </c>
      <c r="G173" s="2" t="s">
        <v>381</v>
      </c>
      <c r="H173" s="2" t="s">
        <v>382</v>
      </c>
      <c r="I173" s="4">
        <v>520000</v>
      </c>
      <c r="J173" s="4">
        <v>0</v>
      </c>
      <c r="K173" s="4">
        <v>0</v>
      </c>
      <c r="L173" s="5"/>
      <c r="M173" s="5">
        <v>3.6</v>
      </c>
      <c r="N173" s="6">
        <v>18720</v>
      </c>
      <c r="O173" s="4">
        <v>18720</v>
      </c>
      <c r="P173" s="4">
        <v>18720</v>
      </c>
      <c r="Q173" s="6">
        <v>0</v>
      </c>
      <c r="R173" s="4">
        <v>156000</v>
      </c>
      <c r="S173" s="4">
        <v>156000</v>
      </c>
      <c r="T173" s="4">
        <v>156000</v>
      </c>
      <c r="U173" s="4">
        <v>156000</v>
      </c>
      <c r="V173" s="6">
        <v>30</v>
      </c>
      <c r="W173" s="4">
        <v>140000</v>
      </c>
      <c r="X173" s="4">
        <v>140000</v>
      </c>
      <c r="Y173" s="4">
        <v>145304</v>
      </c>
      <c r="Z173" s="4">
        <v>145304</v>
      </c>
      <c r="AA173" s="4">
        <v>3.4</v>
      </c>
      <c r="AB173" s="6">
        <v>5304</v>
      </c>
      <c r="AC173" s="4">
        <v>5304</v>
      </c>
      <c r="AD173" s="4">
        <v>5304</v>
      </c>
      <c r="AE173" s="6">
        <v>0</v>
      </c>
      <c r="AF173" s="4">
        <v>0</v>
      </c>
      <c r="AG173" s="7">
        <v>0</v>
      </c>
      <c r="AH173" s="2" t="s">
        <v>37</v>
      </c>
      <c r="AI173">
        <v>0</v>
      </c>
      <c r="AJ173" s="3">
        <v>41912.6862847222</v>
      </c>
      <c r="AK173" s="2" t="s">
        <v>1810</v>
      </c>
    </row>
    <row r="174" spans="1:37" x14ac:dyDescent="0.15">
      <c r="A174" s="2" t="s">
        <v>1809</v>
      </c>
      <c r="B174">
        <v>1185</v>
      </c>
      <c r="C174" s="3">
        <v>41791</v>
      </c>
      <c r="D174" s="2" t="s">
        <v>37</v>
      </c>
      <c r="E174" s="2" t="s">
        <v>1808</v>
      </c>
      <c r="F174" s="2" t="s">
        <v>38</v>
      </c>
      <c r="G174" s="2" t="s">
        <v>383</v>
      </c>
      <c r="H174" s="2" t="s">
        <v>384</v>
      </c>
      <c r="I174" s="4">
        <v>14800000</v>
      </c>
      <c r="J174" s="4">
        <v>0</v>
      </c>
      <c r="K174" s="4">
        <v>0</v>
      </c>
      <c r="L174" s="5"/>
      <c r="M174" s="5"/>
      <c r="N174" s="6"/>
      <c r="O174" s="4">
        <v>0</v>
      </c>
      <c r="P174" s="4">
        <v>0</v>
      </c>
      <c r="Q174" s="6"/>
      <c r="R174" s="4">
        <v>0</v>
      </c>
      <c r="S174" s="4">
        <v>0</v>
      </c>
      <c r="T174" s="4">
        <v>3300000</v>
      </c>
      <c r="U174" s="4">
        <v>3300000</v>
      </c>
      <c r="V174" s="6">
        <v>22.2973</v>
      </c>
      <c r="W174" s="4">
        <v>1261050</v>
      </c>
      <c r="X174" s="4">
        <v>1261050</v>
      </c>
      <c r="Y174" s="4">
        <v>1261050</v>
      </c>
      <c r="Z174" s="4">
        <v>1261050</v>
      </c>
      <c r="AA174" s="4">
        <v>3.4</v>
      </c>
      <c r="AB174" s="6">
        <v>0</v>
      </c>
      <c r="AC174" s="4">
        <v>0</v>
      </c>
      <c r="AD174" s="4">
        <v>0</v>
      </c>
      <c r="AE174" s="6">
        <v>0</v>
      </c>
      <c r="AF174" s="4">
        <v>0</v>
      </c>
      <c r="AG174" s="7">
        <v>44</v>
      </c>
      <c r="AH174" s="2" t="s">
        <v>159</v>
      </c>
      <c r="AI174">
        <v>0</v>
      </c>
      <c r="AJ174" s="3">
        <v>41912.6862847222</v>
      </c>
      <c r="AK174" s="2" t="s">
        <v>1807</v>
      </c>
    </row>
    <row r="175" spans="1:37" x14ac:dyDescent="0.15">
      <c r="A175" s="2" t="s">
        <v>1806</v>
      </c>
      <c r="B175">
        <v>236</v>
      </c>
      <c r="C175" s="3">
        <v>41791</v>
      </c>
      <c r="D175" s="2" t="s">
        <v>37</v>
      </c>
      <c r="E175" s="2" t="s">
        <v>1805</v>
      </c>
      <c r="F175" s="2" t="s">
        <v>41</v>
      </c>
      <c r="G175" s="2" t="s">
        <v>385</v>
      </c>
      <c r="H175" s="2" t="s">
        <v>386</v>
      </c>
      <c r="I175" s="4">
        <v>50000</v>
      </c>
      <c r="J175" s="4">
        <v>0</v>
      </c>
      <c r="K175" s="4">
        <v>0</v>
      </c>
      <c r="L175" s="5"/>
      <c r="M175" s="5">
        <v>8.6</v>
      </c>
      <c r="N175" s="6">
        <v>4300</v>
      </c>
      <c r="O175" s="4">
        <v>0</v>
      </c>
      <c r="P175" s="4">
        <v>0</v>
      </c>
      <c r="Q175" s="6">
        <v>4300</v>
      </c>
      <c r="R175" s="4">
        <v>0</v>
      </c>
      <c r="S175" s="4">
        <v>0</v>
      </c>
      <c r="T175" s="4">
        <v>0</v>
      </c>
      <c r="U175" s="4">
        <v>0</v>
      </c>
      <c r="V175" s="6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3.4</v>
      </c>
      <c r="AB175" s="6">
        <v>1700</v>
      </c>
      <c r="AC175" s="4">
        <v>0</v>
      </c>
      <c r="AD175" s="4">
        <v>0</v>
      </c>
      <c r="AE175" s="6">
        <v>1700</v>
      </c>
      <c r="AF175" s="4">
        <v>0</v>
      </c>
      <c r="AG175" s="7">
        <v>0</v>
      </c>
      <c r="AH175" s="2" t="s">
        <v>37</v>
      </c>
      <c r="AI175">
        <v>0</v>
      </c>
      <c r="AJ175" s="3">
        <v>41912.6862384259</v>
      </c>
      <c r="AK175" s="2" t="s">
        <v>1804</v>
      </c>
    </row>
    <row r="176" spans="1:37" x14ac:dyDescent="0.15">
      <c r="A176" s="2" t="s">
        <v>1803</v>
      </c>
      <c r="B176">
        <v>1188</v>
      </c>
      <c r="C176" s="3">
        <v>41791</v>
      </c>
      <c r="D176" s="2" t="s">
        <v>37</v>
      </c>
      <c r="E176" s="2" t="s">
        <v>1802</v>
      </c>
      <c r="F176" s="2" t="s">
        <v>38</v>
      </c>
      <c r="G176" s="2" t="s">
        <v>387</v>
      </c>
      <c r="H176" s="2" t="s">
        <v>388</v>
      </c>
      <c r="I176" s="4">
        <v>3326070</v>
      </c>
      <c r="J176" s="4">
        <v>0</v>
      </c>
      <c r="K176" s="4">
        <v>0</v>
      </c>
      <c r="L176" s="5"/>
      <c r="M176" s="5">
        <v>3.6</v>
      </c>
      <c r="N176" s="6">
        <v>119738.52</v>
      </c>
      <c r="O176" s="4">
        <v>0</v>
      </c>
      <c r="P176" s="4">
        <v>0</v>
      </c>
      <c r="Q176" s="6">
        <v>119738.52</v>
      </c>
      <c r="R176" s="4">
        <v>300000</v>
      </c>
      <c r="S176" s="4">
        <v>300000</v>
      </c>
      <c r="T176" s="4">
        <v>0</v>
      </c>
      <c r="U176" s="4">
        <v>0</v>
      </c>
      <c r="V176" s="6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3.4</v>
      </c>
      <c r="AB176" s="6">
        <v>10200</v>
      </c>
      <c r="AC176" s="4">
        <v>0</v>
      </c>
      <c r="AD176" s="4">
        <v>0</v>
      </c>
      <c r="AE176" s="6">
        <v>10200</v>
      </c>
      <c r="AF176" s="4">
        <v>0</v>
      </c>
      <c r="AG176" s="7">
        <v>35</v>
      </c>
      <c r="AH176" s="2" t="s">
        <v>52</v>
      </c>
      <c r="AI176">
        <v>0</v>
      </c>
      <c r="AJ176" s="3">
        <v>41912.6862847222</v>
      </c>
      <c r="AK176" s="2" t="s">
        <v>1801</v>
      </c>
    </row>
    <row r="177" spans="1:37" x14ac:dyDescent="0.15">
      <c r="A177" s="2" t="s">
        <v>1800</v>
      </c>
      <c r="B177">
        <v>1196</v>
      </c>
      <c r="C177" s="3">
        <v>41820</v>
      </c>
      <c r="D177" s="2" t="s">
        <v>37</v>
      </c>
      <c r="E177" s="2" t="s">
        <v>1799</v>
      </c>
      <c r="F177" s="2" t="s">
        <v>38</v>
      </c>
      <c r="G177" s="2" t="s">
        <v>389</v>
      </c>
      <c r="H177" s="2" t="s">
        <v>390</v>
      </c>
      <c r="I177" s="4">
        <v>5305357.5999999996</v>
      </c>
      <c r="J177" s="4">
        <v>0</v>
      </c>
      <c r="K177" s="4">
        <v>0</v>
      </c>
      <c r="L177" s="5"/>
      <c r="M177" s="5">
        <v>3</v>
      </c>
      <c r="N177" s="6">
        <v>159160.728</v>
      </c>
      <c r="O177" s="4">
        <v>100000</v>
      </c>
      <c r="P177" s="4">
        <v>100000</v>
      </c>
      <c r="Q177" s="6">
        <v>59160.728000000003</v>
      </c>
      <c r="R177" s="4">
        <v>1060000</v>
      </c>
      <c r="S177" s="4">
        <v>1060000</v>
      </c>
      <c r="T177" s="4">
        <v>1060000</v>
      </c>
      <c r="U177" s="4">
        <v>1060000</v>
      </c>
      <c r="V177" s="6">
        <v>19.979800000000001</v>
      </c>
      <c r="W177" s="4">
        <v>356366.43</v>
      </c>
      <c r="X177" s="4">
        <v>356366.43</v>
      </c>
      <c r="Y177" s="4">
        <v>428446.43</v>
      </c>
      <c r="Z177" s="4">
        <v>428446.43</v>
      </c>
      <c r="AA177" s="4">
        <v>3.4</v>
      </c>
      <c r="AB177" s="6">
        <v>36040</v>
      </c>
      <c r="AC177" s="4">
        <v>36040</v>
      </c>
      <c r="AD177" s="4">
        <v>36040</v>
      </c>
      <c r="AE177" s="6">
        <v>0</v>
      </c>
      <c r="AF177" s="4">
        <v>0</v>
      </c>
      <c r="AG177" s="7">
        <v>72</v>
      </c>
      <c r="AH177" s="2" t="s">
        <v>97</v>
      </c>
      <c r="AI177">
        <v>0</v>
      </c>
      <c r="AJ177" s="3">
        <v>41912.6862847222</v>
      </c>
      <c r="AK177" s="2" t="s">
        <v>1798</v>
      </c>
    </row>
    <row r="178" spans="1:37" x14ac:dyDescent="0.15">
      <c r="A178" s="2" t="s">
        <v>1797</v>
      </c>
      <c r="B178">
        <v>252</v>
      </c>
      <c r="C178" s="3">
        <v>41821</v>
      </c>
      <c r="D178" s="2" t="s">
        <v>37</v>
      </c>
      <c r="E178" s="2" t="s">
        <v>1796</v>
      </c>
      <c r="F178" s="2" t="s">
        <v>41</v>
      </c>
      <c r="G178" s="2" t="s">
        <v>403</v>
      </c>
      <c r="H178" s="2" t="s">
        <v>404</v>
      </c>
      <c r="I178" s="4">
        <v>1826701.83</v>
      </c>
      <c r="J178" s="4">
        <v>0</v>
      </c>
      <c r="K178" s="4">
        <v>0</v>
      </c>
      <c r="L178" s="5"/>
      <c r="M178" s="5">
        <v>8.6</v>
      </c>
      <c r="N178" s="6">
        <v>157096.35740000001</v>
      </c>
      <c r="O178" s="4">
        <v>78548.179999999993</v>
      </c>
      <c r="P178" s="4">
        <v>78548.179999999993</v>
      </c>
      <c r="Q178" s="6">
        <v>78548.1774</v>
      </c>
      <c r="R178" s="4">
        <v>0</v>
      </c>
      <c r="S178" s="4">
        <v>0</v>
      </c>
      <c r="T178" s="4">
        <v>365340.36</v>
      </c>
      <c r="U178" s="4">
        <v>365340.36</v>
      </c>
      <c r="V178" s="6">
        <v>20</v>
      </c>
      <c r="W178" s="4">
        <v>0</v>
      </c>
      <c r="X178" s="4">
        <v>0</v>
      </c>
      <c r="Y178" s="4">
        <v>365340.36</v>
      </c>
      <c r="Z178" s="4">
        <v>365340.36</v>
      </c>
      <c r="AA178" s="4">
        <v>3.4</v>
      </c>
      <c r="AB178" s="6">
        <v>62107.862200000003</v>
      </c>
      <c r="AC178" s="4">
        <v>0</v>
      </c>
      <c r="AD178" s="4">
        <v>0</v>
      </c>
      <c r="AE178" s="6">
        <v>62107.862200000003</v>
      </c>
      <c r="AF178" s="4">
        <v>0</v>
      </c>
      <c r="AG178" s="7">
        <v>0</v>
      </c>
      <c r="AH178" s="2" t="s">
        <v>37</v>
      </c>
      <c r="AI178">
        <v>0</v>
      </c>
      <c r="AJ178" s="3">
        <v>41912.6862384259</v>
      </c>
      <c r="AK178" s="2" t="s">
        <v>1795</v>
      </c>
    </row>
    <row r="179" spans="1:37" x14ac:dyDescent="0.15">
      <c r="A179" s="2" t="s">
        <v>1794</v>
      </c>
      <c r="B179">
        <v>262</v>
      </c>
      <c r="C179" s="3">
        <v>41821</v>
      </c>
      <c r="D179" s="2" t="s">
        <v>37</v>
      </c>
      <c r="E179" s="2" t="s">
        <v>1793</v>
      </c>
      <c r="F179" s="2" t="s">
        <v>41</v>
      </c>
      <c r="G179" s="2" t="s">
        <v>405</v>
      </c>
      <c r="H179" s="2" t="s">
        <v>406</v>
      </c>
      <c r="I179" s="4">
        <v>882200</v>
      </c>
      <c r="J179" s="4">
        <v>0</v>
      </c>
      <c r="K179" s="4">
        <v>0</v>
      </c>
      <c r="L179" s="5"/>
      <c r="M179" s="5">
        <v>8.6</v>
      </c>
      <c r="N179" s="6">
        <v>75869.2</v>
      </c>
      <c r="O179" s="4">
        <v>37934.6</v>
      </c>
      <c r="P179" s="4">
        <v>37934.6</v>
      </c>
      <c r="Q179" s="6">
        <v>37934.6</v>
      </c>
      <c r="R179" s="4">
        <v>0</v>
      </c>
      <c r="S179" s="4">
        <v>0</v>
      </c>
      <c r="T179" s="4">
        <v>176440</v>
      </c>
      <c r="U179" s="4">
        <v>176440</v>
      </c>
      <c r="V179" s="6">
        <v>20</v>
      </c>
      <c r="W179" s="4">
        <v>0</v>
      </c>
      <c r="X179" s="4">
        <v>0</v>
      </c>
      <c r="Y179" s="4">
        <v>176440</v>
      </c>
      <c r="Z179" s="4">
        <v>176440</v>
      </c>
      <c r="AA179" s="4">
        <v>3.4</v>
      </c>
      <c r="AB179" s="6">
        <v>29994.799999999999</v>
      </c>
      <c r="AC179" s="4">
        <v>0</v>
      </c>
      <c r="AD179" s="4">
        <v>0</v>
      </c>
      <c r="AE179" s="6">
        <v>29994.799999999999</v>
      </c>
      <c r="AF179" s="4">
        <v>0</v>
      </c>
      <c r="AG179" s="7">
        <v>0</v>
      </c>
      <c r="AH179" s="2" t="s">
        <v>37</v>
      </c>
      <c r="AI179">
        <v>0</v>
      </c>
      <c r="AJ179" s="3">
        <v>41912.6862384259</v>
      </c>
      <c r="AK179" s="2" t="s">
        <v>1792</v>
      </c>
    </row>
    <row r="180" spans="1:37" x14ac:dyDescent="0.15">
      <c r="A180" s="2" t="s">
        <v>1791</v>
      </c>
      <c r="B180">
        <v>271</v>
      </c>
      <c r="C180" s="3">
        <v>41821</v>
      </c>
      <c r="D180" s="2" t="s">
        <v>37</v>
      </c>
      <c r="E180" s="2" t="s">
        <v>1790</v>
      </c>
      <c r="F180" s="2" t="s">
        <v>41</v>
      </c>
      <c r="G180" s="2" t="s">
        <v>407</v>
      </c>
      <c r="H180" s="2" t="s">
        <v>408</v>
      </c>
      <c r="I180" s="4">
        <v>1800000</v>
      </c>
      <c r="J180" s="4">
        <v>0</v>
      </c>
      <c r="K180" s="4">
        <v>0</v>
      </c>
      <c r="L180" s="5"/>
      <c r="M180" s="5">
        <v>8.6</v>
      </c>
      <c r="N180" s="6">
        <v>154800</v>
      </c>
      <c r="O180" s="4">
        <v>77400</v>
      </c>
      <c r="P180" s="4">
        <v>77400</v>
      </c>
      <c r="Q180" s="6">
        <v>77400</v>
      </c>
      <c r="R180" s="4">
        <v>0</v>
      </c>
      <c r="S180" s="4">
        <v>0</v>
      </c>
      <c r="T180" s="4">
        <v>360000</v>
      </c>
      <c r="U180" s="4">
        <v>360000</v>
      </c>
      <c r="V180" s="6">
        <v>20</v>
      </c>
      <c r="W180" s="4">
        <v>0</v>
      </c>
      <c r="X180" s="4">
        <v>0</v>
      </c>
      <c r="Y180" s="4">
        <v>360000</v>
      </c>
      <c r="Z180" s="4">
        <v>360000</v>
      </c>
      <c r="AA180" s="4">
        <v>3.4</v>
      </c>
      <c r="AB180" s="6">
        <v>61200</v>
      </c>
      <c r="AC180" s="4">
        <v>0</v>
      </c>
      <c r="AD180" s="4">
        <v>0</v>
      </c>
      <c r="AE180" s="6">
        <v>61200</v>
      </c>
      <c r="AF180" s="4">
        <v>0</v>
      </c>
      <c r="AG180" s="7">
        <v>0</v>
      </c>
      <c r="AH180" s="2" t="s">
        <v>37</v>
      </c>
      <c r="AI180">
        <v>0</v>
      </c>
      <c r="AJ180" s="3">
        <v>41912.686249999999</v>
      </c>
      <c r="AK180" s="2" t="s">
        <v>1789</v>
      </c>
    </row>
    <row r="181" spans="1:37" x14ac:dyDescent="0.15">
      <c r="A181" s="2" t="s">
        <v>1788</v>
      </c>
      <c r="B181">
        <v>282</v>
      </c>
      <c r="C181" s="3">
        <v>41821</v>
      </c>
      <c r="D181" s="2" t="s">
        <v>37</v>
      </c>
      <c r="E181" s="2" t="s">
        <v>1787</v>
      </c>
      <c r="F181" s="2" t="s">
        <v>41</v>
      </c>
      <c r="G181" s="2" t="s">
        <v>413</v>
      </c>
      <c r="H181" s="2" t="s">
        <v>414</v>
      </c>
      <c r="I181" s="4">
        <v>80000</v>
      </c>
      <c r="J181" s="4">
        <v>0</v>
      </c>
      <c r="K181" s="4">
        <v>0</v>
      </c>
      <c r="L181" s="5"/>
      <c r="M181" s="5">
        <v>8.6</v>
      </c>
      <c r="N181" s="6">
        <v>6880</v>
      </c>
      <c r="O181" s="4">
        <v>0</v>
      </c>
      <c r="P181" s="4">
        <v>0</v>
      </c>
      <c r="Q181" s="6">
        <v>6880</v>
      </c>
      <c r="R181" s="4">
        <v>0</v>
      </c>
      <c r="S181" s="4">
        <v>0</v>
      </c>
      <c r="T181" s="4">
        <v>0</v>
      </c>
      <c r="U181" s="4">
        <v>0</v>
      </c>
      <c r="V181" s="6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3.4</v>
      </c>
      <c r="AB181" s="6">
        <v>2720</v>
      </c>
      <c r="AC181" s="4">
        <v>0</v>
      </c>
      <c r="AD181" s="4">
        <v>0</v>
      </c>
      <c r="AE181" s="6">
        <v>2720</v>
      </c>
      <c r="AF181" s="4">
        <v>0</v>
      </c>
      <c r="AG181" s="7">
        <v>0</v>
      </c>
      <c r="AH181" s="2" t="s">
        <v>37</v>
      </c>
      <c r="AI181">
        <v>0</v>
      </c>
      <c r="AJ181" s="3">
        <v>41912.686249999999</v>
      </c>
      <c r="AK181" s="2" t="s">
        <v>1786</v>
      </c>
    </row>
    <row r="182" spans="1:37" x14ac:dyDescent="0.15">
      <c r="A182" s="2" t="s">
        <v>1785</v>
      </c>
      <c r="B182">
        <v>277</v>
      </c>
      <c r="C182" s="3">
        <v>41821</v>
      </c>
      <c r="D182" s="2" t="s">
        <v>37</v>
      </c>
      <c r="E182" s="2" t="s">
        <v>1784</v>
      </c>
      <c r="F182" s="2" t="s">
        <v>41</v>
      </c>
      <c r="G182" s="2" t="s">
        <v>409</v>
      </c>
      <c r="H182" s="2" t="s">
        <v>410</v>
      </c>
      <c r="I182" s="4">
        <v>9298739</v>
      </c>
      <c r="J182" s="4">
        <v>0</v>
      </c>
      <c r="K182" s="4">
        <v>0</v>
      </c>
      <c r="L182" s="5"/>
      <c r="M182" s="5">
        <v>3</v>
      </c>
      <c r="N182" s="6">
        <v>278962.17</v>
      </c>
      <c r="O182" s="4">
        <v>0</v>
      </c>
      <c r="P182" s="4">
        <v>0</v>
      </c>
      <c r="Q182" s="6">
        <v>278962.17</v>
      </c>
      <c r="R182" s="4">
        <v>0</v>
      </c>
      <c r="S182" s="4">
        <v>0</v>
      </c>
      <c r="T182" s="4">
        <v>0</v>
      </c>
      <c r="U182" s="4">
        <v>0</v>
      </c>
      <c r="V182" s="6">
        <v>0</v>
      </c>
      <c r="W182" s="4">
        <v>0</v>
      </c>
      <c r="X182" s="4">
        <v>0</v>
      </c>
      <c r="Y182" s="4">
        <v>0</v>
      </c>
      <c r="Z182" s="4">
        <v>0</v>
      </c>
      <c r="AA182" s="4"/>
      <c r="AB182" s="6">
        <v>0</v>
      </c>
      <c r="AC182" s="4">
        <v>0</v>
      </c>
      <c r="AD182" s="4">
        <v>0</v>
      </c>
      <c r="AE182" s="6">
        <v>0</v>
      </c>
      <c r="AF182" s="4">
        <v>0</v>
      </c>
      <c r="AG182" s="7">
        <v>0</v>
      </c>
      <c r="AH182" s="2" t="s">
        <v>37</v>
      </c>
      <c r="AI182">
        <v>0</v>
      </c>
      <c r="AJ182" s="3">
        <v>41912.686249999999</v>
      </c>
      <c r="AK182" s="2" t="s">
        <v>1783</v>
      </c>
    </row>
    <row r="183" spans="1:37" x14ac:dyDescent="0.15">
      <c r="A183" s="2" t="s">
        <v>1782</v>
      </c>
      <c r="B183">
        <v>288</v>
      </c>
      <c r="C183" s="3">
        <v>41821</v>
      </c>
      <c r="D183" s="2" t="s">
        <v>37</v>
      </c>
      <c r="E183" s="2" t="s">
        <v>1781</v>
      </c>
      <c r="F183" s="2" t="s">
        <v>41</v>
      </c>
      <c r="G183" s="2" t="s">
        <v>415</v>
      </c>
      <c r="H183" s="2" t="s">
        <v>416</v>
      </c>
      <c r="I183" s="4">
        <v>45000</v>
      </c>
      <c r="J183" s="4">
        <v>0</v>
      </c>
      <c r="K183" s="4">
        <v>0</v>
      </c>
      <c r="L183" s="5"/>
      <c r="M183" s="5">
        <v>8.6</v>
      </c>
      <c r="N183" s="6">
        <v>3870</v>
      </c>
      <c r="O183" s="4">
        <v>0</v>
      </c>
      <c r="P183" s="4">
        <v>0</v>
      </c>
      <c r="Q183" s="6">
        <v>3870</v>
      </c>
      <c r="R183" s="4">
        <v>0</v>
      </c>
      <c r="S183" s="4">
        <v>0</v>
      </c>
      <c r="T183" s="4">
        <v>0</v>
      </c>
      <c r="U183" s="4">
        <v>0</v>
      </c>
      <c r="V183" s="6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3.4</v>
      </c>
      <c r="AB183" s="6">
        <v>1530</v>
      </c>
      <c r="AC183" s="4">
        <v>0</v>
      </c>
      <c r="AD183" s="4">
        <v>0</v>
      </c>
      <c r="AE183" s="6">
        <v>1530</v>
      </c>
      <c r="AF183" s="4">
        <v>0</v>
      </c>
      <c r="AG183" s="7">
        <v>0</v>
      </c>
      <c r="AH183" s="2" t="s">
        <v>37</v>
      </c>
      <c r="AI183">
        <v>0</v>
      </c>
      <c r="AJ183" s="3">
        <v>41912.686249999999</v>
      </c>
      <c r="AK183" s="2" t="s">
        <v>1780</v>
      </c>
    </row>
    <row r="184" spans="1:37" x14ac:dyDescent="0.15">
      <c r="A184" s="2" t="s">
        <v>1779</v>
      </c>
      <c r="B184">
        <v>1199</v>
      </c>
      <c r="C184" s="3">
        <v>41821</v>
      </c>
      <c r="D184" s="2" t="s">
        <v>37</v>
      </c>
      <c r="E184" s="2" t="s">
        <v>1778</v>
      </c>
      <c r="F184" s="2" t="s">
        <v>38</v>
      </c>
      <c r="G184" s="2" t="s">
        <v>411</v>
      </c>
      <c r="H184" s="2" t="s">
        <v>412</v>
      </c>
      <c r="I184" s="4">
        <v>743283</v>
      </c>
      <c r="J184" s="4">
        <v>0</v>
      </c>
      <c r="K184" s="4">
        <v>0</v>
      </c>
      <c r="L184" s="5"/>
      <c r="M184" s="5">
        <v>3.6</v>
      </c>
      <c r="N184" s="6">
        <v>26758.187999999998</v>
      </c>
      <c r="O184" s="4">
        <v>0</v>
      </c>
      <c r="P184" s="4">
        <v>0</v>
      </c>
      <c r="Q184" s="6">
        <v>26758.187999999998</v>
      </c>
      <c r="R184" s="4">
        <v>631790.55000000005</v>
      </c>
      <c r="S184" s="4">
        <v>631790.55000000005</v>
      </c>
      <c r="T184" s="4">
        <v>0</v>
      </c>
      <c r="U184" s="4">
        <v>0</v>
      </c>
      <c r="V184" s="6">
        <v>0</v>
      </c>
      <c r="W184" s="4">
        <v>0</v>
      </c>
      <c r="X184" s="4">
        <v>0</v>
      </c>
      <c r="Y184" s="4">
        <v>0</v>
      </c>
      <c r="Z184" s="4">
        <v>0</v>
      </c>
      <c r="AA184" s="4"/>
      <c r="AB184" s="6"/>
      <c r="AC184" s="4">
        <v>0</v>
      </c>
      <c r="AD184" s="4">
        <v>0</v>
      </c>
      <c r="AE184" s="6"/>
      <c r="AF184" s="4">
        <v>0</v>
      </c>
      <c r="AG184" s="7">
        <v>10</v>
      </c>
      <c r="AH184" s="2" t="s">
        <v>97</v>
      </c>
      <c r="AI184">
        <v>0</v>
      </c>
      <c r="AJ184" s="3">
        <v>41912.6862847222</v>
      </c>
      <c r="AK184" s="2" t="s">
        <v>1777</v>
      </c>
    </row>
    <row r="185" spans="1:37" x14ac:dyDescent="0.15">
      <c r="A185" s="2" t="s">
        <v>1776</v>
      </c>
      <c r="B185">
        <v>295</v>
      </c>
      <c r="C185" s="3">
        <v>41821</v>
      </c>
      <c r="D185" s="2" t="s">
        <v>37</v>
      </c>
      <c r="E185" s="2" t="s">
        <v>1775</v>
      </c>
      <c r="F185" s="2" t="s">
        <v>41</v>
      </c>
      <c r="G185" s="2" t="s">
        <v>421</v>
      </c>
      <c r="H185" s="2" t="s">
        <v>422</v>
      </c>
      <c r="I185" s="4">
        <v>737750</v>
      </c>
      <c r="J185" s="4">
        <v>0</v>
      </c>
      <c r="K185" s="4">
        <v>0</v>
      </c>
      <c r="L185" s="5"/>
      <c r="M185" s="5">
        <v>8.6</v>
      </c>
      <c r="N185" s="6">
        <v>63446.5</v>
      </c>
      <c r="O185" s="4">
        <v>0</v>
      </c>
      <c r="P185" s="4">
        <v>0</v>
      </c>
      <c r="Q185" s="6">
        <v>63446.5</v>
      </c>
      <c r="R185" s="4">
        <v>0</v>
      </c>
      <c r="S185" s="4">
        <v>0</v>
      </c>
      <c r="T185" s="4">
        <v>0</v>
      </c>
      <c r="U185" s="4">
        <v>0</v>
      </c>
      <c r="V185" s="6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3.4</v>
      </c>
      <c r="AB185" s="6">
        <v>25083.5</v>
      </c>
      <c r="AC185" s="4">
        <v>0</v>
      </c>
      <c r="AD185" s="4">
        <v>0</v>
      </c>
      <c r="AE185" s="6">
        <v>25083.5</v>
      </c>
      <c r="AF185" s="4">
        <v>0</v>
      </c>
      <c r="AG185" s="7">
        <v>0</v>
      </c>
      <c r="AH185" s="2" t="s">
        <v>37</v>
      </c>
      <c r="AI185">
        <v>0</v>
      </c>
      <c r="AJ185" s="3">
        <v>41912.686249999999</v>
      </c>
      <c r="AK185" s="2" t="s">
        <v>1774</v>
      </c>
    </row>
    <row r="186" spans="1:37" x14ac:dyDescent="0.15">
      <c r="A186" s="2" t="s">
        <v>1773</v>
      </c>
      <c r="B186">
        <v>303</v>
      </c>
      <c r="C186" s="3">
        <v>41821</v>
      </c>
      <c r="D186" s="2" t="s">
        <v>37</v>
      </c>
      <c r="E186" s="2" t="s">
        <v>1772</v>
      </c>
      <c r="F186" s="2" t="s">
        <v>41</v>
      </c>
      <c r="G186" s="2" t="s">
        <v>419</v>
      </c>
      <c r="H186" s="2" t="s">
        <v>420</v>
      </c>
      <c r="I186" s="4">
        <v>660000</v>
      </c>
      <c r="J186" s="4">
        <v>0</v>
      </c>
      <c r="K186" s="4">
        <v>0</v>
      </c>
      <c r="L186" s="5"/>
      <c r="M186" s="5">
        <v>3.6</v>
      </c>
      <c r="N186" s="6">
        <v>23760</v>
      </c>
      <c r="O186" s="4">
        <v>0</v>
      </c>
      <c r="P186" s="4">
        <v>0</v>
      </c>
      <c r="Q186" s="6">
        <v>23760</v>
      </c>
      <c r="R186" s="4">
        <v>0</v>
      </c>
      <c r="S186" s="4">
        <v>0</v>
      </c>
      <c r="T186" s="4">
        <v>198000</v>
      </c>
      <c r="U186" s="4">
        <v>198000</v>
      </c>
      <c r="V186" s="6">
        <v>30</v>
      </c>
      <c r="W186" s="4">
        <v>0</v>
      </c>
      <c r="X186" s="4">
        <v>0</v>
      </c>
      <c r="Y186" s="4">
        <v>151800</v>
      </c>
      <c r="Z186" s="4">
        <v>151800</v>
      </c>
      <c r="AA186" s="4">
        <v>3.4</v>
      </c>
      <c r="AB186" s="6">
        <v>22440</v>
      </c>
      <c r="AC186" s="4">
        <v>6732</v>
      </c>
      <c r="AD186" s="4">
        <v>6732</v>
      </c>
      <c r="AE186" s="6">
        <v>15708</v>
      </c>
      <c r="AF186" s="4">
        <v>0</v>
      </c>
      <c r="AG186" s="7">
        <v>0</v>
      </c>
      <c r="AH186" s="2" t="s">
        <v>37</v>
      </c>
      <c r="AI186">
        <v>0</v>
      </c>
      <c r="AJ186" s="3">
        <v>41912.686249999999</v>
      </c>
      <c r="AK186" s="2" t="s">
        <v>1771</v>
      </c>
    </row>
    <row r="187" spans="1:37" x14ac:dyDescent="0.15">
      <c r="A187" s="2" t="s">
        <v>1770</v>
      </c>
      <c r="B187">
        <v>1216</v>
      </c>
      <c r="C187" s="3">
        <v>41821</v>
      </c>
      <c r="D187" s="2" t="s">
        <v>37</v>
      </c>
      <c r="E187" s="2" t="s">
        <v>1769</v>
      </c>
      <c r="F187" s="2" t="s">
        <v>38</v>
      </c>
      <c r="G187" s="2" t="s">
        <v>397</v>
      </c>
      <c r="H187" s="2" t="s">
        <v>398</v>
      </c>
      <c r="I187" s="4">
        <v>1758061</v>
      </c>
      <c r="J187" s="4">
        <v>0</v>
      </c>
      <c r="K187" s="4">
        <v>0</v>
      </c>
      <c r="L187" s="5"/>
      <c r="M187" s="5">
        <v>3.6</v>
      </c>
      <c r="N187" s="6">
        <v>63290.196000000004</v>
      </c>
      <c r="O187" s="4">
        <v>0</v>
      </c>
      <c r="P187" s="4">
        <v>0</v>
      </c>
      <c r="Q187" s="6">
        <v>63290.196000000004</v>
      </c>
      <c r="R187" s="4">
        <v>527418.30000000005</v>
      </c>
      <c r="S187" s="4">
        <v>527418.30000000005</v>
      </c>
      <c r="T187" s="4">
        <v>0</v>
      </c>
      <c r="U187" s="4">
        <v>0</v>
      </c>
      <c r="V187" s="6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3.4</v>
      </c>
      <c r="AB187" s="6">
        <v>17932.2222</v>
      </c>
      <c r="AC187" s="4">
        <v>0</v>
      </c>
      <c r="AD187" s="4">
        <v>0</v>
      </c>
      <c r="AE187" s="6">
        <v>17932.2222</v>
      </c>
      <c r="AF187" s="4">
        <v>0</v>
      </c>
      <c r="AG187" s="7">
        <v>0</v>
      </c>
      <c r="AH187" s="2" t="s">
        <v>37</v>
      </c>
      <c r="AI187">
        <v>0</v>
      </c>
      <c r="AJ187" s="3">
        <v>41912.6862847222</v>
      </c>
      <c r="AK187" s="2" t="s">
        <v>1768</v>
      </c>
    </row>
    <row r="188" spans="1:37" x14ac:dyDescent="0.15">
      <c r="A188" s="2" t="s">
        <v>1767</v>
      </c>
      <c r="B188">
        <v>308</v>
      </c>
      <c r="C188" s="3">
        <v>41821</v>
      </c>
      <c r="D188" s="2" t="s">
        <v>37</v>
      </c>
      <c r="E188" s="2" t="s">
        <v>1766</v>
      </c>
      <c r="F188" s="2" t="s">
        <v>41</v>
      </c>
      <c r="G188" s="2" t="s">
        <v>423</v>
      </c>
      <c r="H188" s="2" t="s">
        <v>424</v>
      </c>
      <c r="I188" s="4">
        <v>65000</v>
      </c>
      <c r="J188" s="4">
        <v>0</v>
      </c>
      <c r="K188" s="4">
        <v>0</v>
      </c>
      <c r="L188" s="5"/>
      <c r="M188" s="5">
        <v>8.6</v>
      </c>
      <c r="N188" s="6">
        <v>5590</v>
      </c>
      <c r="O188" s="4">
        <v>0</v>
      </c>
      <c r="P188" s="4">
        <v>0</v>
      </c>
      <c r="Q188" s="6">
        <v>5590</v>
      </c>
      <c r="R188" s="4">
        <v>0</v>
      </c>
      <c r="S188" s="4">
        <v>0</v>
      </c>
      <c r="T188" s="4">
        <v>0</v>
      </c>
      <c r="U188" s="4">
        <v>0</v>
      </c>
      <c r="V188" s="6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3.4</v>
      </c>
      <c r="AB188" s="6">
        <v>2210</v>
      </c>
      <c r="AC188" s="4">
        <v>0</v>
      </c>
      <c r="AD188" s="4">
        <v>0</v>
      </c>
      <c r="AE188" s="6">
        <v>2210</v>
      </c>
      <c r="AF188" s="4">
        <v>0</v>
      </c>
      <c r="AG188" s="7">
        <v>0</v>
      </c>
      <c r="AH188" s="2" t="s">
        <v>37</v>
      </c>
      <c r="AI188">
        <v>0</v>
      </c>
      <c r="AJ188" s="3">
        <v>41912.686249999999</v>
      </c>
      <c r="AK188" s="2" t="s">
        <v>1765</v>
      </c>
    </row>
    <row r="189" spans="1:37" x14ac:dyDescent="0.15">
      <c r="A189" s="2" t="s">
        <v>1764</v>
      </c>
      <c r="B189">
        <v>253</v>
      </c>
      <c r="C189" s="3">
        <v>41821</v>
      </c>
      <c r="D189" s="2" t="s">
        <v>37</v>
      </c>
      <c r="E189" s="2" t="s">
        <v>1763</v>
      </c>
      <c r="F189" s="2" t="s">
        <v>41</v>
      </c>
      <c r="G189" s="2" t="s">
        <v>427</v>
      </c>
      <c r="H189" s="2" t="s">
        <v>428</v>
      </c>
      <c r="I189" s="4">
        <v>23840000</v>
      </c>
      <c r="J189" s="4">
        <v>0</v>
      </c>
      <c r="K189" s="4">
        <v>0</v>
      </c>
      <c r="L189" s="5"/>
      <c r="M189" s="5">
        <v>3</v>
      </c>
      <c r="N189" s="6">
        <v>715200</v>
      </c>
      <c r="O189" s="4">
        <v>0</v>
      </c>
      <c r="P189" s="4">
        <v>0</v>
      </c>
      <c r="Q189" s="6">
        <v>715200</v>
      </c>
      <c r="R189" s="4">
        <v>0</v>
      </c>
      <c r="S189" s="4">
        <v>0</v>
      </c>
      <c r="T189" s="4">
        <v>0</v>
      </c>
      <c r="U189" s="4">
        <v>0</v>
      </c>
      <c r="V189" s="6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3.4</v>
      </c>
      <c r="AB189" s="6">
        <v>810560</v>
      </c>
      <c r="AC189" s="4">
        <v>0</v>
      </c>
      <c r="AD189" s="4">
        <v>0</v>
      </c>
      <c r="AE189" s="6">
        <v>810560</v>
      </c>
      <c r="AF189" s="4">
        <v>0</v>
      </c>
      <c r="AG189" s="7">
        <v>0</v>
      </c>
      <c r="AH189" s="2" t="s">
        <v>37</v>
      </c>
      <c r="AI189">
        <v>0</v>
      </c>
      <c r="AJ189" s="3">
        <v>41912.6862384259</v>
      </c>
      <c r="AK189" s="2" t="s">
        <v>1762</v>
      </c>
    </row>
    <row r="190" spans="1:37" x14ac:dyDescent="0.15">
      <c r="A190" s="2" t="s">
        <v>1761</v>
      </c>
      <c r="B190">
        <v>244</v>
      </c>
      <c r="C190" s="3">
        <v>41821</v>
      </c>
      <c r="D190" s="2" t="s">
        <v>37</v>
      </c>
      <c r="E190" s="2" t="s">
        <v>1760</v>
      </c>
      <c r="F190" s="2" t="s">
        <v>41</v>
      </c>
      <c r="G190" s="2" t="s">
        <v>425</v>
      </c>
      <c r="H190" s="2" t="s">
        <v>426</v>
      </c>
      <c r="I190" s="4">
        <v>630000</v>
      </c>
      <c r="J190" s="4">
        <v>0</v>
      </c>
      <c r="K190" s="4">
        <v>0</v>
      </c>
      <c r="L190" s="5"/>
      <c r="M190" s="5">
        <v>8.6</v>
      </c>
      <c r="N190" s="6">
        <v>54180</v>
      </c>
      <c r="O190" s="4">
        <v>54180</v>
      </c>
      <c r="P190" s="4">
        <v>54180</v>
      </c>
      <c r="Q190" s="6">
        <v>0</v>
      </c>
      <c r="R190" s="4">
        <v>0</v>
      </c>
      <c r="S190" s="4">
        <v>0</v>
      </c>
      <c r="T190" s="4">
        <v>441000</v>
      </c>
      <c r="U190" s="4">
        <v>441000</v>
      </c>
      <c r="V190" s="6">
        <v>70</v>
      </c>
      <c r="W190" s="4">
        <v>0</v>
      </c>
      <c r="X190" s="4">
        <v>0</v>
      </c>
      <c r="Y190" s="4">
        <v>400000</v>
      </c>
      <c r="Z190" s="4">
        <v>400000</v>
      </c>
      <c r="AA190" s="4">
        <v>3.4</v>
      </c>
      <c r="AB190" s="6">
        <v>21420</v>
      </c>
      <c r="AC190" s="4">
        <v>14994</v>
      </c>
      <c r="AD190" s="4">
        <v>14994</v>
      </c>
      <c r="AE190" s="6">
        <v>6426</v>
      </c>
      <c r="AF190" s="4">
        <v>0</v>
      </c>
      <c r="AG190" s="7">
        <v>0</v>
      </c>
      <c r="AH190" s="2" t="s">
        <v>37</v>
      </c>
      <c r="AI190">
        <v>0</v>
      </c>
      <c r="AJ190" s="3">
        <v>41912.6862384259</v>
      </c>
      <c r="AK190" s="2" t="s">
        <v>1759</v>
      </c>
    </row>
    <row r="191" spans="1:37" x14ac:dyDescent="0.15">
      <c r="A191" s="2" t="s">
        <v>1758</v>
      </c>
      <c r="B191">
        <v>266</v>
      </c>
      <c r="C191" s="3">
        <v>41821</v>
      </c>
      <c r="D191" s="2" t="s">
        <v>37</v>
      </c>
      <c r="E191" s="2" t="s">
        <v>1757</v>
      </c>
      <c r="F191" s="2" t="s">
        <v>41</v>
      </c>
      <c r="G191" s="2" t="s">
        <v>429</v>
      </c>
      <c r="H191" s="2" t="s">
        <v>430</v>
      </c>
      <c r="I191" s="4">
        <v>4215575</v>
      </c>
      <c r="J191" s="4">
        <v>0</v>
      </c>
      <c r="K191" s="4">
        <v>0</v>
      </c>
      <c r="L191" s="5"/>
      <c r="M191" s="5">
        <v>3.6</v>
      </c>
      <c r="N191" s="6">
        <v>151760.70000000001</v>
      </c>
      <c r="O191" s="4">
        <v>0</v>
      </c>
      <c r="P191" s="4">
        <v>0</v>
      </c>
      <c r="Q191" s="6">
        <v>151760.70000000001</v>
      </c>
      <c r="R191" s="4">
        <v>0</v>
      </c>
      <c r="S191" s="4">
        <v>0</v>
      </c>
      <c r="T191" s="4">
        <v>500000</v>
      </c>
      <c r="U191" s="4">
        <v>500000</v>
      </c>
      <c r="V191" s="6">
        <v>11.860799999999999</v>
      </c>
      <c r="W191" s="4">
        <v>0</v>
      </c>
      <c r="X191" s="4">
        <v>0</v>
      </c>
      <c r="Y191" s="4">
        <v>502460.92</v>
      </c>
      <c r="Z191" s="4">
        <v>502460.92</v>
      </c>
      <c r="AA191" s="4">
        <v>3.4</v>
      </c>
      <c r="AB191" s="6">
        <v>143329.54999999999</v>
      </c>
      <c r="AC191" s="4">
        <v>0</v>
      </c>
      <c r="AD191" s="4">
        <v>0</v>
      </c>
      <c r="AE191" s="6">
        <v>143329.54999999999</v>
      </c>
      <c r="AF191" s="4">
        <v>-700000</v>
      </c>
      <c r="AG191" s="7">
        <v>0</v>
      </c>
      <c r="AH191" s="2" t="s">
        <v>37</v>
      </c>
      <c r="AI191">
        <v>0</v>
      </c>
      <c r="AJ191" s="3">
        <v>41912.686249999999</v>
      </c>
      <c r="AK191" s="2" t="s">
        <v>1756</v>
      </c>
    </row>
    <row r="192" spans="1:37" x14ac:dyDescent="0.15">
      <c r="A192" s="2" t="s">
        <v>1755</v>
      </c>
      <c r="B192">
        <v>275</v>
      </c>
      <c r="C192" s="3">
        <v>41821</v>
      </c>
      <c r="D192" s="2" t="s">
        <v>37</v>
      </c>
      <c r="E192" s="2" t="s">
        <v>1754</v>
      </c>
      <c r="F192" s="2" t="s">
        <v>41</v>
      </c>
      <c r="G192" s="2" t="s">
        <v>431</v>
      </c>
      <c r="H192" s="2" t="s">
        <v>432</v>
      </c>
      <c r="I192" s="4">
        <v>60000</v>
      </c>
      <c r="J192" s="4">
        <v>0</v>
      </c>
      <c r="K192" s="4">
        <v>0</v>
      </c>
      <c r="L192" s="5"/>
      <c r="M192" s="5">
        <v>8.6</v>
      </c>
      <c r="N192" s="6">
        <v>5160</v>
      </c>
      <c r="O192" s="4">
        <v>5160</v>
      </c>
      <c r="P192" s="4">
        <v>5160</v>
      </c>
      <c r="Q192" s="6">
        <v>0</v>
      </c>
      <c r="R192" s="4">
        <v>0</v>
      </c>
      <c r="S192" s="4">
        <v>0</v>
      </c>
      <c r="T192" s="4">
        <v>48000</v>
      </c>
      <c r="U192" s="4">
        <v>48000</v>
      </c>
      <c r="V192" s="6">
        <v>80</v>
      </c>
      <c r="W192" s="4">
        <v>0</v>
      </c>
      <c r="X192" s="4">
        <v>0</v>
      </c>
      <c r="Y192" s="4">
        <v>48000</v>
      </c>
      <c r="Z192" s="4">
        <v>48000</v>
      </c>
      <c r="AA192" s="4">
        <v>3.4</v>
      </c>
      <c r="AB192" s="6">
        <v>2040</v>
      </c>
      <c r="AC192" s="4">
        <v>0</v>
      </c>
      <c r="AD192" s="4">
        <v>0</v>
      </c>
      <c r="AE192" s="6">
        <v>2040</v>
      </c>
      <c r="AF192" s="4">
        <v>0</v>
      </c>
      <c r="AG192" s="7">
        <v>0</v>
      </c>
      <c r="AH192" s="2" t="s">
        <v>37</v>
      </c>
      <c r="AI192">
        <v>0</v>
      </c>
      <c r="AJ192" s="3">
        <v>41912.686249999999</v>
      </c>
      <c r="AK192" s="2" t="s">
        <v>1753</v>
      </c>
    </row>
    <row r="193" spans="1:37" x14ac:dyDescent="0.15">
      <c r="A193" s="2" t="s">
        <v>1752</v>
      </c>
      <c r="B193">
        <v>286</v>
      </c>
      <c r="C193" s="3">
        <v>41821</v>
      </c>
      <c r="D193" s="2" t="s">
        <v>37</v>
      </c>
      <c r="E193" s="2" t="s">
        <v>1751</v>
      </c>
      <c r="F193" s="2" t="s">
        <v>41</v>
      </c>
      <c r="G193" s="2" t="s">
        <v>435</v>
      </c>
      <c r="H193" s="2" t="s">
        <v>436</v>
      </c>
      <c r="I193" s="4">
        <v>1108000</v>
      </c>
      <c r="J193" s="4">
        <v>0</v>
      </c>
      <c r="K193" s="4">
        <v>0</v>
      </c>
      <c r="L193" s="5"/>
      <c r="M193" s="5">
        <v>3.6</v>
      </c>
      <c r="N193" s="6">
        <v>39888</v>
      </c>
      <c r="O193" s="4">
        <v>0</v>
      </c>
      <c r="P193" s="4">
        <v>0</v>
      </c>
      <c r="Q193" s="6">
        <v>39888</v>
      </c>
      <c r="R193" s="4">
        <v>0</v>
      </c>
      <c r="S193" s="4">
        <v>0</v>
      </c>
      <c r="T193" s="4">
        <v>150000</v>
      </c>
      <c r="U193" s="4">
        <v>150000</v>
      </c>
      <c r="V193" s="6">
        <v>13.5379</v>
      </c>
      <c r="W193" s="4">
        <v>0</v>
      </c>
      <c r="X193" s="4">
        <v>0</v>
      </c>
      <c r="Y193" s="4">
        <v>137713</v>
      </c>
      <c r="Z193" s="4">
        <v>137713</v>
      </c>
      <c r="AA193" s="4">
        <v>3.4</v>
      </c>
      <c r="AB193" s="6">
        <v>37672</v>
      </c>
      <c r="AC193" s="4">
        <v>30600</v>
      </c>
      <c r="AD193" s="4">
        <v>30600</v>
      </c>
      <c r="AE193" s="6">
        <v>7072</v>
      </c>
      <c r="AF193" s="4">
        <v>0</v>
      </c>
      <c r="AG193" s="7">
        <v>0</v>
      </c>
      <c r="AH193" s="2" t="s">
        <v>37</v>
      </c>
      <c r="AI193">
        <v>0</v>
      </c>
      <c r="AJ193" s="3">
        <v>41912.686249999999</v>
      </c>
      <c r="AK193" s="2" t="s">
        <v>1750</v>
      </c>
    </row>
    <row r="194" spans="1:37" x14ac:dyDescent="0.15">
      <c r="A194" s="2" t="s">
        <v>1749</v>
      </c>
      <c r="B194">
        <v>280</v>
      </c>
      <c r="C194" s="3">
        <v>41821</v>
      </c>
      <c r="D194" s="2" t="s">
        <v>37</v>
      </c>
      <c r="E194" s="2" t="s">
        <v>1748</v>
      </c>
      <c r="F194" s="2" t="s">
        <v>41</v>
      </c>
      <c r="G194" s="2" t="s">
        <v>433</v>
      </c>
      <c r="H194" s="2" t="s">
        <v>434</v>
      </c>
      <c r="I194" s="4">
        <v>507387</v>
      </c>
      <c r="J194" s="4">
        <v>0</v>
      </c>
      <c r="K194" s="4">
        <v>0</v>
      </c>
      <c r="L194" s="5"/>
      <c r="M194" s="5">
        <v>3.6</v>
      </c>
      <c r="N194" s="6">
        <v>18265.932000000001</v>
      </c>
      <c r="O194" s="4">
        <v>0</v>
      </c>
      <c r="P194" s="4">
        <v>0</v>
      </c>
      <c r="Q194" s="6">
        <v>18265.932000000001</v>
      </c>
      <c r="R194" s="4">
        <v>0</v>
      </c>
      <c r="S194" s="4">
        <v>0</v>
      </c>
      <c r="T194" s="4">
        <v>279062.84999999998</v>
      </c>
      <c r="U194" s="4">
        <v>279062.84999999998</v>
      </c>
      <c r="V194" s="6">
        <v>55</v>
      </c>
      <c r="W194" s="4">
        <v>0</v>
      </c>
      <c r="X194" s="4">
        <v>0</v>
      </c>
      <c r="Y194" s="4">
        <v>154000</v>
      </c>
      <c r="Z194" s="4">
        <v>154000</v>
      </c>
      <c r="AA194" s="4">
        <v>3.4</v>
      </c>
      <c r="AB194" s="6">
        <v>17251.157999999999</v>
      </c>
      <c r="AC194" s="4">
        <v>0</v>
      </c>
      <c r="AD194" s="4">
        <v>0</v>
      </c>
      <c r="AE194" s="6">
        <v>17251.157999999999</v>
      </c>
      <c r="AF194" s="4">
        <v>0</v>
      </c>
      <c r="AG194" s="7">
        <v>0</v>
      </c>
      <c r="AH194" s="2" t="s">
        <v>37</v>
      </c>
      <c r="AI194">
        <v>0</v>
      </c>
      <c r="AJ194" s="3">
        <v>41912.686249999999</v>
      </c>
      <c r="AK194" s="2" t="s">
        <v>1747</v>
      </c>
    </row>
    <row r="195" spans="1:37" x14ac:dyDescent="0.15">
      <c r="A195" s="2" t="s">
        <v>1746</v>
      </c>
      <c r="B195">
        <v>291</v>
      </c>
      <c r="C195" s="3">
        <v>41821</v>
      </c>
      <c r="D195" s="2" t="s">
        <v>37</v>
      </c>
      <c r="E195" s="2" t="s">
        <v>1745</v>
      </c>
      <c r="F195" s="2" t="s">
        <v>41</v>
      </c>
      <c r="G195" s="2" t="s">
        <v>439</v>
      </c>
      <c r="H195" s="2" t="s">
        <v>440</v>
      </c>
      <c r="I195" s="4">
        <v>2063932</v>
      </c>
      <c r="J195" s="4">
        <v>0</v>
      </c>
      <c r="K195" s="4">
        <v>0</v>
      </c>
      <c r="L195" s="5"/>
      <c r="M195" s="5">
        <v>8.6</v>
      </c>
      <c r="N195" s="6">
        <v>177498.152</v>
      </c>
      <c r="O195" s="4">
        <v>0</v>
      </c>
      <c r="P195" s="4">
        <v>0</v>
      </c>
      <c r="Q195" s="6">
        <v>177498.152</v>
      </c>
      <c r="R195" s="4">
        <v>0</v>
      </c>
      <c r="S195" s="4">
        <v>0</v>
      </c>
      <c r="T195" s="4">
        <v>309589.8</v>
      </c>
      <c r="U195" s="4">
        <v>309589.8</v>
      </c>
      <c r="V195" s="6">
        <v>15</v>
      </c>
      <c r="W195" s="4">
        <v>0</v>
      </c>
      <c r="X195" s="4">
        <v>0</v>
      </c>
      <c r="Y195" s="4">
        <v>309589.8</v>
      </c>
      <c r="Z195" s="4">
        <v>309589.8</v>
      </c>
      <c r="AA195" s="4">
        <v>3.4</v>
      </c>
      <c r="AB195" s="6">
        <v>70173.687999999995</v>
      </c>
      <c r="AC195" s="4">
        <v>0</v>
      </c>
      <c r="AD195" s="4">
        <v>0</v>
      </c>
      <c r="AE195" s="6">
        <v>70173.687999999995</v>
      </c>
      <c r="AF195" s="4">
        <v>0</v>
      </c>
      <c r="AG195" s="7">
        <v>0</v>
      </c>
      <c r="AH195" s="2" t="s">
        <v>37</v>
      </c>
      <c r="AI195">
        <v>0</v>
      </c>
      <c r="AJ195" s="3">
        <v>41912.686249999999</v>
      </c>
      <c r="AK195" s="2" t="s">
        <v>1744</v>
      </c>
    </row>
    <row r="196" spans="1:37" x14ac:dyDescent="0.15">
      <c r="A196" s="2" t="s">
        <v>1743</v>
      </c>
      <c r="B196">
        <v>296</v>
      </c>
      <c r="C196" s="3">
        <v>41821</v>
      </c>
      <c r="D196" s="2" t="s">
        <v>37</v>
      </c>
      <c r="E196" s="2" t="s">
        <v>1742</v>
      </c>
      <c r="F196" s="2" t="s">
        <v>41</v>
      </c>
      <c r="G196" s="2" t="s">
        <v>437</v>
      </c>
      <c r="H196" s="2" t="s">
        <v>438</v>
      </c>
      <c r="I196" s="4">
        <v>50000</v>
      </c>
      <c r="J196" s="4">
        <v>0</v>
      </c>
      <c r="K196" s="4">
        <v>0</v>
      </c>
      <c r="L196" s="5"/>
      <c r="M196" s="5">
        <v>8.6</v>
      </c>
      <c r="N196" s="6">
        <v>4300</v>
      </c>
      <c r="O196" s="4">
        <v>0</v>
      </c>
      <c r="P196" s="4">
        <v>0</v>
      </c>
      <c r="Q196" s="6">
        <v>4300</v>
      </c>
      <c r="R196" s="4">
        <v>0</v>
      </c>
      <c r="S196" s="4">
        <v>0</v>
      </c>
      <c r="T196" s="4">
        <v>0</v>
      </c>
      <c r="U196" s="4">
        <v>0</v>
      </c>
      <c r="V196" s="6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3.4</v>
      </c>
      <c r="AB196" s="6">
        <v>1700</v>
      </c>
      <c r="AC196" s="4">
        <v>0</v>
      </c>
      <c r="AD196" s="4">
        <v>0</v>
      </c>
      <c r="AE196" s="6">
        <v>1700</v>
      </c>
      <c r="AF196" s="4">
        <v>0</v>
      </c>
      <c r="AG196" s="7">
        <v>0</v>
      </c>
      <c r="AH196" s="2" t="s">
        <v>37</v>
      </c>
      <c r="AI196">
        <v>0</v>
      </c>
      <c r="AJ196" s="3">
        <v>41912.686249999999</v>
      </c>
      <c r="AK196" s="2" t="s">
        <v>1741</v>
      </c>
    </row>
    <row r="197" spans="1:37" x14ac:dyDescent="0.15">
      <c r="A197" s="2" t="s">
        <v>1740</v>
      </c>
      <c r="B197">
        <v>1212</v>
      </c>
      <c r="C197" s="3">
        <v>41821</v>
      </c>
      <c r="D197" s="2" t="s">
        <v>37</v>
      </c>
      <c r="E197" s="2" t="s">
        <v>1739</v>
      </c>
      <c r="F197" s="2" t="s">
        <v>38</v>
      </c>
      <c r="G197" s="2" t="s">
        <v>417</v>
      </c>
      <c r="H197" s="2" t="s">
        <v>418</v>
      </c>
      <c r="I197" s="4">
        <v>1885067.2</v>
      </c>
      <c r="J197" s="4">
        <v>0</v>
      </c>
      <c r="K197" s="4">
        <v>0</v>
      </c>
      <c r="L197" s="5"/>
      <c r="M197" s="5">
        <v>3.6</v>
      </c>
      <c r="N197" s="6">
        <v>67862.419200000004</v>
      </c>
      <c r="O197" s="4">
        <v>0</v>
      </c>
      <c r="P197" s="4">
        <v>0</v>
      </c>
      <c r="Q197" s="6">
        <v>67862.419200000004</v>
      </c>
      <c r="R197" s="4">
        <v>565520</v>
      </c>
      <c r="S197" s="4">
        <v>565520</v>
      </c>
      <c r="T197" s="4">
        <v>0</v>
      </c>
      <c r="U197" s="4">
        <v>0</v>
      </c>
      <c r="V197" s="6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3.4</v>
      </c>
      <c r="AB197" s="6">
        <v>19227.68</v>
      </c>
      <c r="AC197" s="4">
        <v>0</v>
      </c>
      <c r="AD197" s="4">
        <v>0</v>
      </c>
      <c r="AE197" s="6">
        <v>19227.68</v>
      </c>
      <c r="AF197" s="4">
        <v>0</v>
      </c>
      <c r="AG197" s="7">
        <v>21</v>
      </c>
      <c r="AH197" s="2" t="s">
        <v>52</v>
      </c>
      <c r="AI197">
        <v>0</v>
      </c>
      <c r="AJ197" s="3">
        <v>41912.6862847222</v>
      </c>
      <c r="AK197" s="2" t="s">
        <v>1738</v>
      </c>
    </row>
    <row r="198" spans="1:37" x14ac:dyDescent="0.15">
      <c r="A198" s="2" t="s">
        <v>1737</v>
      </c>
      <c r="B198">
        <v>304</v>
      </c>
      <c r="C198" s="3">
        <v>41821</v>
      </c>
      <c r="D198" s="2" t="s">
        <v>37</v>
      </c>
      <c r="E198" s="2" t="s">
        <v>1736</v>
      </c>
      <c r="F198" s="2" t="s">
        <v>41</v>
      </c>
      <c r="G198" s="2" t="s">
        <v>443</v>
      </c>
      <c r="H198" s="2" t="s">
        <v>444</v>
      </c>
      <c r="I198" s="4">
        <v>248000</v>
      </c>
      <c r="J198" s="4">
        <v>0</v>
      </c>
      <c r="K198" s="4">
        <v>0</v>
      </c>
      <c r="L198" s="5"/>
      <c r="M198" s="5">
        <v>8.6</v>
      </c>
      <c r="N198" s="6">
        <v>21328</v>
      </c>
      <c r="O198" s="4">
        <v>0</v>
      </c>
      <c r="P198" s="4">
        <v>0</v>
      </c>
      <c r="Q198" s="6">
        <v>21328</v>
      </c>
      <c r="R198" s="4">
        <v>0</v>
      </c>
      <c r="S198" s="4">
        <v>0</v>
      </c>
      <c r="T198" s="4">
        <v>0</v>
      </c>
      <c r="U198" s="4">
        <v>0</v>
      </c>
      <c r="V198" s="6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3.4</v>
      </c>
      <c r="AB198" s="6">
        <v>8432</v>
      </c>
      <c r="AC198" s="4">
        <v>0</v>
      </c>
      <c r="AD198" s="4">
        <v>0</v>
      </c>
      <c r="AE198" s="6">
        <v>8432</v>
      </c>
      <c r="AF198" s="4">
        <v>0</v>
      </c>
      <c r="AG198" s="7">
        <v>0</v>
      </c>
      <c r="AH198" s="2" t="s">
        <v>37</v>
      </c>
      <c r="AI198">
        <v>0</v>
      </c>
      <c r="AJ198" s="3">
        <v>41912.686249999999</v>
      </c>
      <c r="AK198" s="2" t="s">
        <v>1735</v>
      </c>
    </row>
    <row r="199" spans="1:37" x14ac:dyDescent="0.15">
      <c r="A199" s="2" t="s">
        <v>1734</v>
      </c>
      <c r="B199">
        <v>309</v>
      </c>
      <c r="C199" s="3">
        <v>41821</v>
      </c>
      <c r="D199" s="2" t="s">
        <v>37</v>
      </c>
      <c r="E199" s="2" t="s">
        <v>1733</v>
      </c>
      <c r="F199" s="2" t="s">
        <v>41</v>
      </c>
      <c r="G199" s="2" t="s">
        <v>445</v>
      </c>
      <c r="H199" s="2" t="s">
        <v>446</v>
      </c>
      <c r="I199" s="4">
        <v>967901.04</v>
      </c>
      <c r="J199" s="4">
        <v>0</v>
      </c>
      <c r="K199" s="4">
        <v>0</v>
      </c>
      <c r="L199" s="5"/>
      <c r="M199" s="5">
        <v>3.6</v>
      </c>
      <c r="N199" s="6">
        <v>34844.437400000003</v>
      </c>
      <c r="O199" s="4">
        <v>0</v>
      </c>
      <c r="P199" s="4">
        <v>0</v>
      </c>
      <c r="Q199" s="6">
        <v>34844.437400000003</v>
      </c>
      <c r="R199" s="4">
        <v>0</v>
      </c>
      <c r="S199" s="4">
        <v>0</v>
      </c>
      <c r="T199" s="4">
        <v>0</v>
      </c>
      <c r="U199" s="4">
        <v>0</v>
      </c>
      <c r="V199" s="6">
        <v>0</v>
      </c>
      <c r="W199" s="4">
        <v>0</v>
      </c>
      <c r="X199" s="4">
        <v>0</v>
      </c>
      <c r="Y199" s="4">
        <v>0</v>
      </c>
      <c r="Z199" s="4">
        <v>0</v>
      </c>
      <c r="AA199" s="4"/>
      <c r="AB199" s="6">
        <v>0</v>
      </c>
      <c r="AC199" s="4">
        <v>0</v>
      </c>
      <c r="AD199" s="4">
        <v>0</v>
      </c>
      <c r="AE199" s="6">
        <v>0</v>
      </c>
      <c r="AF199" s="4">
        <v>0</v>
      </c>
      <c r="AG199" s="7">
        <v>0</v>
      </c>
      <c r="AH199" s="2" t="s">
        <v>37</v>
      </c>
      <c r="AI199">
        <v>0</v>
      </c>
      <c r="AJ199" s="3">
        <v>41912.686249999999</v>
      </c>
      <c r="AK199" s="2" t="s">
        <v>1732</v>
      </c>
    </row>
    <row r="200" spans="1:37" x14ac:dyDescent="0.15">
      <c r="A200" s="2" t="s">
        <v>1731</v>
      </c>
      <c r="B200">
        <v>237</v>
      </c>
      <c r="C200" s="3">
        <v>41821</v>
      </c>
      <c r="D200" s="2" t="s">
        <v>37</v>
      </c>
      <c r="E200" s="2" t="s">
        <v>1730</v>
      </c>
      <c r="F200" s="2" t="s">
        <v>41</v>
      </c>
      <c r="G200" s="2" t="s">
        <v>449</v>
      </c>
      <c r="H200" s="2" t="s">
        <v>450</v>
      </c>
      <c r="I200" s="4">
        <v>50000</v>
      </c>
      <c r="J200" s="4">
        <v>0</v>
      </c>
      <c r="K200" s="4">
        <v>0</v>
      </c>
      <c r="L200" s="5"/>
      <c r="M200" s="5">
        <v>8.6</v>
      </c>
      <c r="N200" s="6">
        <v>4300</v>
      </c>
      <c r="O200" s="4">
        <v>0</v>
      </c>
      <c r="P200" s="4">
        <v>0</v>
      </c>
      <c r="Q200" s="6">
        <v>4300</v>
      </c>
      <c r="R200" s="4">
        <v>0</v>
      </c>
      <c r="S200" s="4">
        <v>0</v>
      </c>
      <c r="T200" s="4">
        <v>0</v>
      </c>
      <c r="U200" s="4">
        <v>0</v>
      </c>
      <c r="V200" s="6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3.4</v>
      </c>
      <c r="AB200" s="6">
        <v>1700</v>
      </c>
      <c r="AC200" s="4">
        <v>0</v>
      </c>
      <c r="AD200" s="4">
        <v>0</v>
      </c>
      <c r="AE200" s="6">
        <v>1700</v>
      </c>
      <c r="AF200" s="4">
        <v>0</v>
      </c>
      <c r="AG200" s="7">
        <v>0</v>
      </c>
      <c r="AH200" s="2" t="s">
        <v>37</v>
      </c>
      <c r="AI200">
        <v>0</v>
      </c>
      <c r="AJ200" s="3">
        <v>41912.6862384259</v>
      </c>
      <c r="AK200" s="2" t="s">
        <v>1729</v>
      </c>
    </row>
    <row r="201" spans="1:37" x14ac:dyDescent="0.15">
      <c r="A201" s="2" t="s">
        <v>1728</v>
      </c>
      <c r="B201">
        <v>258</v>
      </c>
      <c r="C201" s="3">
        <v>41821</v>
      </c>
      <c r="D201" s="2" t="s">
        <v>37</v>
      </c>
      <c r="E201" s="2" t="s">
        <v>1727</v>
      </c>
      <c r="F201" s="2" t="s">
        <v>41</v>
      </c>
      <c r="G201" s="2" t="s">
        <v>451</v>
      </c>
      <c r="H201" s="2" t="s">
        <v>452</v>
      </c>
      <c r="I201" s="4">
        <v>9995935.1099999994</v>
      </c>
      <c r="J201" s="4">
        <v>0</v>
      </c>
      <c r="K201" s="4">
        <v>0</v>
      </c>
      <c r="L201" s="5"/>
      <c r="M201" s="5">
        <v>3</v>
      </c>
      <c r="N201" s="6">
        <v>299878.05330000003</v>
      </c>
      <c r="O201" s="4">
        <v>11900</v>
      </c>
      <c r="P201" s="4">
        <v>11900</v>
      </c>
      <c r="Q201" s="6">
        <v>287978.05330000003</v>
      </c>
      <c r="R201" s="4">
        <v>0</v>
      </c>
      <c r="S201" s="4">
        <v>0</v>
      </c>
      <c r="T201" s="4">
        <v>2798861.83</v>
      </c>
      <c r="U201" s="4">
        <v>2798861.83</v>
      </c>
      <c r="V201" s="6">
        <v>28</v>
      </c>
      <c r="W201" s="4">
        <v>0</v>
      </c>
      <c r="X201" s="4">
        <v>0</v>
      </c>
      <c r="Y201" s="4">
        <v>1627060.22</v>
      </c>
      <c r="Z201" s="4">
        <v>1627060.22</v>
      </c>
      <c r="AA201" s="4"/>
      <c r="AB201" s="6">
        <v>0</v>
      </c>
      <c r="AC201" s="4">
        <v>273808.63</v>
      </c>
      <c r="AD201" s="4">
        <v>273808.63</v>
      </c>
      <c r="AE201" s="6">
        <v>-273808.63</v>
      </c>
      <c r="AF201" s="4">
        <v>0</v>
      </c>
      <c r="AG201" s="7">
        <v>0</v>
      </c>
      <c r="AH201" s="2" t="s">
        <v>37</v>
      </c>
      <c r="AI201">
        <v>0</v>
      </c>
      <c r="AJ201" s="3">
        <v>41912.6862384259</v>
      </c>
      <c r="AK201" s="2" t="s">
        <v>1726</v>
      </c>
    </row>
    <row r="202" spans="1:37" x14ac:dyDescent="0.15">
      <c r="A202" s="2" t="s">
        <v>1725</v>
      </c>
      <c r="B202">
        <v>248</v>
      </c>
      <c r="C202" s="3">
        <v>41821</v>
      </c>
      <c r="D202" s="2" t="s">
        <v>37</v>
      </c>
      <c r="E202" s="2" t="s">
        <v>1724</v>
      </c>
      <c r="F202" s="2" t="s">
        <v>41</v>
      </c>
      <c r="G202" s="2" t="s">
        <v>447</v>
      </c>
      <c r="H202" s="2" t="s">
        <v>448</v>
      </c>
      <c r="I202" s="4">
        <v>1250000</v>
      </c>
      <c r="J202" s="4">
        <v>0</v>
      </c>
      <c r="K202" s="4">
        <v>0</v>
      </c>
      <c r="L202" s="5"/>
      <c r="M202" s="5">
        <v>8.6</v>
      </c>
      <c r="N202" s="6">
        <v>107500</v>
      </c>
      <c r="O202" s="4">
        <v>51600</v>
      </c>
      <c r="P202" s="4">
        <v>51600</v>
      </c>
      <c r="Q202" s="6">
        <v>55900</v>
      </c>
      <c r="R202" s="4">
        <v>0</v>
      </c>
      <c r="S202" s="4">
        <v>0</v>
      </c>
      <c r="T202" s="4">
        <v>600000</v>
      </c>
      <c r="U202" s="4">
        <v>600000</v>
      </c>
      <c r="V202" s="6">
        <v>48</v>
      </c>
      <c r="W202" s="4">
        <v>0</v>
      </c>
      <c r="X202" s="4">
        <v>0</v>
      </c>
      <c r="Y202" s="4">
        <v>600000</v>
      </c>
      <c r="Z202" s="4">
        <v>600000</v>
      </c>
      <c r="AA202" s="4">
        <v>3.4</v>
      </c>
      <c r="AB202" s="6">
        <v>42500</v>
      </c>
      <c r="AC202" s="4">
        <v>0</v>
      </c>
      <c r="AD202" s="4">
        <v>0</v>
      </c>
      <c r="AE202" s="6">
        <v>42500</v>
      </c>
      <c r="AF202" s="4">
        <v>0</v>
      </c>
      <c r="AG202" s="7">
        <v>0</v>
      </c>
      <c r="AH202" s="2" t="s">
        <v>37</v>
      </c>
      <c r="AI202">
        <v>0</v>
      </c>
      <c r="AJ202" s="3">
        <v>41912.6862384259</v>
      </c>
      <c r="AK202" s="2" t="s">
        <v>1723</v>
      </c>
    </row>
    <row r="203" spans="1:37" x14ac:dyDescent="0.15">
      <c r="A203" s="2" t="s">
        <v>1722</v>
      </c>
      <c r="B203">
        <v>267</v>
      </c>
      <c r="C203" s="3">
        <v>41821</v>
      </c>
      <c r="D203" s="2" t="s">
        <v>37</v>
      </c>
      <c r="E203" s="2" t="s">
        <v>1721</v>
      </c>
      <c r="F203" s="2" t="s">
        <v>41</v>
      </c>
      <c r="G203" s="2" t="s">
        <v>453</v>
      </c>
      <c r="H203" s="2" t="s">
        <v>454</v>
      </c>
      <c r="I203" s="4">
        <v>50000</v>
      </c>
      <c r="J203" s="4">
        <v>0</v>
      </c>
      <c r="K203" s="4">
        <v>0</v>
      </c>
      <c r="L203" s="5"/>
      <c r="M203" s="5">
        <v>8.6</v>
      </c>
      <c r="N203" s="6">
        <v>4300</v>
      </c>
      <c r="O203" s="4">
        <v>0</v>
      </c>
      <c r="P203" s="4">
        <v>0</v>
      </c>
      <c r="Q203" s="6">
        <v>4300</v>
      </c>
      <c r="R203" s="4">
        <v>0</v>
      </c>
      <c r="S203" s="4">
        <v>0</v>
      </c>
      <c r="T203" s="4">
        <v>0</v>
      </c>
      <c r="U203" s="4">
        <v>0</v>
      </c>
      <c r="V203" s="6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3.4</v>
      </c>
      <c r="AB203" s="6">
        <v>1700</v>
      </c>
      <c r="AC203" s="4">
        <v>0</v>
      </c>
      <c r="AD203" s="4">
        <v>0</v>
      </c>
      <c r="AE203" s="6">
        <v>1700</v>
      </c>
      <c r="AF203" s="4">
        <v>0</v>
      </c>
      <c r="AG203" s="7">
        <v>0</v>
      </c>
      <c r="AH203" s="2" t="s">
        <v>37</v>
      </c>
      <c r="AI203">
        <v>0</v>
      </c>
      <c r="AJ203" s="3">
        <v>41912.686249999999</v>
      </c>
      <c r="AK203" s="2" t="s">
        <v>1720</v>
      </c>
    </row>
    <row r="204" spans="1:37" x14ac:dyDescent="0.15">
      <c r="A204" s="2" t="s">
        <v>1719</v>
      </c>
      <c r="B204">
        <v>276</v>
      </c>
      <c r="C204" s="3">
        <v>41821</v>
      </c>
      <c r="D204" s="2" t="s">
        <v>37</v>
      </c>
      <c r="E204" s="2" t="s">
        <v>1718</v>
      </c>
      <c r="F204" s="2" t="s">
        <v>41</v>
      </c>
      <c r="G204" s="2" t="s">
        <v>455</v>
      </c>
      <c r="H204" s="2" t="s">
        <v>456</v>
      </c>
      <c r="I204" s="4">
        <v>48000</v>
      </c>
      <c r="J204" s="4">
        <v>0</v>
      </c>
      <c r="K204" s="4">
        <v>0</v>
      </c>
      <c r="L204" s="5"/>
      <c r="M204" s="5">
        <v>8.6</v>
      </c>
      <c r="N204" s="6">
        <v>4128</v>
      </c>
      <c r="O204" s="4">
        <v>0</v>
      </c>
      <c r="P204" s="4">
        <v>0</v>
      </c>
      <c r="Q204" s="6">
        <v>4128</v>
      </c>
      <c r="R204" s="4">
        <v>0</v>
      </c>
      <c r="S204" s="4">
        <v>0</v>
      </c>
      <c r="T204" s="4">
        <v>0</v>
      </c>
      <c r="U204" s="4">
        <v>0</v>
      </c>
      <c r="V204" s="6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3.4</v>
      </c>
      <c r="AB204" s="6">
        <v>1632</v>
      </c>
      <c r="AC204" s="4">
        <v>0</v>
      </c>
      <c r="AD204" s="4">
        <v>0</v>
      </c>
      <c r="AE204" s="6">
        <v>1632</v>
      </c>
      <c r="AF204" s="4">
        <v>0</v>
      </c>
      <c r="AG204" s="7">
        <v>0</v>
      </c>
      <c r="AH204" s="2" t="s">
        <v>37</v>
      </c>
      <c r="AI204">
        <v>0</v>
      </c>
      <c r="AJ204" s="3">
        <v>41912.686249999999</v>
      </c>
      <c r="AK204" s="2" t="s">
        <v>1717</v>
      </c>
    </row>
    <row r="205" spans="1:37" x14ac:dyDescent="0.15">
      <c r="A205" s="2" t="s">
        <v>1716</v>
      </c>
      <c r="B205">
        <v>287</v>
      </c>
      <c r="C205" s="3">
        <v>41821</v>
      </c>
      <c r="D205" s="2" t="s">
        <v>37</v>
      </c>
      <c r="E205" s="2" t="s">
        <v>1715</v>
      </c>
      <c r="F205" s="2" t="s">
        <v>41</v>
      </c>
      <c r="G205" s="2" t="s">
        <v>391</v>
      </c>
      <c r="H205" s="2" t="s">
        <v>392</v>
      </c>
      <c r="I205" s="4">
        <v>50000</v>
      </c>
      <c r="J205" s="4">
        <v>0</v>
      </c>
      <c r="K205" s="4">
        <v>0</v>
      </c>
      <c r="L205" s="5"/>
      <c r="M205" s="5">
        <v>8.6</v>
      </c>
      <c r="N205" s="6">
        <v>4300</v>
      </c>
      <c r="O205" s="4">
        <v>0</v>
      </c>
      <c r="P205" s="4">
        <v>0</v>
      </c>
      <c r="Q205" s="6">
        <v>4300</v>
      </c>
      <c r="R205" s="4">
        <v>0</v>
      </c>
      <c r="S205" s="4">
        <v>0</v>
      </c>
      <c r="T205" s="4">
        <v>0</v>
      </c>
      <c r="U205" s="4">
        <v>0</v>
      </c>
      <c r="V205" s="6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3.4</v>
      </c>
      <c r="AB205" s="6">
        <v>1700</v>
      </c>
      <c r="AC205" s="4">
        <v>0</v>
      </c>
      <c r="AD205" s="4">
        <v>0</v>
      </c>
      <c r="AE205" s="6">
        <v>1700</v>
      </c>
      <c r="AF205" s="4">
        <v>0</v>
      </c>
      <c r="AG205" s="7">
        <v>0</v>
      </c>
      <c r="AH205" s="2" t="s">
        <v>37</v>
      </c>
      <c r="AI205">
        <v>0</v>
      </c>
      <c r="AJ205" s="3">
        <v>41912.686249999999</v>
      </c>
      <c r="AK205" s="2" t="s">
        <v>1714</v>
      </c>
    </row>
    <row r="206" spans="1:37" x14ac:dyDescent="0.15">
      <c r="A206" s="2" t="s">
        <v>1713</v>
      </c>
      <c r="B206">
        <v>281</v>
      </c>
      <c r="C206" s="3">
        <v>41821</v>
      </c>
      <c r="D206" s="2" t="s">
        <v>37</v>
      </c>
      <c r="E206" s="2" t="s">
        <v>1712</v>
      </c>
      <c r="F206" s="2" t="s">
        <v>41</v>
      </c>
      <c r="G206" s="2" t="s">
        <v>457</v>
      </c>
      <c r="H206" s="2" t="s">
        <v>458</v>
      </c>
      <c r="I206" s="4">
        <v>50000</v>
      </c>
      <c r="J206" s="4">
        <v>0</v>
      </c>
      <c r="K206" s="4">
        <v>0</v>
      </c>
      <c r="L206" s="5"/>
      <c r="M206" s="5">
        <v>8.6</v>
      </c>
      <c r="N206" s="6">
        <v>4300</v>
      </c>
      <c r="O206" s="4">
        <v>0</v>
      </c>
      <c r="P206" s="4">
        <v>0</v>
      </c>
      <c r="Q206" s="6">
        <v>4300</v>
      </c>
      <c r="R206" s="4">
        <v>0</v>
      </c>
      <c r="S206" s="4">
        <v>0</v>
      </c>
      <c r="T206" s="4">
        <v>0</v>
      </c>
      <c r="U206" s="4">
        <v>0</v>
      </c>
      <c r="V206" s="6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3.4</v>
      </c>
      <c r="AB206" s="6">
        <v>1700</v>
      </c>
      <c r="AC206" s="4">
        <v>0</v>
      </c>
      <c r="AD206" s="4">
        <v>0</v>
      </c>
      <c r="AE206" s="6">
        <v>1700</v>
      </c>
      <c r="AF206" s="4">
        <v>0</v>
      </c>
      <c r="AG206" s="7">
        <v>0</v>
      </c>
      <c r="AH206" s="2" t="s">
        <v>37</v>
      </c>
      <c r="AI206">
        <v>0</v>
      </c>
      <c r="AJ206" s="3">
        <v>41912.686249999999</v>
      </c>
      <c r="AK206" s="2" t="s">
        <v>1711</v>
      </c>
    </row>
    <row r="207" spans="1:37" x14ac:dyDescent="0.15">
      <c r="A207" s="2" t="s">
        <v>1710</v>
      </c>
      <c r="B207">
        <v>294</v>
      </c>
      <c r="C207" s="3">
        <v>41821</v>
      </c>
      <c r="D207" s="2" t="s">
        <v>37</v>
      </c>
      <c r="E207" s="2" t="s">
        <v>1709</v>
      </c>
      <c r="F207" s="2" t="s">
        <v>41</v>
      </c>
      <c r="G207" s="2" t="s">
        <v>395</v>
      </c>
      <c r="H207" s="2" t="s">
        <v>396</v>
      </c>
      <c r="I207" s="4">
        <v>304724.28999999998</v>
      </c>
      <c r="J207" s="4">
        <v>0</v>
      </c>
      <c r="K207" s="4">
        <v>0</v>
      </c>
      <c r="L207" s="5"/>
      <c r="M207" s="5">
        <v>3.6</v>
      </c>
      <c r="N207" s="6">
        <v>10970.0744</v>
      </c>
      <c r="O207" s="4">
        <v>0</v>
      </c>
      <c r="P207" s="4">
        <v>0</v>
      </c>
      <c r="Q207" s="6">
        <v>10970.0744</v>
      </c>
      <c r="R207" s="4">
        <v>0</v>
      </c>
      <c r="S207" s="4">
        <v>0</v>
      </c>
      <c r="T207" s="4">
        <v>2073</v>
      </c>
      <c r="U207" s="4">
        <v>2073</v>
      </c>
      <c r="V207" s="6">
        <v>0.68030000000000002</v>
      </c>
      <c r="W207" s="4">
        <v>0</v>
      </c>
      <c r="X207" s="4">
        <v>0</v>
      </c>
      <c r="Y207" s="4">
        <v>0</v>
      </c>
      <c r="Z207" s="4">
        <v>0</v>
      </c>
      <c r="AA207" s="4">
        <v>3.4</v>
      </c>
      <c r="AB207" s="6">
        <v>10360.625899999999</v>
      </c>
      <c r="AC207" s="4">
        <v>2073</v>
      </c>
      <c r="AD207" s="4">
        <v>2073</v>
      </c>
      <c r="AE207" s="6">
        <v>8287.6258999999991</v>
      </c>
      <c r="AF207" s="4">
        <v>0</v>
      </c>
      <c r="AG207" s="7">
        <v>0</v>
      </c>
      <c r="AH207" s="2" t="s">
        <v>37</v>
      </c>
      <c r="AI207">
        <v>0</v>
      </c>
      <c r="AJ207" s="3">
        <v>41912.686249999999</v>
      </c>
      <c r="AK207" s="2" t="s">
        <v>1708</v>
      </c>
    </row>
    <row r="208" spans="1:37" x14ac:dyDescent="0.15">
      <c r="A208" s="2" t="s">
        <v>1707</v>
      </c>
      <c r="B208">
        <v>299</v>
      </c>
      <c r="C208" s="3">
        <v>41821</v>
      </c>
      <c r="D208" s="2" t="s">
        <v>37</v>
      </c>
      <c r="E208" s="2" t="s">
        <v>1706</v>
      </c>
      <c r="F208" s="2" t="s">
        <v>41</v>
      </c>
      <c r="G208" s="2" t="s">
        <v>393</v>
      </c>
      <c r="H208" s="2" t="s">
        <v>394</v>
      </c>
      <c r="I208" s="4">
        <v>8649410.8000000007</v>
      </c>
      <c r="J208" s="4">
        <v>0</v>
      </c>
      <c r="K208" s="4">
        <v>0</v>
      </c>
      <c r="L208" s="5"/>
      <c r="M208" s="5">
        <v>3</v>
      </c>
      <c r="N208" s="6">
        <v>259482.32399999999</v>
      </c>
      <c r="O208" s="4">
        <v>0</v>
      </c>
      <c r="P208" s="4">
        <v>0</v>
      </c>
      <c r="Q208" s="6">
        <v>259482.32399999999</v>
      </c>
      <c r="R208" s="4">
        <v>0</v>
      </c>
      <c r="S208" s="4">
        <v>0</v>
      </c>
      <c r="T208" s="4">
        <v>7657.4</v>
      </c>
      <c r="U208" s="4">
        <v>7657.4</v>
      </c>
      <c r="V208" s="6">
        <v>8.8499999999999995E-2</v>
      </c>
      <c r="W208" s="4">
        <v>0</v>
      </c>
      <c r="X208" s="4">
        <v>0</v>
      </c>
      <c r="Y208" s="4">
        <v>439657.4</v>
      </c>
      <c r="Z208" s="4">
        <v>439657.4</v>
      </c>
      <c r="AA208" s="4">
        <v>3.4</v>
      </c>
      <c r="AB208" s="6">
        <v>294079.96720000001</v>
      </c>
      <c r="AC208" s="4">
        <v>0</v>
      </c>
      <c r="AD208" s="4">
        <v>0</v>
      </c>
      <c r="AE208" s="6">
        <v>294079.96720000001</v>
      </c>
      <c r="AF208" s="4">
        <v>0</v>
      </c>
      <c r="AG208" s="7">
        <v>0</v>
      </c>
      <c r="AH208" s="2" t="s">
        <v>37</v>
      </c>
      <c r="AI208">
        <v>0</v>
      </c>
      <c r="AJ208" s="3">
        <v>41912.686249999999</v>
      </c>
      <c r="AK208" s="2" t="s">
        <v>1705</v>
      </c>
    </row>
    <row r="209" spans="1:37" x14ac:dyDescent="0.15">
      <c r="A209" s="2" t="s">
        <v>1704</v>
      </c>
      <c r="B209">
        <v>1214</v>
      </c>
      <c r="C209" s="3">
        <v>41821</v>
      </c>
      <c r="D209" s="2" t="s">
        <v>37</v>
      </c>
      <c r="E209" s="2" t="s">
        <v>1703</v>
      </c>
      <c r="F209" s="2" t="s">
        <v>38</v>
      </c>
      <c r="G209" s="2" t="s">
        <v>441</v>
      </c>
      <c r="H209" s="2" t="s">
        <v>442</v>
      </c>
      <c r="I209" s="4">
        <v>1679000</v>
      </c>
      <c r="J209" s="4">
        <v>0</v>
      </c>
      <c r="K209" s="4">
        <v>0</v>
      </c>
      <c r="L209" s="5"/>
      <c r="M209" s="5">
        <v>3.6</v>
      </c>
      <c r="N209" s="6">
        <v>60444</v>
      </c>
      <c r="O209" s="4">
        <v>0</v>
      </c>
      <c r="P209" s="4">
        <v>0</v>
      </c>
      <c r="Q209" s="6">
        <v>60444</v>
      </c>
      <c r="R209" s="4">
        <v>0</v>
      </c>
      <c r="S209" s="4">
        <v>0</v>
      </c>
      <c r="T209" s="4">
        <v>0</v>
      </c>
      <c r="U209" s="4">
        <v>0</v>
      </c>
      <c r="V209" s="6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3.4</v>
      </c>
      <c r="AB209" s="6">
        <v>0</v>
      </c>
      <c r="AC209" s="4">
        <v>0</v>
      </c>
      <c r="AD209" s="4">
        <v>0</v>
      </c>
      <c r="AE209" s="6">
        <v>0</v>
      </c>
      <c r="AF209" s="4">
        <v>0</v>
      </c>
      <c r="AG209" s="7">
        <v>19</v>
      </c>
      <c r="AH209" s="2" t="s">
        <v>52</v>
      </c>
      <c r="AI209">
        <v>0</v>
      </c>
      <c r="AJ209" s="3">
        <v>41912.6862847222</v>
      </c>
      <c r="AK209" s="2" t="s">
        <v>1702</v>
      </c>
    </row>
    <row r="210" spans="1:37" x14ac:dyDescent="0.15">
      <c r="A210" s="2" t="s">
        <v>1701</v>
      </c>
      <c r="B210">
        <v>307</v>
      </c>
      <c r="C210" s="3">
        <v>41821</v>
      </c>
      <c r="D210" s="2" t="s">
        <v>37</v>
      </c>
      <c r="E210" s="2" t="s">
        <v>1700</v>
      </c>
      <c r="F210" s="2" t="s">
        <v>41</v>
      </c>
      <c r="G210" s="2" t="s">
        <v>399</v>
      </c>
      <c r="H210" s="2" t="s">
        <v>400</v>
      </c>
      <c r="I210" s="4">
        <v>465000</v>
      </c>
      <c r="J210" s="4">
        <v>0</v>
      </c>
      <c r="K210" s="4">
        <v>0</v>
      </c>
      <c r="L210" s="5"/>
      <c r="M210" s="5">
        <v>3.6</v>
      </c>
      <c r="N210" s="6">
        <v>16740</v>
      </c>
      <c r="O210" s="4">
        <v>0</v>
      </c>
      <c r="P210" s="4">
        <v>0</v>
      </c>
      <c r="Q210" s="6">
        <v>16740</v>
      </c>
      <c r="R210" s="4">
        <v>0</v>
      </c>
      <c r="S210" s="4">
        <v>0</v>
      </c>
      <c r="T210" s="4">
        <v>4743</v>
      </c>
      <c r="U210" s="4">
        <v>4743</v>
      </c>
      <c r="V210" s="6">
        <v>1.02</v>
      </c>
      <c r="W210" s="4">
        <v>0</v>
      </c>
      <c r="X210" s="4">
        <v>0</v>
      </c>
      <c r="Y210" s="4">
        <v>0</v>
      </c>
      <c r="Z210" s="4">
        <v>0</v>
      </c>
      <c r="AA210" s="4">
        <v>3.4</v>
      </c>
      <c r="AB210" s="6">
        <v>15810</v>
      </c>
      <c r="AC210" s="4">
        <v>4743</v>
      </c>
      <c r="AD210" s="4">
        <v>4743</v>
      </c>
      <c r="AE210" s="6">
        <v>11067</v>
      </c>
      <c r="AF210" s="4">
        <v>0</v>
      </c>
      <c r="AG210" s="7">
        <v>0</v>
      </c>
      <c r="AH210" s="2" t="s">
        <v>37</v>
      </c>
      <c r="AI210">
        <v>0</v>
      </c>
      <c r="AJ210" s="3">
        <v>41912.686249999999</v>
      </c>
      <c r="AK210" s="2" t="s">
        <v>1699</v>
      </c>
    </row>
    <row r="211" spans="1:37" x14ac:dyDescent="0.15">
      <c r="A211" s="2" t="s">
        <v>1698</v>
      </c>
      <c r="B211">
        <v>239</v>
      </c>
      <c r="C211" s="3">
        <v>41821</v>
      </c>
      <c r="D211" s="2" t="s">
        <v>37</v>
      </c>
      <c r="E211" s="2" t="s">
        <v>1697</v>
      </c>
      <c r="F211" s="2" t="s">
        <v>41</v>
      </c>
      <c r="G211" s="2" t="s">
        <v>401</v>
      </c>
      <c r="H211" s="2" t="s">
        <v>402</v>
      </c>
      <c r="I211" s="4">
        <v>6378103.04</v>
      </c>
      <c r="J211" s="4">
        <v>0</v>
      </c>
      <c r="K211" s="4">
        <v>0</v>
      </c>
      <c r="L211" s="5"/>
      <c r="M211" s="5">
        <v>3</v>
      </c>
      <c r="N211" s="6">
        <v>191343.0912</v>
      </c>
      <c r="O211" s="4">
        <v>0</v>
      </c>
      <c r="P211" s="4">
        <v>0</v>
      </c>
      <c r="Q211" s="6">
        <v>191343.0912</v>
      </c>
      <c r="R211" s="4">
        <v>0</v>
      </c>
      <c r="S211" s="4">
        <v>0</v>
      </c>
      <c r="T211" s="4">
        <v>0</v>
      </c>
      <c r="U211" s="4">
        <v>0</v>
      </c>
      <c r="V211" s="6">
        <v>0</v>
      </c>
      <c r="W211" s="4">
        <v>0</v>
      </c>
      <c r="X211" s="4">
        <v>0</v>
      </c>
      <c r="Y211" s="4">
        <v>188631.25</v>
      </c>
      <c r="Z211" s="4">
        <v>188631.25</v>
      </c>
      <c r="AA211" s="4"/>
      <c r="AB211" s="6">
        <v>0</v>
      </c>
      <c r="AC211" s="4">
        <v>0</v>
      </c>
      <c r="AD211" s="4">
        <v>0</v>
      </c>
      <c r="AE211" s="6">
        <v>0</v>
      </c>
      <c r="AF211" s="4">
        <v>0</v>
      </c>
      <c r="AG211" s="7">
        <v>0</v>
      </c>
      <c r="AH211" s="2" t="s">
        <v>37</v>
      </c>
      <c r="AI211">
        <v>0</v>
      </c>
      <c r="AJ211" s="3">
        <v>41912.6862384259</v>
      </c>
      <c r="AK211" s="2" t="s">
        <v>1696</v>
      </c>
    </row>
    <row r="212" spans="1:37" x14ac:dyDescent="0.15">
      <c r="A212" s="2" t="s">
        <v>1695</v>
      </c>
      <c r="B212">
        <v>1209</v>
      </c>
      <c r="C212" s="3">
        <v>41837</v>
      </c>
      <c r="D212" s="2" t="s">
        <v>37</v>
      </c>
      <c r="E212" s="2" t="s">
        <v>1694</v>
      </c>
      <c r="F212" s="2" t="s">
        <v>38</v>
      </c>
      <c r="G212" s="2" t="s">
        <v>459</v>
      </c>
      <c r="H212" s="2" t="s">
        <v>460</v>
      </c>
      <c r="I212" s="4">
        <v>14892896.99</v>
      </c>
      <c r="J212" s="4">
        <v>0</v>
      </c>
      <c r="K212" s="4">
        <v>0</v>
      </c>
      <c r="L212" s="5"/>
      <c r="M212" s="5"/>
      <c r="N212" s="6"/>
      <c r="O212" s="4">
        <v>0</v>
      </c>
      <c r="P212" s="4">
        <v>0</v>
      </c>
      <c r="Q212" s="6"/>
      <c r="R212" s="4">
        <v>0</v>
      </c>
      <c r="S212" s="4">
        <v>0</v>
      </c>
      <c r="T212" s="4">
        <v>0</v>
      </c>
      <c r="U212" s="4">
        <v>0</v>
      </c>
      <c r="V212" s="6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3.4</v>
      </c>
      <c r="AB212" s="6">
        <v>0</v>
      </c>
      <c r="AC212" s="4">
        <v>0</v>
      </c>
      <c r="AD212" s="4">
        <v>0</v>
      </c>
      <c r="AE212" s="6">
        <v>0</v>
      </c>
      <c r="AF212" s="4">
        <v>0</v>
      </c>
      <c r="AG212" s="7">
        <v>0</v>
      </c>
      <c r="AH212" s="2" t="s">
        <v>37</v>
      </c>
      <c r="AI212">
        <v>0</v>
      </c>
      <c r="AJ212" s="3">
        <v>41912.6862847222</v>
      </c>
      <c r="AK212" s="2" t="s">
        <v>1693</v>
      </c>
    </row>
    <row r="213" spans="1:37" x14ac:dyDescent="0.15">
      <c r="A213" s="2" t="s">
        <v>1692</v>
      </c>
      <c r="B213">
        <v>1200</v>
      </c>
      <c r="C213" s="3">
        <v>41837</v>
      </c>
      <c r="D213" s="2" t="s">
        <v>37</v>
      </c>
      <c r="E213" s="2" t="s">
        <v>1691</v>
      </c>
      <c r="F213" s="2" t="s">
        <v>38</v>
      </c>
      <c r="G213" s="2" t="s">
        <v>1645</v>
      </c>
      <c r="H213" s="2" t="s">
        <v>1679</v>
      </c>
      <c r="I213" s="4"/>
      <c r="J213" s="4">
        <v>0</v>
      </c>
      <c r="K213" s="4">
        <v>0</v>
      </c>
      <c r="L213" s="5"/>
      <c r="M213" s="5"/>
      <c r="N213" s="6"/>
      <c r="O213" s="4">
        <v>0</v>
      </c>
      <c r="P213" s="4">
        <v>0</v>
      </c>
      <c r="Q213" s="6"/>
      <c r="R213" s="4">
        <v>0</v>
      </c>
      <c r="S213" s="4">
        <v>0</v>
      </c>
      <c r="T213" s="4">
        <v>0</v>
      </c>
      <c r="U213" s="4">
        <v>0</v>
      </c>
      <c r="V213" s="6">
        <v>0</v>
      </c>
      <c r="W213" s="4">
        <v>0</v>
      </c>
      <c r="X213" s="4">
        <v>0</v>
      </c>
      <c r="Y213" s="4">
        <v>0</v>
      </c>
      <c r="Z213" s="4">
        <v>0</v>
      </c>
      <c r="AA213" s="4"/>
      <c r="AB213" s="6">
        <v>0</v>
      </c>
      <c r="AC213" s="4">
        <v>0</v>
      </c>
      <c r="AD213" s="4">
        <v>0</v>
      </c>
      <c r="AE213" s="6">
        <v>0</v>
      </c>
      <c r="AF213" s="4">
        <v>0</v>
      </c>
      <c r="AG213" s="7">
        <v>0</v>
      </c>
      <c r="AH213" s="2" t="s">
        <v>37</v>
      </c>
      <c r="AI213">
        <v>0</v>
      </c>
      <c r="AJ213" s="3">
        <v>41912.6862847222</v>
      </c>
      <c r="AK213" s="2" t="s">
        <v>1690</v>
      </c>
    </row>
    <row r="214" spans="1:37" x14ac:dyDescent="0.15">
      <c r="A214" s="2" t="s">
        <v>1689</v>
      </c>
      <c r="B214">
        <v>1208</v>
      </c>
      <c r="C214" s="3">
        <v>41837</v>
      </c>
      <c r="D214" s="2" t="s">
        <v>37</v>
      </c>
      <c r="E214" s="2" t="s">
        <v>1688</v>
      </c>
      <c r="F214" s="2" t="s">
        <v>38</v>
      </c>
      <c r="G214" s="2" t="s">
        <v>461</v>
      </c>
      <c r="H214" s="2" t="s">
        <v>462</v>
      </c>
      <c r="I214" s="4">
        <v>5519500</v>
      </c>
      <c r="J214" s="4">
        <v>0</v>
      </c>
      <c r="K214" s="4">
        <v>0</v>
      </c>
      <c r="L214" s="5"/>
      <c r="M214" s="5">
        <v>3</v>
      </c>
      <c r="N214" s="6">
        <v>165585</v>
      </c>
      <c r="O214" s="4">
        <v>50000</v>
      </c>
      <c r="P214" s="4">
        <v>50000</v>
      </c>
      <c r="Q214" s="6">
        <v>115585</v>
      </c>
      <c r="R214" s="4">
        <v>1000000</v>
      </c>
      <c r="S214" s="4">
        <v>1000000</v>
      </c>
      <c r="T214" s="4">
        <v>1000000</v>
      </c>
      <c r="U214" s="4">
        <v>1000000</v>
      </c>
      <c r="V214" s="6">
        <v>18.117599999999999</v>
      </c>
      <c r="W214" s="4">
        <v>701510.92</v>
      </c>
      <c r="X214" s="4">
        <v>701510.92</v>
      </c>
      <c r="Y214" s="4">
        <v>735510.92</v>
      </c>
      <c r="Z214" s="4">
        <v>735510.92</v>
      </c>
      <c r="AA214" s="4">
        <v>3.4</v>
      </c>
      <c r="AB214" s="6">
        <v>34000</v>
      </c>
      <c r="AC214" s="4">
        <v>34000</v>
      </c>
      <c r="AD214" s="4">
        <v>34000</v>
      </c>
      <c r="AE214" s="6">
        <v>0</v>
      </c>
      <c r="AF214" s="4">
        <v>0</v>
      </c>
      <c r="AG214" s="7">
        <v>77</v>
      </c>
      <c r="AH214" s="2" t="s">
        <v>66</v>
      </c>
      <c r="AI214">
        <v>0</v>
      </c>
      <c r="AJ214" s="3">
        <v>41912.6862847222</v>
      </c>
      <c r="AK214" s="2" t="s">
        <v>1687</v>
      </c>
    </row>
    <row r="215" spans="1:37" x14ac:dyDescent="0.15">
      <c r="A215" s="2" t="s">
        <v>1686</v>
      </c>
      <c r="B215">
        <v>1217</v>
      </c>
      <c r="C215" s="3">
        <v>41855</v>
      </c>
      <c r="D215" s="2" t="s">
        <v>37</v>
      </c>
      <c r="E215" s="2" t="s">
        <v>1685</v>
      </c>
      <c r="F215" s="2" t="s">
        <v>38</v>
      </c>
      <c r="G215" s="2" t="s">
        <v>463</v>
      </c>
      <c r="H215" s="2" t="s">
        <v>464</v>
      </c>
      <c r="I215" s="4">
        <v>100000</v>
      </c>
      <c r="J215" s="4">
        <v>0</v>
      </c>
      <c r="K215" s="4">
        <v>0</v>
      </c>
      <c r="L215" s="5"/>
      <c r="M215" s="5">
        <v>3.6</v>
      </c>
      <c r="N215" s="6">
        <v>3600</v>
      </c>
      <c r="O215" s="4">
        <v>0</v>
      </c>
      <c r="P215" s="4">
        <v>0</v>
      </c>
      <c r="Q215" s="6">
        <v>3600</v>
      </c>
      <c r="R215" s="4">
        <v>0</v>
      </c>
      <c r="S215" s="4">
        <v>0</v>
      </c>
      <c r="T215" s="4">
        <v>0</v>
      </c>
      <c r="U215" s="4">
        <v>0</v>
      </c>
      <c r="V215" s="6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3.4</v>
      </c>
      <c r="AB215" s="6">
        <v>0</v>
      </c>
      <c r="AC215" s="4">
        <v>0</v>
      </c>
      <c r="AD215" s="4">
        <v>0</v>
      </c>
      <c r="AE215" s="6">
        <v>0</v>
      </c>
      <c r="AF215" s="4">
        <v>0</v>
      </c>
      <c r="AG215" s="7">
        <v>0</v>
      </c>
      <c r="AH215" s="2" t="s">
        <v>37</v>
      </c>
      <c r="AI215">
        <v>0</v>
      </c>
      <c r="AJ215" s="3">
        <v>41912.6862847222</v>
      </c>
      <c r="AK215" s="2" t="s">
        <v>1684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5"/>
  <sheetViews>
    <sheetView topLeftCell="A125" zoomScale="85" zoomScaleNormal="85" workbookViewId="0">
      <selection activeCell="D152" sqref="A152:XFD152"/>
    </sheetView>
  </sheetViews>
  <sheetFormatPr defaultRowHeight="13.5" x14ac:dyDescent="0.15"/>
  <cols>
    <col min="1" max="1" width="40.5" bestFit="1" customWidth="1"/>
    <col min="2" max="2" width="10.75" bestFit="1" customWidth="1"/>
    <col min="3" max="3" width="20.5" bestFit="1" customWidth="1"/>
    <col min="4" max="4" width="14.5" bestFit="1" customWidth="1"/>
    <col min="5" max="6" width="40.5" bestFit="1" customWidth="1"/>
    <col min="7" max="7" width="15.875" bestFit="1" customWidth="1"/>
    <col min="8" max="8" width="42.5" bestFit="1" customWidth="1"/>
    <col min="9" max="9" width="18.25" bestFit="1" customWidth="1"/>
    <col min="10" max="10" width="15.75" bestFit="1" customWidth="1"/>
    <col min="11" max="11" width="22" bestFit="1" customWidth="1"/>
    <col min="12" max="12" width="20.75" bestFit="1" customWidth="1"/>
    <col min="13" max="13" width="18.25" bestFit="1" customWidth="1"/>
    <col min="14" max="15" width="25.75" bestFit="1" customWidth="1"/>
    <col min="16" max="16" width="27" bestFit="1" customWidth="1"/>
    <col min="17" max="17" width="24.5" bestFit="1" customWidth="1"/>
    <col min="18" max="18" width="23.25" bestFit="1" customWidth="1"/>
    <col min="19" max="19" width="29.5" bestFit="1" customWidth="1"/>
    <col min="20" max="20" width="22" bestFit="1" customWidth="1"/>
    <col min="21" max="21" width="28.25" bestFit="1" customWidth="1"/>
    <col min="22" max="22" width="19.5" bestFit="1" customWidth="1"/>
    <col min="23" max="23" width="27" bestFit="1" customWidth="1"/>
    <col min="24" max="24" width="33.25" bestFit="1" customWidth="1"/>
    <col min="25" max="25" width="17" bestFit="1" customWidth="1"/>
    <col min="26" max="26" width="23.25" bestFit="1" customWidth="1"/>
    <col min="27" max="27" width="9.625" bestFit="1" customWidth="1"/>
    <col min="28" max="29" width="17" bestFit="1" customWidth="1"/>
    <col min="30" max="30" width="18.25" bestFit="1" customWidth="1"/>
    <col min="31" max="31" width="15.75" bestFit="1" customWidth="1"/>
    <col min="32" max="33" width="17" bestFit="1" customWidth="1"/>
    <col min="34" max="34" width="15.75" style="64" bestFit="1" customWidth="1"/>
    <col min="35" max="35" width="9.625" bestFit="1" customWidth="1"/>
    <col min="36" max="36" width="20.5" bestFit="1" customWidth="1"/>
    <col min="37" max="37" width="63.75" bestFit="1" customWidth="1"/>
  </cols>
  <sheetData>
    <row r="1" spans="1:3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63" t="s">
        <v>33</v>
      </c>
      <c r="AI1" s="1" t="s">
        <v>34</v>
      </c>
      <c r="AJ1" s="1" t="s">
        <v>35</v>
      </c>
      <c r="AK1" s="1" t="s">
        <v>36</v>
      </c>
    </row>
    <row r="2" spans="1:37" x14ac:dyDescent="0.15">
      <c r="A2" s="2" t="s">
        <v>2325</v>
      </c>
      <c r="B2">
        <v>317</v>
      </c>
      <c r="C2" s="3">
        <v>39508</v>
      </c>
      <c r="D2" s="2" t="s">
        <v>37</v>
      </c>
      <c r="E2" s="2" t="s">
        <v>2324</v>
      </c>
      <c r="F2" s="2" t="s">
        <v>38</v>
      </c>
      <c r="G2" s="2" t="s">
        <v>39</v>
      </c>
      <c r="H2" s="2" t="s">
        <v>40</v>
      </c>
      <c r="I2" s="4">
        <f>VLOOKUP(G2,全部!C:M,11,FALSE)</f>
        <v>3950000</v>
      </c>
      <c r="J2" s="4">
        <f>K2</f>
        <v>838394.62</v>
      </c>
      <c r="K2" s="4">
        <f>VLOOKUP(计算!G2,全部!C:N,12,FALSE)</f>
        <v>838394.62</v>
      </c>
      <c r="L2" s="5">
        <f>VLOOKUP(G2,全部!C:P,14,FALSE)</f>
        <v>4596964</v>
      </c>
      <c r="M2" s="5">
        <f>VLOOKUP(G2,全部!C:V,20,FALSE)*100</f>
        <v>3.5999999999999996</v>
      </c>
      <c r="N2" s="6">
        <f>VLOOKUP(G2,全部!C:W,21,FALSE)</f>
        <v>172382.20632</v>
      </c>
      <c r="O2" s="4">
        <f>VLOOKUP(G2,全部!C:X,22,FALSE)</f>
        <v>179181</v>
      </c>
      <c r="P2" s="4">
        <f>VLOOKUP(G2,全部!C:Y,23,FALSE)</f>
        <v>179181</v>
      </c>
      <c r="Q2" s="6">
        <f>VLOOKUP(G2,全部!C:Z,24,FALSE)</f>
        <v>0</v>
      </c>
      <c r="R2" s="7">
        <f>VLOOKUP(G2,全部!C:AA,25,FALSE)</f>
        <v>4986186.2</v>
      </c>
      <c r="S2" s="7">
        <f>VLOOKUP(G2,全部!C:AB,26,FALSE)</f>
        <v>4986186.2</v>
      </c>
      <c r="T2" s="4">
        <f>VLOOKUP(计算!G2,全部!C:AC,27,FALSE)</f>
        <v>4986186.2</v>
      </c>
      <c r="U2" s="4">
        <f>VLOOKUP(G2,全部!C:AD,28,FALSE)</f>
        <v>4986186.2</v>
      </c>
      <c r="V2" s="6">
        <f>VLOOKUP(G2,全部!C:AE,29,FALSE)</f>
        <v>0.91736103330013574</v>
      </c>
      <c r="W2" s="4">
        <f>VLOOKUP(G2,全部!C:AF,30,FALSE)</f>
        <v>4931516.17</v>
      </c>
      <c r="X2" s="4">
        <f>VLOOKUP(G2,全部!C:AG,31,FALSE)</f>
        <v>4931516.17</v>
      </c>
      <c r="Y2" s="4">
        <f>VLOOKUP(计算!G2,全部!C:AH,32,FALSE)</f>
        <v>4979331.17</v>
      </c>
      <c r="Z2" s="4">
        <f>VLOOKUP(G2,全部!C:AL,36,FALSE)</f>
        <v>4979331.17</v>
      </c>
      <c r="AA2" s="4">
        <f>VLOOKUP(G2,全部!C:AM,37,FALSE)</f>
        <v>3.4000000000000002E-2</v>
      </c>
      <c r="AB2" s="6">
        <f>VLOOKUP(G2,全部!C:AN,38,FALSE)</f>
        <v>169530.33080000003</v>
      </c>
      <c r="AC2" s="4">
        <f>VLOOKUP(G2,全部!C:AO,39,FALSE)</f>
        <v>169529</v>
      </c>
      <c r="AD2" s="4">
        <f>VLOOKUP(G2,全部!C:AP,40,FALSE)</f>
        <v>169529</v>
      </c>
      <c r="AE2" s="6">
        <f>VLOOKUP(G2,全部!C:AQ,41,FALSE)</f>
        <v>0</v>
      </c>
      <c r="AF2" s="4">
        <f>VLOOKUP(G2,全部!C:AR,42,FALSE)</f>
        <v>0</v>
      </c>
      <c r="AG2" s="7">
        <f>VLOOKUP(G2,全部!C:AS,43,FALSE)</f>
        <v>0</v>
      </c>
      <c r="AH2" s="64" t="str">
        <f>IF(VLOOKUP(G2,全部!C:AT,44,FALSE)=0,"",VLOOKUP(G2,全部!C:AT,44,FALSE))</f>
        <v/>
      </c>
      <c r="AI2">
        <v>0</v>
      </c>
      <c r="AJ2" s="3">
        <v>41912.686249999999</v>
      </c>
      <c r="AK2" s="2" t="s">
        <v>2323</v>
      </c>
    </row>
    <row r="3" spans="1:37" x14ac:dyDescent="0.15">
      <c r="A3" s="2" t="s">
        <v>2322</v>
      </c>
      <c r="B3">
        <v>4</v>
      </c>
      <c r="C3" s="3">
        <v>39873</v>
      </c>
      <c r="D3" s="2" t="s">
        <v>37</v>
      </c>
      <c r="E3" s="2" t="s">
        <v>2321</v>
      </c>
      <c r="F3" s="2" t="s">
        <v>41</v>
      </c>
      <c r="G3" s="2" t="s">
        <v>42</v>
      </c>
      <c r="H3" s="2" t="s">
        <v>43</v>
      </c>
      <c r="I3" s="4">
        <f>VLOOKUP(G3,全部!C:M,11,FALSE)</f>
        <v>85000</v>
      </c>
      <c r="J3" s="4">
        <f t="shared" ref="J3:J66" si="0">K3</f>
        <v>0</v>
      </c>
      <c r="K3" s="4">
        <f>VLOOKUP(计算!G3,全部!C:N,12,FALSE)</f>
        <v>0</v>
      </c>
      <c r="L3" s="5">
        <f>VLOOKUP(G3,全部!C:P,14,FALSE)</f>
        <v>85000</v>
      </c>
      <c r="M3" s="5">
        <f>VLOOKUP(G3,全部!C:V,20,FALSE)*100</f>
        <v>6.6000000000000005</v>
      </c>
      <c r="N3" s="6">
        <f>VLOOKUP(G3,全部!C:W,21,FALSE)</f>
        <v>5610</v>
      </c>
      <c r="O3" s="4">
        <f>VLOOKUP(G3,全部!C:X,22,FALSE)</f>
        <v>5610</v>
      </c>
      <c r="P3" s="4">
        <f>VLOOKUP(G3,全部!C:Y,23,FALSE)</f>
        <v>5610</v>
      </c>
      <c r="Q3" s="6">
        <f>VLOOKUP(G3,全部!C:Z,24,FALSE)</f>
        <v>0</v>
      </c>
      <c r="R3" s="7">
        <f>VLOOKUP(G3,全部!C:AA,25,FALSE)</f>
        <v>0</v>
      </c>
      <c r="S3" s="7">
        <f>VLOOKUP(G3,全部!C:AB,26,FALSE)</f>
        <v>0</v>
      </c>
      <c r="T3" s="4">
        <f>VLOOKUP(计算!G3,全部!C:AC,27,FALSE)</f>
        <v>0</v>
      </c>
      <c r="U3" s="4">
        <f>VLOOKUP(G3,全部!C:AD,28,FALSE)</f>
        <v>0</v>
      </c>
      <c r="V3" s="6">
        <f>VLOOKUP(G3,全部!C:AE,29,FALSE)</f>
        <v>0</v>
      </c>
      <c r="W3" s="4">
        <f>VLOOKUP(G3,全部!C:AF,30,FALSE)</f>
        <v>0</v>
      </c>
      <c r="X3" s="4">
        <f>VLOOKUP(G3,全部!C:AG,31,FALSE)</f>
        <v>0</v>
      </c>
      <c r="Y3" s="4">
        <f>VLOOKUP(计算!G3,全部!C:AH,32,FALSE)</f>
        <v>41400</v>
      </c>
      <c r="Z3" s="4">
        <f>VLOOKUP(G3,全部!C:AL,36,FALSE)</f>
        <v>41400</v>
      </c>
      <c r="AA3" s="4">
        <f>VLOOKUP(G3,全部!C:AM,37,FALSE)</f>
        <v>3.4000000000000002E-2</v>
      </c>
      <c r="AB3" s="6">
        <f>VLOOKUP(G3,全部!C:AN,38,FALSE)</f>
        <v>2890</v>
      </c>
      <c r="AC3" s="4">
        <f>VLOOKUP(G3,全部!C:AO,39,FALSE)</f>
        <v>2890</v>
      </c>
      <c r="AD3" s="4">
        <f>VLOOKUP(G3,全部!C:AP,40,FALSE)</f>
        <v>2890</v>
      </c>
      <c r="AE3" s="6">
        <f>VLOOKUP(G3,全部!C:AQ,41,FALSE)</f>
        <v>0</v>
      </c>
      <c r="AF3" s="4">
        <f>VLOOKUP(G3,全部!C:AR,42,FALSE)</f>
        <v>0</v>
      </c>
      <c r="AG3" s="7">
        <f>VLOOKUP(G3,全部!C:AS,43,FALSE)</f>
        <v>0</v>
      </c>
      <c r="AH3" s="64" t="str">
        <f>IF(VLOOKUP(G3,全部!C:AT,44,FALSE)=0,"",VLOOKUP(G3,全部!C:AT,44,FALSE))</f>
        <v/>
      </c>
      <c r="AI3">
        <v>0</v>
      </c>
      <c r="AJ3" s="3">
        <v>41912.6862384259</v>
      </c>
      <c r="AK3" s="2" t="s">
        <v>2320</v>
      </c>
    </row>
    <row r="4" spans="1:37" x14ac:dyDescent="0.15">
      <c r="A4" s="2" t="s">
        <v>2319</v>
      </c>
      <c r="B4">
        <v>9</v>
      </c>
      <c r="C4" s="3">
        <v>40179</v>
      </c>
      <c r="D4" s="2" t="s">
        <v>37</v>
      </c>
      <c r="E4" s="2" t="s">
        <v>2318</v>
      </c>
      <c r="F4" s="2" t="s">
        <v>41</v>
      </c>
      <c r="G4" s="2" t="s">
        <v>44</v>
      </c>
      <c r="H4" s="2" t="s">
        <v>45</v>
      </c>
      <c r="I4" s="4">
        <f>VLOOKUP(G4,全部!C:M,11,FALSE)</f>
        <v>7494658.1799999997</v>
      </c>
      <c r="J4" s="4">
        <f t="shared" si="0"/>
        <v>0</v>
      </c>
      <c r="K4" s="4">
        <f>VLOOKUP(计算!G4,全部!C:N,12,FALSE)</f>
        <v>0</v>
      </c>
      <c r="L4" s="5">
        <f>VLOOKUP(G4,全部!C:P,14,FALSE)</f>
        <v>0</v>
      </c>
      <c r="M4" s="5">
        <f>VLOOKUP(G4,全部!C:V,20,FALSE)*100</f>
        <v>6.6000000000000005</v>
      </c>
      <c r="N4" s="6">
        <f>VLOOKUP(G4,全部!C:W,21,FALSE)</f>
        <v>494647.43988000002</v>
      </c>
      <c r="O4" s="4">
        <f>VLOOKUP(G4,全部!C:X,22,FALSE)</f>
        <v>494647.44</v>
      </c>
      <c r="P4" s="4">
        <f>VLOOKUP(G4,全部!C:Y,23,FALSE)</f>
        <v>494647.44</v>
      </c>
      <c r="Q4" s="6">
        <f>VLOOKUP(G4,全部!C:Z,24,FALSE)</f>
        <v>-1.1999998241662979E-4</v>
      </c>
      <c r="R4" s="7">
        <f>VLOOKUP(G4,全部!C:AA,25,FALSE)</f>
        <v>0</v>
      </c>
      <c r="S4" s="7">
        <f>VLOOKUP(G4,全部!C:AB,26,FALSE)</f>
        <v>0</v>
      </c>
      <c r="T4" s="4">
        <f>VLOOKUP(计算!G4,全部!C:AC,27,FALSE)</f>
        <v>7381694.04</v>
      </c>
      <c r="U4" s="4">
        <f>VLOOKUP(G4,全部!C:AD,28,FALSE)</f>
        <v>7381694.04</v>
      </c>
      <c r="V4" s="6">
        <f>VLOOKUP(G4,全部!C:AE,29,FALSE)</f>
        <v>0.98492737930310792</v>
      </c>
      <c r="W4" s="4">
        <f>VLOOKUP(G4,全部!C:AF,30,FALSE)</f>
        <v>0</v>
      </c>
      <c r="X4" s="4">
        <f>VLOOKUP(G4,全部!C:AG,31,FALSE)</f>
        <v>0</v>
      </c>
      <c r="Y4" s="4">
        <f>VLOOKUP(计算!G4,全部!C:AH,32,FALSE)</f>
        <v>6578447.8700000001</v>
      </c>
      <c r="Z4" s="4">
        <f>VLOOKUP(G4,全部!C:AL,36,FALSE)</f>
        <v>6578447.8700000001</v>
      </c>
      <c r="AA4" s="4">
        <f>VLOOKUP(G4,全部!C:AM,37,FALSE)</f>
        <v>3.4000000000000002E-2</v>
      </c>
      <c r="AB4" s="6">
        <f>VLOOKUP(G4,全部!C:AN,38,FALSE)</f>
        <v>254818.37812000001</v>
      </c>
      <c r="AC4" s="4">
        <f>VLOOKUP(G4,全部!C:AO,39,FALSE)</f>
        <v>254818.38</v>
      </c>
      <c r="AD4" s="4">
        <f>VLOOKUP(G4,全部!C:AP,40,FALSE)</f>
        <v>254818.38</v>
      </c>
      <c r="AE4" s="6">
        <f>VLOOKUP(G4,全部!C:AQ,41,FALSE)</f>
        <v>-1.879999996162951E-3</v>
      </c>
      <c r="AF4" s="4">
        <f>VLOOKUP(G4,全部!C:AR,42,FALSE)</f>
        <v>0</v>
      </c>
      <c r="AG4" s="7">
        <f>VLOOKUP(G4,全部!C:AS,43,FALSE)</f>
        <v>0</v>
      </c>
      <c r="AH4" s="64" t="str">
        <f>IF(VLOOKUP(G4,全部!C:AT,44,FALSE)=0,"",VLOOKUP(G4,全部!C:AT,44,FALSE))</f>
        <v/>
      </c>
      <c r="AI4">
        <v>0</v>
      </c>
      <c r="AJ4" s="3">
        <v>41912.6862384259</v>
      </c>
      <c r="AK4" s="2" t="s">
        <v>2317</v>
      </c>
    </row>
    <row r="5" spans="1:37" x14ac:dyDescent="0.15">
      <c r="A5" s="2" t="s">
        <v>2316</v>
      </c>
      <c r="B5">
        <v>14</v>
      </c>
      <c r="C5" s="3">
        <v>40210</v>
      </c>
      <c r="D5" s="2" t="s">
        <v>37</v>
      </c>
      <c r="E5" s="2" t="s">
        <v>2315</v>
      </c>
      <c r="F5" s="2" t="s">
        <v>41</v>
      </c>
      <c r="G5" s="2" t="s">
        <v>46</v>
      </c>
      <c r="H5" s="2" t="s">
        <v>47</v>
      </c>
      <c r="I5" s="4">
        <f>VLOOKUP(G5,全部!C:M,11,FALSE)</f>
        <v>3283372.21</v>
      </c>
      <c r="J5" s="4">
        <f t="shared" si="0"/>
        <v>0</v>
      </c>
      <c r="K5" s="4">
        <f>VLOOKUP(计算!G5,全部!C:N,12,FALSE)</f>
        <v>0</v>
      </c>
      <c r="L5" s="5">
        <f>VLOOKUP(G5,全部!C:P,14,FALSE)</f>
        <v>0</v>
      </c>
      <c r="M5" s="5">
        <f>VLOOKUP(G5,全部!C:V,20,FALSE)*100</f>
        <v>6.6000000000000005</v>
      </c>
      <c r="N5" s="6">
        <f>VLOOKUP(G5,全部!C:W,21,FALSE)</f>
        <v>216702.56586</v>
      </c>
      <c r="O5" s="4">
        <f>VLOOKUP(G5,全部!C:X,22,FALSE)</f>
        <v>216702.57</v>
      </c>
      <c r="P5" s="4">
        <f>VLOOKUP(G5,全部!C:Y,23,FALSE)</f>
        <v>216702.57</v>
      </c>
      <c r="Q5" s="6">
        <f>VLOOKUP(G5,全部!C:Z,24,FALSE)</f>
        <v>-4.1400000045541674E-3</v>
      </c>
      <c r="R5" s="7">
        <f>VLOOKUP(G5,全部!C:AA,25,FALSE)</f>
        <v>0</v>
      </c>
      <c r="S5" s="7">
        <f>VLOOKUP(G5,全部!C:AB,26,FALSE)</f>
        <v>0</v>
      </c>
      <c r="T5" s="4">
        <f>VLOOKUP(计算!G5,全部!C:AC,27,FALSE)</f>
        <v>2641685</v>
      </c>
      <c r="U5" s="4">
        <f>VLOOKUP(G5,全部!C:AD,28,FALSE)</f>
        <v>2641685</v>
      </c>
      <c r="V5" s="6">
        <f>VLOOKUP(G5,全部!C:AE,29,FALSE)</f>
        <v>0.80456458514034879</v>
      </c>
      <c r="W5" s="4">
        <f>VLOOKUP(G5,全部!C:AF,30,FALSE)</f>
        <v>0</v>
      </c>
      <c r="X5" s="4">
        <f>VLOOKUP(G5,全部!C:AG,31,FALSE)</f>
        <v>0</v>
      </c>
      <c r="Y5" s="4">
        <f>VLOOKUP(计算!G5,全部!C:AH,32,FALSE)</f>
        <v>0</v>
      </c>
      <c r="Z5" s="4">
        <f>VLOOKUP(G5,全部!C:AL,36,FALSE)</f>
        <v>2551867.71</v>
      </c>
      <c r="AA5" s="4">
        <f>VLOOKUP(G5,全部!C:AM,37,FALSE)</f>
        <v>3.4000000000000002E-2</v>
      </c>
      <c r="AB5" s="6">
        <f>VLOOKUP(G5,全部!C:AN,38,FALSE)</f>
        <v>111634.65514</v>
      </c>
      <c r="AC5" s="4">
        <f>VLOOKUP(G5,全部!C:AO,39,FALSE)</f>
        <v>89817.29</v>
      </c>
      <c r="AD5" s="4">
        <f>VLOOKUP(G5,全部!C:AP,40,FALSE)</f>
        <v>89817.29</v>
      </c>
      <c r="AE5" s="6">
        <f>VLOOKUP(G5,全部!C:AQ,41,FALSE)</f>
        <v>21817.365140000009</v>
      </c>
      <c r="AF5" s="4">
        <f>VLOOKUP(G5,全部!C:AR,42,FALSE)</f>
        <v>704031.49</v>
      </c>
      <c r="AG5" s="7">
        <f>VLOOKUP(G5,全部!C:AS,43,FALSE)</f>
        <v>0</v>
      </c>
      <c r="AH5" s="64" t="str">
        <f>IF(VLOOKUP(G5,全部!C:AT,44,FALSE)=0,"",VLOOKUP(G5,全部!C:AT,44,FALSE))</f>
        <v/>
      </c>
      <c r="AI5">
        <v>0</v>
      </c>
      <c r="AJ5" s="3">
        <v>41912.6862384259</v>
      </c>
      <c r="AK5" s="2" t="s">
        <v>2314</v>
      </c>
    </row>
    <row r="6" spans="1:37" x14ac:dyDescent="0.15">
      <c r="A6" s="2" t="s">
        <v>2313</v>
      </c>
      <c r="B6">
        <v>18</v>
      </c>
      <c r="C6" s="3">
        <v>40238</v>
      </c>
      <c r="D6" s="2" t="s">
        <v>37</v>
      </c>
      <c r="E6" s="2" t="s">
        <v>2312</v>
      </c>
      <c r="F6" s="2" t="s">
        <v>41</v>
      </c>
      <c r="G6" s="2" t="s">
        <v>48</v>
      </c>
      <c r="H6" s="2" t="s">
        <v>49</v>
      </c>
      <c r="I6" s="4">
        <f>VLOOKUP(G6,全部!C:M,11,FALSE)</f>
        <v>7212049</v>
      </c>
      <c r="J6" s="4">
        <f t="shared" si="0"/>
        <v>0</v>
      </c>
      <c r="K6" s="4">
        <f>VLOOKUP(计算!G6,全部!C:N,12,FALSE)</f>
        <v>0</v>
      </c>
      <c r="L6" s="5">
        <f>VLOOKUP(G6,全部!C:P,14,FALSE)</f>
        <v>0</v>
      </c>
      <c r="M6" s="5">
        <f>VLOOKUP(G6,全部!C:V,20,FALSE)*100</f>
        <v>6.6000000000000005</v>
      </c>
      <c r="N6" s="6">
        <f>VLOOKUP(G6,全部!C:W,21,FALSE)</f>
        <v>475995.234</v>
      </c>
      <c r="O6" s="4">
        <f>VLOOKUP(G6,全部!C:X,22,FALSE)</f>
        <v>475995.23</v>
      </c>
      <c r="P6" s="4">
        <f>VLOOKUP(G6,全部!C:Y,23,FALSE)</f>
        <v>475995.23</v>
      </c>
      <c r="Q6" s="6">
        <f>VLOOKUP(G6,全部!C:Z,24,FALSE)</f>
        <v>4.0000000153668225E-3</v>
      </c>
      <c r="R6" s="7">
        <f>VLOOKUP(G6,全部!C:AA,25,FALSE)</f>
        <v>0</v>
      </c>
      <c r="S6" s="7">
        <f>VLOOKUP(G6,全部!C:AB,26,FALSE)</f>
        <v>0</v>
      </c>
      <c r="T6" s="4">
        <f>VLOOKUP(计算!G6,全部!C:AC,27,FALSE)</f>
        <v>6569639.2000000002</v>
      </c>
      <c r="U6" s="4">
        <f>VLOOKUP(G6,全部!C:AD,28,FALSE)</f>
        <v>6569639.2000000002</v>
      </c>
      <c r="V6" s="6">
        <f>VLOOKUP(G6,全部!C:AE,29,FALSE)</f>
        <v>0.91092548040092358</v>
      </c>
      <c r="W6" s="4">
        <f>VLOOKUP(G6,全部!C:AF,30,FALSE)</f>
        <v>0</v>
      </c>
      <c r="X6" s="4">
        <f>VLOOKUP(G6,全部!C:AG,31,FALSE)</f>
        <v>0</v>
      </c>
      <c r="Y6" s="4">
        <f>VLOOKUP(计算!G6,全部!C:AH,32,FALSE)</f>
        <v>0</v>
      </c>
      <c r="Z6" s="4">
        <f>VLOOKUP(G6,全部!C:AL,36,FALSE)</f>
        <v>6277110.3499999996</v>
      </c>
      <c r="AA6" s="4">
        <f>VLOOKUP(G6,全部!C:AM,37,FALSE)</f>
        <v>3.4000000000000002E-2</v>
      </c>
      <c r="AB6" s="6">
        <f>VLOOKUP(G6,全部!C:AN,38,FALSE)</f>
        <v>245209.66600000003</v>
      </c>
      <c r="AC6" s="4">
        <f>VLOOKUP(G6,全部!C:AO,39,FALSE)</f>
        <v>223367.73</v>
      </c>
      <c r="AD6" s="4">
        <f>VLOOKUP(G6,全部!C:AP,40,FALSE)</f>
        <v>223367.73</v>
      </c>
      <c r="AE6" s="6">
        <f>VLOOKUP(G6,全部!C:AQ,41,FALSE)</f>
        <v>21841.936000000016</v>
      </c>
      <c r="AF6" s="4">
        <f>VLOOKUP(G6,全部!C:AR,42,FALSE)</f>
        <v>0</v>
      </c>
      <c r="AG6" s="7">
        <f>VLOOKUP(G6,全部!C:AS,43,FALSE)</f>
        <v>0</v>
      </c>
      <c r="AH6" s="64" t="str">
        <f>IF(VLOOKUP(G6,全部!C:AT,44,FALSE)=0,"",VLOOKUP(G6,全部!C:AT,44,FALSE))</f>
        <v/>
      </c>
      <c r="AI6">
        <v>0</v>
      </c>
      <c r="AJ6" s="3">
        <v>41912.6862384259</v>
      </c>
      <c r="AK6" s="2" t="s">
        <v>2311</v>
      </c>
    </row>
    <row r="7" spans="1:37" x14ac:dyDescent="0.15">
      <c r="A7" s="2" t="s">
        <v>2310</v>
      </c>
      <c r="B7">
        <v>325</v>
      </c>
      <c r="C7" s="3">
        <v>40283</v>
      </c>
      <c r="D7" s="2" t="s">
        <v>37</v>
      </c>
      <c r="E7" s="2" t="s">
        <v>2309</v>
      </c>
      <c r="F7" s="2" t="s">
        <v>38</v>
      </c>
      <c r="G7" s="2" t="s">
        <v>50</v>
      </c>
      <c r="H7" s="2" t="s">
        <v>51</v>
      </c>
      <c r="I7" s="4">
        <f>VLOOKUP(G7,全部!C:M,11,FALSE)</f>
        <v>4300000</v>
      </c>
      <c r="J7" s="4">
        <f t="shared" si="0"/>
        <v>0</v>
      </c>
      <c r="K7" s="4">
        <f>VLOOKUP(计算!G7,全部!C:N,12,FALSE)</f>
        <v>0</v>
      </c>
      <c r="L7" s="5">
        <f>VLOOKUP(G7,全部!C:P,14,FALSE)</f>
        <v>0</v>
      </c>
      <c r="M7" s="5">
        <f>VLOOKUP(G7,全部!C:V,20,FALSE)*100</f>
        <v>3.5999999999999996</v>
      </c>
      <c r="N7" s="6">
        <f>VLOOKUP(G7,全部!C:W,21,FALSE)</f>
        <v>154800</v>
      </c>
      <c r="O7" s="4">
        <f>VLOOKUP(G7,全部!C:X,22,FALSE)</f>
        <v>154800</v>
      </c>
      <c r="P7" s="4">
        <f>VLOOKUP(G7,全部!C:Y,23,FALSE)</f>
        <v>154800</v>
      </c>
      <c r="Q7" s="6">
        <f>VLOOKUP(G7,全部!C:Z,24,FALSE)</f>
        <v>0</v>
      </c>
      <c r="R7" s="7">
        <f>VLOOKUP(G7,全部!C:AA,25,FALSE)</f>
        <v>3940000</v>
      </c>
      <c r="S7" s="7">
        <f>VLOOKUP(G7,全部!C:AB,26,FALSE)</f>
        <v>3940000</v>
      </c>
      <c r="T7" s="4">
        <f>VLOOKUP(计算!G7,全部!C:AC,27,FALSE)</f>
        <v>3940000</v>
      </c>
      <c r="U7" s="4">
        <f>VLOOKUP(G7,全部!C:AD,28,FALSE)</f>
        <v>3940000</v>
      </c>
      <c r="V7" s="6">
        <f>VLOOKUP(G7,全部!C:AE,29,FALSE)</f>
        <v>0.91627906976744189</v>
      </c>
      <c r="W7" s="4">
        <f>VLOOKUP(G7,全部!C:AF,30,FALSE)</f>
        <v>3814968.9</v>
      </c>
      <c r="X7" s="4">
        <f>VLOOKUP(G7,全部!C:AG,31,FALSE)</f>
        <v>3814968.9</v>
      </c>
      <c r="Y7" s="4">
        <f>VLOOKUP(计算!G7,全部!C:AH,32,FALSE)</f>
        <v>3908218.9</v>
      </c>
      <c r="Z7" s="4">
        <f>VLOOKUP(G7,全部!C:AL,36,FALSE)</f>
        <v>3908218.9</v>
      </c>
      <c r="AA7" s="4">
        <f>VLOOKUP(G7,全部!C:AM,37,FALSE)</f>
        <v>3.4000000000000002E-2</v>
      </c>
      <c r="AB7" s="6">
        <f>VLOOKUP(G7,全部!C:AN,38,FALSE)</f>
        <v>133960</v>
      </c>
      <c r="AC7" s="4">
        <f>VLOOKUP(G7,全部!C:AO,39,FALSE)</f>
        <v>133960</v>
      </c>
      <c r="AD7" s="4">
        <f>VLOOKUP(G7,全部!C:AP,40,FALSE)</f>
        <v>133960</v>
      </c>
      <c r="AE7" s="6">
        <f>VLOOKUP(G7,全部!C:AQ,41,FALSE)</f>
        <v>0</v>
      </c>
      <c r="AF7" s="4">
        <f>VLOOKUP(G7,全部!C:AR,42,FALSE)</f>
        <v>0</v>
      </c>
      <c r="AG7" s="7">
        <f>VLOOKUP(G7,全部!C:AS,43,FALSE)</f>
        <v>65</v>
      </c>
      <c r="AH7" s="64" t="str">
        <f>IF(VLOOKUP(G7,全部!C:AT,44,FALSE)=0,"",VLOOKUP(G7,全部!C:AT,44,FALSE))</f>
        <v>亦庄</v>
      </c>
      <c r="AI7">
        <v>0</v>
      </c>
      <c r="AJ7" s="3">
        <v>41912.686249999999</v>
      </c>
      <c r="AK7" s="2" t="s">
        <v>2308</v>
      </c>
    </row>
    <row r="8" spans="1:37" x14ac:dyDescent="0.15">
      <c r="A8" s="2" t="s">
        <v>2307</v>
      </c>
      <c r="B8">
        <v>340</v>
      </c>
      <c r="C8" s="3">
        <v>40467</v>
      </c>
      <c r="D8" s="2" t="s">
        <v>37</v>
      </c>
      <c r="E8" s="2" t="s">
        <v>2306</v>
      </c>
      <c r="F8" s="2" t="s">
        <v>38</v>
      </c>
      <c r="G8" s="2" t="s">
        <v>53</v>
      </c>
      <c r="H8" s="2" t="s">
        <v>54</v>
      </c>
      <c r="I8" s="4">
        <f>VLOOKUP(G8,全部!C:M,11,FALSE)</f>
        <v>1787170</v>
      </c>
      <c r="J8" s="4">
        <f t="shared" si="0"/>
        <v>868000</v>
      </c>
      <c r="K8" s="4">
        <f>VLOOKUP(计算!G8,全部!C:N,12,FALSE)</f>
        <v>868000</v>
      </c>
      <c r="L8" s="5">
        <f>VLOOKUP(G8,全部!C:P,14,FALSE)</f>
        <v>2610000</v>
      </c>
      <c r="M8" s="5">
        <f>VLOOKUP(G8,全部!C:V,20,FALSE)*100</f>
        <v>3.5999999999999996</v>
      </c>
      <c r="N8" s="6">
        <f>VLOOKUP(G8,全部!C:W,21,FALSE)</f>
        <v>93960</v>
      </c>
      <c r="O8" s="4">
        <f>VLOOKUP(G8,全部!C:X,22,FALSE)</f>
        <v>94830</v>
      </c>
      <c r="P8" s="4">
        <f>VLOOKUP(G8,全部!C:Y,23,FALSE)</f>
        <v>94830</v>
      </c>
      <c r="Q8" s="6">
        <f>VLOOKUP(G8,全部!C:Z,24,FALSE)</f>
        <v>0</v>
      </c>
      <c r="R8" s="7">
        <f>VLOOKUP(G8,全部!C:AA,25,FALSE)</f>
        <v>2610000</v>
      </c>
      <c r="S8" s="7">
        <f>VLOOKUP(G8,全部!C:AB,26,FALSE)</f>
        <v>2610000</v>
      </c>
      <c r="T8" s="4">
        <f>VLOOKUP(计算!G8,全部!C:AC,27,FALSE)</f>
        <v>2410000</v>
      </c>
      <c r="U8" s="4">
        <f>VLOOKUP(G8,全部!C:AD,28,FALSE)</f>
        <v>2410000</v>
      </c>
      <c r="V8" s="6">
        <f>VLOOKUP(G8,全部!C:AE,29,FALSE)</f>
        <v>0.92337164750957856</v>
      </c>
      <c r="W8" s="4">
        <f>VLOOKUP(G8,全部!C:AF,30,FALSE)</f>
        <v>2356517</v>
      </c>
      <c r="X8" s="4">
        <f>VLOOKUP(G8,全部!C:AG,31,FALSE)</f>
        <v>2356517</v>
      </c>
      <c r="Y8" s="4">
        <f>VLOOKUP(计算!G8,全部!C:AH,32,FALSE)</f>
        <v>2407227.08</v>
      </c>
      <c r="Z8" s="4">
        <f>VLOOKUP(G8,全部!C:AL,36,FALSE)</f>
        <v>2407227.08</v>
      </c>
      <c r="AA8" s="4">
        <f>VLOOKUP(G8,全部!C:AM,37,FALSE)</f>
        <v>3.4000000000000002E-2</v>
      </c>
      <c r="AB8" s="6">
        <f>VLOOKUP(G8,全部!C:AN,38,FALSE)</f>
        <v>88740</v>
      </c>
      <c r="AC8" s="4">
        <f>VLOOKUP(G8,全部!C:AO,39,FALSE)</f>
        <v>88740</v>
      </c>
      <c r="AD8" s="4">
        <f>VLOOKUP(G8,全部!C:AP,40,FALSE)</f>
        <v>88740</v>
      </c>
      <c r="AE8" s="6">
        <f>VLOOKUP(G8,全部!C:AQ,41,FALSE)</f>
        <v>0</v>
      </c>
      <c r="AF8" s="4">
        <f>VLOOKUP(G8,全部!C:AR,42,FALSE)</f>
        <v>0</v>
      </c>
      <c r="AG8" s="7">
        <f>VLOOKUP(G8,全部!C:AS,43,FALSE)</f>
        <v>0</v>
      </c>
      <c r="AH8" s="64" t="str">
        <f>IF(VLOOKUP(G8,全部!C:AT,44,FALSE)=0,"",VLOOKUP(G8,全部!C:AT,44,FALSE))</f>
        <v/>
      </c>
      <c r="AI8">
        <v>0</v>
      </c>
      <c r="AJ8" s="3">
        <v>41912.686249999999</v>
      </c>
      <c r="AK8" s="2" t="s">
        <v>2305</v>
      </c>
    </row>
    <row r="9" spans="1:37" x14ac:dyDescent="0.15">
      <c r="A9" s="2" t="s">
        <v>2304</v>
      </c>
      <c r="B9">
        <v>332</v>
      </c>
      <c r="C9" s="3">
        <v>40491</v>
      </c>
      <c r="D9" s="2" t="s">
        <v>37</v>
      </c>
      <c r="E9" s="2" t="s">
        <v>2303</v>
      </c>
      <c r="F9" s="2" t="s">
        <v>38</v>
      </c>
      <c r="G9" s="2" t="s">
        <v>55</v>
      </c>
      <c r="H9" s="2" t="s">
        <v>56</v>
      </c>
      <c r="I9" s="4">
        <f>VLOOKUP(G9,全部!C:M,11,FALSE)</f>
        <v>842038</v>
      </c>
      <c r="J9" s="4">
        <f t="shared" si="0"/>
        <v>0</v>
      </c>
      <c r="K9" s="4">
        <f>VLOOKUP(计算!G9,全部!C:N,12,FALSE)</f>
        <v>0</v>
      </c>
      <c r="L9" s="5">
        <f>VLOOKUP(G9,全部!C:P,14,FALSE)</f>
        <v>0</v>
      </c>
      <c r="M9" s="5">
        <f>VLOOKUP(G9,全部!C:V,20,FALSE)*100</f>
        <v>3.5999999999999996</v>
      </c>
      <c r="N9" s="6">
        <f>VLOOKUP(G9,全部!C:W,21,FALSE)</f>
        <v>30313.367999999999</v>
      </c>
      <c r="O9" s="4">
        <f>VLOOKUP(G9,全部!C:X,22,FALSE)</f>
        <v>30313</v>
      </c>
      <c r="P9" s="4">
        <f>VLOOKUP(G9,全部!C:Y,23,FALSE)</f>
        <v>30313</v>
      </c>
      <c r="Q9" s="6">
        <f>VLOOKUP(G9,全部!C:Z,24,FALSE)</f>
        <v>0</v>
      </c>
      <c r="R9" s="7">
        <f>VLOOKUP(G9,全部!C:AA,25,FALSE)</f>
        <v>700000</v>
      </c>
      <c r="S9" s="7">
        <f>VLOOKUP(G9,全部!C:AB,26,FALSE)</f>
        <v>700000</v>
      </c>
      <c r="T9" s="4">
        <f>VLOOKUP(计算!G9,全部!C:AC,27,FALSE)</f>
        <v>700000</v>
      </c>
      <c r="U9" s="4">
        <f>VLOOKUP(G9,全部!C:AD,28,FALSE)</f>
        <v>700000</v>
      </c>
      <c r="V9" s="6">
        <f>VLOOKUP(G9,全部!C:AE,29,FALSE)</f>
        <v>0.83131640139756158</v>
      </c>
      <c r="W9" s="4">
        <f>VLOOKUP(G9,全部!C:AF,30,FALSE)</f>
        <v>693200</v>
      </c>
      <c r="X9" s="4">
        <f>VLOOKUP(G9,全部!C:AG,31,FALSE)</f>
        <v>693200</v>
      </c>
      <c r="Y9" s="4">
        <f>VLOOKUP(计算!G9,全部!C:AH,32,FALSE)</f>
        <v>693200</v>
      </c>
      <c r="Z9" s="4">
        <f>VLOOKUP(G9,全部!C:AL,36,FALSE)</f>
        <v>693200</v>
      </c>
      <c r="AA9" s="4">
        <f>VLOOKUP(G9,全部!C:AM,37,FALSE)</f>
        <v>3.4000000000000002E-2</v>
      </c>
      <c r="AB9" s="6">
        <f>VLOOKUP(G9,全部!C:AN,38,FALSE)</f>
        <v>23800</v>
      </c>
      <c r="AC9" s="4">
        <f>VLOOKUP(G9,全部!C:AO,39,FALSE)</f>
        <v>17000</v>
      </c>
      <c r="AD9" s="4">
        <f>VLOOKUP(G9,全部!C:AP,40,FALSE)</f>
        <v>17000</v>
      </c>
      <c r="AE9" s="6">
        <f>VLOOKUP(G9,全部!C:AQ,41,FALSE)</f>
        <v>6800</v>
      </c>
      <c r="AF9" s="4">
        <f>VLOOKUP(G9,全部!C:AR,42,FALSE)</f>
        <v>0</v>
      </c>
      <c r="AG9" s="7">
        <f>VLOOKUP(G9,全部!C:AS,43,FALSE)</f>
        <v>0</v>
      </c>
      <c r="AH9" s="64" t="str">
        <f>IF(VLOOKUP(G9,全部!C:AT,44,FALSE)=0,"",VLOOKUP(G9,全部!C:AT,44,FALSE))</f>
        <v/>
      </c>
      <c r="AI9">
        <v>0</v>
      </c>
      <c r="AJ9" s="3">
        <v>41912.686249999999</v>
      </c>
      <c r="AK9" s="2" t="s">
        <v>2302</v>
      </c>
    </row>
    <row r="10" spans="1:37" x14ac:dyDescent="0.15">
      <c r="A10" s="2" t="s">
        <v>2301</v>
      </c>
      <c r="B10">
        <v>19</v>
      </c>
      <c r="C10" s="3">
        <v>40544</v>
      </c>
      <c r="D10" s="2" t="s">
        <v>37</v>
      </c>
      <c r="E10" s="2" t="s">
        <v>2300</v>
      </c>
      <c r="F10" s="2" t="s">
        <v>41</v>
      </c>
      <c r="G10" s="2" t="s">
        <v>57</v>
      </c>
      <c r="H10" s="2" t="s">
        <v>58</v>
      </c>
      <c r="I10" s="4">
        <f>VLOOKUP(G10,全部!C:M,11,FALSE)</f>
        <v>66000</v>
      </c>
      <c r="J10" s="4">
        <f t="shared" si="0"/>
        <v>0</v>
      </c>
      <c r="K10" s="4">
        <f>VLOOKUP(计算!G10,全部!C:N,12,FALSE)</f>
        <v>0</v>
      </c>
      <c r="L10" s="5">
        <f>VLOOKUP(G10,全部!C:P,14,FALSE)</f>
        <v>0</v>
      </c>
      <c r="M10" s="5">
        <f>VLOOKUP(G10,全部!C:V,20,FALSE)*100</f>
        <v>6.6000000000000005</v>
      </c>
      <c r="N10" s="6">
        <f>VLOOKUP(G10,全部!C:W,21,FALSE)</f>
        <v>4356</v>
      </c>
      <c r="O10" s="4">
        <f>VLOOKUP(G10,全部!C:X,22,FALSE)</f>
        <v>0</v>
      </c>
      <c r="P10" s="4">
        <f>VLOOKUP(G10,全部!C:Y,23,FALSE)</f>
        <v>0</v>
      </c>
      <c r="Q10" s="6">
        <f>VLOOKUP(G10,全部!C:Z,24,FALSE)</f>
        <v>4356</v>
      </c>
      <c r="R10" s="7">
        <f>VLOOKUP(G10,全部!C:AA,25,FALSE)</f>
        <v>0</v>
      </c>
      <c r="S10" s="7">
        <f>VLOOKUP(G10,全部!C:AB,26,FALSE)</f>
        <v>0</v>
      </c>
      <c r="T10" s="4">
        <f>VLOOKUP(计算!G10,全部!C:AC,27,FALSE)</f>
        <v>0</v>
      </c>
      <c r="U10" s="4">
        <f>VLOOKUP(G10,全部!C:AD,28,FALSE)</f>
        <v>0</v>
      </c>
      <c r="V10" s="6">
        <f>VLOOKUP(G10,全部!C:AE,29,FALSE)</f>
        <v>0</v>
      </c>
      <c r="W10" s="4">
        <f>VLOOKUP(G10,全部!C:AF,30,FALSE)</f>
        <v>0</v>
      </c>
      <c r="X10" s="4">
        <f>VLOOKUP(G10,全部!C:AG,31,FALSE)</f>
        <v>0</v>
      </c>
      <c r="Y10" s="4">
        <f>VLOOKUP(计算!G10,全部!C:AH,32,FALSE)</f>
        <v>0</v>
      </c>
      <c r="Z10" s="4">
        <f>VLOOKUP(G10,全部!C:AL,36,FALSE)</f>
        <v>0</v>
      </c>
      <c r="AA10" s="4">
        <f>VLOOKUP(G10,全部!C:AM,37,FALSE)</f>
        <v>3.4000000000000002E-2</v>
      </c>
      <c r="AB10" s="6">
        <f>VLOOKUP(G10,全部!C:AN,38,FALSE)</f>
        <v>2244</v>
      </c>
      <c r="AC10" s="4">
        <f>VLOOKUP(G10,全部!C:AO,39,FALSE)</f>
        <v>0</v>
      </c>
      <c r="AD10" s="4">
        <f>VLOOKUP(G10,全部!C:AP,40,FALSE)</f>
        <v>0</v>
      </c>
      <c r="AE10" s="6">
        <f>VLOOKUP(G10,全部!C:AQ,41,FALSE)</f>
        <v>2244</v>
      </c>
      <c r="AF10" s="4">
        <f>VLOOKUP(G10,全部!C:AR,42,FALSE)</f>
        <v>0</v>
      </c>
      <c r="AG10" s="7">
        <f>VLOOKUP(G10,全部!C:AS,43,FALSE)</f>
        <v>0</v>
      </c>
      <c r="AH10" s="64" t="str">
        <f>IF(VLOOKUP(G10,全部!C:AT,44,FALSE)=0,"",VLOOKUP(G10,全部!C:AT,44,FALSE))</f>
        <v/>
      </c>
      <c r="AI10">
        <v>0</v>
      </c>
      <c r="AJ10" s="3">
        <v>41912.6862384259</v>
      </c>
      <c r="AK10" s="2" t="s">
        <v>2299</v>
      </c>
    </row>
    <row r="11" spans="1:37" x14ac:dyDescent="0.15">
      <c r="A11" s="2" t="s">
        <v>2298</v>
      </c>
      <c r="B11">
        <v>23</v>
      </c>
      <c r="C11" s="3">
        <v>40664</v>
      </c>
      <c r="D11" s="2" t="s">
        <v>37</v>
      </c>
      <c r="E11" s="2" t="s">
        <v>2297</v>
      </c>
      <c r="F11" s="2" t="s">
        <v>41</v>
      </c>
      <c r="G11" s="2" t="s">
        <v>59</v>
      </c>
      <c r="H11" s="2" t="s">
        <v>60</v>
      </c>
      <c r="I11" s="4">
        <f>VLOOKUP(G11,全部!C:M,11,FALSE)</f>
        <v>3283372.21</v>
      </c>
      <c r="J11" s="4">
        <f t="shared" si="0"/>
        <v>0</v>
      </c>
      <c r="K11" s="4">
        <f>VLOOKUP(计算!G11,全部!C:N,12,FALSE)</f>
        <v>0</v>
      </c>
      <c r="L11" s="5">
        <f>VLOOKUP(G11,全部!C:P,14,FALSE)</f>
        <v>0</v>
      </c>
      <c r="M11" s="5">
        <f>VLOOKUP(G11,全部!C:V,20,FALSE)*100</f>
        <v>6.6000000000000005</v>
      </c>
      <c r="N11" s="6">
        <f>VLOOKUP(G11,全部!C:W,21,FALSE)</f>
        <v>216702.56586</v>
      </c>
      <c r="O11" s="4">
        <f>VLOOKUP(G11,全部!C:X,22,FALSE)</f>
        <v>216702.57</v>
      </c>
      <c r="P11" s="4">
        <f>VLOOKUP(G11,全部!C:Y,23,FALSE)</f>
        <v>216702.57</v>
      </c>
      <c r="Q11" s="6">
        <f>VLOOKUP(G11,全部!C:Z,24,FALSE)</f>
        <v>-4.1400000045541674E-3</v>
      </c>
      <c r="R11" s="7">
        <f>VLOOKUP(G11,全部!C:AA,25,FALSE)</f>
        <v>0</v>
      </c>
      <c r="S11" s="7">
        <f>VLOOKUP(G11,全部!C:AB,26,FALSE)</f>
        <v>0</v>
      </c>
      <c r="T11" s="4">
        <f>VLOOKUP(计算!G11,全部!C:AC,27,FALSE)</f>
        <v>2641685</v>
      </c>
      <c r="U11" s="4">
        <f>VLOOKUP(G11,全部!C:AD,28,FALSE)</f>
        <v>2641685</v>
      </c>
      <c r="V11" s="6">
        <f>VLOOKUP(G11,全部!C:AE,29,FALSE)</f>
        <v>0.80456458514034879</v>
      </c>
      <c r="W11" s="4">
        <f>VLOOKUP(G11,全部!C:AF,30,FALSE)</f>
        <v>0</v>
      </c>
      <c r="X11" s="4">
        <f>VLOOKUP(G11,全部!C:AG,31,FALSE)</f>
        <v>0</v>
      </c>
      <c r="Y11" s="4">
        <f>VLOOKUP(计算!G11,全部!C:AH,32,FALSE)</f>
        <v>0</v>
      </c>
      <c r="Z11" s="4">
        <f>VLOOKUP(G11,全部!C:AL,36,FALSE)</f>
        <v>2551867.71</v>
      </c>
      <c r="AA11" s="4">
        <f>VLOOKUP(G11,全部!C:AM,37,FALSE)</f>
        <v>3.4000000000000002E-2</v>
      </c>
      <c r="AB11" s="6">
        <f>VLOOKUP(G11,全部!C:AN,38,FALSE)</f>
        <v>111634.65514</v>
      </c>
      <c r="AC11" s="4">
        <f>VLOOKUP(G11,全部!C:AO,39,FALSE)</f>
        <v>89817.29</v>
      </c>
      <c r="AD11" s="4">
        <f>VLOOKUP(G11,全部!C:AP,40,FALSE)</f>
        <v>89817.29</v>
      </c>
      <c r="AE11" s="6">
        <f>VLOOKUP(G11,全部!C:AQ,41,FALSE)</f>
        <v>21817.365140000009</v>
      </c>
      <c r="AF11" s="4">
        <f>VLOOKUP(G11,全部!C:AR,42,FALSE)</f>
        <v>0</v>
      </c>
      <c r="AG11" s="7">
        <f>VLOOKUP(G11,全部!C:AS,43,FALSE)</f>
        <v>0</v>
      </c>
      <c r="AH11" s="64" t="str">
        <f>IF(VLOOKUP(G11,全部!C:AT,44,FALSE)=0,"",VLOOKUP(G11,全部!C:AT,44,FALSE))</f>
        <v/>
      </c>
      <c r="AI11">
        <v>0</v>
      </c>
      <c r="AJ11" s="3">
        <v>41912.6862384259</v>
      </c>
      <c r="AK11" s="2" t="s">
        <v>2296</v>
      </c>
    </row>
    <row r="12" spans="1:37" x14ac:dyDescent="0.15">
      <c r="A12" s="2" t="s">
        <v>2295</v>
      </c>
      <c r="B12">
        <v>341</v>
      </c>
      <c r="C12" s="3">
        <v>40683</v>
      </c>
      <c r="D12" s="2" t="s">
        <v>37</v>
      </c>
      <c r="E12" s="2" t="s">
        <v>2294</v>
      </c>
      <c r="F12" s="2" t="s">
        <v>38</v>
      </c>
      <c r="G12" s="2" t="s">
        <v>1683</v>
      </c>
      <c r="H12" s="2" t="s">
        <v>1682</v>
      </c>
      <c r="I12" s="4">
        <f>VLOOKUP(G12,全部!C:M,11,FALSE)</f>
        <v>0</v>
      </c>
      <c r="J12" s="4">
        <f t="shared" si="0"/>
        <v>0</v>
      </c>
      <c r="K12" s="4">
        <f>VLOOKUP(计算!G12,全部!C:N,12,FALSE)</f>
        <v>0</v>
      </c>
      <c r="L12" s="5">
        <f>VLOOKUP(G12,全部!C:P,14,FALSE)</f>
        <v>0</v>
      </c>
      <c r="M12" s="5">
        <f>VLOOKUP(G12,全部!C:V,20,FALSE)*100</f>
        <v>0</v>
      </c>
      <c r="N12" s="6">
        <f>VLOOKUP(G12,全部!C:W,21,FALSE)</f>
        <v>0</v>
      </c>
      <c r="O12" s="4">
        <f>VLOOKUP(G12,全部!C:X,22,FALSE)</f>
        <v>0</v>
      </c>
      <c r="P12" s="4">
        <f>VLOOKUP(G12,全部!C:Y,23,FALSE)</f>
        <v>0</v>
      </c>
      <c r="Q12" s="6">
        <f>VLOOKUP(G12,全部!C:Z,24,FALSE)</f>
        <v>0</v>
      </c>
      <c r="R12" s="7">
        <f>VLOOKUP(G12,全部!C:AA,25,FALSE)</f>
        <v>0</v>
      </c>
      <c r="S12" s="7">
        <f>VLOOKUP(G12,全部!C:AB,26,FALSE)</f>
        <v>0</v>
      </c>
      <c r="T12" s="4">
        <f>VLOOKUP(计算!G12,全部!C:AC,27,FALSE)</f>
        <v>0</v>
      </c>
      <c r="U12" s="4">
        <f>VLOOKUP(G12,全部!C:AD,28,FALSE)</f>
        <v>0</v>
      </c>
      <c r="V12" s="6">
        <f>VLOOKUP(G12,全部!C:AE,29,FALSE)</f>
        <v>0</v>
      </c>
      <c r="W12" s="4">
        <f>VLOOKUP(G12,全部!C:AF,30,FALSE)</f>
        <v>0</v>
      </c>
      <c r="X12" s="4">
        <f>VLOOKUP(G12,全部!C:AG,31,FALSE)</f>
        <v>0</v>
      </c>
      <c r="Y12" s="4">
        <f>VLOOKUP(计算!G12,全部!C:AH,32,FALSE)</f>
        <v>0</v>
      </c>
      <c r="Z12" s="4">
        <f>VLOOKUP(G12,全部!C:AL,36,FALSE)</f>
        <v>0</v>
      </c>
      <c r="AA12" s="4">
        <f>VLOOKUP(G12,全部!C:AM,37,FALSE)</f>
        <v>0</v>
      </c>
      <c r="AB12" s="6">
        <f>VLOOKUP(G12,全部!C:AN,38,FALSE)</f>
        <v>0</v>
      </c>
      <c r="AC12" s="4">
        <f>VLOOKUP(G12,全部!C:AO,39,FALSE)</f>
        <v>0</v>
      </c>
      <c r="AD12" s="4">
        <f>VLOOKUP(G12,全部!C:AP,40,FALSE)</f>
        <v>0</v>
      </c>
      <c r="AE12" s="6">
        <f>VLOOKUP(G12,全部!C:AQ,41,FALSE)</f>
        <v>0</v>
      </c>
      <c r="AF12" s="4">
        <f>VLOOKUP(G12,全部!C:AR,42,FALSE)</f>
        <v>0</v>
      </c>
      <c r="AG12" s="7">
        <f>VLOOKUP(G12,全部!C:AS,43,FALSE)</f>
        <v>0</v>
      </c>
      <c r="AH12" s="64" t="str">
        <f>IF(VLOOKUP(G12,全部!C:AT,44,FALSE)=0,"",VLOOKUP(G12,全部!C:AT,44,FALSE))</f>
        <v/>
      </c>
      <c r="AI12">
        <v>0</v>
      </c>
      <c r="AJ12" s="3">
        <v>41912.686249999999</v>
      </c>
      <c r="AK12" s="2" t="s">
        <v>2293</v>
      </c>
    </row>
    <row r="13" spans="1:37" x14ac:dyDescent="0.15">
      <c r="A13" s="2" t="s">
        <v>2292</v>
      </c>
      <c r="B13">
        <v>28</v>
      </c>
      <c r="C13" s="3">
        <v>40725</v>
      </c>
      <c r="D13" s="2" t="s">
        <v>37</v>
      </c>
      <c r="E13" s="2" t="s">
        <v>2291</v>
      </c>
      <c r="F13" s="2" t="s">
        <v>41</v>
      </c>
      <c r="G13" s="2" t="s">
        <v>63</v>
      </c>
      <c r="H13" s="2" t="s">
        <v>60</v>
      </c>
      <c r="I13" s="4">
        <f>VLOOKUP(G13,全部!C:M,11,FALSE)</f>
        <v>665109</v>
      </c>
      <c r="J13" s="4">
        <f t="shared" si="0"/>
        <v>0</v>
      </c>
      <c r="K13" s="4">
        <f>VLOOKUP(计算!G13,全部!C:N,12,FALSE)</f>
        <v>0</v>
      </c>
      <c r="L13" s="5">
        <f>VLOOKUP(G13,全部!C:P,14,FALSE)</f>
        <v>0</v>
      </c>
      <c r="M13" s="5">
        <f>VLOOKUP(G13,全部!C:V,20,FALSE)*100</f>
        <v>4</v>
      </c>
      <c r="N13" s="6">
        <f>VLOOKUP(G13,全部!C:W,21,FALSE)</f>
        <v>26604.36</v>
      </c>
      <c r="O13" s="4">
        <f>VLOOKUP(G13,全部!C:X,22,FALSE)</f>
        <v>0</v>
      </c>
      <c r="P13" s="4">
        <f>VLOOKUP(G13,全部!C:Y,23,FALSE)</f>
        <v>0</v>
      </c>
      <c r="Q13" s="6">
        <f>VLOOKUP(G13,全部!C:Z,24,FALSE)</f>
        <v>26604.36</v>
      </c>
      <c r="R13" s="7">
        <f>VLOOKUP(G13,全部!C:AA,25,FALSE)</f>
        <v>0</v>
      </c>
      <c r="S13" s="7">
        <f>VLOOKUP(G13,全部!C:AB,26,FALSE)</f>
        <v>0</v>
      </c>
      <c r="T13" s="4">
        <f>VLOOKUP(计算!G13,全部!C:AC,27,FALSE)</f>
        <v>0</v>
      </c>
      <c r="U13" s="4">
        <f>VLOOKUP(G13,全部!C:AD,28,FALSE)</f>
        <v>0</v>
      </c>
      <c r="V13" s="6">
        <f>VLOOKUP(G13,全部!C:AE,29,FALSE)</f>
        <v>0</v>
      </c>
      <c r="W13" s="4">
        <f>VLOOKUP(G13,全部!C:AF,30,FALSE)</f>
        <v>0</v>
      </c>
      <c r="X13" s="4">
        <f>VLOOKUP(G13,全部!C:AG,31,FALSE)</f>
        <v>0</v>
      </c>
      <c r="Y13" s="4">
        <f>VLOOKUP(计算!G13,全部!C:AH,32,FALSE)</f>
        <v>0</v>
      </c>
      <c r="Z13" s="4">
        <f>VLOOKUP(G13,全部!C:AL,36,FALSE)</f>
        <v>0</v>
      </c>
      <c r="AA13" s="4">
        <f>VLOOKUP(G13,全部!C:AM,37,FALSE)</f>
        <v>3.4000000000000002E-2</v>
      </c>
      <c r="AB13" s="6">
        <f>VLOOKUP(G13,全部!C:AN,38,FALSE)</f>
        <v>22613.706000000002</v>
      </c>
      <c r="AC13" s="4">
        <f>VLOOKUP(G13,全部!C:AO,39,FALSE)</f>
        <v>0</v>
      </c>
      <c r="AD13" s="4">
        <f>VLOOKUP(G13,全部!C:AP,40,FALSE)</f>
        <v>0</v>
      </c>
      <c r="AE13" s="6">
        <f>VLOOKUP(G13,全部!C:AQ,41,FALSE)</f>
        <v>22613.706000000002</v>
      </c>
      <c r="AF13" s="4">
        <f>VLOOKUP(G13,全部!C:AR,42,FALSE)</f>
        <v>0</v>
      </c>
      <c r="AG13" s="7">
        <f>VLOOKUP(G13,全部!C:AS,43,FALSE)</f>
        <v>0</v>
      </c>
      <c r="AH13" s="64" t="str">
        <f>IF(VLOOKUP(G13,全部!C:AT,44,FALSE)=0,"",VLOOKUP(G13,全部!C:AT,44,FALSE))</f>
        <v/>
      </c>
      <c r="AI13">
        <v>0</v>
      </c>
      <c r="AJ13" s="3">
        <v>41912.6862384259</v>
      </c>
      <c r="AK13" s="2" t="s">
        <v>2290</v>
      </c>
    </row>
    <row r="14" spans="1:37" x14ac:dyDescent="0.15">
      <c r="A14" s="2" t="s">
        <v>2289</v>
      </c>
      <c r="B14">
        <v>27</v>
      </c>
      <c r="C14" s="3">
        <v>40725</v>
      </c>
      <c r="D14" s="2" t="s">
        <v>37</v>
      </c>
      <c r="E14" s="2" t="s">
        <v>2288</v>
      </c>
      <c r="F14" s="2" t="s">
        <v>41</v>
      </c>
      <c r="G14" s="2" t="s">
        <v>61</v>
      </c>
      <c r="H14" s="2" t="s">
        <v>62</v>
      </c>
      <c r="I14" s="4">
        <f>VLOOKUP(G14,全部!C:M,11,FALSE)</f>
        <v>7212049</v>
      </c>
      <c r="J14" s="4">
        <f t="shared" si="0"/>
        <v>0</v>
      </c>
      <c r="K14" s="4">
        <f>VLOOKUP(计算!G14,全部!C:N,12,FALSE)</f>
        <v>0</v>
      </c>
      <c r="L14" s="5">
        <f>VLOOKUP(G14,全部!C:P,14,FALSE)</f>
        <v>0</v>
      </c>
      <c r="M14" s="5">
        <f>VLOOKUP(G14,全部!C:V,20,FALSE)*100</f>
        <v>6.6000000000000005</v>
      </c>
      <c r="N14" s="6">
        <f>VLOOKUP(G14,全部!C:W,21,FALSE)</f>
        <v>475995.234</v>
      </c>
      <c r="O14" s="4">
        <f>VLOOKUP(G14,全部!C:X,22,FALSE)</f>
        <v>475995.23</v>
      </c>
      <c r="P14" s="4">
        <f>VLOOKUP(G14,全部!C:Y,23,FALSE)</f>
        <v>475995.23</v>
      </c>
      <c r="Q14" s="6">
        <f>VLOOKUP(G14,全部!C:Z,24,FALSE)</f>
        <v>4.0000000153668225E-3</v>
      </c>
      <c r="R14" s="7">
        <f>VLOOKUP(G14,全部!C:AA,25,FALSE)</f>
        <v>0</v>
      </c>
      <c r="S14" s="7">
        <f>VLOOKUP(G14,全部!C:AB,26,FALSE)</f>
        <v>0</v>
      </c>
      <c r="T14" s="4">
        <f>VLOOKUP(计算!G14,全部!C:AC,27,FALSE)</f>
        <v>6569639.2000000002</v>
      </c>
      <c r="U14" s="4">
        <f>VLOOKUP(G14,全部!C:AD,28,FALSE)</f>
        <v>6569639.2000000002</v>
      </c>
      <c r="V14" s="6">
        <f>VLOOKUP(G14,全部!C:AE,29,FALSE)</f>
        <v>0.91092548040092358</v>
      </c>
      <c r="W14" s="4">
        <f>VLOOKUP(G14,全部!C:AF,30,FALSE)</f>
        <v>0</v>
      </c>
      <c r="X14" s="4">
        <f>VLOOKUP(G14,全部!C:AG,31,FALSE)</f>
        <v>0</v>
      </c>
      <c r="Y14" s="4">
        <f>VLOOKUP(计算!G14,全部!C:AH,32,FALSE)</f>
        <v>0</v>
      </c>
      <c r="Z14" s="4">
        <f>VLOOKUP(G14,全部!C:AL,36,FALSE)</f>
        <v>6277110.3499999996</v>
      </c>
      <c r="AA14" s="4">
        <f>VLOOKUP(G14,全部!C:AM,37,FALSE)</f>
        <v>3.4000000000000002E-2</v>
      </c>
      <c r="AB14" s="6">
        <f>VLOOKUP(G14,全部!C:AN,38,FALSE)</f>
        <v>245209.66600000003</v>
      </c>
      <c r="AC14" s="4">
        <f>VLOOKUP(G14,全部!C:AO,39,FALSE)</f>
        <v>223367.73</v>
      </c>
      <c r="AD14" s="4">
        <f>VLOOKUP(G14,全部!C:AP,40,FALSE)</f>
        <v>223367.73</v>
      </c>
      <c r="AE14" s="6">
        <f>VLOOKUP(G14,全部!C:AQ,41,FALSE)</f>
        <v>21841.936000000016</v>
      </c>
      <c r="AF14" s="4">
        <f>VLOOKUP(G14,全部!C:AR,42,FALSE)</f>
        <v>0</v>
      </c>
      <c r="AG14" s="7">
        <f>VLOOKUP(G14,全部!C:AS,43,FALSE)</f>
        <v>0</v>
      </c>
      <c r="AH14" s="64" t="str">
        <f>IF(VLOOKUP(G14,全部!C:AT,44,FALSE)=0,"",VLOOKUP(G14,全部!C:AT,44,FALSE))</f>
        <v/>
      </c>
      <c r="AI14">
        <v>0</v>
      </c>
      <c r="AJ14" s="3">
        <v>41912.6862384259</v>
      </c>
      <c r="AK14" s="2" t="s">
        <v>2287</v>
      </c>
    </row>
    <row r="15" spans="1:37" x14ac:dyDescent="0.15">
      <c r="A15" s="2" t="s">
        <v>2286</v>
      </c>
      <c r="B15">
        <v>350</v>
      </c>
      <c r="C15" s="3">
        <v>40828</v>
      </c>
      <c r="D15" s="2" t="s">
        <v>37</v>
      </c>
      <c r="E15" s="2" t="s">
        <v>2285</v>
      </c>
      <c r="F15" s="2" t="s">
        <v>38</v>
      </c>
      <c r="G15" s="2" t="s">
        <v>64</v>
      </c>
      <c r="H15" s="2" t="s">
        <v>65</v>
      </c>
      <c r="I15" s="4">
        <f>VLOOKUP(G15,全部!C:M,11,FALSE)</f>
        <v>21611588</v>
      </c>
      <c r="J15" s="4">
        <f t="shared" si="0"/>
        <v>2802330.83</v>
      </c>
      <c r="K15" s="4">
        <f>VLOOKUP(计算!G15,全部!C:N,12,FALSE)</f>
        <v>2802330.83</v>
      </c>
      <c r="L15" s="5">
        <f>VLOOKUP(G15,全部!C:P,14,FALSE)</f>
        <v>0</v>
      </c>
      <c r="M15" s="5">
        <f>VLOOKUP(G15,全部!C:V,20,FALSE)*100</f>
        <v>3</v>
      </c>
      <c r="N15" s="6">
        <f>VLOOKUP(G15,全部!C:W,21,FALSE)</f>
        <v>732417.56489999988</v>
      </c>
      <c r="O15" s="4">
        <f>VLOOKUP(G15,全部!C:X,22,FALSE)</f>
        <v>671920</v>
      </c>
      <c r="P15" s="4">
        <f>VLOOKUP(G15,全部!C:Y,23,FALSE)</f>
        <v>671920</v>
      </c>
      <c r="Q15" s="6">
        <f>VLOOKUP(G15,全部!C:Z,24,FALSE)</f>
        <v>60497.564899999881</v>
      </c>
      <c r="R15" s="7">
        <f>VLOOKUP(G15,全部!C:AA,25,FALSE)</f>
        <v>22758059.470000003</v>
      </c>
      <c r="S15" s="7">
        <f>VLOOKUP(G15,全部!C:AB,26,FALSE)</f>
        <v>22758059.469999999</v>
      </c>
      <c r="T15" s="4">
        <f>VLOOKUP(计算!G15,全部!C:AC,27,FALSE)</f>
        <v>22758059.470000003</v>
      </c>
      <c r="U15" s="4">
        <f>VLOOKUP(G15,全部!C:AD,28,FALSE)</f>
        <v>22758059.469999999</v>
      </c>
      <c r="V15" s="6">
        <f>VLOOKUP(G15,全部!C:AE,29,FALSE)</f>
        <v>0.93217560148658873</v>
      </c>
      <c r="W15" s="4">
        <f>VLOOKUP(G15,全部!C:AF,30,FALSE)</f>
        <v>20358173.619999997</v>
      </c>
      <c r="X15" s="4">
        <f>VLOOKUP(G15,全部!C:AG,31,FALSE)</f>
        <v>20358173.619999997</v>
      </c>
      <c r="Y15" s="4">
        <f>VLOOKUP(计算!G15,全部!C:AH,32,FALSE)</f>
        <v>21886603.420000002</v>
      </c>
      <c r="Z15" s="4">
        <f>VLOOKUP(G15,全部!C:AL,36,FALSE)</f>
        <v>21886603.419999998</v>
      </c>
      <c r="AA15" s="4">
        <f>VLOOKUP(G15,全部!C:AM,37,FALSE)</f>
        <v>3.4000000000000002E-2</v>
      </c>
      <c r="AB15" s="6">
        <f>VLOOKUP(G15,全部!C:AN,38,FALSE)</f>
        <v>773774.02197999996</v>
      </c>
      <c r="AC15" s="4">
        <f>VLOOKUP(G15,全部!C:AO,39,FALSE)</f>
        <v>773773</v>
      </c>
      <c r="AD15" s="4">
        <f>VLOOKUP(G15,全部!C:AP,40,FALSE)</f>
        <v>773773</v>
      </c>
      <c r="AE15" s="6">
        <f>VLOOKUP(G15,全部!C:AQ,41,FALSE)</f>
        <v>0</v>
      </c>
      <c r="AF15" s="4">
        <f>VLOOKUP(G15,全部!C:AR,42,FALSE)</f>
        <v>0</v>
      </c>
      <c r="AG15" s="7">
        <f>VLOOKUP(G15,全部!C:AS,43,FALSE)</f>
        <v>140</v>
      </c>
      <c r="AH15" s="64" t="str">
        <f>IF(VLOOKUP(G15,全部!C:AT,44,FALSE)=0,"",VLOOKUP(G15,全部!C:AT,44,FALSE))</f>
        <v>管庄</v>
      </c>
      <c r="AI15">
        <v>0</v>
      </c>
      <c r="AJ15" s="3">
        <v>41912.686249999999</v>
      </c>
      <c r="AK15" s="2" t="s">
        <v>2284</v>
      </c>
    </row>
    <row r="16" spans="1:37" x14ac:dyDescent="0.15">
      <c r="A16" s="2" t="s">
        <v>2283</v>
      </c>
      <c r="B16">
        <v>374</v>
      </c>
      <c r="C16" s="3">
        <v>40907</v>
      </c>
      <c r="D16" s="2" t="s">
        <v>37</v>
      </c>
      <c r="E16" s="2" t="s">
        <v>2282</v>
      </c>
      <c r="F16" s="2" t="s">
        <v>38</v>
      </c>
      <c r="G16" s="2" t="s">
        <v>67</v>
      </c>
      <c r="H16" s="2" t="s">
        <v>68</v>
      </c>
      <c r="I16" s="4">
        <f>VLOOKUP(G16,全部!C:M,11,FALSE)</f>
        <v>3405024</v>
      </c>
      <c r="J16" s="4">
        <f t="shared" si="0"/>
        <v>0</v>
      </c>
      <c r="K16" s="4">
        <f>VLOOKUP(计算!G16,全部!C:N,12,FALSE)</f>
        <v>0</v>
      </c>
      <c r="L16" s="5">
        <f>VLOOKUP(G16,全部!C:P,14,FALSE)</f>
        <v>0</v>
      </c>
      <c r="M16" s="5">
        <f>VLOOKUP(G16,全部!C:V,20,FALSE)*100</f>
        <v>3.5999999999999996</v>
      </c>
      <c r="N16" s="6">
        <f>VLOOKUP(G16,全部!C:W,21,FALSE)</f>
        <v>122580.86399999999</v>
      </c>
      <c r="O16" s="4">
        <f>VLOOKUP(G16,全部!C:X,22,FALSE)</f>
        <v>122581</v>
      </c>
      <c r="P16" s="4">
        <f>VLOOKUP(G16,全部!C:Y,23,FALSE)</f>
        <v>122581</v>
      </c>
      <c r="Q16" s="6">
        <f>VLOOKUP(G16,全部!C:Z,24,FALSE)</f>
        <v>0</v>
      </c>
      <c r="R16" s="7">
        <f>VLOOKUP(G16,全部!C:AA,25,FALSE)</f>
        <v>3111296</v>
      </c>
      <c r="S16" s="7">
        <f>VLOOKUP(G16,全部!C:AB,26,FALSE)</f>
        <v>3111296</v>
      </c>
      <c r="T16" s="4">
        <f>VLOOKUP(计算!G16,全部!C:AC,27,FALSE)</f>
        <v>3111296</v>
      </c>
      <c r="U16" s="4">
        <f>VLOOKUP(G16,全部!C:AD,28,FALSE)</f>
        <v>3111296</v>
      </c>
      <c r="V16" s="6">
        <f>VLOOKUP(G16,全部!C:AE,29,FALSE)</f>
        <v>0.91373687821289951</v>
      </c>
      <c r="W16" s="4">
        <f>VLOOKUP(G16,全部!C:AF,30,FALSE)</f>
        <v>2496087.77</v>
      </c>
      <c r="X16" s="4">
        <f>VLOOKUP(G16,全部!C:AG,31,FALSE)</f>
        <v>2496087.77</v>
      </c>
      <c r="Y16" s="4">
        <f>VLOOKUP(计算!G16,全部!C:AH,32,FALSE)</f>
        <v>3049860.32</v>
      </c>
      <c r="Z16" s="4">
        <f>VLOOKUP(G16,全部!C:AL,36,FALSE)</f>
        <v>3049860.32</v>
      </c>
      <c r="AA16" s="4">
        <f>VLOOKUP(G16,全部!C:AM,37,FALSE)</f>
        <v>3.4000000000000002E-2</v>
      </c>
      <c r="AB16" s="6">
        <f>VLOOKUP(G16,全部!C:AN,38,FALSE)</f>
        <v>105784.06400000001</v>
      </c>
      <c r="AC16" s="4">
        <f>VLOOKUP(G16,全部!C:AO,39,FALSE)</f>
        <v>105784</v>
      </c>
      <c r="AD16" s="4">
        <f>VLOOKUP(G16,全部!C:AP,40,FALSE)</f>
        <v>105784</v>
      </c>
      <c r="AE16" s="6">
        <f>VLOOKUP(G16,全部!C:AQ,41,FALSE)</f>
        <v>0</v>
      </c>
      <c r="AF16" s="4">
        <f>VLOOKUP(G16,全部!C:AR,42,FALSE)</f>
        <v>0</v>
      </c>
      <c r="AG16" s="7">
        <f>VLOOKUP(G16,全部!C:AS,43,FALSE)</f>
        <v>36</v>
      </c>
      <c r="AH16" s="64" t="str">
        <f>IF(VLOOKUP(G16,全部!C:AT,44,FALSE)=0,"",VLOOKUP(G16,全部!C:AT,44,FALSE))</f>
        <v>正和平</v>
      </c>
      <c r="AI16">
        <v>0</v>
      </c>
      <c r="AJ16" s="3">
        <v>41912.686249999999</v>
      </c>
      <c r="AK16" s="2" t="s">
        <v>2281</v>
      </c>
    </row>
    <row r="17" spans="1:37" x14ac:dyDescent="0.15">
      <c r="A17" s="2" t="s">
        <v>2280</v>
      </c>
      <c r="B17">
        <v>366</v>
      </c>
      <c r="C17" s="3">
        <v>40909</v>
      </c>
      <c r="D17" s="2" t="s">
        <v>37</v>
      </c>
      <c r="E17" s="2" t="s">
        <v>2279</v>
      </c>
      <c r="F17" s="2" t="s">
        <v>38</v>
      </c>
      <c r="G17" s="2" t="s">
        <v>70</v>
      </c>
      <c r="H17" s="2" t="s">
        <v>71</v>
      </c>
      <c r="I17" s="4">
        <f>VLOOKUP(G17,全部!C:M,11,FALSE)</f>
        <v>3098310</v>
      </c>
      <c r="J17" s="4">
        <f t="shared" si="0"/>
        <v>0</v>
      </c>
      <c r="K17" s="4">
        <f>VLOOKUP(计算!G17,全部!C:N,12,FALSE)</f>
        <v>0</v>
      </c>
      <c r="L17" s="5">
        <f>VLOOKUP(G17,全部!C:P,14,FALSE)</f>
        <v>0</v>
      </c>
      <c r="M17" s="5">
        <f>VLOOKUP(G17,全部!C:V,20,FALSE)*100</f>
        <v>3.5999999999999996</v>
      </c>
      <c r="N17" s="6">
        <f>VLOOKUP(G17,全部!C:W,21,FALSE)</f>
        <v>111539.15999999999</v>
      </c>
      <c r="O17" s="4">
        <f>VLOOKUP(G17,全部!C:X,22,FALSE)</f>
        <v>111539</v>
      </c>
      <c r="P17" s="4">
        <f>VLOOKUP(G17,全部!C:Y,23,FALSE)</f>
        <v>111539</v>
      </c>
      <c r="Q17" s="6">
        <f>VLOOKUP(G17,全部!C:Z,24,FALSE)</f>
        <v>0</v>
      </c>
      <c r="R17" s="7">
        <f>VLOOKUP(G17,全部!C:AA,25,FALSE)</f>
        <v>2463563</v>
      </c>
      <c r="S17" s="7">
        <f>VLOOKUP(G17,全部!C:AB,26,FALSE)</f>
        <v>2463563</v>
      </c>
      <c r="T17" s="4">
        <f>VLOOKUP(计算!G17,全部!C:AC,27,FALSE)</f>
        <v>2463563</v>
      </c>
      <c r="U17" s="4">
        <f>VLOOKUP(G17,全部!C:AD,28,FALSE)</f>
        <v>2463563</v>
      </c>
      <c r="V17" s="6">
        <f>VLOOKUP(G17,全部!C:AE,29,FALSE)</f>
        <v>0.79513121669555342</v>
      </c>
      <c r="W17" s="4">
        <f>VLOOKUP(G17,全部!C:AF,30,FALSE)</f>
        <v>2225711.98</v>
      </c>
      <c r="X17" s="4">
        <f>VLOOKUP(G17,全部!C:AG,31,FALSE)</f>
        <v>2225711.98</v>
      </c>
      <c r="Y17" s="4">
        <f>VLOOKUP(计算!G17,全部!C:AH,32,FALSE)</f>
        <v>2424472.98</v>
      </c>
      <c r="Z17" s="4">
        <f>VLOOKUP(G17,全部!C:AL,36,FALSE)</f>
        <v>2424472.98</v>
      </c>
      <c r="AA17" s="4">
        <f>VLOOKUP(G17,全部!C:AM,37,FALSE)</f>
        <v>3.4000000000000002E-2</v>
      </c>
      <c r="AB17" s="6">
        <f>VLOOKUP(G17,全部!C:AN,38,FALSE)</f>
        <v>83761.142000000007</v>
      </c>
      <c r="AC17" s="4">
        <f>VLOOKUP(G17,全部!C:AO,39,FALSE)</f>
        <v>83761</v>
      </c>
      <c r="AD17" s="4">
        <f>VLOOKUP(G17,全部!C:AP,40,FALSE)</f>
        <v>83761</v>
      </c>
      <c r="AE17" s="6">
        <f>VLOOKUP(G17,全部!C:AQ,41,FALSE)</f>
        <v>0</v>
      </c>
      <c r="AF17" s="4">
        <f>VLOOKUP(G17,全部!C:AR,42,FALSE)</f>
        <v>0</v>
      </c>
      <c r="AG17" s="7">
        <f>VLOOKUP(G17,全部!C:AS,43,FALSE)</f>
        <v>0</v>
      </c>
      <c r="AH17" s="64" t="str">
        <f>IF(VLOOKUP(G17,全部!C:AT,44,FALSE)=0,"",VLOOKUP(G17,全部!C:AT,44,FALSE))</f>
        <v/>
      </c>
      <c r="AI17">
        <v>0</v>
      </c>
      <c r="AJ17" s="3">
        <v>41912.686249999999</v>
      </c>
      <c r="AK17" s="2" t="s">
        <v>2278</v>
      </c>
    </row>
    <row r="18" spans="1:37" x14ac:dyDescent="0.15">
      <c r="A18" s="2" t="s">
        <v>2277</v>
      </c>
      <c r="B18">
        <v>33</v>
      </c>
      <c r="C18" s="3">
        <v>40909</v>
      </c>
      <c r="D18" s="2" t="s">
        <v>37</v>
      </c>
      <c r="E18" s="2" t="s">
        <v>2276</v>
      </c>
      <c r="F18" s="2" t="s">
        <v>41</v>
      </c>
      <c r="G18" s="2" t="s">
        <v>76</v>
      </c>
      <c r="H18" s="2" t="s">
        <v>77</v>
      </c>
      <c r="I18" s="4">
        <f>VLOOKUP(G18,全部!C:M,11,FALSE)</f>
        <v>10343049.93</v>
      </c>
      <c r="J18" s="4">
        <f t="shared" si="0"/>
        <v>0</v>
      </c>
      <c r="K18" s="4">
        <f>VLOOKUP(计算!G18,全部!C:N,12,FALSE)</f>
        <v>0</v>
      </c>
      <c r="L18" s="5">
        <f>VLOOKUP(G18,全部!C:P,14,FALSE)</f>
        <v>0</v>
      </c>
      <c r="M18" s="5">
        <f>VLOOKUP(G18,全部!C:V,20,FALSE)*100</f>
        <v>3.5000000000000004</v>
      </c>
      <c r="N18" s="6">
        <f>VLOOKUP(G18,全部!C:W,21,FALSE)</f>
        <v>362006.74755000003</v>
      </c>
      <c r="O18" s="4">
        <f>VLOOKUP(G18,全部!C:X,22,FALSE)</f>
        <v>362006.75</v>
      </c>
      <c r="P18" s="4">
        <f>VLOOKUP(G18,全部!C:Y,23,FALSE)</f>
        <v>362006.75</v>
      </c>
      <c r="Q18" s="6">
        <f>VLOOKUP(G18,全部!C:Z,24,FALSE)</f>
        <v>-2.4499999708496034E-3</v>
      </c>
      <c r="R18" s="7">
        <f>VLOOKUP(G18,全部!C:AA,25,FALSE)</f>
        <v>0</v>
      </c>
      <c r="S18" s="7">
        <f>VLOOKUP(G18,全部!C:AB,26,FALSE)</f>
        <v>0</v>
      </c>
      <c r="T18" s="4">
        <f>VLOOKUP(计算!G18,全部!C:AC,27,FALSE)</f>
        <v>7860688.0099999998</v>
      </c>
      <c r="U18" s="4">
        <f>VLOOKUP(G18,全部!C:AD,28,FALSE)</f>
        <v>7860688.0099999998</v>
      </c>
      <c r="V18" s="6">
        <f>VLOOKUP(G18,全部!C:AE,29,FALSE)</f>
        <v>0.75999710561196143</v>
      </c>
      <c r="W18" s="4">
        <f>VLOOKUP(G18,全部!C:AF,30,FALSE)</f>
        <v>0</v>
      </c>
      <c r="X18" s="4">
        <f>VLOOKUP(G18,全部!C:AG,31,FALSE)</f>
        <v>0</v>
      </c>
      <c r="Y18" s="4">
        <f>VLOOKUP(计算!G18,全部!C:AH,32,FALSE)</f>
        <v>7748729.1299999999</v>
      </c>
      <c r="Z18" s="4">
        <f>VLOOKUP(G18,全部!C:AL,36,FALSE)</f>
        <v>7748729.1299999999</v>
      </c>
      <c r="AA18" s="4">
        <f>VLOOKUP(G18,全部!C:AM,37,FALSE)</f>
        <v>3.4000000000000002E-2</v>
      </c>
      <c r="AB18" s="6">
        <f>VLOOKUP(G18,全部!C:AN,38,FALSE)</f>
        <v>351663.69761999999</v>
      </c>
      <c r="AC18" s="4">
        <f>VLOOKUP(G18,全部!C:AO,39,FALSE)</f>
        <v>111118.8</v>
      </c>
      <c r="AD18" s="4">
        <f>VLOOKUP(G18,全部!C:AP,40,FALSE)</f>
        <v>111118.8</v>
      </c>
      <c r="AE18" s="6">
        <f>VLOOKUP(G18,全部!C:AQ,41,FALSE)</f>
        <v>240544.89762</v>
      </c>
      <c r="AF18" s="4">
        <f>VLOOKUP(G18,全部!C:AR,42,FALSE)</f>
        <v>0</v>
      </c>
      <c r="AG18" s="7">
        <f>VLOOKUP(G18,全部!C:AS,43,FALSE)</f>
        <v>0</v>
      </c>
      <c r="AH18" s="64" t="str">
        <f>IF(VLOOKUP(G18,全部!C:AT,44,FALSE)=0,"",VLOOKUP(G18,全部!C:AT,44,FALSE))</f>
        <v/>
      </c>
      <c r="AI18">
        <v>0</v>
      </c>
      <c r="AJ18" s="3">
        <v>41912.6862384259</v>
      </c>
      <c r="AK18" s="2" t="s">
        <v>2275</v>
      </c>
    </row>
    <row r="19" spans="1:37" x14ac:dyDescent="0.15">
      <c r="A19" s="2" t="s">
        <v>2274</v>
      </c>
      <c r="B19">
        <v>385</v>
      </c>
      <c r="C19" s="3">
        <v>40909</v>
      </c>
      <c r="D19" s="2" t="s">
        <v>37</v>
      </c>
      <c r="E19" s="2" t="s">
        <v>2273</v>
      </c>
      <c r="F19" s="2" t="s">
        <v>38</v>
      </c>
      <c r="G19" s="2" t="s">
        <v>74</v>
      </c>
      <c r="H19" s="2" t="s">
        <v>75</v>
      </c>
      <c r="I19" s="4">
        <f>VLOOKUP(G19,全部!C:M,11,FALSE)</f>
        <v>9708632.2599999998</v>
      </c>
      <c r="J19" s="4">
        <f t="shared" si="0"/>
        <v>2846340</v>
      </c>
      <c r="K19" s="4">
        <f>VLOOKUP(计算!G19,全部!C:N,12,FALSE)</f>
        <v>2846340</v>
      </c>
      <c r="L19" s="5">
        <f>VLOOKUP(G19,全部!C:P,14,FALSE)</f>
        <v>0</v>
      </c>
      <c r="M19" s="5">
        <f>VLOOKUP(G19,全部!C:V,20,FALSE)*100</f>
        <v>3</v>
      </c>
      <c r="N19" s="6">
        <f>VLOOKUP(G19,全部!C:W,21,FALSE)</f>
        <v>376649.1678</v>
      </c>
      <c r="O19" s="4">
        <f>VLOOKUP(G19,全部!C:X,22,FALSE)</f>
        <v>362780</v>
      </c>
      <c r="P19" s="4">
        <f>VLOOKUP(G19,全部!C:Y,23,FALSE)</f>
        <v>362780</v>
      </c>
      <c r="Q19" s="6">
        <f>VLOOKUP(G19,全部!C:Z,24,FALSE)</f>
        <v>13869.167799999996</v>
      </c>
      <c r="R19" s="7">
        <f>VLOOKUP(G19,全部!C:AA,25,FALSE)</f>
        <v>12554972.26</v>
      </c>
      <c r="S19" s="7">
        <f>VLOOKUP(G19,全部!C:AB,26,FALSE)</f>
        <v>12554972.26</v>
      </c>
      <c r="T19" s="4">
        <f>VLOOKUP(计算!G19,全部!C:AC,27,FALSE)</f>
        <v>11825835.490000002</v>
      </c>
      <c r="U19" s="4">
        <f>VLOOKUP(G19,全部!C:AD,28,FALSE)</f>
        <v>11825835.49</v>
      </c>
      <c r="V19" s="6">
        <f>VLOOKUP(G19,全部!C:AE,29,FALSE)</f>
        <v>0.9419244618864655</v>
      </c>
      <c r="W19" s="4">
        <f>VLOOKUP(G19,全部!C:AF,30,FALSE)</f>
        <v>10650362.279999999</v>
      </c>
      <c r="X19" s="4">
        <f>VLOOKUP(G19,全部!C:AG,31,FALSE)</f>
        <v>10650362.279999999</v>
      </c>
      <c r="Y19" s="4">
        <f>VLOOKUP(计算!G19,全部!C:AH,32,FALSE)</f>
        <v>11370776.639999999</v>
      </c>
      <c r="Z19" s="4">
        <f>VLOOKUP(G19,全部!C:AL,36,FALSE)</f>
        <v>11388881.640000001</v>
      </c>
      <c r="AA19" s="4">
        <f>VLOOKUP(G19,全部!C:AM,37,FALSE)</f>
        <v>3.4000000000000002E-2</v>
      </c>
      <c r="AB19" s="6">
        <f>VLOOKUP(G19,全部!C:AN,38,FALSE)</f>
        <v>426869.05684000003</v>
      </c>
      <c r="AC19" s="4">
        <f>VLOOKUP(G19,全部!C:AO,39,FALSE)</f>
        <v>426869</v>
      </c>
      <c r="AD19" s="4">
        <f>VLOOKUP(G19,全部!C:AP,40,FALSE)</f>
        <v>426869</v>
      </c>
      <c r="AE19" s="6">
        <f>VLOOKUP(G19,全部!C:AQ,41,FALSE)</f>
        <v>0</v>
      </c>
      <c r="AF19" s="4">
        <f>VLOOKUP(G19,全部!C:AR,42,FALSE)</f>
        <v>0</v>
      </c>
      <c r="AG19" s="7">
        <f>VLOOKUP(G19,全部!C:AS,43,FALSE)</f>
        <v>80</v>
      </c>
      <c r="AH19" s="64" t="str">
        <f>IF(VLOOKUP(G19,全部!C:AT,44,FALSE)=0,"",VLOOKUP(G19,全部!C:AT,44,FALSE))</f>
        <v>亦庄</v>
      </c>
      <c r="AI19">
        <v>0</v>
      </c>
      <c r="AJ19" s="3">
        <v>41912.686249999999</v>
      </c>
      <c r="AK19" s="2" t="s">
        <v>2272</v>
      </c>
    </row>
    <row r="20" spans="1:37" x14ac:dyDescent="0.15">
      <c r="A20" s="2" t="s">
        <v>2271</v>
      </c>
      <c r="B20">
        <v>359</v>
      </c>
      <c r="C20" s="3">
        <v>40909</v>
      </c>
      <c r="D20" s="2" t="s">
        <v>37</v>
      </c>
      <c r="E20" s="2" t="s">
        <v>2270</v>
      </c>
      <c r="F20" s="2" t="s">
        <v>38</v>
      </c>
      <c r="G20" s="2" t="s">
        <v>72</v>
      </c>
      <c r="H20" s="2" t="s">
        <v>73</v>
      </c>
      <c r="I20" s="4">
        <f>VLOOKUP(G20,全部!C:M,11,FALSE)</f>
        <v>1950000</v>
      </c>
      <c r="J20" s="4">
        <f t="shared" si="0"/>
        <v>6281535</v>
      </c>
      <c r="K20" s="4">
        <f>VLOOKUP(计算!G20,全部!C:N,12,FALSE)</f>
        <v>6281535</v>
      </c>
      <c r="L20" s="5">
        <f>VLOOKUP(G20,全部!C:P,14,FALSE)</f>
        <v>0</v>
      </c>
      <c r="M20" s="5">
        <f>VLOOKUP(G20,全部!C:V,20,FALSE)*100</f>
        <v>3</v>
      </c>
      <c r="N20" s="6">
        <f>VLOOKUP(G20,全部!C:W,21,FALSE)</f>
        <v>246946.05</v>
      </c>
      <c r="O20" s="4">
        <f>VLOOKUP(G20,全部!C:X,22,FALSE)</f>
        <v>229500</v>
      </c>
      <c r="P20" s="4">
        <f>VLOOKUP(G20,全部!C:Y,23,FALSE)</f>
        <v>229500</v>
      </c>
      <c r="Q20" s="6">
        <f>VLOOKUP(G20,全部!C:Z,24,FALSE)</f>
        <v>17446.049999999988</v>
      </c>
      <c r="R20" s="7">
        <f>VLOOKUP(G20,全部!C:AA,25,FALSE)</f>
        <v>8231535</v>
      </c>
      <c r="S20" s="7">
        <f>VLOOKUP(G20,全部!C:AB,26,FALSE)</f>
        <v>8231535</v>
      </c>
      <c r="T20" s="4">
        <f>VLOOKUP(计算!G20,全部!C:AC,27,FALSE)</f>
        <v>8231535</v>
      </c>
      <c r="U20" s="4">
        <f>VLOOKUP(G20,全部!C:AD,28,FALSE)</f>
        <v>8231535</v>
      </c>
      <c r="V20" s="6">
        <f>VLOOKUP(G20,全部!C:AE,29,FALSE)</f>
        <v>1</v>
      </c>
      <c r="W20" s="4">
        <f>VLOOKUP(G20,全部!C:AF,30,FALSE)</f>
        <v>7143200</v>
      </c>
      <c r="X20" s="4">
        <f>VLOOKUP(G20,全部!C:AG,31,FALSE)</f>
        <v>7143200</v>
      </c>
      <c r="Y20" s="4">
        <f>VLOOKUP(计算!G20,全部!C:AH,32,FALSE)</f>
        <v>8223072</v>
      </c>
      <c r="Z20" s="4">
        <f>VLOOKUP(G20,全部!C:AL,36,FALSE)</f>
        <v>8223072</v>
      </c>
      <c r="AA20" s="4">
        <f>VLOOKUP(G20,全部!C:AM,37,FALSE)</f>
        <v>3.4000000000000002E-2</v>
      </c>
      <c r="AB20" s="6">
        <f>VLOOKUP(G20,全部!C:AN,38,FALSE)</f>
        <v>279872.19</v>
      </c>
      <c r="AC20" s="4">
        <f>VLOOKUP(G20,全部!C:AO,39,FALSE)</f>
        <v>279872</v>
      </c>
      <c r="AD20" s="4">
        <f>VLOOKUP(G20,全部!C:AP,40,FALSE)</f>
        <v>279872</v>
      </c>
      <c r="AE20" s="6">
        <f>VLOOKUP(G20,全部!C:AQ,41,FALSE)</f>
        <v>0</v>
      </c>
      <c r="AF20" s="4">
        <f>VLOOKUP(G20,全部!C:AR,42,FALSE)</f>
        <v>0</v>
      </c>
      <c r="AG20" s="7">
        <f>VLOOKUP(G20,全部!C:AS,43,FALSE)</f>
        <v>5</v>
      </c>
      <c r="AH20" s="64" t="str">
        <f>IF(VLOOKUP(G20,全部!C:AT,44,FALSE)=0,"",VLOOKUP(G20,全部!C:AT,44,FALSE))</f>
        <v>亦庄</v>
      </c>
      <c r="AI20">
        <v>0</v>
      </c>
      <c r="AJ20" s="3">
        <v>41912.686249999999</v>
      </c>
      <c r="AK20" s="2" t="s">
        <v>2269</v>
      </c>
    </row>
    <row r="21" spans="1:37" x14ac:dyDescent="0.15">
      <c r="A21" s="2" t="s">
        <v>2268</v>
      </c>
      <c r="B21">
        <v>395</v>
      </c>
      <c r="C21" s="3">
        <v>40940</v>
      </c>
      <c r="D21" s="2" t="s">
        <v>37</v>
      </c>
      <c r="E21" s="2" t="s">
        <v>2267</v>
      </c>
      <c r="F21" s="2" t="s">
        <v>38</v>
      </c>
      <c r="G21" s="2" t="s">
        <v>78</v>
      </c>
      <c r="H21" s="2" t="s">
        <v>79</v>
      </c>
      <c r="I21" s="4">
        <f>VLOOKUP(G21,全部!C:M,11,FALSE)</f>
        <v>14568703.880000001</v>
      </c>
      <c r="J21" s="4">
        <f t="shared" si="0"/>
        <v>651269</v>
      </c>
      <c r="K21" s="4">
        <f>VLOOKUP(计算!G21,全部!C:N,12,FALSE)</f>
        <v>651269</v>
      </c>
      <c r="L21" s="5">
        <f>VLOOKUP(G21,全部!C:P,14,FALSE)</f>
        <v>0</v>
      </c>
      <c r="M21" s="5">
        <f>VLOOKUP(G21,全部!C:V,20,FALSE)*100</f>
        <v>3</v>
      </c>
      <c r="N21" s="6">
        <f>VLOOKUP(G21,全部!C:W,21,FALSE)</f>
        <v>456599.18640000001</v>
      </c>
      <c r="O21" s="4">
        <f>VLOOKUP(G21,全部!C:X,22,FALSE)</f>
        <v>437061</v>
      </c>
      <c r="P21" s="4">
        <f>VLOOKUP(G21,全部!C:Y,23,FALSE)</f>
        <v>437061</v>
      </c>
      <c r="Q21" s="6">
        <f>VLOOKUP(G21,全部!C:Z,24,FALSE)</f>
        <v>19538.186400000006</v>
      </c>
      <c r="R21" s="7">
        <f>VLOOKUP(G21,全部!C:AA,25,FALSE)</f>
        <v>11975108</v>
      </c>
      <c r="S21" s="7">
        <f>VLOOKUP(G21,全部!C:AB,26,FALSE)</f>
        <v>11975108</v>
      </c>
      <c r="T21" s="4">
        <f>VLOOKUP(计算!G21,全部!C:AC,27,FALSE)</f>
        <v>11054072</v>
      </c>
      <c r="U21" s="4">
        <f>VLOOKUP(G21,全部!C:AD,28,FALSE)</f>
        <v>11054072</v>
      </c>
      <c r="V21" s="6">
        <f>VLOOKUP(G21,全部!C:AE,29,FALSE)</f>
        <v>0.72628723369972259</v>
      </c>
      <c r="W21" s="4">
        <f>VLOOKUP(G21,全部!C:AF,30,FALSE)</f>
        <v>10047825.75</v>
      </c>
      <c r="X21" s="4">
        <f>VLOOKUP(G21,全部!C:AG,31,FALSE)</f>
        <v>10047825.75</v>
      </c>
      <c r="Y21" s="4">
        <f>VLOOKUP(计算!G21,全部!C:AH,32,FALSE)</f>
        <v>10954969.75</v>
      </c>
      <c r="Z21" s="4">
        <f>VLOOKUP(G21,全部!C:AL,36,FALSE)</f>
        <v>10958979.75</v>
      </c>
      <c r="AA21" s="4">
        <f>VLOOKUP(G21,全部!C:AM,37,FALSE)</f>
        <v>3.4000000000000002E-2</v>
      </c>
      <c r="AB21" s="6">
        <f>VLOOKUP(G21,全部!C:AN,38,FALSE)</f>
        <v>407153.67200000002</v>
      </c>
      <c r="AC21" s="4">
        <f>VLOOKUP(G21,全部!C:AO,39,FALSE)</f>
        <v>407154</v>
      </c>
      <c r="AD21" s="4">
        <f>VLOOKUP(G21,全部!C:AP,40,FALSE)</f>
        <v>407154</v>
      </c>
      <c r="AE21" s="6">
        <f>VLOOKUP(G21,全部!C:AQ,41,FALSE)</f>
        <v>0</v>
      </c>
      <c r="AF21" s="4">
        <f>VLOOKUP(G21,全部!C:AR,42,FALSE)</f>
        <v>0</v>
      </c>
      <c r="AG21" s="7">
        <f>VLOOKUP(G21,全部!C:AS,43,FALSE)</f>
        <v>220</v>
      </c>
      <c r="AH21" s="64" t="str">
        <f>IF(VLOOKUP(G21,全部!C:AT,44,FALSE)=0,"",VLOOKUP(G21,全部!C:AT,44,FALSE))</f>
        <v>管庄、昌平</v>
      </c>
      <c r="AI21">
        <v>0</v>
      </c>
      <c r="AJ21" s="3">
        <v>41912.686249999999</v>
      </c>
      <c r="AK21" s="2" t="s">
        <v>2266</v>
      </c>
    </row>
    <row r="22" spans="1:37" x14ac:dyDescent="0.15">
      <c r="A22" s="2" t="s">
        <v>2265</v>
      </c>
      <c r="B22">
        <v>419</v>
      </c>
      <c r="C22" s="3">
        <v>40940</v>
      </c>
      <c r="D22" s="2" t="s">
        <v>37</v>
      </c>
      <c r="E22" s="2" t="s">
        <v>2264</v>
      </c>
      <c r="F22" s="2" t="s">
        <v>38</v>
      </c>
      <c r="G22" s="2" t="s">
        <v>81</v>
      </c>
      <c r="H22" s="2" t="s">
        <v>82</v>
      </c>
      <c r="I22" s="4">
        <f>VLOOKUP(G22,全部!C:M,11,FALSE)</f>
        <v>20000000</v>
      </c>
      <c r="J22" s="4">
        <f t="shared" si="0"/>
        <v>0</v>
      </c>
      <c r="K22" s="4">
        <f>VLOOKUP(计算!G22,全部!C:N,12,FALSE)</f>
        <v>0</v>
      </c>
      <c r="L22" s="5">
        <f>VLOOKUP(G22,全部!C:P,14,FALSE)</f>
        <v>0</v>
      </c>
      <c r="M22" s="5">
        <f>VLOOKUP(G22,全部!C:V,20,FALSE)*100</f>
        <v>3.5000000000000004</v>
      </c>
      <c r="N22" s="6">
        <f>VLOOKUP(G22,全部!C:W,21,FALSE)</f>
        <v>700000.00000000012</v>
      </c>
      <c r="O22" s="4">
        <f>VLOOKUP(G22,全部!C:X,22,FALSE)</f>
        <v>700000</v>
      </c>
      <c r="P22" s="4">
        <f>VLOOKUP(G22,全部!C:Y,23,FALSE)</f>
        <v>700000</v>
      </c>
      <c r="Q22" s="6">
        <f>VLOOKUP(G22,全部!C:Z,24,FALSE)</f>
        <v>0</v>
      </c>
      <c r="R22" s="7">
        <f>VLOOKUP(G22,全部!C:AA,25,FALSE)</f>
        <v>18500000</v>
      </c>
      <c r="S22" s="7">
        <f>VLOOKUP(G22,全部!C:AB,26,FALSE)</f>
        <v>18500000</v>
      </c>
      <c r="T22" s="4">
        <f>VLOOKUP(计算!G22,全部!C:AC,27,FALSE)</f>
        <v>17500000</v>
      </c>
      <c r="U22" s="4">
        <f>VLOOKUP(G22,全部!C:AD,28,FALSE)</f>
        <v>17500000</v>
      </c>
      <c r="V22" s="6">
        <f>VLOOKUP(G22,全部!C:AE,29,FALSE)</f>
        <v>0.875</v>
      </c>
      <c r="W22" s="4">
        <f>VLOOKUP(G22,全部!C:AF,30,FALSE)</f>
        <v>16533332.5</v>
      </c>
      <c r="X22" s="4">
        <f>VLOOKUP(G22,全部!C:AG,31,FALSE)</f>
        <v>16533332.5</v>
      </c>
      <c r="Y22" s="4">
        <f>VLOOKUP(计算!G22,全部!C:AH,32,FALSE)</f>
        <v>17304686.41</v>
      </c>
      <c r="Z22" s="4">
        <f>VLOOKUP(G22,全部!C:AL,36,FALSE)</f>
        <v>17306886.41</v>
      </c>
      <c r="AA22" s="4">
        <f>VLOOKUP(G22,全部!C:AM,37,FALSE)</f>
        <v>3.4000000000000002E-2</v>
      </c>
      <c r="AB22" s="6">
        <f>VLOOKUP(G22,全部!C:AN,38,FALSE)</f>
        <v>629000</v>
      </c>
      <c r="AC22" s="4">
        <f>VLOOKUP(G22,全部!C:AO,39,FALSE)</f>
        <v>629000</v>
      </c>
      <c r="AD22" s="4">
        <f>VLOOKUP(G22,全部!C:AP,40,FALSE)</f>
        <v>629000</v>
      </c>
      <c r="AE22" s="6">
        <f>VLOOKUP(G22,全部!C:AQ,41,FALSE)</f>
        <v>0</v>
      </c>
      <c r="AF22" s="4">
        <f>VLOOKUP(G22,全部!C:AR,42,FALSE)</f>
        <v>0</v>
      </c>
      <c r="AG22" s="7">
        <f>VLOOKUP(G22,全部!C:AS,43,FALSE)</f>
        <v>0</v>
      </c>
      <c r="AH22" s="64" t="str">
        <f>IF(VLOOKUP(G22,全部!C:AT,44,FALSE)=0,"",VLOOKUP(G22,全部!C:AT,44,FALSE))</f>
        <v/>
      </c>
      <c r="AI22">
        <v>0</v>
      </c>
      <c r="AJ22" s="3">
        <v>41912.686249999999</v>
      </c>
      <c r="AK22" s="2" t="s">
        <v>2263</v>
      </c>
    </row>
    <row r="23" spans="1:37" x14ac:dyDescent="0.15">
      <c r="A23" s="2" t="s">
        <v>2262</v>
      </c>
      <c r="B23">
        <v>404</v>
      </c>
      <c r="C23" s="3">
        <v>40940</v>
      </c>
      <c r="D23" s="2" t="s">
        <v>37</v>
      </c>
      <c r="E23" s="2" t="s">
        <v>2261</v>
      </c>
      <c r="F23" s="2" t="s">
        <v>38</v>
      </c>
      <c r="G23" s="2" t="s">
        <v>85</v>
      </c>
      <c r="H23" s="2" t="s">
        <v>86</v>
      </c>
      <c r="I23" s="4">
        <f>VLOOKUP(G23,全部!C:M,11,FALSE)</f>
        <v>20000000</v>
      </c>
      <c r="J23" s="4">
        <f t="shared" si="0"/>
        <v>5102771</v>
      </c>
      <c r="K23" s="4">
        <f>VLOOKUP(计算!G23,全部!C:N,12,FALSE)</f>
        <v>5102771</v>
      </c>
      <c r="L23" s="5">
        <f>VLOOKUP(G23,全部!C:P,14,FALSE)</f>
        <v>25102771</v>
      </c>
      <c r="M23" s="5">
        <f>VLOOKUP(G23,全部!C:V,20,FALSE)*100</f>
        <v>3</v>
      </c>
      <c r="N23" s="6">
        <f>VLOOKUP(G23,全部!C:W,21,FALSE)</f>
        <v>753083.13</v>
      </c>
      <c r="O23" s="4">
        <f>VLOOKUP(G23,全部!C:X,22,FALSE)</f>
        <v>753083</v>
      </c>
      <c r="P23" s="4">
        <f>VLOOKUP(G23,全部!C:Y,23,FALSE)</f>
        <v>753083</v>
      </c>
      <c r="Q23" s="6">
        <f>VLOOKUP(G23,全部!C:Z,24,FALSE)</f>
        <v>0</v>
      </c>
      <c r="R23" s="7">
        <f>VLOOKUP(G23,全部!C:AA,25,FALSE)</f>
        <v>23847632.449999999</v>
      </c>
      <c r="S23" s="7">
        <f>VLOOKUP(G23,全部!C:AB,26,FALSE)</f>
        <v>23847632.449999999</v>
      </c>
      <c r="T23" s="4">
        <f>VLOOKUP(计算!G23,全部!C:AC,27,FALSE)</f>
        <v>23847632.449999999</v>
      </c>
      <c r="U23" s="4">
        <f>VLOOKUP(G23,全部!C:AD,28,FALSE)</f>
        <v>23847632.449999999</v>
      </c>
      <c r="V23" s="6">
        <f>VLOOKUP(G23,全部!C:AE,29,FALSE)</f>
        <v>0.95</v>
      </c>
      <c r="W23" s="4">
        <f>VLOOKUP(G23,全部!C:AF,30,FALSE)</f>
        <v>23095725.170000002</v>
      </c>
      <c r="X23" s="4">
        <f>VLOOKUP(G23,全部!C:AG,31,FALSE)</f>
        <v>23095725.170000002</v>
      </c>
      <c r="Y23" s="4">
        <f>VLOOKUP(计算!G23,全部!C:AH,32,FALSE)</f>
        <v>23847632.170000002</v>
      </c>
      <c r="Z23" s="4">
        <f>VLOOKUP(G23,全部!C:AL,36,FALSE)</f>
        <v>23847632.170000002</v>
      </c>
      <c r="AA23" s="4">
        <f>VLOOKUP(G23,全部!C:AM,37,FALSE)</f>
        <v>3.4000000000000002E-2</v>
      </c>
      <c r="AB23" s="6">
        <f>VLOOKUP(G23,全部!C:AN,38,FALSE)</f>
        <v>810819.50329999998</v>
      </c>
      <c r="AC23" s="4">
        <f>VLOOKUP(G23,全部!C:AO,39,FALSE)</f>
        <v>810820</v>
      </c>
      <c r="AD23" s="4">
        <f>VLOOKUP(G23,全部!C:AP,40,FALSE)</f>
        <v>810820</v>
      </c>
      <c r="AE23" s="6">
        <f>VLOOKUP(G23,全部!C:AQ,41,FALSE)</f>
        <v>0</v>
      </c>
      <c r="AF23" s="4">
        <f>VLOOKUP(G23,全部!C:AR,42,FALSE)</f>
        <v>0</v>
      </c>
      <c r="AG23" s="7">
        <f>VLOOKUP(G23,全部!C:AS,43,FALSE)</f>
        <v>50</v>
      </c>
      <c r="AH23" s="64" t="str">
        <f>IF(VLOOKUP(G23,全部!C:AT,44,FALSE)=0,"",VLOOKUP(G23,全部!C:AT,44,FALSE))</f>
        <v>管庄</v>
      </c>
      <c r="AI23">
        <v>0</v>
      </c>
      <c r="AJ23" s="3">
        <v>41912.686249999999</v>
      </c>
      <c r="AK23" s="2" t="s">
        <v>2260</v>
      </c>
    </row>
    <row r="24" spans="1:37" x14ac:dyDescent="0.15">
      <c r="A24" s="2" t="s">
        <v>2259</v>
      </c>
      <c r="B24">
        <v>411</v>
      </c>
      <c r="C24" s="3">
        <v>40940</v>
      </c>
      <c r="D24" s="2" t="s">
        <v>37</v>
      </c>
      <c r="E24" s="2" t="s">
        <v>2258</v>
      </c>
      <c r="F24" s="2" t="s">
        <v>38</v>
      </c>
      <c r="G24" s="2" t="s">
        <v>87</v>
      </c>
      <c r="H24" s="2" t="s">
        <v>88</v>
      </c>
      <c r="I24" s="4">
        <f>VLOOKUP(G24,全部!C:M,11,FALSE)</f>
        <v>33000000</v>
      </c>
      <c r="J24" s="4">
        <f t="shared" si="0"/>
        <v>0</v>
      </c>
      <c r="K24" s="4">
        <f>VLOOKUP(计算!G24,全部!C:N,12,FALSE)</f>
        <v>0</v>
      </c>
      <c r="L24" s="5">
        <f>VLOOKUP(G24,全部!C:P,14,FALSE)</f>
        <v>0</v>
      </c>
      <c r="M24" s="5">
        <f>VLOOKUP(G24,全部!C:V,20,FALSE)*100</f>
        <v>3.5000000000000004</v>
      </c>
      <c r="N24" s="6">
        <f>VLOOKUP(G24,全部!C:W,21,FALSE)</f>
        <v>1155000</v>
      </c>
      <c r="O24" s="4">
        <f>VLOOKUP(G24,全部!C:X,22,FALSE)</f>
        <v>1155000</v>
      </c>
      <c r="P24" s="4">
        <f>VLOOKUP(G24,全部!C:Y,23,FALSE)</f>
        <v>1155000</v>
      </c>
      <c r="Q24" s="6">
        <f>VLOOKUP(G24,全部!C:Z,24,FALSE)</f>
        <v>0</v>
      </c>
      <c r="R24" s="7">
        <f>VLOOKUP(G24,全部!C:AA,25,FALSE)</f>
        <v>22720000</v>
      </c>
      <c r="S24" s="7">
        <f>VLOOKUP(G24,全部!C:AB,26,FALSE)</f>
        <v>22720000</v>
      </c>
      <c r="T24" s="4">
        <f>VLOOKUP(计算!G24,全部!C:AC,27,FALSE)</f>
        <v>21720000</v>
      </c>
      <c r="U24" s="4">
        <f>VLOOKUP(G24,全部!C:AD,28,FALSE)</f>
        <v>21720000</v>
      </c>
      <c r="V24" s="6">
        <f>VLOOKUP(G24,全部!C:AE,29,FALSE)</f>
        <v>0.6581818181818182</v>
      </c>
      <c r="W24" s="4">
        <f>VLOOKUP(G24,全部!C:AF,30,FALSE)</f>
        <v>19634904.469999999</v>
      </c>
      <c r="X24" s="4">
        <f>VLOOKUP(G24,全部!C:AG,31,FALSE)</f>
        <v>19634904.469999999</v>
      </c>
      <c r="Y24" s="4">
        <f>VLOOKUP(计算!G24,全部!C:AH,32,FALSE)</f>
        <v>21702791.469999999</v>
      </c>
      <c r="Z24" s="4">
        <f>VLOOKUP(G24,全部!C:AL,36,FALSE)</f>
        <v>21702791.469999999</v>
      </c>
      <c r="AA24" s="4">
        <f>VLOOKUP(G24,全部!C:AM,37,FALSE)</f>
        <v>3.4000000000000002E-2</v>
      </c>
      <c r="AB24" s="6">
        <f>VLOOKUP(G24,全部!C:AN,38,FALSE)</f>
        <v>772480</v>
      </c>
      <c r="AC24" s="4">
        <f>VLOOKUP(G24,全部!C:AO,39,FALSE)</f>
        <v>772480</v>
      </c>
      <c r="AD24" s="4">
        <f>VLOOKUP(G24,全部!C:AP,40,FALSE)</f>
        <v>772480</v>
      </c>
      <c r="AE24" s="6">
        <f>VLOOKUP(G24,全部!C:AQ,41,FALSE)</f>
        <v>0</v>
      </c>
      <c r="AF24" s="4">
        <f>VLOOKUP(G24,全部!C:AR,42,FALSE)</f>
        <v>0</v>
      </c>
      <c r="AG24" s="7">
        <f>VLOOKUP(G24,全部!C:AS,43,FALSE)</f>
        <v>0</v>
      </c>
      <c r="AH24" s="64" t="str">
        <f>IF(VLOOKUP(G24,全部!C:AT,44,FALSE)=0,"",VLOOKUP(G24,全部!C:AT,44,FALSE))</f>
        <v/>
      </c>
      <c r="AI24">
        <v>0</v>
      </c>
      <c r="AJ24" s="3">
        <v>41912.686249999999</v>
      </c>
      <c r="AK24" s="2" t="s">
        <v>2257</v>
      </c>
    </row>
    <row r="25" spans="1:37" x14ac:dyDescent="0.15">
      <c r="A25" s="2" t="s">
        <v>2256</v>
      </c>
      <c r="B25">
        <v>38</v>
      </c>
      <c r="C25" s="3">
        <v>40940</v>
      </c>
      <c r="D25" s="2" t="s">
        <v>37</v>
      </c>
      <c r="E25" s="2" t="s">
        <v>2255</v>
      </c>
      <c r="F25" s="2" t="s">
        <v>41</v>
      </c>
      <c r="G25" s="2" t="s">
        <v>83</v>
      </c>
      <c r="H25" s="2" t="s">
        <v>84</v>
      </c>
      <c r="I25" s="4">
        <f>VLOOKUP(G25,全部!C:M,11,FALSE)</f>
        <v>90000</v>
      </c>
      <c r="J25" s="4">
        <f t="shared" si="0"/>
        <v>0</v>
      </c>
      <c r="K25" s="4">
        <f>VLOOKUP(计算!G25,全部!C:N,12,FALSE)</f>
        <v>0</v>
      </c>
      <c r="L25" s="5">
        <f>VLOOKUP(G25,全部!C:P,14,FALSE)</f>
        <v>0</v>
      </c>
      <c r="M25" s="5">
        <f>VLOOKUP(G25,全部!C:V,20,FALSE)*100</f>
        <v>6.4</v>
      </c>
      <c r="N25" s="6">
        <f>VLOOKUP(G25,全部!C:W,21,FALSE)</f>
        <v>5760</v>
      </c>
      <c r="O25" s="4">
        <f>VLOOKUP(G25,全部!C:X,22,FALSE)</f>
        <v>5760</v>
      </c>
      <c r="P25" s="4">
        <f>VLOOKUP(G25,全部!C:Y,23,FALSE)</f>
        <v>5760</v>
      </c>
      <c r="Q25" s="6">
        <f>VLOOKUP(G25,全部!C:Z,24,FALSE)</f>
        <v>0</v>
      </c>
      <c r="R25" s="7">
        <f>VLOOKUP(G25,全部!C:AA,25,FALSE)</f>
        <v>0</v>
      </c>
      <c r="S25" s="7">
        <f>VLOOKUP(G25,全部!C:AB,26,FALSE)</f>
        <v>0</v>
      </c>
      <c r="T25" s="4">
        <f>VLOOKUP(计算!G25,全部!C:AC,27,FALSE)</f>
        <v>72000</v>
      </c>
      <c r="U25" s="4">
        <f>VLOOKUP(G25,全部!C:AD,28,FALSE)</f>
        <v>72000</v>
      </c>
      <c r="V25" s="6">
        <f>VLOOKUP(G25,全部!C:AE,29,FALSE)</f>
        <v>0.8</v>
      </c>
      <c r="W25" s="4">
        <f>VLOOKUP(G25,全部!C:AF,30,FALSE)</f>
        <v>0</v>
      </c>
      <c r="X25" s="4">
        <f>VLOOKUP(G25,全部!C:AG,31,FALSE)</f>
        <v>0</v>
      </c>
      <c r="Y25" s="4">
        <f>VLOOKUP(计算!G25,全部!C:AH,32,FALSE)</f>
        <v>66960</v>
      </c>
      <c r="Z25" s="4">
        <f>VLOOKUP(G25,全部!C:AL,36,FALSE)</f>
        <v>66960</v>
      </c>
      <c r="AA25" s="4">
        <f>VLOOKUP(G25,全部!C:AM,37,FALSE)</f>
        <v>5.6000000000000001E-2</v>
      </c>
      <c r="AB25" s="6">
        <f>VLOOKUP(G25,全部!C:AN,38,FALSE)</f>
        <v>5040</v>
      </c>
      <c r="AC25" s="4">
        <f>VLOOKUP(G25,全部!C:AO,39,FALSE)</f>
        <v>5040</v>
      </c>
      <c r="AD25" s="4">
        <f>VLOOKUP(G25,全部!C:AP,40,FALSE)</f>
        <v>5040</v>
      </c>
      <c r="AE25" s="6">
        <f>VLOOKUP(G25,全部!C:AQ,41,FALSE)</f>
        <v>0</v>
      </c>
      <c r="AF25" s="4">
        <f>VLOOKUP(G25,全部!C:AR,42,FALSE)</f>
        <v>0</v>
      </c>
      <c r="AG25" s="7">
        <f>VLOOKUP(G25,全部!C:AS,43,FALSE)</f>
        <v>0</v>
      </c>
      <c r="AH25" s="64" t="str">
        <f>IF(VLOOKUP(G25,全部!C:AT,44,FALSE)=0,"",VLOOKUP(G25,全部!C:AT,44,FALSE))</f>
        <v/>
      </c>
      <c r="AI25">
        <v>0</v>
      </c>
      <c r="AJ25" s="3">
        <v>41912.6862384259</v>
      </c>
      <c r="AK25" s="2" t="s">
        <v>2254</v>
      </c>
    </row>
    <row r="26" spans="1:37" x14ac:dyDescent="0.15">
      <c r="A26" s="2" t="s">
        <v>2253</v>
      </c>
      <c r="B26">
        <v>43</v>
      </c>
      <c r="C26" s="3">
        <v>40969</v>
      </c>
      <c r="D26" s="2" t="s">
        <v>37</v>
      </c>
      <c r="E26" s="2" t="s">
        <v>2252</v>
      </c>
      <c r="F26" s="2" t="s">
        <v>41</v>
      </c>
      <c r="G26" s="2" t="s">
        <v>91</v>
      </c>
      <c r="H26" s="2" t="s">
        <v>92</v>
      </c>
      <c r="I26" s="4">
        <f>VLOOKUP(G26,全部!C:M,11,FALSE)</f>
        <v>552000</v>
      </c>
      <c r="J26" s="4">
        <f t="shared" si="0"/>
        <v>0</v>
      </c>
      <c r="K26" s="4">
        <f>VLOOKUP(计算!G26,全部!C:N,12,FALSE)</f>
        <v>0</v>
      </c>
      <c r="L26" s="5">
        <f>VLOOKUP(G26,全部!C:P,14,FALSE)</f>
        <v>0</v>
      </c>
      <c r="M26" s="5">
        <f>VLOOKUP(G26,全部!C:V,20,FALSE)*100</f>
        <v>8.6</v>
      </c>
      <c r="N26" s="6">
        <f>VLOOKUP(G26,全部!C:W,21,FALSE)</f>
        <v>47471.999999999993</v>
      </c>
      <c r="O26" s="4">
        <f>VLOOKUP(G26,全部!C:X,22,FALSE)</f>
        <v>41668.089999999997</v>
      </c>
      <c r="P26" s="4">
        <f>VLOOKUP(G26,全部!C:Y,23,FALSE)</f>
        <v>41668.089999999997</v>
      </c>
      <c r="Q26" s="6">
        <f>VLOOKUP(G26,全部!C:Z,24,FALSE)</f>
        <v>5803.9099999999962</v>
      </c>
      <c r="R26" s="7">
        <f>VLOOKUP(G26,全部!C:AA,25,FALSE)</f>
        <v>0</v>
      </c>
      <c r="S26" s="7">
        <f>VLOOKUP(G26,全部!C:AB,26,FALSE)</f>
        <v>0</v>
      </c>
      <c r="T26" s="4">
        <f>VLOOKUP(计算!G26,全部!C:AC,27,FALSE)</f>
        <v>496800</v>
      </c>
      <c r="U26" s="4">
        <f>VLOOKUP(G26,全部!C:AD,28,FALSE)</f>
        <v>496800</v>
      </c>
      <c r="V26" s="6">
        <f>VLOOKUP(G26,全部!C:AE,29,FALSE)</f>
        <v>0.9</v>
      </c>
      <c r="W26" s="4">
        <f>VLOOKUP(G26,全部!C:AF,30,FALSE)</f>
        <v>0</v>
      </c>
      <c r="X26" s="4">
        <f>VLOOKUP(G26,全部!C:AG,31,FALSE)</f>
        <v>0</v>
      </c>
      <c r="Y26" s="4">
        <f>VLOOKUP(计算!G26,全部!C:AH,32,FALSE)</f>
        <v>480537</v>
      </c>
      <c r="Z26" s="4">
        <f>VLOOKUP(G26,全部!C:AL,36,FALSE)</f>
        <v>480537</v>
      </c>
      <c r="AA26" s="4">
        <f>VLOOKUP(G26,全部!C:AM,37,FALSE)</f>
        <v>0</v>
      </c>
      <c r="AB26" s="6">
        <f>VLOOKUP(G26,全部!C:AN,38,FALSE)</f>
        <v>16263.2</v>
      </c>
      <c r="AC26" s="4">
        <f>VLOOKUP(G26,全部!C:AO,39,FALSE)</f>
        <v>16263.2</v>
      </c>
      <c r="AD26" s="4">
        <f>VLOOKUP(G26,全部!C:AP,40,FALSE)</f>
        <v>16263.2</v>
      </c>
      <c r="AE26" s="6">
        <f>VLOOKUP(G26,全部!C:AQ,41,FALSE)</f>
        <v>0</v>
      </c>
      <c r="AF26" s="4">
        <f>VLOOKUP(G26,全部!C:AR,42,FALSE)</f>
        <v>0</v>
      </c>
      <c r="AG26" s="7">
        <f>VLOOKUP(G26,全部!C:AS,43,FALSE)</f>
        <v>0</v>
      </c>
      <c r="AH26" s="64" t="str">
        <f>IF(VLOOKUP(G26,全部!C:AT,44,FALSE)=0,"",VLOOKUP(G26,全部!C:AT,44,FALSE))</f>
        <v/>
      </c>
      <c r="AI26">
        <v>0</v>
      </c>
      <c r="AJ26" s="3">
        <v>41912.6862384259</v>
      </c>
      <c r="AK26" s="2" t="s">
        <v>2251</v>
      </c>
    </row>
    <row r="27" spans="1:37" x14ac:dyDescent="0.15">
      <c r="A27" s="2" t="s">
        <v>2250</v>
      </c>
      <c r="B27">
        <v>428</v>
      </c>
      <c r="C27" s="3">
        <v>40969</v>
      </c>
      <c r="D27" s="2" t="s">
        <v>37</v>
      </c>
      <c r="E27" s="2" t="s">
        <v>2249</v>
      </c>
      <c r="F27" s="2" t="s">
        <v>38</v>
      </c>
      <c r="G27" s="2" t="s">
        <v>89</v>
      </c>
      <c r="H27" s="2" t="s">
        <v>90</v>
      </c>
      <c r="I27" s="4">
        <f>VLOOKUP(G27,全部!C:M,11,FALSE)</f>
        <v>15000000</v>
      </c>
      <c r="J27" s="4">
        <f t="shared" si="0"/>
        <v>60000</v>
      </c>
      <c r="K27" s="4">
        <f>VLOOKUP(计算!G27,全部!C:N,12,FALSE)</f>
        <v>60000</v>
      </c>
      <c r="L27" s="5">
        <f>VLOOKUP(G27,全部!C:P,14,FALSE)</f>
        <v>0</v>
      </c>
      <c r="M27" s="5">
        <f>VLOOKUP(G27,全部!C:V,20,FALSE)*100</f>
        <v>3</v>
      </c>
      <c r="N27" s="6">
        <f>VLOOKUP(G27,全部!C:W,21,FALSE)</f>
        <v>451800</v>
      </c>
      <c r="O27" s="4">
        <f>VLOOKUP(G27,全部!C:X,22,FALSE)</f>
        <v>450000</v>
      </c>
      <c r="P27" s="4">
        <f>VLOOKUP(G27,全部!C:Y,23,FALSE)</f>
        <v>450000</v>
      </c>
      <c r="Q27" s="6">
        <f>VLOOKUP(G27,全部!C:Z,24,FALSE)</f>
        <v>1800</v>
      </c>
      <c r="R27" s="7">
        <f>VLOOKUP(G27,全部!C:AA,25,FALSE)</f>
        <v>12400000</v>
      </c>
      <c r="S27" s="7">
        <f>VLOOKUP(G27,全部!C:AB,26,FALSE)</f>
        <v>12400000</v>
      </c>
      <c r="T27" s="4">
        <f>VLOOKUP(计算!G27,全部!C:AC,27,FALSE)</f>
        <v>12400000</v>
      </c>
      <c r="U27" s="4">
        <f>VLOOKUP(G27,全部!C:AD,28,FALSE)</f>
        <v>12400000</v>
      </c>
      <c r="V27" s="6">
        <f>VLOOKUP(G27,全部!C:AE,29,FALSE)</f>
        <v>0.82337317397078358</v>
      </c>
      <c r="W27" s="4">
        <f>VLOOKUP(G27,全部!C:AF,30,FALSE)</f>
        <v>12114323.559999999</v>
      </c>
      <c r="X27" s="4">
        <f>VLOOKUP(G27,全部!C:AG,31,FALSE)</f>
        <v>12114323.560000001</v>
      </c>
      <c r="Y27" s="4">
        <f>VLOOKUP(计算!G27,全部!C:AH,32,FALSE)</f>
        <v>12399923.559999999</v>
      </c>
      <c r="Z27" s="4">
        <f>VLOOKUP(G27,全部!C:AL,36,FALSE)</f>
        <v>12399923.560000001</v>
      </c>
      <c r="AA27" s="4">
        <f>VLOOKUP(G27,全部!C:AM,37,FALSE)</f>
        <v>3.4000000000000002E-2</v>
      </c>
      <c r="AB27" s="6">
        <f>VLOOKUP(G27,全部!C:AN,38,FALSE)</f>
        <v>421600.00000000006</v>
      </c>
      <c r="AC27" s="4">
        <f>VLOOKUP(G27,全部!C:AO,39,FALSE)</f>
        <v>421600</v>
      </c>
      <c r="AD27" s="4">
        <f>VLOOKUP(G27,全部!C:AP,40,FALSE)</f>
        <v>421600</v>
      </c>
      <c r="AE27" s="6">
        <f>VLOOKUP(G27,全部!C:AQ,41,FALSE)</f>
        <v>0</v>
      </c>
      <c r="AF27" s="4">
        <f>VLOOKUP(G27,全部!C:AR,42,FALSE)</f>
        <v>0</v>
      </c>
      <c r="AG27" s="7">
        <f>VLOOKUP(G27,全部!C:AS,43,FALSE)</f>
        <v>25</v>
      </c>
      <c r="AH27" s="64" t="str">
        <f>IF(VLOOKUP(G27,全部!C:AT,44,FALSE)=0,"",VLOOKUP(G27,全部!C:AT,44,FALSE))</f>
        <v>亦庄</v>
      </c>
      <c r="AI27">
        <v>0</v>
      </c>
      <c r="AJ27" s="3">
        <v>41912.686249999999</v>
      </c>
      <c r="AK27" s="2" t="s">
        <v>2248</v>
      </c>
    </row>
    <row r="28" spans="1:37" x14ac:dyDescent="0.15">
      <c r="A28" s="2" t="s">
        <v>2247</v>
      </c>
      <c r="B28">
        <v>438</v>
      </c>
      <c r="C28" s="3">
        <v>40988</v>
      </c>
      <c r="D28" s="2" t="s">
        <v>37</v>
      </c>
      <c r="E28" s="2" t="s">
        <v>2246</v>
      </c>
      <c r="F28" s="2" t="s">
        <v>38</v>
      </c>
      <c r="G28" s="2" t="s">
        <v>93</v>
      </c>
      <c r="H28" s="2" t="s">
        <v>94</v>
      </c>
      <c r="I28" s="4">
        <f>VLOOKUP(G28,全部!C:M,11,FALSE)</f>
        <v>1523208.31</v>
      </c>
      <c r="J28" s="4">
        <f t="shared" si="0"/>
        <v>0</v>
      </c>
      <c r="K28" s="4">
        <f>VLOOKUP(计算!G28,全部!C:N,12,FALSE)</f>
        <v>0</v>
      </c>
      <c r="L28" s="5">
        <f>VLOOKUP(G28,全部!C:P,14,FALSE)</f>
        <v>0</v>
      </c>
      <c r="M28" s="5">
        <f>VLOOKUP(G28,全部!C:V,20,FALSE)*100</f>
        <v>3.5999999999999996</v>
      </c>
      <c r="N28" s="6">
        <f>VLOOKUP(G28,全部!C:W,21,FALSE)</f>
        <v>54835.499159999999</v>
      </c>
      <c r="O28" s="4">
        <f>VLOOKUP(G28,全部!C:X,22,FALSE)</f>
        <v>54835.5</v>
      </c>
      <c r="P28" s="4">
        <f>VLOOKUP(G28,全部!C:Y,23,FALSE)</f>
        <v>54835.5</v>
      </c>
      <c r="Q28" s="6">
        <f>VLOOKUP(G28,全部!C:Z,24,FALSE)</f>
        <v>0</v>
      </c>
      <c r="R28" s="7">
        <f>VLOOKUP(G28,全部!C:AA,25,FALSE)</f>
        <v>1294727.06</v>
      </c>
      <c r="S28" s="7">
        <f>VLOOKUP(G28,全部!C:AB,26,FALSE)</f>
        <v>1294727.06</v>
      </c>
      <c r="T28" s="4">
        <f>VLOOKUP(计算!G28,全部!C:AC,27,FALSE)</f>
        <v>1294727.06</v>
      </c>
      <c r="U28" s="4">
        <f>VLOOKUP(G28,全部!C:AD,28,FALSE)</f>
        <v>1294727.06</v>
      </c>
      <c r="V28" s="6">
        <f>VLOOKUP(G28,全部!C:AE,29,FALSE)</f>
        <v>0.84999999770221846</v>
      </c>
      <c r="W28" s="4">
        <f>VLOOKUP(G28,全部!C:AF,30,FALSE)</f>
        <v>1049652.07</v>
      </c>
      <c r="X28" s="4">
        <f>VLOOKUP(G28,全部!C:AG,31,FALSE)</f>
        <v>1049652.07</v>
      </c>
      <c r="Y28" s="4">
        <f>VLOOKUP(计算!G28,全部!C:AH,32,FALSE)</f>
        <v>1294623.48</v>
      </c>
      <c r="Z28" s="4">
        <f>VLOOKUP(G28,全部!C:AL,36,FALSE)</f>
        <v>1294623.48</v>
      </c>
      <c r="AA28" s="4">
        <f>VLOOKUP(G28,全部!C:AM,37,FALSE)</f>
        <v>3.4000000000000002E-2</v>
      </c>
      <c r="AB28" s="6">
        <f>VLOOKUP(G28,全部!C:AN,38,FALSE)</f>
        <v>44020.720040000007</v>
      </c>
      <c r="AC28" s="4">
        <f>VLOOKUP(G28,全部!C:AO,39,FALSE)</f>
        <v>44021</v>
      </c>
      <c r="AD28" s="4">
        <f>VLOOKUP(G28,全部!C:AP,40,FALSE)</f>
        <v>44021</v>
      </c>
      <c r="AE28" s="6">
        <f>VLOOKUP(G28,全部!C:AQ,41,FALSE)</f>
        <v>0</v>
      </c>
      <c r="AF28" s="4">
        <f>VLOOKUP(G28,全部!C:AR,42,FALSE)</f>
        <v>0</v>
      </c>
      <c r="AG28" s="7">
        <f>VLOOKUP(G28,全部!C:AS,43,FALSE)</f>
        <v>20</v>
      </c>
      <c r="AH28" s="64" t="str">
        <f>IF(VLOOKUP(G28,全部!C:AT,44,FALSE)=0,"",VLOOKUP(G28,全部!C:AT,44,FALSE))</f>
        <v>管庄</v>
      </c>
      <c r="AI28">
        <v>0</v>
      </c>
      <c r="AJ28" s="3">
        <v>41912.686249999999</v>
      </c>
      <c r="AK28" s="2" t="s">
        <v>2245</v>
      </c>
    </row>
    <row r="29" spans="1:37" x14ac:dyDescent="0.15">
      <c r="A29" s="2" t="s">
        <v>2244</v>
      </c>
      <c r="B29">
        <v>447</v>
      </c>
      <c r="C29" s="3">
        <v>40988</v>
      </c>
      <c r="D29" s="2" t="s">
        <v>37</v>
      </c>
      <c r="E29" s="2" t="s">
        <v>2243</v>
      </c>
      <c r="F29" s="2" t="s">
        <v>38</v>
      </c>
      <c r="G29" s="2" t="s">
        <v>95</v>
      </c>
      <c r="H29" s="2" t="s">
        <v>96</v>
      </c>
      <c r="I29" s="4">
        <f>VLOOKUP(G29,全部!C:M,11,FALSE)</f>
        <v>3701841.55</v>
      </c>
      <c r="J29" s="4">
        <f t="shared" si="0"/>
        <v>4570557.6500000004</v>
      </c>
      <c r="K29" s="4">
        <f>VLOOKUP(计算!G29,全部!C:N,12,FALSE)</f>
        <v>4570557.6500000004</v>
      </c>
      <c r="L29" s="5">
        <f>VLOOKUP(G29,全部!C:P,14,FALSE)</f>
        <v>0</v>
      </c>
      <c r="M29" s="5">
        <f>VLOOKUP(G29,全部!C:V,20,FALSE)*100</f>
        <v>3</v>
      </c>
      <c r="N29" s="6">
        <f>VLOOKUP(G29,全部!C:W,21,FALSE)</f>
        <v>248171.976</v>
      </c>
      <c r="O29" s="4">
        <f>VLOOKUP(G29,全部!C:X,22,FALSE)</f>
        <v>248172</v>
      </c>
      <c r="P29" s="4">
        <f>VLOOKUP(G29,全部!C:Y,23,FALSE)</f>
        <v>248172</v>
      </c>
      <c r="Q29" s="6">
        <f>VLOOKUP(G29,全部!C:Z,24,FALSE)</f>
        <v>0</v>
      </c>
      <c r="R29" s="7">
        <f>VLOOKUP(G29,全部!C:AA,25,FALSE)</f>
        <v>7316811.7300000004</v>
      </c>
      <c r="S29" s="7">
        <f>VLOOKUP(G29,全部!C:AB,26,FALSE)</f>
        <v>7316811.7300000004</v>
      </c>
      <c r="T29" s="4">
        <f>VLOOKUP(计算!G29,全部!C:AC,27,FALSE)</f>
        <v>7294401.4500000002</v>
      </c>
      <c r="U29" s="4">
        <f>VLOOKUP(G29,全部!C:AD,28,FALSE)</f>
        <v>7294401.4499999993</v>
      </c>
      <c r="V29" s="6">
        <f>VLOOKUP(G29,全部!C:AE,29,FALSE)</f>
        <v>0.88177580332438499</v>
      </c>
      <c r="W29" s="4">
        <f>VLOOKUP(G29,全部!C:AF,30,FALSE)</f>
        <v>6832563.96</v>
      </c>
      <c r="X29" s="4">
        <f>VLOOKUP(G29,全部!C:AG,31,FALSE)</f>
        <v>6832563.96</v>
      </c>
      <c r="Y29" s="4">
        <f>VLOOKUP(计算!G29,全部!C:AH,32,FALSE)</f>
        <v>7155469.46</v>
      </c>
      <c r="Z29" s="4">
        <f>VLOOKUP(G29,全部!C:AL,36,FALSE)</f>
        <v>7155469.46</v>
      </c>
      <c r="AA29" s="4">
        <f>VLOOKUP(G29,全部!C:AM,37,FALSE)</f>
        <v>3.4000000000000002E-2</v>
      </c>
      <c r="AB29" s="6">
        <f>VLOOKUP(G29,全部!C:AN,38,FALSE)</f>
        <v>248771.59882000004</v>
      </c>
      <c r="AC29" s="4">
        <f>VLOOKUP(G29,全部!C:AO,39,FALSE)</f>
        <v>248773</v>
      </c>
      <c r="AD29" s="4">
        <f>VLOOKUP(G29,全部!C:AP,40,FALSE)</f>
        <v>248773</v>
      </c>
      <c r="AE29" s="6">
        <f>VLOOKUP(G29,全部!C:AQ,41,FALSE)</f>
        <v>0</v>
      </c>
      <c r="AF29" s="4">
        <f>VLOOKUP(G29,全部!C:AR,42,FALSE)</f>
        <v>0</v>
      </c>
      <c r="AG29" s="7">
        <f>VLOOKUP(G29,全部!C:AS,43,FALSE)</f>
        <v>57</v>
      </c>
      <c r="AH29" s="64" t="str">
        <f>IF(VLOOKUP(G29,全部!C:AT,44,FALSE)=0,"",VLOOKUP(G29,全部!C:AT,44,FALSE))</f>
        <v>三河</v>
      </c>
      <c r="AI29">
        <v>0</v>
      </c>
      <c r="AJ29" s="3">
        <v>41912.686249999999</v>
      </c>
      <c r="AK29" s="2" t="s">
        <v>2242</v>
      </c>
    </row>
    <row r="30" spans="1:37" x14ac:dyDescent="0.15">
      <c r="A30" s="2" t="s">
        <v>2241</v>
      </c>
      <c r="B30">
        <v>455</v>
      </c>
      <c r="C30" s="3">
        <v>40989</v>
      </c>
      <c r="D30" s="2" t="s">
        <v>37</v>
      </c>
      <c r="E30" s="2" t="s">
        <v>2240</v>
      </c>
      <c r="F30" s="2" t="s">
        <v>38</v>
      </c>
      <c r="G30" s="2" t="s">
        <v>98</v>
      </c>
      <c r="H30" s="2" t="s">
        <v>99</v>
      </c>
      <c r="I30" s="4">
        <f>VLOOKUP(G30,全部!C:M,11,FALSE)</f>
        <v>5578834.2999999998</v>
      </c>
      <c r="J30" s="4">
        <f t="shared" si="0"/>
        <v>0</v>
      </c>
      <c r="K30" s="4">
        <f>VLOOKUP(计算!G30,全部!C:N,12,FALSE)</f>
        <v>0</v>
      </c>
      <c r="L30" s="5">
        <f>VLOOKUP(G30,全部!C:P,14,FALSE)</f>
        <v>0</v>
      </c>
      <c r="M30" s="5">
        <f>VLOOKUP(G30,全部!C:V,20,FALSE)*100</f>
        <v>3.5999999999999996</v>
      </c>
      <c r="N30" s="6">
        <f>VLOOKUP(G30,全部!C:W,21,FALSE)</f>
        <v>200838.03479999996</v>
      </c>
      <c r="O30" s="4">
        <f>VLOOKUP(G30,全部!C:X,22,FALSE)</f>
        <v>200838</v>
      </c>
      <c r="P30" s="4">
        <f>VLOOKUP(G30,全部!C:Y,23,FALSE)</f>
        <v>200838</v>
      </c>
      <c r="Q30" s="6">
        <f>VLOOKUP(G30,全部!C:Z,24,FALSE)</f>
        <v>0</v>
      </c>
      <c r="R30" s="7">
        <f>VLOOKUP(G30,全部!C:AA,25,FALSE)</f>
        <v>3416000</v>
      </c>
      <c r="S30" s="7">
        <f>VLOOKUP(G30,全部!C:AB,26,FALSE)</f>
        <v>3416000</v>
      </c>
      <c r="T30" s="4">
        <f>VLOOKUP(计算!G30,全部!C:AC,27,FALSE)</f>
        <v>3416000</v>
      </c>
      <c r="U30" s="4">
        <f>VLOOKUP(G30,全部!C:AD,28,FALSE)</f>
        <v>3416000</v>
      </c>
      <c r="V30" s="6">
        <f>VLOOKUP(G30,全部!C:AE,29,FALSE)</f>
        <v>0.61231429655474801</v>
      </c>
      <c r="W30" s="4">
        <f>VLOOKUP(G30,全部!C:AF,30,FALSE)</f>
        <v>3252562.45</v>
      </c>
      <c r="X30" s="4">
        <f>VLOOKUP(G30,全部!C:AG,31,FALSE)</f>
        <v>3252562.45</v>
      </c>
      <c r="Y30" s="4">
        <f>VLOOKUP(计算!G30,全部!C:AH,32,FALSE)</f>
        <v>3409775.64</v>
      </c>
      <c r="Z30" s="4">
        <f>VLOOKUP(G30,全部!C:AL,36,FALSE)</f>
        <v>3409775.64</v>
      </c>
      <c r="AA30" s="4">
        <f>VLOOKUP(G30,全部!C:AM,37,FALSE)</f>
        <v>3.4000000000000002E-2</v>
      </c>
      <c r="AB30" s="6">
        <f>VLOOKUP(G30,全部!C:AN,38,FALSE)</f>
        <v>116144.00000000001</v>
      </c>
      <c r="AC30" s="4">
        <f>VLOOKUP(G30,全部!C:AO,39,FALSE)</f>
        <v>116144</v>
      </c>
      <c r="AD30" s="4">
        <f>VLOOKUP(G30,全部!C:AP,40,FALSE)</f>
        <v>116144</v>
      </c>
      <c r="AE30" s="6">
        <f>VLOOKUP(G30,全部!C:AQ,41,FALSE)</f>
        <v>0</v>
      </c>
      <c r="AF30" s="4">
        <f>VLOOKUP(G30,全部!C:AR,42,FALSE)</f>
        <v>0</v>
      </c>
      <c r="AG30" s="7">
        <f>VLOOKUP(G30,全部!C:AS,43,FALSE)</f>
        <v>64</v>
      </c>
      <c r="AH30" s="64" t="str">
        <f>IF(VLOOKUP(G30,全部!C:AT,44,FALSE)=0,"",VLOOKUP(G30,全部!C:AT,44,FALSE))</f>
        <v>大兴</v>
      </c>
      <c r="AI30">
        <v>0</v>
      </c>
      <c r="AJ30" s="3">
        <v>41912.686249999999</v>
      </c>
      <c r="AK30" s="2" t="s">
        <v>2239</v>
      </c>
    </row>
    <row r="31" spans="1:37" x14ac:dyDescent="0.15">
      <c r="A31" s="2" t="s">
        <v>2238</v>
      </c>
      <c r="B31">
        <v>463</v>
      </c>
      <c r="C31" s="3">
        <v>40998</v>
      </c>
      <c r="D31" s="2" t="s">
        <v>37</v>
      </c>
      <c r="E31" s="2" t="s">
        <v>2237</v>
      </c>
      <c r="F31" s="2" t="s">
        <v>38</v>
      </c>
      <c r="G31" s="2" t="s">
        <v>101</v>
      </c>
      <c r="H31" s="2" t="s">
        <v>102</v>
      </c>
      <c r="I31" s="4">
        <f>VLOOKUP(G31,全部!C:M,11,FALSE)</f>
        <v>5045600</v>
      </c>
      <c r="J31" s="4">
        <f t="shared" si="0"/>
        <v>118800</v>
      </c>
      <c r="K31" s="4">
        <f>VLOOKUP(计算!G31,全部!C:N,12,FALSE)</f>
        <v>118800</v>
      </c>
      <c r="L31" s="5">
        <f>VLOOKUP(G31,全部!C:P,14,FALSE)</f>
        <v>0</v>
      </c>
      <c r="M31" s="5">
        <f>VLOOKUP(G31,全部!C:V,20,FALSE)*100</f>
        <v>3.5999999999999996</v>
      </c>
      <c r="N31" s="6">
        <f>VLOOKUP(G31,全部!C:W,21,FALSE)</f>
        <v>185918.4</v>
      </c>
      <c r="O31" s="4">
        <f>VLOOKUP(G31,全部!C:X,22,FALSE)</f>
        <v>185919.85</v>
      </c>
      <c r="P31" s="4">
        <f>VLOOKUP(G31,全部!C:Y,23,FALSE)</f>
        <v>185919.85</v>
      </c>
      <c r="Q31" s="6">
        <f>VLOOKUP(G31,全部!C:Z,24,FALSE)</f>
        <v>0</v>
      </c>
      <c r="R31" s="7">
        <f>VLOOKUP(G31,全部!C:AA,25,FALSE)</f>
        <v>4624200</v>
      </c>
      <c r="S31" s="7">
        <f>VLOOKUP(G31,全部!C:AB,26,FALSE)</f>
        <v>4624200</v>
      </c>
      <c r="T31" s="4">
        <f>VLOOKUP(计算!G31,全部!C:AC,27,FALSE)</f>
        <v>4737414.8600000003</v>
      </c>
      <c r="U31" s="4">
        <f>VLOOKUP(G31,全部!C:AD,28,FALSE)</f>
        <v>4737414.8600000003</v>
      </c>
      <c r="V31" s="6">
        <f>VLOOKUP(G31,全部!C:AE,29,FALSE)</f>
        <v>0.91732144295561935</v>
      </c>
      <c r="W31" s="4">
        <f>VLOOKUP(G31,全部!C:AF,30,FALSE)</f>
        <v>4276212.79</v>
      </c>
      <c r="X31" s="4">
        <f>VLOOKUP(G31,全部!C:AG,31,FALSE)</f>
        <v>4276212.79</v>
      </c>
      <c r="Y31" s="4">
        <f>VLOOKUP(计算!G31,全部!C:AH,32,FALSE)</f>
        <v>4737414.8600000013</v>
      </c>
      <c r="Z31" s="4">
        <f>VLOOKUP(G31,全部!C:AL,36,FALSE)</f>
        <v>4737414.8600000003</v>
      </c>
      <c r="AA31" s="4">
        <f>VLOOKUP(G31,全部!C:AM,37,FALSE)</f>
        <v>0</v>
      </c>
      <c r="AB31" s="6">
        <f>VLOOKUP(G31,全部!C:AN,38,FALSE)</f>
        <v>0</v>
      </c>
      <c r="AC31" s="4">
        <f>VLOOKUP(G31,全部!C:AO,39,FALSE)</f>
        <v>0</v>
      </c>
      <c r="AD31" s="4">
        <f>VLOOKUP(G31,全部!C:AP,40,FALSE)</f>
        <v>0</v>
      </c>
      <c r="AE31" s="6">
        <f>VLOOKUP(G31,全部!C:AQ,41,FALSE)</f>
        <v>0</v>
      </c>
      <c r="AF31" s="4">
        <f>VLOOKUP(G31,全部!C:AR,42,FALSE)</f>
        <v>0</v>
      </c>
      <c r="AG31" s="7">
        <f>VLOOKUP(G31,全部!C:AS,43,FALSE)</f>
        <v>54</v>
      </c>
      <c r="AH31" s="64" t="str">
        <f>IF(VLOOKUP(G31,全部!C:AT,44,FALSE)=0,"",VLOOKUP(G31,全部!C:AT,44,FALSE))</f>
        <v>郭大龙</v>
      </c>
      <c r="AI31">
        <v>0</v>
      </c>
      <c r="AJ31" s="3">
        <v>41912.686249999999</v>
      </c>
      <c r="AK31" s="2" t="s">
        <v>2236</v>
      </c>
    </row>
    <row r="32" spans="1:37" x14ac:dyDescent="0.15">
      <c r="A32" s="2" t="s">
        <v>2235</v>
      </c>
      <c r="B32">
        <v>479</v>
      </c>
      <c r="C32" s="3">
        <v>41000</v>
      </c>
      <c r="D32" s="2" t="s">
        <v>37</v>
      </c>
      <c r="E32" s="2" t="s">
        <v>2234</v>
      </c>
      <c r="F32" s="2" t="s">
        <v>38</v>
      </c>
      <c r="G32" s="2" t="s">
        <v>108</v>
      </c>
      <c r="H32" s="2" t="s">
        <v>109</v>
      </c>
      <c r="I32" s="4">
        <f>VLOOKUP(G32,全部!C:M,11,FALSE)</f>
        <v>416950</v>
      </c>
      <c r="J32" s="4">
        <f t="shared" si="0"/>
        <v>36973.599999999999</v>
      </c>
      <c r="K32" s="4">
        <f>VLOOKUP(计算!G32,全部!C:N,12,FALSE)</f>
        <v>36973.599999999999</v>
      </c>
      <c r="L32" s="5">
        <f>VLOOKUP(G32,全部!C:P,14,FALSE)</f>
        <v>453923.6</v>
      </c>
      <c r="M32" s="5">
        <f>VLOOKUP(G32,全部!C:V,20,FALSE)*100</f>
        <v>3.5999999999999996</v>
      </c>
      <c r="N32" s="6">
        <f>VLOOKUP(G32,全部!C:W,21,FALSE)</f>
        <v>16341.249599999997</v>
      </c>
      <c r="O32" s="4">
        <f>VLOOKUP(G32,全部!C:X,22,FALSE)</f>
        <v>15010</v>
      </c>
      <c r="P32" s="4">
        <f>VLOOKUP(G32,全部!C:Y,23,FALSE)</f>
        <v>15010</v>
      </c>
      <c r="Q32" s="6">
        <f>VLOOKUP(G32,全部!C:Z,24,FALSE)</f>
        <v>1331.2495999999974</v>
      </c>
      <c r="R32" s="7">
        <f>VLOOKUP(G32,全部!C:AA,25,FALSE)</f>
        <v>431228</v>
      </c>
      <c r="S32" s="7">
        <f>VLOOKUP(G32,全部!C:AB,26,FALSE)</f>
        <v>431228</v>
      </c>
      <c r="T32" s="4">
        <f>VLOOKUP(计算!G32,全部!C:AC,27,FALSE)</f>
        <v>431228</v>
      </c>
      <c r="U32" s="4">
        <f>VLOOKUP(G32,全部!C:AD,28,FALSE)</f>
        <v>431228</v>
      </c>
      <c r="V32" s="6">
        <f>VLOOKUP(G32,全部!C:AE,29,FALSE)</f>
        <v>0.95000127774806165</v>
      </c>
      <c r="W32" s="4">
        <f>VLOOKUP(G32,全部!C:AF,30,FALSE)</f>
        <v>255500</v>
      </c>
      <c r="X32" s="4">
        <f>VLOOKUP(G32,全部!C:AG,31,FALSE)</f>
        <v>255500</v>
      </c>
      <c r="Y32" s="4">
        <f>VLOOKUP(计算!G32,全部!C:AH,32,FALSE)</f>
        <v>427020</v>
      </c>
      <c r="Z32" s="4">
        <f>VLOOKUP(G32,全部!C:AL,36,FALSE)</f>
        <v>427020</v>
      </c>
      <c r="AA32" s="4">
        <f>VLOOKUP(G32,全部!C:AM,37,FALSE)</f>
        <v>3.4000000000000002E-2</v>
      </c>
      <c r="AB32" s="6">
        <f>VLOOKUP(G32,全部!C:AN,38,FALSE)</f>
        <v>14661.752</v>
      </c>
      <c r="AC32" s="4">
        <f>VLOOKUP(G32,全部!C:AO,39,FALSE)</f>
        <v>14662</v>
      </c>
      <c r="AD32" s="4">
        <f>VLOOKUP(G32,全部!C:AP,40,FALSE)</f>
        <v>14662</v>
      </c>
      <c r="AE32" s="6">
        <f>VLOOKUP(G32,全部!C:AQ,41,FALSE)</f>
        <v>0</v>
      </c>
      <c r="AF32" s="4">
        <f>VLOOKUP(G32,全部!C:AR,42,FALSE)</f>
        <v>0</v>
      </c>
      <c r="AG32" s="7">
        <f>VLOOKUP(G32,全部!C:AS,43,FALSE)</f>
        <v>0</v>
      </c>
      <c r="AH32" s="64" t="str">
        <f>IF(VLOOKUP(G32,全部!C:AT,44,FALSE)=0,"",VLOOKUP(G32,全部!C:AT,44,FALSE))</f>
        <v/>
      </c>
      <c r="AI32">
        <v>0</v>
      </c>
      <c r="AJ32" s="3">
        <v>41912.686249999999</v>
      </c>
      <c r="AK32" s="2" t="s">
        <v>2233</v>
      </c>
    </row>
    <row r="33" spans="1:37" x14ac:dyDescent="0.15">
      <c r="A33" s="2" t="s">
        <v>2232</v>
      </c>
      <c r="B33">
        <v>47</v>
      </c>
      <c r="C33" s="3">
        <v>41000</v>
      </c>
      <c r="D33" s="2" t="s">
        <v>37</v>
      </c>
      <c r="E33" s="2" t="s">
        <v>2231</v>
      </c>
      <c r="F33" s="2" t="s">
        <v>41</v>
      </c>
      <c r="G33" s="2" t="s">
        <v>106</v>
      </c>
      <c r="H33" s="2" t="s">
        <v>107</v>
      </c>
      <c r="I33" s="4">
        <f>VLOOKUP(G33,全部!C:M,11,FALSE)</f>
        <v>28833444.800000001</v>
      </c>
      <c r="J33" s="4">
        <f t="shared" si="0"/>
        <v>0</v>
      </c>
      <c r="K33" s="4">
        <f>VLOOKUP(计算!G33,全部!C:N,12,FALSE)</f>
        <v>0</v>
      </c>
      <c r="L33" s="5">
        <f>VLOOKUP(G33,全部!C:P,14,FALSE)</f>
        <v>0</v>
      </c>
      <c r="M33" s="5">
        <f>VLOOKUP(G33,全部!C:V,20,FALSE)*100</f>
        <v>5.6000000000000005</v>
      </c>
      <c r="N33" s="6">
        <f>VLOOKUP(G33,全部!C:W,21,FALSE)</f>
        <v>1614672.9088000001</v>
      </c>
      <c r="O33" s="4">
        <f>VLOOKUP(G33,全部!C:X,22,FALSE)</f>
        <v>1614673</v>
      </c>
      <c r="P33" s="4">
        <f>VLOOKUP(G33,全部!C:Y,23,FALSE)</f>
        <v>1614673</v>
      </c>
      <c r="Q33" s="6">
        <f>VLOOKUP(G33,全部!C:Z,24,FALSE)</f>
        <v>-9.119999990798533E-2</v>
      </c>
      <c r="R33" s="7">
        <f>VLOOKUP(G33,全部!C:AA,25,FALSE)</f>
        <v>0</v>
      </c>
      <c r="S33" s="7">
        <f>VLOOKUP(G33,全部!C:AB,26,FALSE)</f>
        <v>0</v>
      </c>
      <c r="T33" s="4">
        <f>VLOOKUP(计算!G33,全部!C:AC,27,FALSE)</f>
        <v>22666755.800000001</v>
      </c>
      <c r="U33" s="4">
        <f>VLOOKUP(G33,全部!C:AD,28,FALSE)</f>
        <v>22666755.800000001</v>
      </c>
      <c r="V33" s="6">
        <f>VLOOKUP(G33,全部!C:AE,29,FALSE)</f>
        <v>0.78612721987349909</v>
      </c>
      <c r="W33" s="4">
        <f>VLOOKUP(G33,全部!C:AF,30,FALSE)</f>
        <v>0</v>
      </c>
      <c r="X33" s="4">
        <f>VLOOKUP(G33,全部!C:AG,31,FALSE)</f>
        <v>0</v>
      </c>
      <c r="Y33" s="4">
        <f>VLOOKUP(计算!G33,全部!C:AH,32,FALSE)</f>
        <v>22653028.379999999</v>
      </c>
      <c r="Z33" s="4">
        <f>VLOOKUP(G33,全部!C:AL,36,FALSE)</f>
        <v>22653028.379999999</v>
      </c>
      <c r="AA33" s="4">
        <f>VLOOKUP(G33,全部!C:AM,37,FALSE)</f>
        <v>0</v>
      </c>
      <c r="AB33" s="6">
        <f>VLOOKUP(G33,全部!C:AN,38,FALSE)</f>
        <v>0</v>
      </c>
      <c r="AC33" s="4">
        <f>VLOOKUP(G33,全部!C:AO,39,FALSE)</f>
        <v>0</v>
      </c>
      <c r="AD33" s="4">
        <f>VLOOKUP(G33,全部!C:AP,40,FALSE)</f>
        <v>0</v>
      </c>
      <c r="AE33" s="6">
        <f>VLOOKUP(G33,全部!C:AQ,41,FALSE)</f>
        <v>0</v>
      </c>
      <c r="AF33" s="4">
        <f>VLOOKUP(G33,全部!C:AR,42,FALSE)</f>
        <v>0</v>
      </c>
      <c r="AG33" s="7">
        <f>VLOOKUP(G33,全部!C:AS,43,FALSE)</f>
        <v>0</v>
      </c>
      <c r="AH33" s="64" t="str">
        <f>IF(VLOOKUP(G33,全部!C:AT,44,FALSE)=0,"",VLOOKUP(G33,全部!C:AT,44,FALSE))</f>
        <v/>
      </c>
      <c r="AI33">
        <v>0</v>
      </c>
      <c r="AJ33" s="3">
        <v>41912.6862384259</v>
      </c>
      <c r="AK33" s="2" t="s">
        <v>2230</v>
      </c>
    </row>
    <row r="34" spans="1:37" x14ac:dyDescent="0.15">
      <c r="A34" s="2" t="s">
        <v>2229</v>
      </c>
      <c r="B34">
        <v>430</v>
      </c>
      <c r="C34" s="3">
        <v>41000</v>
      </c>
      <c r="D34" s="2" t="s">
        <v>37</v>
      </c>
      <c r="E34" s="2" t="s">
        <v>2228</v>
      </c>
      <c r="F34" s="2" t="s">
        <v>38</v>
      </c>
      <c r="G34" s="2" t="s">
        <v>104</v>
      </c>
      <c r="H34" s="2" t="s">
        <v>105</v>
      </c>
      <c r="I34" s="4">
        <f>VLOOKUP(G34,全部!C:M,11,FALSE)</f>
        <v>1315898</v>
      </c>
      <c r="J34" s="4">
        <f t="shared" si="0"/>
        <v>0</v>
      </c>
      <c r="K34" s="4">
        <f>VLOOKUP(计算!G34,全部!C:N,12,FALSE)</f>
        <v>0</v>
      </c>
      <c r="L34" s="5">
        <f>VLOOKUP(G34,全部!C:P,14,FALSE)</f>
        <v>0</v>
      </c>
      <c r="M34" s="5">
        <f>VLOOKUP(G34,全部!C:V,20,FALSE)*100</f>
        <v>3.5999999999999996</v>
      </c>
      <c r="N34" s="6">
        <f>VLOOKUP(G34,全部!C:W,21,FALSE)</f>
        <v>47372.327999999994</v>
      </c>
      <c r="O34" s="4">
        <f>VLOOKUP(G34,全部!C:X,22,FALSE)</f>
        <v>0</v>
      </c>
      <c r="P34" s="4">
        <f>VLOOKUP(G34,全部!C:Y,23,FALSE)</f>
        <v>0</v>
      </c>
      <c r="Q34" s="6">
        <f>VLOOKUP(G34,全部!C:Z,24,FALSE)</f>
        <v>47372.327999999994</v>
      </c>
      <c r="R34" s="7">
        <f>VLOOKUP(G34,全部!C:AA,25,FALSE)</f>
        <v>0</v>
      </c>
      <c r="S34" s="7">
        <f>VLOOKUP(G34,全部!C:AB,26,FALSE)</f>
        <v>0</v>
      </c>
      <c r="T34" s="4">
        <f>VLOOKUP(计算!G34,全部!C:AC,27,FALSE)</f>
        <v>0</v>
      </c>
      <c r="U34" s="4">
        <f>VLOOKUP(G34,全部!C:AD,28,FALSE)</f>
        <v>0</v>
      </c>
      <c r="V34" s="6">
        <f>VLOOKUP(G34,全部!C:AE,29,FALSE)</f>
        <v>0</v>
      </c>
      <c r="W34" s="4">
        <f>VLOOKUP(G34,全部!C:AF,30,FALSE)</f>
        <v>0</v>
      </c>
      <c r="X34" s="4">
        <f>VLOOKUP(G34,全部!C:AG,31,FALSE)</f>
        <v>0</v>
      </c>
      <c r="Y34" s="4">
        <f>VLOOKUP(计算!G34,全部!C:AH,32,FALSE)</f>
        <v>0</v>
      </c>
      <c r="Z34" s="4">
        <f>VLOOKUP(G34,全部!C:AL,36,FALSE)</f>
        <v>0</v>
      </c>
      <c r="AA34" s="4">
        <f>VLOOKUP(G34,全部!C:AM,37,FALSE)</f>
        <v>3.4000000000000002E-2</v>
      </c>
      <c r="AB34" s="6">
        <f>VLOOKUP(G34,全部!C:AN,38,FALSE)</f>
        <v>0</v>
      </c>
      <c r="AC34" s="4">
        <f>VLOOKUP(G34,全部!C:AO,39,FALSE)</f>
        <v>0</v>
      </c>
      <c r="AD34" s="4">
        <f>VLOOKUP(G34,全部!C:AP,40,FALSE)</f>
        <v>0</v>
      </c>
      <c r="AE34" s="6">
        <f>VLOOKUP(G34,全部!C:AQ,41,FALSE)</f>
        <v>0</v>
      </c>
      <c r="AF34" s="4">
        <f>VLOOKUP(G34,全部!C:AR,42,FALSE)</f>
        <v>0</v>
      </c>
      <c r="AG34" s="7">
        <f>VLOOKUP(G34,全部!C:AS,43,FALSE)</f>
        <v>6</v>
      </c>
      <c r="AH34" s="64" t="str">
        <f>IF(VLOOKUP(G34,全部!C:AT,44,FALSE)=0,"",VLOOKUP(G34,全部!C:AT,44,FALSE))</f>
        <v>三河</v>
      </c>
      <c r="AI34">
        <v>0</v>
      </c>
      <c r="AJ34" s="3">
        <v>41912.686249999999</v>
      </c>
      <c r="AK34" s="2" t="s">
        <v>2227</v>
      </c>
    </row>
    <row r="35" spans="1:37" x14ac:dyDescent="0.15">
      <c r="A35" s="2" t="s">
        <v>2226</v>
      </c>
      <c r="B35">
        <v>471</v>
      </c>
      <c r="C35" s="3">
        <v>41006</v>
      </c>
      <c r="D35" s="2" t="s">
        <v>37</v>
      </c>
      <c r="E35" s="2" t="s">
        <v>2225</v>
      </c>
      <c r="F35" s="2" t="s">
        <v>38</v>
      </c>
      <c r="G35" s="2" t="s">
        <v>110</v>
      </c>
      <c r="H35" s="2" t="s">
        <v>111</v>
      </c>
      <c r="I35" s="4">
        <f>VLOOKUP(G35,全部!C:M,11,FALSE)</f>
        <v>4328546</v>
      </c>
      <c r="J35" s="4">
        <f t="shared" si="0"/>
        <v>0</v>
      </c>
      <c r="K35" s="4">
        <f>VLOOKUP(计算!G35,全部!C:N,12,FALSE)</f>
        <v>0</v>
      </c>
      <c r="L35" s="5">
        <f>VLOOKUP(G35,全部!C:P,14,FALSE)</f>
        <v>0</v>
      </c>
      <c r="M35" s="5">
        <f>VLOOKUP(G35,全部!C:V,20,FALSE)*100</f>
        <v>4.5999999999999996</v>
      </c>
      <c r="N35" s="6">
        <f>VLOOKUP(G35,全部!C:W,21,FALSE)</f>
        <v>199113.11600000001</v>
      </c>
      <c r="O35" s="4">
        <f>VLOOKUP(G35,全部!C:X,22,FALSE)</f>
        <v>199113</v>
      </c>
      <c r="P35" s="4">
        <f>VLOOKUP(G35,全部!C:Y,23,FALSE)</f>
        <v>199113</v>
      </c>
      <c r="Q35" s="6">
        <f>VLOOKUP(G35,全部!C:Z,24,FALSE)</f>
        <v>0</v>
      </c>
      <c r="R35" s="7">
        <f>VLOOKUP(G35,全部!C:AA,25,FALSE)</f>
        <v>3462837</v>
      </c>
      <c r="S35" s="7">
        <f>VLOOKUP(G35,全部!C:AB,26,FALSE)</f>
        <v>3462837</v>
      </c>
      <c r="T35" s="4">
        <f>VLOOKUP(计算!G35,全部!C:AC,27,FALSE)</f>
        <v>3462837</v>
      </c>
      <c r="U35" s="4">
        <f>VLOOKUP(G35,全部!C:AD,28,FALSE)</f>
        <v>3462837</v>
      </c>
      <c r="V35" s="6">
        <f>VLOOKUP(G35,全部!C:AE,29,FALSE)</f>
        <v>0.80000004620489185</v>
      </c>
      <c r="W35" s="4">
        <f>VLOOKUP(G35,全部!C:AF,30,FALSE)</f>
        <v>3278949.26</v>
      </c>
      <c r="X35" s="4">
        <f>VLOOKUP(G35,全部!C:AG,31,FALSE)</f>
        <v>3278949.26</v>
      </c>
      <c r="Y35" s="4">
        <f>VLOOKUP(计算!G35,全部!C:AH,32,FALSE)</f>
        <v>3462635.86</v>
      </c>
      <c r="Z35" s="4">
        <f>VLOOKUP(G35,全部!C:AL,36,FALSE)</f>
        <v>3462635.86</v>
      </c>
      <c r="AA35" s="4">
        <f>VLOOKUP(G35,全部!C:AM,37,FALSE)</f>
        <v>3.4000000000000002E-2</v>
      </c>
      <c r="AB35" s="6">
        <f>VLOOKUP(G35,全部!C:AN,38,FALSE)</f>
        <v>117736.45800000001</v>
      </c>
      <c r="AC35" s="4">
        <f>VLOOKUP(G35,全部!C:AO,39,FALSE)</f>
        <v>117737</v>
      </c>
      <c r="AD35" s="4">
        <f>VLOOKUP(G35,全部!C:AP,40,FALSE)</f>
        <v>117737</v>
      </c>
      <c r="AE35" s="6">
        <f>VLOOKUP(G35,全部!C:AQ,41,FALSE)</f>
        <v>0</v>
      </c>
      <c r="AF35" s="4">
        <f>VLOOKUP(G35,全部!C:AR,42,FALSE)</f>
        <v>0</v>
      </c>
      <c r="AG35" s="7">
        <f>VLOOKUP(G35,全部!C:AS,43,FALSE)</f>
        <v>55</v>
      </c>
      <c r="AH35" s="64" t="str">
        <f>IF(VLOOKUP(G35,全部!C:AT,44,FALSE)=0,"",VLOOKUP(G35,全部!C:AT,44,FALSE))</f>
        <v>管庄</v>
      </c>
      <c r="AI35">
        <v>0</v>
      </c>
      <c r="AJ35" s="3">
        <v>41912.686249999999</v>
      </c>
      <c r="AK35" s="2" t="s">
        <v>2224</v>
      </c>
    </row>
    <row r="36" spans="1:37" x14ac:dyDescent="0.15">
      <c r="A36" s="2" t="s">
        <v>2223</v>
      </c>
      <c r="B36">
        <v>503</v>
      </c>
      <c r="C36" s="3">
        <v>41030</v>
      </c>
      <c r="D36" s="2" t="s">
        <v>37</v>
      </c>
      <c r="E36" s="2" t="s">
        <v>2222</v>
      </c>
      <c r="F36" s="2" t="s">
        <v>38</v>
      </c>
      <c r="G36" s="2" t="s">
        <v>114</v>
      </c>
      <c r="H36" s="2" t="s">
        <v>115</v>
      </c>
      <c r="I36" s="4">
        <f>VLOOKUP(G36,全部!C:M,11,FALSE)</f>
        <v>5473241</v>
      </c>
      <c r="J36" s="4">
        <f t="shared" si="0"/>
        <v>47753</v>
      </c>
      <c r="K36" s="4">
        <f>VLOOKUP(计算!G36,全部!C:N,12,FALSE)</f>
        <v>47753</v>
      </c>
      <c r="L36" s="5">
        <f>VLOOKUP(G36,全部!C:P,14,FALSE)</f>
        <v>5520994</v>
      </c>
      <c r="M36" s="5">
        <f>VLOOKUP(G36,全部!C:V,20,FALSE)*100</f>
        <v>3</v>
      </c>
      <c r="N36" s="6">
        <f>VLOOKUP(G36,全部!C:W,21,FALSE)</f>
        <v>165629.82</v>
      </c>
      <c r="O36" s="4">
        <f>VLOOKUP(G36,全部!C:X,22,FALSE)</f>
        <v>164197</v>
      </c>
      <c r="P36" s="4">
        <f>VLOOKUP(G36,全部!C:Y,23,FALSE)</f>
        <v>164197</v>
      </c>
      <c r="Q36" s="6">
        <f>VLOOKUP(G36,全部!C:Z,24,FALSE)</f>
        <v>1432.820000000007</v>
      </c>
      <c r="R36" s="7">
        <f>VLOOKUP(G36,全部!C:AA,25,FALSE)</f>
        <v>5520994</v>
      </c>
      <c r="S36" s="7">
        <f>VLOOKUP(G36,全部!C:AB,26,FALSE)</f>
        <v>5520994</v>
      </c>
      <c r="T36" s="4">
        <f>VLOOKUP(计算!G36,全部!C:AC,27,FALSE)</f>
        <v>5244944.3</v>
      </c>
      <c r="U36" s="4">
        <f>VLOOKUP(G36,全部!C:AD,28,FALSE)</f>
        <v>5244944.3</v>
      </c>
      <c r="V36" s="6">
        <f>VLOOKUP(G36,全部!C:AE,29,FALSE)</f>
        <v>0.95</v>
      </c>
      <c r="W36" s="4">
        <f>VLOOKUP(G36,全部!C:AF,30,FALSE)</f>
        <v>4583453.1899999995</v>
      </c>
      <c r="X36" s="4">
        <f>VLOOKUP(G36,全部!C:AG,31,FALSE)</f>
        <v>4583453.1900000004</v>
      </c>
      <c r="Y36" s="4">
        <f>VLOOKUP(计算!G36,全部!C:AH,32,FALSE)</f>
        <v>5238901.4700000007</v>
      </c>
      <c r="Z36" s="4">
        <f>VLOOKUP(G36,全部!C:AL,36,FALSE)</f>
        <v>5238901.47</v>
      </c>
      <c r="AA36" s="4">
        <f>VLOOKUP(G36,全部!C:AM,37,FALSE)</f>
        <v>3.7400000000000003E-2</v>
      </c>
      <c r="AB36" s="6">
        <f>VLOOKUP(G36,全部!C:AN,38,FALSE)</f>
        <v>206485.17560000002</v>
      </c>
      <c r="AC36" s="4">
        <f>VLOOKUP(G36,全部!C:AO,39,FALSE)</f>
        <v>0</v>
      </c>
      <c r="AD36" s="4">
        <f>VLOOKUP(G36,全部!C:AP,40,FALSE)</f>
        <v>0</v>
      </c>
      <c r="AE36" s="6">
        <f>VLOOKUP(G36,全部!C:AQ,41,FALSE)</f>
        <v>0</v>
      </c>
      <c r="AF36" s="4">
        <f>VLOOKUP(G36,全部!C:AR,42,FALSE)</f>
        <v>0</v>
      </c>
      <c r="AG36" s="7">
        <f>VLOOKUP(G36,全部!C:AS,43,FALSE)</f>
        <v>0</v>
      </c>
      <c r="AH36" s="64" t="str">
        <f>IF(VLOOKUP(G36,全部!C:AT,44,FALSE)=0,"",VLOOKUP(G36,全部!C:AT,44,FALSE))</f>
        <v/>
      </c>
      <c r="AI36">
        <v>0</v>
      </c>
      <c r="AJ36" s="3">
        <v>41912.686249999999</v>
      </c>
      <c r="AK36" s="2" t="s">
        <v>2221</v>
      </c>
    </row>
    <row r="37" spans="1:37" x14ac:dyDescent="0.15">
      <c r="A37" s="2" t="s">
        <v>2220</v>
      </c>
      <c r="B37">
        <v>519</v>
      </c>
      <c r="C37" s="3">
        <v>41030</v>
      </c>
      <c r="D37" s="2" t="s">
        <v>37</v>
      </c>
      <c r="E37" s="2" t="s">
        <v>2219</v>
      </c>
      <c r="F37" s="2" t="s">
        <v>38</v>
      </c>
      <c r="G37" s="2" t="s">
        <v>112</v>
      </c>
      <c r="H37" s="2" t="s">
        <v>113</v>
      </c>
      <c r="I37" s="4">
        <f>VLOOKUP(G37,全部!C:M,11,FALSE)</f>
        <v>3831227.57</v>
      </c>
      <c r="J37" s="4">
        <f t="shared" si="0"/>
        <v>0</v>
      </c>
      <c r="K37" s="4">
        <f>VLOOKUP(计算!G37,全部!C:N,12,FALSE)</f>
        <v>0</v>
      </c>
      <c r="L37" s="5">
        <f>VLOOKUP(G37,全部!C:P,14,FALSE)</f>
        <v>0</v>
      </c>
      <c r="M37" s="5">
        <f>VLOOKUP(G37,全部!C:V,20,FALSE)*100</f>
        <v>3.5999999999999996</v>
      </c>
      <c r="N37" s="6">
        <f>VLOOKUP(G37,全部!C:W,21,FALSE)</f>
        <v>137924.19251999998</v>
      </c>
      <c r="O37" s="4">
        <f>VLOOKUP(G37,全部!C:X,22,FALSE)</f>
        <v>137924</v>
      </c>
      <c r="P37" s="4">
        <f>VLOOKUP(G37,全部!C:Y,23,FALSE)</f>
        <v>137924</v>
      </c>
      <c r="Q37" s="6">
        <f>VLOOKUP(G37,全部!C:Z,24,FALSE)</f>
        <v>0</v>
      </c>
      <c r="R37" s="7">
        <f>VLOOKUP(G37,全部!C:AA,25,FALSE)</f>
        <v>3831180</v>
      </c>
      <c r="S37" s="7">
        <f>VLOOKUP(G37,全部!C:AB,26,FALSE)</f>
        <v>3831180</v>
      </c>
      <c r="T37" s="4">
        <f>VLOOKUP(计算!G37,全部!C:AC,27,FALSE)</f>
        <v>3030000</v>
      </c>
      <c r="U37" s="4">
        <f>VLOOKUP(G37,全部!C:AD,28,FALSE)</f>
        <v>3030000</v>
      </c>
      <c r="V37" s="6">
        <f>VLOOKUP(G37,全部!C:AE,29,FALSE)</f>
        <v>0.79086923045920765</v>
      </c>
      <c r="W37" s="4">
        <f>VLOOKUP(G37,全部!C:AF,30,FALSE)</f>
        <v>2725866.33</v>
      </c>
      <c r="X37" s="4">
        <f>VLOOKUP(G37,全部!C:AG,31,FALSE)</f>
        <v>2725866.33</v>
      </c>
      <c r="Y37" s="4">
        <f>VLOOKUP(计算!G37,全部!C:AH,32,FALSE)</f>
        <v>3007274.13</v>
      </c>
      <c r="Z37" s="4">
        <f>VLOOKUP(G37,全部!C:AL,36,FALSE)</f>
        <v>3007274.13</v>
      </c>
      <c r="AA37" s="4">
        <f>VLOOKUP(G37,全部!C:AM,37,FALSE)</f>
        <v>3.4000000000000002E-2</v>
      </c>
      <c r="AB37" s="6">
        <f>VLOOKUP(G37,全部!C:AN,38,FALSE)</f>
        <v>130260.12000000001</v>
      </c>
      <c r="AC37" s="4">
        <f>VLOOKUP(G37,全部!C:AO,39,FALSE)</f>
        <v>130260</v>
      </c>
      <c r="AD37" s="4">
        <f>VLOOKUP(G37,全部!C:AP,40,FALSE)</f>
        <v>130260</v>
      </c>
      <c r="AE37" s="6">
        <f>VLOOKUP(G37,全部!C:AQ,41,FALSE)</f>
        <v>0</v>
      </c>
      <c r="AF37" s="4">
        <f>VLOOKUP(G37,全部!C:AR,42,FALSE)</f>
        <v>0</v>
      </c>
      <c r="AG37" s="7">
        <f>VLOOKUP(G37,全部!C:AS,43,FALSE)</f>
        <v>31</v>
      </c>
      <c r="AH37" s="64" t="str">
        <f>IF(VLOOKUP(G37,全部!C:AT,44,FALSE)=0,"",VLOOKUP(G37,全部!C:AT,44,FALSE))</f>
        <v>亦庄</v>
      </c>
      <c r="AI37">
        <v>0</v>
      </c>
      <c r="AJ37" s="3">
        <v>41912.686249999999</v>
      </c>
      <c r="AK37" s="2" t="s">
        <v>2218</v>
      </c>
    </row>
    <row r="38" spans="1:37" x14ac:dyDescent="0.15">
      <c r="A38" s="2" t="s">
        <v>2217</v>
      </c>
      <c r="B38">
        <v>487</v>
      </c>
      <c r="C38" s="3">
        <v>41031</v>
      </c>
      <c r="D38" s="2" t="s">
        <v>37</v>
      </c>
      <c r="E38" s="2" t="s">
        <v>2216</v>
      </c>
      <c r="F38" s="2" t="s">
        <v>38</v>
      </c>
      <c r="G38" s="2" t="s">
        <v>116</v>
      </c>
      <c r="H38" s="2" t="s">
        <v>117</v>
      </c>
      <c r="I38" s="4">
        <f>VLOOKUP(G38,全部!C:M,11,FALSE)</f>
        <v>1785000</v>
      </c>
      <c r="J38" s="4">
        <f t="shared" si="0"/>
        <v>0</v>
      </c>
      <c r="K38" s="4">
        <f>VLOOKUP(计算!G38,全部!C:N,12,FALSE)</f>
        <v>0</v>
      </c>
      <c r="L38" s="5">
        <f>VLOOKUP(G38,全部!C:P,14,FALSE)</f>
        <v>0</v>
      </c>
      <c r="M38" s="5">
        <f>VLOOKUP(G38,全部!C:V,20,FALSE)*100</f>
        <v>3.5999999999999996</v>
      </c>
      <c r="N38" s="6">
        <f>VLOOKUP(G38,全部!C:W,21,FALSE)</f>
        <v>64259.999999999993</v>
      </c>
      <c r="O38" s="4">
        <f>VLOOKUP(G38,全部!C:X,22,FALSE)</f>
        <v>64260</v>
      </c>
      <c r="P38" s="4">
        <f>VLOOKUP(G38,全部!C:Y,23,FALSE)</f>
        <v>64260</v>
      </c>
      <c r="Q38" s="6">
        <f>VLOOKUP(G38,全部!C:Z,24,FALSE)</f>
        <v>0</v>
      </c>
      <c r="R38" s="7">
        <f>VLOOKUP(G38,全部!C:AA,25,FALSE)</f>
        <v>500000</v>
      </c>
      <c r="S38" s="7">
        <f>VLOOKUP(G38,全部!C:AB,26,FALSE)</f>
        <v>500000</v>
      </c>
      <c r="T38" s="4">
        <f>VLOOKUP(计算!G38,全部!C:AC,27,FALSE)</f>
        <v>500000</v>
      </c>
      <c r="U38" s="4">
        <f>VLOOKUP(G38,全部!C:AD,28,FALSE)</f>
        <v>500000</v>
      </c>
      <c r="V38" s="6">
        <f>VLOOKUP(G38,全部!C:AE,29,FALSE)</f>
        <v>0.28011204481792717</v>
      </c>
      <c r="W38" s="4">
        <f>VLOOKUP(G38,全部!C:AF,30,FALSE)</f>
        <v>395996</v>
      </c>
      <c r="X38" s="4">
        <f>VLOOKUP(G38,全部!C:AG,31,FALSE)</f>
        <v>395996</v>
      </c>
      <c r="Y38" s="4">
        <f>VLOOKUP(计算!G38,全部!C:AH,32,FALSE)</f>
        <v>499041.97</v>
      </c>
      <c r="Z38" s="4">
        <f>VLOOKUP(G38,全部!C:AL,36,FALSE)</f>
        <v>499041.97</v>
      </c>
      <c r="AA38" s="4">
        <f>VLOOKUP(G38,全部!C:AM,37,FALSE)</f>
        <v>3.4000000000000002E-2</v>
      </c>
      <c r="AB38" s="6">
        <f>VLOOKUP(G38,全部!C:AN,38,FALSE)</f>
        <v>17000</v>
      </c>
      <c r="AC38" s="4">
        <f>VLOOKUP(G38,全部!C:AO,39,FALSE)</f>
        <v>17000</v>
      </c>
      <c r="AD38" s="4">
        <f>VLOOKUP(G38,全部!C:AP,40,FALSE)</f>
        <v>17000</v>
      </c>
      <c r="AE38" s="6">
        <f>VLOOKUP(G38,全部!C:AQ,41,FALSE)</f>
        <v>0</v>
      </c>
      <c r="AF38" s="4">
        <f>VLOOKUP(G38,全部!C:AR,42,FALSE)</f>
        <v>0</v>
      </c>
      <c r="AG38" s="7">
        <f>VLOOKUP(G38,全部!C:AS,43,FALSE)</f>
        <v>20</v>
      </c>
      <c r="AH38" s="64" t="str">
        <f>IF(VLOOKUP(G38,全部!C:AT,44,FALSE)=0,"",VLOOKUP(G38,全部!C:AT,44,FALSE))</f>
        <v>管庄</v>
      </c>
      <c r="AI38">
        <v>0</v>
      </c>
      <c r="AJ38" s="3">
        <v>41912.686249999999</v>
      </c>
      <c r="AK38" s="2" t="s">
        <v>2215</v>
      </c>
    </row>
    <row r="39" spans="1:37" x14ac:dyDescent="0.15">
      <c r="A39" s="2" t="s">
        <v>2214</v>
      </c>
      <c r="B39">
        <v>496</v>
      </c>
      <c r="C39" s="3">
        <v>41039</v>
      </c>
      <c r="D39" s="2" t="s">
        <v>37</v>
      </c>
      <c r="E39" s="2" t="s">
        <v>2213</v>
      </c>
      <c r="F39" s="2" t="s">
        <v>38</v>
      </c>
      <c r="G39" s="2" t="s">
        <v>118</v>
      </c>
      <c r="H39" s="2" t="s">
        <v>119</v>
      </c>
      <c r="I39" s="4">
        <f>VLOOKUP(G39,全部!C:M,11,FALSE)</f>
        <v>2220000</v>
      </c>
      <c r="J39" s="4">
        <f t="shared" si="0"/>
        <v>351000</v>
      </c>
      <c r="K39" s="4">
        <f>VLOOKUP(计算!G39,全部!C:N,12,FALSE)</f>
        <v>351000</v>
      </c>
      <c r="L39" s="5">
        <f>VLOOKUP(G39,全部!C:P,14,FALSE)</f>
        <v>2571000</v>
      </c>
      <c r="M39" s="5">
        <f>VLOOKUP(G39,全部!C:V,20,FALSE)*100</f>
        <v>3.5999999999999996</v>
      </c>
      <c r="N39" s="6">
        <f>VLOOKUP(G39,全部!C:W,21,FALSE)</f>
        <v>92556</v>
      </c>
      <c r="O39" s="4">
        <f>VLOOKUP(G39,全部!C:X,22,FALSE)</f>
        <v>92556</v>
      </c>
      <c r="P39" s="4">
        <f>VLOOKUP(G39,全部!C:Y,23,FALSE)</f>
        <v>92556</v>
      </c>
      <c r="Q39" s="6">
        <f>VLOOKUP(G39,全部!C:Z,24,FALSE)</f>
        <v>0</v>
      </c>
      <c r="R39" s="7">
        <f>VLOOKUP(G39,全部!C:AA,25,FALSE)</f>
        <v>1550000</v>
      </c>
      <c r="S39" s="7">
        <f>VLOOKUP(G39,全部!C:AB,26,FALSE)</f>
        <v>1550000</v>
      </c>
      <c r="T39" s="4">
        <f>VLOOKUP(计算!G39,全部!C:AC,27,FALSE)</f>
        <v>1530000</v>
      </c>
      <c r="U39" s="4">
        <f>VLOOKUP(G39,全部!C:AD,28,FALSE)</f>
        <v>1530000</v>
      </c>
      <c r="V39" s="6">
        <f>VLOOKUP(G39,全部!C:AE,29,FALSE)</f>
        <v>0.59509918319719957</v>
      </c>
      <c r="W39" s="4">
        <f>VLOOKUP(G39,全部!C:AF,30,FALSE)</f>
        <v>954836</v>
      </c>
      <c r="X39" s="4">
        <f>VLOOKUP(G39,全部!C:AG,31,FALSE)</f>
        <v>954836</v>
      </c>
      <c r="Y39" s="4">
        <f>VLOOKUP(计算!G39,全部!C:AH,32,FALSE)</f>
        <v>1530000</v>
      </c>
      <c r="Z39" s="4">
        <f>VLOOKUP(G39,全部!C:AL,36,FALSE)</f>
        <v>1530000</v>
      </c>
      <c r="AA39" s="4">
        <f>VLOOKUP(G39,全部!C:AM,37,FALSE)</f>
        <v>3.4000000000000002E-2</v>
      </c>
      <c r="AB39" s="6">
        <f>VLOOKUP(G39,全部!C:AN,38,FALSE)</f>
        <v>52700.000000000007</v>
      </c>
      <c r="AC39" s="4">
        <f>VLOOKUP(G39,全部!C:AO,39,FALSE)</f>
        <v>52700</v>
      </c>
      <c r="AD39" s="4">
        <f>VLOOKUP(G39,全部!C:AP,40,FALSE)</f>
        <v>52700</v>
      </c>
      <c r="AE39" s="6">
        <f>VLOOKUP(G39,全部!C:AQ,41,FALSE)</f>
        <v>0</v>
      </c>
      <c r="AF39" s="4">
        <f>VLOOKUP(G39,全部!C:AR,42,FALSE)</f>
        <v>0</v>
      </c>
      <c r="AG39" s="7">
        <f>VLOOKUP(G39,全部!C:AS,43,FALSE)</f>
        <v>26</v>
      </c>
      <c r="AH39" s="64" t="str">
        <f>IF(VLOOKUP(G39,全部!C:AT,44,FALSE)=0,"",VLOOKUP(G39,全部!C:AT,44,FALSE))</f>
        <v>管庄</v>
      </c>
      <c r="AI39">
        <v>0</v>
      </c>
      <c r="AJ39" s="3">
        <v>41912.686249999999</v>
      </c>
      <c r="AK39" s="2" t="s">
        <v>2212</v>
      </c>
    </row>
    <row r="40" spans="1:37" x14ac:dyDescent="0.15">
      <c r="A40" s="2" t="s">
        <v>2211</v>
      </c>
      <c r="B40">
        <v>511</v>
      </c>
      <c r="C40" s="3">
        <v>41050</v>
      </c>
      <c r="D40" s="2" t="s">
        <v>37</v>
      </c>
      <c r="E40" s="2" t="s">
        <v>2210</v>
      </c>
      <c r="F40" s="2" t="s">
        <v>38</v>
      </c>
      <c r="G40" s="2" t="s">
        <v>120</v>
      </c>
      <c r="H40" s="2" t="s">
        <v>121</v>
      </c>
      <c r="I40" s="4">
        <f>VLOOKUP(G40,全部!C:M,11,FALSE)</f>
        <v>36296483</v>
      </c>
      <c r="J40" s="4">
        <f t="shared" si="0"/>
        <v>1293588</v>
      </c>
      <c r="K40" s="4">
        <f>VLOOKUP(计算!G40,全部!C:N,12,FALSE)</f>
        <v>1293588</v>
      </c>
      <c r="L40" s="5">
        <f>VLOOKUP(G40,全部!C:P,14,FALSE)</f>
        <v>0</v>
      </c>
      <c r="M40" s="5">
        <f>VLOOKUP(G40,全部!C:V,20,FALSE)*100</f>
        <v>3</v>
      </c>
      <c r="N40" s="6">
        <f>VLOOKUP(G40,全部!C:W,21,FALSE)</f>
        <v>1127702.1299999999</v>
      </c>
      <c r="O40" s="4">
        <f>VLOOKUP(G40,全部!C:X,22,FALSE)</f>
        <v>1127608</v>
      </c>
      <c r="P40" s="4">
        <f>VLOOKUP(G40,全部!C:Y,23,FALSE)</f>
        <v>1127608</v>
      </c>
      <c r="Q40" s="6">
        <f>VLOOKUP(G40,全部!C:Z,24,FALSE)</f>
        <v>94.129999999888241</v>
      </c>
      <c r="R40" s="7">
        <f>VLOOKUP(G40,全部!C:AA,25,FALSE)</f>
        <v>33307394</v>
      </c>
      <c r="S40" s="7">
        <f>VLOOKUP(G40,全部!C:AB,26,FALSE)</f>
        <v>33307394</v>
      </c>
      <c r="T40" s="4">
        <f>VLOOKUP(计算!G40,全部!C:AC,27,FALSE)</f>
        <v>33307394</v>
      </c>
      <c r="U40" s="4">
        <f>VLOOKUP(G40,全部!C:AD,28,FALSE)</f>
        <v>33307394</v>
      </c>
      <c r="V40" s="6">
        <f>VLOOKUP(G40,全部!C:AE,29,FALSE)</f>
        <v>0.88606893027682765</v>
      </c>
      <c r="W40" s="4">
        <f>VLOOKUP(G40,全部!C:AF,30,FALSE)</f>
        <v>28631226.400000002</v>
      </c>
      <c r="X40" s="4">
        <f>VLOOKUP(G40,全部!C:AG,31,FALSE)</f>
        <v>28631226.399999999</v>
      </c>
      <c r="Y40" s="4">
        <f>VLOOKUP(计算!G40,全部!C:AH,32,FALSE)</f>
        <v>33434705.170000002</v>
      </c>
      <c r="Z40" s="4">
        <f>VLOOKUP(G40,全部!C:AL,36,FALSE)</f>
        <v>33434705.170000002</v>
      </c>
      <c r="AA40" s="4">
        <f>VLOOKUP(G40,全部!C:AM,37,FALSE)</f>
        <v>3.7400000000000003E-2</v>
      </c>
      <c r="AB40" s="6">
        <f>VLOOKUP(G40,全部!C:AN,38,FALSE)</f>
        <v>1245696.5356000001</v>
      </c>
      <c r="AC40" s="4">
        <f>VLOOKUP(G40,全部!C:AO,39,FALSE)</f>
        <v>0</v>
      </c>
      <c r="AD40" s="4">
        <f>VLOOKUP(G40,全部!C:AP,40,FALSE)</f>
        <v>0</v>
      </c>
      <c r="AE40" s="6">
        <f>VLOOKUP(G40,全部!C:AQ,41,FALSE)</f>
        <v>0</v>
      </c>
      <c r="AF40" s="4">
        <f>VLOOKUP(G40,全部!C:AR,42,FALSE)</f>
        <v>0</v>
      </c>
      <c r="AG40" s="7">
        <f>VLOOKUP(G40,全部!C:AS,43,FALSE)</f>
        <v>320</v>
      </c>
      <c r="AH40" s="64" t="str">
        <f>IF(VLOOKUP(G40,全部!C:AT,44,FALSE)=0,"",VLOOKUP(G40,全部!C:AT,44,FALSE))</f>
        <v>管庄</v>
      </c>
      <c r="AI40">
        <v>0</v>
      </c>
      <c r="AJ40" s="3">
        <v>41912.686249999999</v>
      </c>
      <c r="AK40" s="2" t="s">
        <v>2209</v>
      </c>
    </row>
    <row r="41" spans="1:37" x14ac:dyDescent="0.15">
      <c r="A41" s="2" t="s">
        <v>2208</v>
      </c>
      <c r="B41">
        <v>50</v>
      </c>
      <c r="C41" s="3">
        <v>41061</v>
      </c>
      <c r="D41" s="2" t="s">
        <v>37</v>
      </c>
      <c r="E41" s="2" t="s">
        <v>2207</v>
      </c>
      <c r="F41" s="2" t="s">
        <v>41</v>
      </c>
      <c r="G41" s="2" t="s">
        <v>122</v>
      </c>
      <c r="H41" s="2" t="s">
        <v>123</v>
      </c>
      <c r="I41" s="4">
        <f>VLOOKUP(G41,全部!C:M,11,FALSE)</f>
        <v>6196000</v>
      </c>
      <c r="J41" s="4">
        <f t="shared" si="0"/>
        <v>0</v>
      </c>
      <c r="K41" s="4">
        <f>VLOOKUP(计算!G41,全部!C:N,12,FALSE)</f>
        <v>0</v>
      </c>
      <c r="L41" s="5">
        <f>VLOOKUP(G41,全部!C:P,14,FALSE)</f>
        <v>0</v>
      </c>
      <c r="M41" s="5">
        <f>VLOOKUP(G41,全部!C:V,20,FALSE)*100</f>
        <v>4</v>
      </c>
      <c r="N41" s="6">
        <f>VLOOKUP(G41,全部!C:W,21,FALSE)</f>
        <v>247840</v>
      </c>
      <c r="O41" s="4">
        <f>VLOOKUP(G41,全部!C:X,22,FALSE)</f>
        <v>0</v>
      </c>
      <c r="P41" s="4">
        <f>VLOOKUP(G41,全部!C:Y,23,FALSE)</f>
        <v>0</v>
      </c>
      <c r="Q41" s="6">
        <f>VLOOKUP(G41,全部!C:Z,24,FALSE)</f>
        <v>247840</v>
      </c>
      <c r="R41" s="7">
        <f>VLOOKUP(G41,全部!C:AA,25,FALSE)</f>
        <v>0</v>
      </c>
      <c r="S41" s="7">
        <f>VLOOKUP(G41,全部!C:AB,26,FALSE)</f>
        <v>0</v>
      </c>
      <c r="T41" s="4">
        <f>VLOOKUP(计算!G41,全部!C:AC,27,FALSE)</f>
        <v>3500000</v>
      </c>
      <c r="U41" s="4">
        <f>VLOOKUP(G41,全部!C:AD,28,FALSE)</f>
        <v>3500000</v>
      </c>
      <c r="V41" s="6">
        <f>VLOOKUP(G41,全部!C:AE,29,FALSE)</f>
        <v>0.5648805681084571</v>
      </c>
      <c r="W41" s="4">
        <f>VLOOKUP(G41,全部!C:AF,30,FALSE)</f>
        <v>0</v>
      </c>
      <c r="X41" s="4">
        <f>VLOOKUP(G41,全部!C:AG,31,FALSE)</f>
        <v>0</v>
      </c>
      <c r="Y41" s="4">
        <f>VLOOKUP(计算!G41,全部!C:AH,32,FALSE)</f>
        <v>3489148.65</v>
      </c>
      <c r="Z41" s="4">
        <f>VLOOKUP(G41,全部!C:AL,36,FALSE)</f>
        <v>3489148.65</v>
      </c>
      <c r="AA41" s="4">
        <f>VLOOKUP(G41,全部!C:AM,37,FALSE)</f>
        <v>0</v>
      </c>
      <c r="AB41" s="6">
        <f>VLOOKUP(G41,全部!C:AN,38,FALSE)</f>
        <v>0</v>
      </c>
      <c r="AC41" s="4">
        <f>VLOOKUP(G41,全部!C:AO,39,FALSE)</f>
        <v>0</v>
      </c>
      <c r="AD41" s="4">
        <f>VLOOKUP(G41,全部!C:AP,40,FALSE)</f>
        <v>0</v>
      </c>
      <c r="AE41" s="6">
        <f>VLOOKUP(G41,全部!C:AQ,41,FALSE)</f>
        <v>0</v>
      </c>
      <c r="AF41" s="4">
        <f>VLOOKUP(G41,全部!C:AR,42,FALSE)</f>
        <v>0</v>
      </c>
      <c r="AG41" s="7">
        <f>VLOOKUP(G41,全部!C:AS,43,FALSE)</f>
        <v>0</v>
      </c>
      <c r="AH41" s="64" t="str">
        <f>IF(VLOOKUP(G41,全部!C:AT,44,FALSE)=0,"",VLOOKUP(G41,全部!C:AT,44,FALSE))</f>
        <v/>
      </c>
      <c r="AI41">
        <v>0</v>
      </c>
      <c r="AJ41" s="3">
        <v>41912.6862384259</v>
      </c>
      <c r="AK41" s="2" t="s">
        <v>2206</v>
      </c>
    </row>
    <row r="42" spans="1:37" x14ac:dyDescent="0.15">
      <c r="A42" s="2" t="s">
        <v>2205</v>
      </c>
      <c r="B42">
        <v>528</v>
      </c>
      <c r="C42" s="3">
        <v>41073</v>
      </c>
      <c r="D42" s="2" t="s">
        <v>37</v>
      </c>
      <c r="E42" s="2" t="s">
        <v>2204</v>
      </c>
      <c r="F42" s="2" t="s">
        <v>38</v>
      </c>
      <c r="G42" s="2" t="s">
        <v>124</v>
      </c>
      <c r="H42" s="2" t="s">
        <v>125</v>
      </c>
      <c r="I42" s="4">
        <f>VLOOKUP(G42,全部!C:M,11,FALSE)</f>
        <v>1444588.7</v>
      </c>
      <c r="J42" s="4">
        <f t="shared" si="0"/>
        <v>1770220.47</v>
      </c>
      <c r="K42" s="4">
        <f>VLOOKUP(计算!G42,全部!C:N,12,FALSE)</f>
        <v>1770220.47</v>
      </c>
      <c r="L42" s="5">
        <f>VLOOKUP(G42,全部!C:P,14,FALSE)</f>
        <v>0</v>
      </c>
      <c r="M42" s="5">
        <f>VLOOKUP(G42,全部!C:V,20,FALSE)*100</f>
        <v>3.5999999999999996</v>
      </c>
      <c r="N42" s="6">
        <f>VLOOKUP(G42,全部!C:W,21,FALSE)</f>
        <v>115733.13011999999</v>
      </c>
      <c r="O42" s="4">
        <f>VLOOKUP(G42,全部!C:X,22,FALSE)</f>
        <v>115733</v>
      </c>
      <c r="P42" s="4">
        <f>VLOOKUP(G42,全部!C:Y,23,FALSE)</f>
        <v>115733</v>
      </c>
      <c r="Q42" s="6">
        <f>VLOOKUP(G42,全部!C:Z,24,FALSE)</f>
        <v>0</v>
      </c>
      <c r="R42" s="7">
        <f>VLOOKUP(G42,全部!C:AA,25,FALSE)</f>
        <v>2500366.4400000004</v>
      </c>
      <c r="S42" s="7">
        <f>VLOOKUP(G42,全部!C:AB,26,FALSE)</f>
        <v>2500366.44</v>
      </c>
      <c r="T42" s="4">
        <f>VLOOKUP(计算!G42,全部!C:AC,27,FALSE)</f>
        <v>2500366.44</v>
      </c>
      <c r="U42" s="4">
        <f>VLOOKUP(G42,全部!C:AD,28,FALSE)</f>
        <v>2500366.44</v>
      </c>
      <c r="V42" s="6">
        <f>VLOOKUP(G42,全部!C:AE,29,FALSE)</f>
        <v>0.77776512003665832</v>
      </c>
      <c r="W42" s="4">
        <f>VLOOKUP(G42,全部!C:AF,30,FALSE)</f>
        <v>2230332.1</v>
      </c>
      <c r="X42" s="4">
        <f>VLOOKUP(G42,全部!C:AG,31,FALSE)</f>
        <v>2230332.1</v>
      </c>
      <c r="Y42" s="4">
        <f>VLOOKUP(计算!G42,全部!C:AH,32,FALSE)</f>
        <v>2492151.1</v>
      </c>
      <c r="Z42" s="4">
        <f>VLOOKUP(G42,全部!C:AL,36,FALSE)</f>
        <v>2492151.1</v>
      </c>
      <c r="AA42" s="4">
        <f>VLOOKUP(G42,全部!C:AM,37,FALSE)</f>
        <v>3.4000000000000002E-2</v>
      </c>
      <c r="AB42" s="6">
        <f>VLOOKUP(G42,全部!C:AN,38,FALSE)</f>
        <v>85012.458960000004</v>
      </c>
      <c r="AC42" s="4">
        <f>VLOOKUP(G42,全部!C:AO,39,FALSE)</f>
        <v>85014</v>
      </c>
      <c r="AD42" s="4">
        <f>VLOOKUP(G42,全部!C:AP,40,FALSE)</f>
        <v>85014</v>
      </c>
      <c r="AE42" s="6">
        <f>VLOOKUP(G42,全部!C:AQ,41,FALSE)</f>
        <v>0</v>
      </c>
      <c r="AF42" s="4">
        <f>VLOOKUP(G42,全部!C:AR,42,FALSE)</f>
        <v>0</v>
      </c>
      <c r="AG42" s="7">
        <f>VLOOKUP(G42,全部!C:AS,43,FALSE)</f>
        <v>31</v>
      </c>
      <c r="AH42" s="64" t="str">
        <f>IF(VLOOKUP(G42,全部!C:AT,44,FALSE)=0,"",VLOOKUP(G42,全部!C:AT,44,FALSE))</f>
        <v>三河</v>
      </c>
      <c r="AI42">
        <v>0</v>
      </c>
      <c r="AJ42" s="3">
        <v>41912.686249999999</v>
      </c>
      <c r="AK42" s="2" t="s">
        <v>2203</v>
      </c>
    </row>
    <row r="43" spans="1:37" x14ac:dyDescent="0.15">
      <c r="A43" s="2" t="s">
        <v>2202</v>
      </c>
      <c r="B43">
        <v>54</v>
      </c>
      <c r="C43" s="3">
        <v>41091</v>
      </c>
      <c r="D43" s="2" t="s">
        <v>37</v>
      </c>
      <c r="E43" s="2" t="s">
        <v>2201</v>
      </c>
      <c r="F43" s="2" t="s">
        <v>41</v>
      </c>
      <c r="G43" s="2" t="s">
        <v>127</v>
      </c>
      <c r="H43" s="2" t="s">
        <v>128</v>
      </c>
      <c r="I43" s="4">
        <f>VLOOKUP(G43,全部!C:M,11,FALSE)</f>
        <v>1810092</v>
      </c>
      <c r="J43" s="4">
        <f t="shared" si="0"/>
        <v>0</v>
      </c>
      <c r="K43" s="4">
        <f>VLOOKUP(计算!G43,全部!C:N,12,FALSE)</f>
        <v>0</v>
      </c>
      <c r="L43" s="5">
        <f>VLOOKUP(G43,全部!C:P,14,FALSE)</f>
        <v>0</v>
      </c>
      <c r="M43" s="5">
        <f>VLOOKUP(G43,全部!C:V,20,FALSE)*100</f>
        <v>4</v>
      </c>
      <c r="N43" s="6">
        <f>VLOOKUP(G43,全部!C:W,21,FALSE)</f>
        <v>72403.680000000008</v>
      </c>
      <c r="O43" s="4">
        <f>VLOOKUP(G43,全部!C:X,22,FALSE)</f>
        <v>72404</v>
      </c>
      <c r="P43" s="4">
        <f>VLOOKUP(G43,全部!C:Y,23,FALSE)</f>
        <v>72404</v>
      </c>
      <c r="Q43" s="6">
        <f>VLOOKUP(G43,全部!C:Z,24,FALSE)</f>
        <v>-0.319999999992433</v>
      </c>
      <c r="R43" s="7">
        <f>VLOOKUP(G43,全部!C:AA,25,FALSE)</f>
        <v>0</v>
      </c>
      <c r="S43" s="7">
        <f>VLOOKUP(G43,全部!C:AB,26,FALSE)</f>
        <v>0</v>
      </c>
      <c r="T43" s="4">
        <f>VLOOKUP(计算!G43,全部!C:AC,27,FALSE)</f>
        <v>1800000</v>
      </c>
      <c r="U43" s="4">
        <f>VLOOKUP(G43,全部!C:AD,28,FALSE)</f>
        <v>1800000</v>
      </c>
      <c r="V43" s="6">
        <f>VLOOKUP(G43,全部!C:AE,29,FALSE)</f>
        <v>0.99442459278312922</v>
      </c>
      <c r="W43" s="4">
        <f>VLOOKUP(G43,全部!C:AF,30,FALSE)</f>
        <v>0</v>
      </c>
      <c r="X43" s="4">
        <f>VLOOKUP(G43,全部!C:AG,31,FALSE)</f>
        <v>0</v>
      </c>
      <c r="Y43" s="4">
        <f>VLOOKUP(计算!G43,全部!C:AH,32,FALSE)</f>
        <v>1796144</v>
      </c>
      <c r="Z43" s="4">
        <f>VLOOKUP(G43,全部!C:AL,36,FALSE)</f>
        <v>1796144</v>
      </c>
      <c r="AA43" s="4">
        <f>VLOOKUP(G43,全部!C:AM,37,FALSE)</f>
        <v>0</v>
      </c>
      <c r="AB43" s="6">
        <f>VLOOKUP(G43,全部!C:AN,38,FALSE)</f>
        <v>0</v>
      </c>
      <c r="AC43" s="4">
        <f>VLOOKUP(G43,全部!C:AO,39,FALSE)</f>
        <v>0</v>
      </c>
      <c r="AD43" s="4">
        <f>VLOOKUP(G43,全部!C:AP,40,FALSE)</f>
        <v>0</v>
      </c>
      <c r="AE43" s="6">
        <f>VLOOKUP(G43,全部!C:AQ,41,FALSE)</f>
        <v>0</v>
      </c>
      <c r="AF43" s="4">
        <f>VLOOKUP(G43,全部!C:AR,42,FALSE)</f>
        <v>0</v>
      </c>
      <c r="AG43" s="7">
        <f>VLOOKUP(G43,全部!C:AS,43,FALSE)</f>
        <v>0</v>
      </c>
      <c r="AH43" s="64" t="str">
        <f>IF(VLOOKUP(G43,全部!C:AT,44,FALSE)=0,"",VLOOKUP(G43,全部!C:AT,44,FALSE))</f>
        <v/>
      </c>
      <c r="AI43">
        <v>0</v>
      </c>
      <c r="AJ43" s="3">
        <v>41912.6862384259</v>
      </c>
      <c r="AK43" s="2" t="s">
        <v>2200</v>
      </c>
    </row>
    <row r="44" spans="1:37" x14ac:dyDescent="0.15">
      <c r="A44" s="2" t="s">
        <v>2199</v>
      </c>
      <c r="B44">
        <v>561</v>
      </c>
      <c r="C44" s="3">
        <v>41091</v>
      </c>
      <c r="D44" s="2" t="s">
        <v>37</v>
      </c>
      <c r="E44" s="2" t="s">
        <v>2198</v>
      </c>
      <c r="F44" s="2" t="s">
        <v>38</v>
      </c>
      <c r="G44" s="2" t="s">
        <v>126</v>
      </c>
      <c r="H44" s="2" t="s">
        <v>75</v>
      </c>
      <c r="I44" s="4">
        <f>VLOOKUP(G44,全部!C:M,11,FALSE)</f>
        <v>4400000</v>
      </c>
      <c r="J44" s="4">
        <f t="shared" si="0"/>
        <v>0</v>
      </c>
      <c r="K44" s="4">
        <f>VLOOKUP(计算!G44,全部!C:N,12,FALSE)</f>
        <v>0</v>
      </c>
      <c r="L44" s="5">
        <f>VLOOKUP(G44,全部!C:P,14,FALSE)</f>
        <v>0</v>
      </c>
      <c r="M44" s="5">
        <f>VLOOKUP(G44,全部!C:V,20,FALSE)*100</f>
        <v>3</v>
      </c>
      <c r="N44" s="6">
        <f>VLOOKUP(G44,全部!C:W,21,FALSE)</f>
        <v>132000</v>
      </c>
      <c r="O44" s="4">
        <f>VLOOKUP(G44,全部!C:X,22,FALSE)</f>
        <v>132000</v>
      </c>
      <c r="P44" s="4">
        <f>VLOOKUP(G44,全部!C:Y,23,FALSE)</f>
        <v>132000</v>
      </c>
      <c r="Q44" s="6">
        <f>VLOOKUP(G44,全部!C:Z,24,FALSE)</f>
        <v>0</v>
      </c>
      <c r="R44" s="7">
        <f>VLOOKUP(G44,全部!C:AA,25,FALSE)</f>
        <v>4100000</v>
      </c>
      <c r="S44" s="7">
        <f>VLOOKUP(G44,全部!C:AB,26,FALSE)</f>
        <v>4100000</v>
      </c>
      <c r="T44" s="4">
        <f>VLOOKUP(计算!G44,全部!C:AC,27,FALSE)</f>
        <v>3300000</v>
      </c>
      <c r="U44" s="4">
        <f>VLOOKUP(G44,全部!C:AD,28,FALSE)</f>
        <v>3300000</v>
      </c>
      <c r="V44" s="6">
        <f>VLOOKUP(G44,全部!C:AE,29,FALSE)</f>
        <v>0.75</v>
      </c>
      <c r="W44" s="4">
        <f>VLOOKUP(G44,全部!C:AF,30,FALSE)</f>
        <v>3180103.71</v>
      </c>
      <c r="X44" s="4">
        <f>VLOOKUP(G44,全部!C:AG,31,FALSE)</f>
        <v>3180103.71</v>
      </c>
      <c r="Y44" s="4">
        <f>VLOOKUP(计算!G44,全部!C:AH,32,FALSE)</f>
        <v>3292303.71</v>
      </c>
      <c r="Z44" s="4">
        <f>VLOOKUP(G44,全部!C:AL,36,FALSE)</f>
        <v>3292303.71</v>
      </c>
      <c r="AA44" s="4">
        <f>VLOOKUP(G44,全部!C:AM,37,FALSE)</f>
        <v>3.4000000000000002E-2</v>
      </c>
      <c r="AB44" s="6">
        <f>VLOOKUP(G44,全部!C:AN,38,FALSE)</f>
        <v>139400</v>
      </c>
      <c r="AC44" s="4">
        <f>VLOOKUP(G44,全部!C:AO,39,FALSE)</f>
        <v>112200</v>
      </c>
      <c r="AD44" s="4">
        <f>VLOOKUP(G44,全部!C:AP,40,FALSE)</f>
        <v>112200</v>
      </c>
      <c r="AE44" s="6">
        <f>VLOOKUP(G44,全部!C:AQ,41,FALSE)</f>
        <v>27200</v>
      </c>
      <c r="AF44" s="4">
        <f>VLOOKUP(G44,全部!C:AR,42,FALSE)</f>
        <v>0</v>
      </c>
      <c r="AG44" s="7">
        <f>VLOOKUP(G44,全部!C:AS,43,FALSE)</f>
        <v>0</v>
      </c>
      <c r="AH44" s="64" t="str">
        <f>IF(VLOOKUP(G44,全部!C:AT,44,FALSE)=0,"",VLOOKUP(G44,全部!C:AT,44,FALSE))</f>
        <v/>
      </c>
      <c r="AI44">
        <v>0</v>
      </c>
      <c r="AJ44" s="3">
        <v>41912.686249999999</v>
      </c>
      <c r="AK44" s="2" t="s">
        <v>2197</v>
      </c>
    </row>
    <row r="45" spans="1:37" x14ac:dyDescent="0.15">
      <c r="A45" s="2" t="s">
        <v>2196</v>
      </c>
      <c r="B45">
        <v>569</v>
      </c>
      <c r="C45" s="3">
        <v>41091</v>
      </c>
      <c r="D45" s="2" t="s">
        <v>37</v>
      </c>
      <c r="E45" s="2" t="s">
        <v>2195</v>
      </c>
      <c r="F45" s="2" t="s">
        <v>38</v>
      </c>
      <c r="G45" s="2" t="s">
        <v>131</v>
      </c>
      <c r="H45" s="2" t="s">
        <v>132</v>
      </c>
      <c r="I45" s="4">
        <f>VLOOKUP(G45,全部!C:M,11,FALSE)</f>
        <v>5538662</v>
      </c>
      <c r="J45" s="4">
        <f t="shared" si="0"/>
        <v>3392971</v>
      </c>
      <c r="K45" s="4">
        <f>VLOOKUP(计算!G45,全部!C:N,12,FALSE)</f>
        <v>3392971</v>
      </c>
      <c r="L45" s="5">
        <f>VLOOKUP(G45,全部!C:P,14,FALSE)</f>
        <v>0</v>
      </c>
      <c r="M45" s="5">
        <f>VLOOKUP(G45,全部!C:V,20,FALSE)*100</f>
        <v>3</v>
      </c>
      <c r="N45" s="6">
        <f>VLOOKUP(G45,全部!C:W,21,FALSE)</f>
        <v>267948.99</v>
      </c>
      <c r="O45" s="4">
        <f>VLOOKUP(G45,全部!C:X,22,FALSE)</f>
        <v>267949</v>
      </c>
      <c r="P45" s="4">
        <f>VLOOKUP(G45,全部!C:Y,23,FALSE)</f>
        <v>267949</v>
      </c>
      <c r="Q45" s="6">
        <f>VLOOKUP(G45,全部!C:Z,24,FALSE)</f>
        <v>0</v>
      </c>
      <c r="R45" s="7">
        <f>VLOOKUP(G45,全部!C:AA,25,FALSE)</f>
        <v>7570000</v>
      </c>
      <c r="S45" s="7">
        <f>VLOOKUP(G45,全部!C:AB,26,FALSE)</f>
        <v>7570000</v>
      </c>
      <c r="T45" s="4">
        <f>VLOOKUP(计算!G45,全部!C:AC,27,FALSE)</f>
        <v>7570000</v>
      </c>
      <c r="U45" s="4">
        <f>VLOOKUP(G45,全部!C:AD,28,FALSE)</f>
        <v>7570000</v>
      </c>
      <c r="V45" s="6">
        <f>VLOOKUP(G45,全部!C:AE,29,FALSE)</f>
        <v>0.84754937870823843</v>
      </c>
      <c r="W45" s="4">
        <f>VLOOKUP(G45,全部!C:AF,30,FALSE)</f>
        <v>7355941.4200000009</v>
      </c>
      <c r="X45" s="4">
        <f>VLOOKUP(G45,全部!C:AG,31,FALSE)</f>
        <v>7355941.4199999999</v>
      </c>
      <c r="Y45" s="4">
        <f>VLOOKUP(计算!G45,全部!C:AH,32,FALSE)</f>
        <v>7552961.8899999997</v>
      </c>
      <c r="Z45" s="4">
        <f>VLOOKUP(G45,全部!C:AL,36,FALSE)</f>
        <v>7552961.8899999997</v>
      </c>
      <c r="AA45" s="4">
        <f>VLOOKUP(G45,全部!C:AM,37,FALSE)</f>
        <v>3.7400000000000003E-2</v>
      </c>
      <c r="AB45" s="6">
        <f>VLOOKUP(G45,全部!C:AN,38,FALSE)</f>
        <v>283118</v>
      </c>
      <c r="AC45" s="4">
        <f>VLOOKUP(G45,全部!C:AO,39,FALSE)</f>
        <v>283118</v>
      </c>
      <c r="AD45" s="4">
        <f>VLOOKUP(G45,全部!C:AP,40,FALSE)</f>
        <v>283118</v>
      </c>
      <c r="AE45" s="6">
        <f>VLOOKUP(G45,全部!C:AQ,41,FALSE)</f>
        <v>0</v>
      </c>
      <c r="AF45" s="4">
        <f>VLOOKUP(G45,全部!C:AR,42,FALSE)</f>
        <v>0</v>
      </c>
      <c r="AG45" s="7">
        <f>VLOOKUP(G45,全部!C:AS,43,FALSE)</f>
        <v>0</v>
      </c>
      <c r="AH45" s="64" t="str">
        <f>IF(VLOOKUP(G45,全部!C:AT,44,FALSE)=0,"",VLOOKUP(G45,全部!C:AT,44,FALSE))</f>
        <v/>
      </c>
      <c r="AI45">
        <v>0</v>
      </c>
      <c r="AJ45" s="3">
        <v>41912.686249999999</v>
      </c>
      <c r="AK45" s="2" t="s">
        <v>2194</v>
      </c>
    </row>
    <row r="46" spans="1:37" x14ac:dyDescent="0.15">
      <c r="A46" s="2" t="s">
        <v>2193</v>
      </c>
      <c r="B46">
        <v>545</v>
      </c>
      <c r="C46" s="3">
        <v>41091</v>
      </c>
      <c r="D46" s="2" t="s">
        <v>37</v>
      </c>
      <c r="E46" s="2" t="s">
        <v>2192</v>
      </c>
      <c r="F46" s="2" t="s">
        <v>38</v>
      </c>
      <c r="G46" s="2" t="s">
        <v>129</v>
      </c>
      <c r="H46" s="2" t="s">
        <v>130</v>
      </c>
      <c r="I46" s="4">
        <f>VLOOKUP(G46,全部!C:M,11,FALSE)</f>
        <v>742782.79</v>
      </c>
      <c r="J46" s="4">
        <f t="shared" si="0"/>
        <v>149141.78</v>
      </c>
      <c r="K46" s="4">
        <f>VLOOKUP(计算!G46,全部!C:N,12,FALSE)</f>
        <v>149141.78</v>
      </c>
      <c r="L46" s="5">
        <f>VLOOKUP(G46,全部!C:P,14,FALSE)</f>
        <v>0</v>
      </c>
      <c r="M46" s="5">
        <f>VLOOKUP(G46,全部!C:V,20,FALSE)*100</f>
        <v>3.5999999999999996</v>
      </c>
      <c r="N46" s="6">
        <f>VLOOKUP(G46,全部!C:W,21,FALSE)</f>
        <v>32109.284520000001</v>
      </c>
      <c r="O46" s="4">
        <f>VLOOKUP(G46,全部!C:X,22,FALSE)</f>
        <v>26920</v>
      </c>
      <c r="P46" s="4">
        <f>VLOOKUP(G46,全部!C:Y,23,FALSE)</f>
        <v>26920</v>
      </c>
      <c r="Q46" s="6">
        <f>VLOOKUP(G46,全部!C:Z,24,FALSE)</f>
        <v>5189.2845200000011</v>
      </c>
      <c r="R46" s="7">
        <f>VLOOKUP(G46,全部!C:AA,25,FALSE)</f>
        <v>891924.57000000007</v>
      </c>
      <c r="S46" s="7">
        <f>VLOOKUP(G46,全部!C:AB,26,FALSE)</f>
        <v>891924.57</v>
      </c>
      <c r="T46" s="4">
        <f>VLOOKUP(计算!G46,全部!C:AC,27,FALSE)</f>
        <v>891924.57</v>
      </c>
      <c r="U46" s="4">
        <f>VLOOKUP(G46,全部!C:AD,28,FALSE)</f>
        <v>891924.57</v>
      </c>
      <c r="V46" s="6">
        <f>VLOOKUP(G46,全部!C:AE,29,FALSE)</f>
        <v>0.99999999999999989</v>
      </c>
      <c r="W46" s="4">
        <f>VLOOKUP(G46,全部!C:AF,30,FALSE)</f>
        <v>426993.57000000007</v>
      </c>
      <c r="X46" s="4">
        <f>VLOOKUP(G46,全部!C:AG,31,FALSE)</f>
        <v>426993.57</v>
      </c>
      <c r="Y46" s="4">
        <f>VLOOKUP(计算!G46,全部!C:AH,32,FALSE)</f>
        <v>886924.57</v>
      </c>
      <c r="Z46" s="4">
        <f>VLOOKUP(G46,全部!C:AL,36,FALSE)</f>
        <v>886924.57</v>
      </c>
      <c r="AA46" s="4">
        <f>VLOOKUP(G46,全部!C:AM,37,FALSE)</f>
        <v>3.4000000000000002E-2</v>
      </c>
      <c r="AB46" s="6">
        <f>VLOOKUP(G46,全部!C:AN,38,FALSE)</f>
        <v>30325.435379999999</v>
      </c>
      <c r="AC46" s="4">
        <f>VLOOKUP(G46,全部!C:AO,39,FALSE)</f>
        <v>30405</v>
      </c>
      <c r="AD46" s="4">
        <f>VLOOKUP(G46,全部!C:AP,40,FALSE)</f>
        <v>30405</v>
      </c>
      <c r="AE46" s="6">
        <f>VLOOKUP(G46,全部!C:AQ,41,FALSE)</f>
        <v>-79.564620000001014</v>
      </c>
      <c r="AF46" s="4">
        <f>VLOOKUP(G46,全部!C:AR,42,FALSE)</f>
        <v>0</v>
      </c>
      <c r="AG46" s="7">
        <f>VLOOKUP(G46,全部!C:AS,43,FALSE)</f>
        <v>8</v>
      </c>
      <c r="AH46" s="64" t="str">
        <f>IF(VLOOKUP(G46,全部!C:AT,44,FALSE)=0,"",VLOOKUP(G46,全部!C:AT,44,FALSE))</f>
        <v>三河</v>
      </c>
      <c r="AI46">
        <v>0</v>
      </c>
      <c r="AJ46" s="3">
        <v>41912.686249999999</v>
      </c>
      <c r="AK46" s="2" t="s">
        <v>2191</v>
      </c>
    </row>
    <row r="47" spans="1:37" x14ac:dyDescent="0.15">
      <c r="A47" s="2" t="s">
        <v>2190</v>
      </c>
      <c r="B47">
        <v>536</v>
      </c>
      <c r="C47" s="3">
        <v>41092</v>
      </c>
      <c r="D47" s="2" t="s">
        <v>37</v>
      </c>
      <c r="E47" s="2" t="s">
        <v>2189</v>
      </c>
      <c r="F47" s="2" t="s">
        <v>38</v>
      </c>
      <c r="G47" s="2" t="s">
        <v>133</v>
      </c>
      <c r="H47" s="2" t="s">
        <v>134</v>
      </c>
      <c r="I47" s="4">
        <f>VLOOKUP(G47,全部!C:M,11,FALSE)</f>
        <v>1508400</v>
      </c>
      <c r="J47" s="4">
        <f t="shared" si="0"/>
        <v>0</v>
      </c>
      <c r="K47" s="4">
        <f>VLOOKUP(计算!G47,全部!C:N,12,FALSE)</f>
        <v>0</v>
      </c>
      <c r="L47" s="5">
        <f>VLOOKUP(G47,全部!C:P,14,FALSE)</f>
        <v>0</v>
      </c>
      <c r="M47" s="5">
        <f>VLOOKUP(G47,全部!C:V,20,FALSE)*100</f>
        <v>3.5999999999999996</v>
      </c>
      <c r="N47" s="6">
        <f>VLOOKUP(G47,全部!C:W,21,FALSE)</f>
        <v>54302.399999999994</v>
      </c>
      <c r="O47" s="4">
        <f>VLOOKUP(G47,全部!C:X,22,FALSE)</f>
        <v>54302</v>
      </c>
      <c r="P47" s="4">
        <f>VLOOKUP(G47,全部!C:Y,23,FALSE)</f>
        <v>54302</v>
      </c>
      <c r="Q47" s="6">
        <f>VLOOKUP(G47,全部!C:Z,24,FALSE)</f>
        <v>0</v>
      </c>
      <c r="R47" s="7">
        <f>VLOOKUP(G47,全部!C:AA,25,FALSE)</f>
        <v>1190000</v>
      </c>
      <c r="S47" s="7">
        <f>VLOOKUP(G47,全部!C:AB,26,FALSE)</f>
        <v>1190000</v>
      </c>
      <c r="T47" s="4">
        <f>VLOOKUP(计算!G47,全部!C:AC,27,FALSE)</f>
        <v>1199905</v>
      </c>
      <c r="U47" s="4">
        <f>VLOOKUP(G47,全部!C:AD,28,FALSE)</f>
        <v>1199905</v>
      </c>
      <c r="V47" s="6">
        <f>VLOOKUP(G47,全部!C:AE,29,FALSE)</f>
        <v>0.79548196764783874</v>
      </c>
      <c r="W47" s="4">
        <f>VLOOKUP(G47,全部!C:AF,30,FALSE)</f>
        <v>1152231.93</v>
      </c>
      <c r="X47" s="4">
        <f>VLOOKUP(G47,全部!C:AG,31,FALSE)</f>
        <v>1152231.93</v>
      </c>
      <c r="Y47" s="4">
        <f>VLOOKUP(计算!G47,全部!C:AH,32,FALSE)</f>
        <v>1192691.93</v>
      </c>
      <c r="Z47" s="4">
        <f>VLOOKUP(G47,全部!C:AL,36,FALSE)</f>
        <v>1192691.93</v>
      </c>
      <c r="AA47" s="4">
        <f>VLOOKUP(G47,全部!C:AM,37,FALSE)</f>
        <v>3.4000000000000002E-2</v>
      </c>
      <c r="AB47" s="6">
        <f>VLOOKUP(G47,全部!C:AN,38,FALSE)</f>
        <v>40460</v>
      </c>
      <c r="AC47" s="4">
        <f>VLOOKUP(G47,全部!C:AO,39,FALSE)</f>
        <v>40460</v>
      </c>
      <c r="AD47" s="4">
        <f>VLOOKUP(G47,全部!C:AP,40,FALSE)</f>
        <v>40460</v>
      </c>
      <c r="AE47" s="6">
        <f>VLOOKUP(G47,全部!C:AQ,41,FALSE)</f>
        <v>0</v>
      </c>
      <c r="AF47" s="4">
        <f>VLOOKUP(G47,全部!C:AR,42,FALSE)</f>
        <v>0</v>
      </c>
      <c r="AG47" s="7">
        <f>VLOOKUP(G47,全部!C:AS,43,FALSE)</f>
        <v>7</v>
      </c>
      <c r="AH47" s="64" t="str">
        <f>IF(VLOOKUP(G47,全部!C:AT,44,FALSE)=0,"",VLOOKUP(G47,全部!C:AT,44,FALSE))</f>
        <v>管庄</v>
      </c>
      <c r="AI47">
        <v>0</v>
      </c>
      <c r="AJ47" s="3">
        <v>41912.686249999999</v>
      </c>
      <c r="AK47" s="2" t="s">
        <v>2188</v>
      </c>
    </row>
    <row r="48" spans="1:37" x14ac:dyDescent="0.15">
      <c r="A48" s="2" t="s">
        <v>2187</v>
      </c>
      <c r="B48">
        <v>578</v>
      </c>
      <c r="C48" s="3">
        <v>41108</v>
      </c>
      <c r="D48" s="2" t="s">
        <v>37</v>
      </c>
      <c r="E48" s="2" t="s">
        <v>2186</v>
      </c>
      <c r="F48" s="2" t="s">
        <v>38</v>
      </c>
      <c r="G48" s="2" t="s">
        <v>135</v>
      </c>
      <c r="H48" s="2" t="s">
        <v>136</v>
      </c>
      <c r="I48" s="4">
        <f>VLOOKUP(G48,全部!C:M,11,FALSE)</f>
        <v>8443771</v>
      </c>
      <c r="J48" s="4">
        <f t="shared" si="0"/>
        <v>1126543.3600000001</v>
      </c>
      <c r="K48" s="4">
        <f>VLOOKUP(计算!G48,全部!C:N,12,FALSE)</f>
        <v>1126543.3600000001</v>
      </c>
      <c r="L48" s="5">
        <f>VLOOKUP(G48,全部!C:P,14,FALSE)</f>
        <v>0</v>
      </c>
      <c r="M48" s="5">
        <f>VLOOKUP(G48,全部!C:V,20,FALSE)*100</f>
        <v>3</v>
      </c>
      <c r="N48" s="6">
        <f>VLOOKUP(G48,全部!C:W,21,FALSE)</f>
        <v>287109.43079999997</v>
      </c>
      <c r="O48" s="4">
        <f>VLOOKUP(G48,全部!C:X,22,FALSE)</f>
        <v>287109</v>
      </c>
      <c r="P48" s="4">
        <f>VLOOKUP(G48,全部!C:Y,23,FALSE)</f>
        <v>287109</v>
      </c>
      <c r="Q48" s="6">
        <f>VLOOKUP(G48,全部!C:Z,24,FALSE)</f>
        <v>0</v>
      </c>
      <c r="R48" s="7">
        <f>VLOOKUP(G48,全部!C:AA,25,FALSE)</f>
        <v>8599000</v>
      </c>
      <c r="S48" s="7">
        <f>VLOOKUP(G48,全部!C:AB,26,FALSE)</f>
        <v>8599000</v>
      </c>
      <c r="T48" s="4">
        <f>VLOOKUP(计算!G48,全部!C:AC,27,FALSE)</f>
        <v>8599000</v>
      </c>
      <c r="U48" s="4">
        <f>VLOOKUP(G48,全部!C:AD,28,FALSE)</f>
        <v>8599000</v>
      </c>
      <c r="V48" s="6">
        <f>VLOOKUP(G48,全部!C:AE,29,FALSE)</f>
        <v>0.89850758047617574</v>
      </c>
      <c r="W48" s="4">
        <f>VLOOKUP(G48,全部!C:AF,30,FALSE)</f>
        <v>5958030.2599999998</v>
      </c>
      <c r="X48" s="4">
        <f>VLOOKUP(G48,全部!C:AG,31,FALSE)</f>
        <v>5958030.2599999998</v>
      </c>
      <c r="Y48" s="4">
        <f>VLOOKUP(计算!G48,全部!C:AH,32,FALSE)</f>
        <v>8594025.5299999993</v>
      </c>
      <c r="Z48" s="4">
        <f>VLOOKUP(G48,全部!C:AL,36,FALSE)</f>
        <v>8594025.5299999993</v>
      </c>
      <c r="AA48" s="4">
        <f>VLOOKUP(G48,全部!C:AM,37,FALSE)</f>
        <v>3.4000000000000002E-2</v>
      </c>
      <c r="AB48" s="6">
        <f>VLOOKUP(G48,全部!C:AN,38,FALSE)</f>
        <v>292366</v>
      </c>
      <c r="AC48" s="4">
        <f>VLOOKUP(G48,全部!C:AO,39,FALSE)</f>
        <v>292366</v>
      </c>
      <c r="AD48" s="4">
        <f>VLOOKUP(G48,全部!C:AP,40,FALSE)</f>
        <v>292366</v>
      </c>
      <c r="AE48" s="6">
        <f>VLOOKUP(G48,全部!C:AQ,41,FALSE)</f>
        <v>0</v>
      </c>
      <c r="AF48" s="4">
        <f>VLOOKUP(G48,全部!C:AR,42,FALSE)</f>
        <v>0</v>
      </c>
      <c r="AG48" s="7">
        <f>VLOOKUP(G48,全部!C:AS,43,FALSE)</f>
        <v>72</v>
      </c>
      <c r="AH48" s="64" t="str">
        <f>IF(VLOOKUP(G48,全部!C:AT,44,FALSE)=0,"",VLOOKUP(G48,全部!C:AT,44,FALSE))</f>
        <v>亦庄</v>
      </c>
      <c r="AI48">
        <v>0</v>
      </c>
      <c r="AJ48" s="3">
        <v>41912.686249999999</v>
      </c>
      <c r="AK48" s="2" t="s">
        <v>2185</v>
      </c>
    </row>
    <row r="49" spans="1:37" x14ac:dyDescent="0.15">
      <c r="A49" s="2" t="s">
        <v>2184</v>
      </c>
      <c r="B49">
        <v>585</v>
      </c>
      <c r="C49" s="3">
        <v>41113</v>
      </c>
      <c r="D49" s="2" t="s">
        <v>37</v>
      </c>
      <c r="E49" s="2" t="s">
        <v>2183</v>
      </c>
      <c r="F49" s="2" t="s">
        <v>38</v>
      </c>
      <c r="G49" s="2" t="s">
        <v>137</v>
      </c>
      <c r="H49" s="2" t="s">
        <v>138</v>
      </c>
      <c r="I49" s="4">
        <f>VLOOKUP(G49,全部!C:M,11,FALSE)</f>
        <v>4520000</v>
      </c>
      <c r="J49" s="4">
        <f t="shared" si="0"/>
        <v>0</v>
      </c>
      <c r="K49" s="4">
        <f>VLOOKUP(计算!G49,全部!C:N,12,FALSE)</f>
        <v>0</v>
      </c>
      <c r="L49" s="5">
        <f>VLOOKUP(G49,全部!C:P,14,FALSE)</f>
        <v>0</v>
      </c>
      <c r="M49" s="5">
        <f>VLOOKUP(G49,全部!C:V,20,FALSE)*100</f>
        <v>3.5999999999999996</v>
      </c>
      <c r="N49" s="6">
        <f>VLOOKUP(G49,全部!C:W,21,FALSE)</f>
        <v>162720</v>
      </c>
      <c r="O49" s="4">
        <f>VLOOKUP(G49,全部!C:X,22,FALSE)</f>
        <v>162720</v>
      </c>
      <c r="P49" s="4">
        <f>VLOOKUP(G49,全部!C:Y,23,FALSE)</f>
        <v>162720</v>
      </c>
      <c r="Q49" s="6">
        <f>VLOOKUP(G49,全部!C:Z,24,FALSE)</f>
        <v>0</v>
      </c>
      <c r="R49" s="7">
        <f>VLOOKUP(G49,全部!C:AA,25,FALSE)</f>
        <v>4395540.75</v>
      </c>
      <c r="S49" s="7">
        <f>VLOOKUP(G49,全部!C:AB,26,FALSE)</f>
        <v>4395540.75</v>
      </c>
      <c r="T49" s="4">
        <f>VLOOKUP(计算!G49,全部!C:AC,27,FALSE)</f>
        <v>3616000</v>
      </c>
      <c r="U49" s="4">
        <f>VLOOKUP(G49,全部!C:AD,28,FALSE)</f>
        <v>3616000</v>
      </c>
      <c r="V49" s="6">
        <f>VLOOKUP(G49,全部!C:AE,29,FALSE)</f>
        <v>0.8</v>
      </c>
      <c r="W49" s="4">
        <f>VLOOKUP(G49,全部!C:AF,30,FALSE)</f>
        <v>3533736</v>
      </c>
      <c r="X49" s="4">
        <f>VLOOKUP(G49,全部!C:AG,31,FALSE)</f>
        <v>3533736</v>
      </c>
      <c r="Y49" s="4">
        <f>VLOOKUP(计算!G49,全部!C:AH,32,FALSE)</f>
        <v>3616000</v>
      </c>
      <c r="Z49" s="4">
        <f>VLOOKUP(G49,全部!C:AL,36,FALSE)</f>
        <v>3616000</v>
      </c>
      <c r="AA49" s="4">
        <f>VLOOKUP(G49,全部!C:AM,37,FALSE)</f>
        <v>3.4000000000000002E-2</v>
      </c>
      <c r="AB49" s="6">
        <f>VLOOKUP(G49,全部!C:AN,38,FALSE)</f>
        <v>149448.3855</v>
      </c>
      <c r="AC49" s="4">
        <f>VLOOKUP(G49,全部!C:AO,39,FALSE)</f>
        <v>149448</v>
      </c>
      <c r="AD49" s="4">
        <f>VLOOKUP(G49,全部!C:AP,40,FALSE)</f>
        <v>149448</v>
      </c>
      <c r="AE49" s="6">
        <f>VLOOKUP(G49,全部!C:AQ,41,FALSE)</f>
        <v>0</v>
      </c>
      <c r="AF49" s="4">
        <f>VLOOKUP(G49,全部!C:AR,42,FALSE)</f>
        <v>0</v>
      </c>
      <c r="AG49" s="7">
        <f>VLOOKUP(G49,全部!C:AS,43,FALSE)</f>
        <v>0</v>
      </c>
      <c r="AH49" s="64" t="str">
        <f>IF(VLOOKUP(G49,全部!C:AT,44,FALSE)=0,"",VLOOKUP(G49,全部!C:AT,44,FALSE))</f>
        <v/>
      </c>
      <c r="AI49">
        <v>0</v>
      </c>
      <c r="AJ49" s="3">
        <v>41912.686249999999</v>
      </c>
      <c r="AK49" s="2" t="s">
        <v>2182</v>
      </c>
    </row>
    <row r="50" spans="1:37" x14ac:dyDescent="0.15">
      <c r="A50" s="2" t="s">
        <v>2181</v>
      </c>
      <c r="B50">
        <v>593</v>
      </c>
      <c r="C50" s="3">
        <v>41113</v>
      </c>
      <c r="D50" s="2" t="s">
        <v>37</v>
      </c>
      <c r="E50" s="2" t="s">
        <v>2180</v>
      </c>
      <c r="F50" s="2" t="s">
        <v>38</v>
      </c>
      <c r="G50" s="2" t="s">
        <v>139</v>
      </c>
      <c r="H50" s="2" t="s">
        <v>140</v>
      </c>
      <c r="I50" s="4">
        <f>VLOOKUP(G50,全部!C:M,11,FALSE)</f>
        <v>8171765</v>
      </c>
      <c r="J50" s="4">
        <f t="shared" si="0"/>
        <v>0</v>
      </c>
      <c r="K50" s="4">
        <f>VLOOKUP(计算!G50,全部!C:N,12,FALSE)</f>
        <v>0</v>
      </c>
      <c r="L50" s="5">
        <f>VLOOKUP(G50,全部!C:P,14,FALSE)</f>
        <v>0</v>
      </c>
      <c r="M50" s="5">
        <f>VLOOKUP(G50,全部!C:V,20,FALSE)*100</f>
        <v>3</v>
      </c>
      <c r="N50" s="6">
        <f>VLOOKUP(G50,全部!C:W,21,FALSE)</f>
        <v>245152.94999999998</v>
      </c>
      <c r="O50" s="4">
        <f>VLOOKUP(G50,全部!C:X,22,FALSE)</f>
        <v>245153</v>
      </c>
      <c r="P50" s="4">
        <f>VLOOKUP(G50,全部!C:Y,23,FALSE)</f>
        <v>245153</v>
      </c>
      <c r="Q50" s="6">
        <f>VLOOKUP(G50,全部!C:Z,24,FALSE)</f>
        <v>0</v>
      </c>
      <c r="R50" s="7">
        <f>VLOOKUP(G50,全部!C:AA,25,FALSE)</f>
        <v>6000000</v>
      </c>
      <c r="S50" s="7">
        <f>VLOOKUP(G50,全部!C:AB,26,FALSE)</f>
        <v>6000000</v>
      </c>
      <c r="T50" s="4">
        <f>VLOOKUP(计算!G50,全部!C:AC,27,FALSE)</f>
        <v>6000000</v>
      </c>
      <c r="U50" s="4">
        <f>VLOOKUP(G50,全部!C:AD,28,FALSE)</f>
        <v>6000000</v>
      </c>
      <c r="V50" s="6">
        <f>VLOOKUP(G50,全部!C:AE,29,FALSE)</f>
        <v>0.73423550481444344</v>
      </c>
      <c r="W50" s="4">
        <f>VLOOKUP(G50,全部!C:AF,30,FALSE)</f>
        <v>5613614.3500000006</v>
      </c>
      <c r="X50" s="4">
        <f>VLOOKUP(G50,全部!C:AG,31,FALSE)</f>
        <v>5613614.3499999996</v>
      </c>
      <c r="Y50" s="4">
        <f>VLOOKUP(计算!G50,全部!C:AH,32,FALSE)</f>
        <v>5991760.6000000006</v>
      </c>
      <c r="Z50" s="4">
        <f>VLOOKUP(G50,全部!C:AL,36,FALSE)</f>
        <v>5991760.5999999996</v>
      </c>
      <c r="AA50" s="4">
        <f>VLOOKUP(G50,全部!C:AM,37,FALSE)</f>
        <v>3.4000000000000002E-2</v>
      </c>
      <c r="AB50" s="6">
        <f>VLOOKUP(G50,全部!C:AN,38,FALSE)</f>
        <v>204000.00000000003</v>
      </c>
      <c r="AC50" s="4">
        <f>VLOOKUP(G50,全部!C:AO,39,FALSE)</f>
        <v>204000</v>
      </c>
      <c r="AD50" s="4">
        <f>VLOOKUP(G50,全部!C:AP,40,FALSE)</f>
        <v>204000</v>
      </c>
      <c r="AE50" s="6">
        <f>VLOOKUP(G50,全部!C:AQ,41,FALSE)</f>
        <v>0</v>
      </c>
      <c r="AF50" s="4">
        <f>VLOOKUP(G50,全部!C:AR,42,FALSE)</f>
        <v>0</v>
      </c>
      <c r="AG50" s="7">
        <f>VLOOKUP(G50,全部!C:AS,43,FALSE)</f>
        <v>100</v>
      </c>
      <c r="AH50" s="64" t="str">
        <f>IF(VLOOKUP(G50,全部!C:AT,44,FALSE)=0,"",VLOOKUP(G50,全部!C:AT,44,FALSE))</f>
        <v>管庄</v>
      </c>
      <c r="AI50">
        <v>0</v>
      </c>
      <c r="AJ50" s="3">
        <v>41912.686261574097</v>
      </c>
      <c r="AK50" s="2" t="s">
        <v>2179</v>
      </c>
    </row>
    <row r="51" spans="1:37" x14ac:dyDescent="0.15">
      <c r="A51" s="2" t="s">
        <v>2178</v>
      </c>
      <c r="B51">
        <v>554</v>
      </c>
      <c r="C51" s="3">
        <v>41117</v>
      </c>
      <c r="D51" s="2" t="s">
        <v>37</v>
      </c>
      <c r="E51" s="2" t="s">
        <v>2177</v>
      </c>
      <c r="F51" s="2" t="s">
        <v>38</v>
      </c>
      <c r="G51" s="2" t="s">
        <v>141</v>
      </c>
      <c r="H51" s="2" t="s">
        <v>142</v>
      </c>
      <c r="I51" s="4">
        <f>VLOOKUP(G51,全部!C:M,11,FALSE)</f>
        <v>328000</v>
      </c>
      <c r="J51" s="4">
        <f t="shared" si="0"/>
        <v>34031</v>
      </c>
      <c r="K51" s="4">
        <f>VLOOKUP(计算!G51,全部!C:N,12,FALSE)</f>
        <v>34031</v>
      </c>
      <c r="L51" s="5">
        <f>VLOOKUP(G51,全部!C:P,14,FALSE)</f>
        <v>0</v>
      </c>
      <c r="M51" s="5">
        <f>VLOOKUP(G51,全部!C:V,20,FALSE)*100</f>
        <v>3.5999999999999996</v>
      </c>
      <c r="N51" s="6">
        <f>VLOOKUP(G51,全部!C:W,21,FALSE)</f>
        <v>13033.115999999998</v>
      </c>
      <c r="O51" s="4">
        <f>VLOOKUP(G51,全部!C:X,22,FALSE)</f>
        <v>13033</v>
      </c>
      <c r="P51" s="4">
        <f>VLOOKUP(G51,全部!C:Y,23,FALSE)</f>
        <v>13033</v>
      </c>
      <c r="Q51" s="6">
        <f>VLOOKUP(G51,全部!C:Z,24,FALSE)</f>
        <v>0</v>
      </c>
      <c r="R51" s="7">
        <f>VLOOKUP(G51,全部!C:AA,25,FALSE)</f>
        <v>343930</v>
      </c>
      <c r="S51" s="7">
        <f>VLOOKUP(G51,全部!C:AB,26,FALSE)</f>
        <v>343930</v>
      </c>
      <c r="T51" s="4">
        <f>VLOOKUP(计算!G51,全部!C:AC,27,FALSE)</f>
        <v>343930</v>
      </c>
      <c r="U51" s="4">
        <f>VLOOKUP(G51,全部!C:AD,28,FALSE)</f>
        <v>343930</v>
      </c>
      <c r="V51" s="6">
        <f>VLOOKUP(G51,全部!C:AE,29,FALSE)</f>
        <v>0.95000151920691878</v>
      </c>
      <c r="W51" s="4">
        <f>VLOOKUP(G51,全部!C:AF,30,FALSE)</f>
        <v>114435.82</v>
      </c>
      <c r="X51" s="4">
        <f>VLOOKUP(G51,全部!C:AG,31,FALSE)</f>
        <v>114435.82</v>
      </c>
      <c r="Y51" s="4">
        <f>VLOOKUP(计算!G51,全部!C:AH,32,FALSE)</f>
        <v>339814</v>
      </c>
      <c r="Z51" s="4">
        <f>VLOOKUP(G51,全部!C:AL,36,FALSE)</f>
        <v>339814</v>
      </c>
      <c r="AA51" s="4">
        <f>VLOOKUP(G51,全部!C:AM,37,FALSE)</f>
        <v>3.4000000000000002E-2</v>
      </c>
      <c r="AB51" s="6">
        <f>VLOOKUP(G51,全部!C:AN,38,FALSE)</f>
        <v>11693.62</v>
      </c>
      <c r="AC51" s="4">
        <f>VLOOKUP(G51,全部!C:AO,39,FALSE)</f>
        <v>11693</v>
      </c>
      <c r="AD51" s="4">
        <f>VLOOKUP(G51,全部!C:AP,40,FALSE)</f>
        <v>11693</v>
      </c>
      <c r="AE51" s="6">
        <f>VLOOKUP(G51,全部!C:AQ,41,FALSE)</f>
        <v>0</v>
      </c>
      <c r="AF51" s="4">
        <f>VLOOKUP(G51,全部!C:AR,42,FALSE)</f>
        <v>0</v>
      </c>
      <c r="AG51" s="7">
        <f>VLOOKUP(G51,全部!C:AS,43,FALSE)</f>
        <v>4</v>
      </c>
      <c r="AH51" s="64" t="str">
        <f>IF(VLOOKUP(G51,全部!C:AT,44,FALSE)=0,"",VLOOKUP(G51,全部!C:AT,44,FALSE))</f>
        <v>管庄</v>
      </c>
      <c r="AI51">
        <v>0</v>
      </c>
      <c r="AJ51" s="3">
        <v>41912.686249999999</v>
      </c>
      <c r="AK51" s="2" t="s">
        <v>2176</v>
      </c>
    </row>
    <row r="52" spans="1:37" x14ac:dyDescent="0.15">
      <c r="A52" s="2" t="s">
        <v>2175</v>
      </c>
      <c r="B52">
        <v>59</v>
      </c>
      <c r="C52" s="3">
        <v>41122</v>
      </c>
      <c r="D52" s="2" t="s">
        <v>37</v>
      </c>
      <c r="E52" s="2" t="s">
        <v>2174</v>
      </c>
      <c r="F52" s="2" t="s">
        <v>41</v>
      </c>
      <c r="G52" s="2" t="s">
        <v>143</v>
      </c>
      <c r="H52" s="2" t="s">
        <v>144</v>
      </c>
      <c r="I52" s="4">
        <f>VLOOKUP(G52,全部!C:M,11,FALSE)</f>
        <v>10343049.93</v>
      </c>
      <c r="J52" s="4">
        <f t="shared" si="0"/>
        <v>0</v>
      </c>
      <c r="K52" s="4">
        <f>VLOOKUP(计算!G52,全部!C:N,12,FALSE)</f>
        <v>0</v>
      </c>
      <c r="L52" s="5">
        <f>VLOOKUP(G52,全部!C:P,14,FALSE)</f>
        <v>0</v>
      </c>
      <c r="M52" s="5">
        <f>VLOOKUP(G52,全部!C:V,20,FALSE)*100</f>
        <v>3.5000000000000004</v>
      </c>
      <c r="N52" s="6">
        <f>VLOOKUP(G52,全部!C:W,21,FALSE)</f>
        <v>362006.74755000003</v>
      </c>
      <c r="O52" s="4">
        <f>VLOOKUP(G52,全部!C:X,22,FALSE)</f>
        <v>362006.75</v>
      </c>
      <c r="P52" s="4">
        <f>VLOOKUP(G52,全部!C:Y,23,FALSE)</f>
        <v>362006.75</v>
      </c>
      <c r="Q52" s="6">
        <f>VLOOKUP(G52,全部!C:Z,24,FALSE)</f>
        <v>-2.4499999708496034E-3</v>
      </c>
      <c r="R52" s="7">
        <f>VLOOKUP(G52,全部!C:AA,25,FALSE)</f>
        <v>0</v>
      </c>
      <c r="S52" s="7">
        <f>VLOOKUP(G52,全部!C:AB,26,FALSE)</f>
        <v>0</v>
      </c>
      <c r="T52" s="4">
        <f>VLOOKUP(计算!G52,全部!C:AC,27,FALSE)</f>
        <v>7860688.0099999998</v>
      </c>
      <c r="U52" s="4">
        <f>VLOOKUP(G52,全部!C:AD,28,FALSE)</f>
        <v>7860688.0099999998</v>
      </c>
      <c r="V52" s="6">
        <f>VLOOKUP(G52,全部!C:AE,29,FALSE)</f>
        <v>0.75999710561196143</v>
      </c>
      <c r="W52" s="4">
        <f>VLOOKUP(G52,全部!C:AF,30,FALSE)</f>
        <v>0</v>
      </c>
      <c r="X52" s="4">
        <f>VLOOKUP(G52,全部!C:AG,31,FALSE)</f>
        <v>0</v>
      </c>
      <c r="Y52" s="4">
        <f>VLOOKUP(计算!G52,全部!C:AH,32,FALSE)</f>
        <v>7748729.1299999999</v>
      </c>
      <c r="Z52" s="4">
        <f>VLOOKUP(G52,全部!C:AL,36,FALSE)</f>
        <v>7748729.1299999999</v>
      </c>
      <c r="AA52" s="4">
        <f>VLOOKUP(G52,全部!C:AM,37,FALSE)</f>
        <v>3.4000000000000002E-2</v>
      </c>
      <c r="AB52" s="6">
        <f>VLOOKUP(G52,全部!C:AN,38,FALSE)</f>
        <v>351663.69761999999</v>
      </c>
      <c r="AC52" s="4">
        <f>VLOOKUP(G52,全部!C:AO,39,FALSE)</f>
        <v>111118.8</v>
      </c>
      <c r="AD52" s="4">
        <f>VLOOKUP(G52,全部!C:AP,40,FALSE)</f>
        <v>111118.8</v>
      </c>
      <c r="AE52" s="6">
        <f>VLOOKUP(G52,全部!C:AQ,41,FALSE)</f>
        <v>240544.89762</v>
      </c>
      <c r="AF52" s="4">
        <f>VLOOKUP(G52,全部!C:AR,42,FALSE)</f>
        <v>0</v>
      </c>
      <c r="AG52" s="7">
        <f>VLOOKUP(G52,全部!C:AS,43,FALSE)</f>
        <v>0</v>
      </c>
      <c r="AH52" s="64" t="str">
        <f>IF(VLOOKUP(G52,全部!C:AT,44,FALSE)=0,"",VLOOKUP(G52,全部!C:AT,44,FALSE))</f>
        <v/>
      </c>
      <c r="AI52">
        <v>0</v>
      </c>
      <c r="AJ52" s="3">
        <v>41912.6862384259</v>
      </c>
      <c r="AK52" s="2" t="s">
        <v>2173</v>
      </c>
    </row>
    <row r="53" spans="1:37" x14ac:dyDescent="0.15">
      <c r="A53" s="2" t="s">
        <v>2172</v>
      </c>
      <c r="B53">
        <v>601</v>
      </c>
      <c r="C53" s="3">
        <v>41128</v>
      </c>
      <c r="D53" s="2" t="s">
        <v>37</v>
      </c>
      <c r="E53" s="2" t="s">
        <v>2171</v>
      </c>
      <c r="F53" s="2" t="s">
        <v>38</v>
      </c>
      <c r="G53" s="2" t="s">
        <v>145</v>
      </c>
      <c r="H53" s="2" t="s">
        <v>146</v>
      </c>
      <c r="I53" s="4">
        <f>VLOOKUP(G53,全部!C:M,11,FALSE)</f>
        <v>5170956.9400000004</v>
      </c>
      <c r="J53" s="4">
        <f t="shared" si="0"/>
        <v>0</v>
      </c>
      <c r="K53" s="4">
        <f>VLOOKUP(计算!G53,全部!C:N,12,FALSE)</f>
        <v>0</v>
      </c>
      <c r="L53" s="5">
        <f>VLOOKUP(G53,全部!C:P,14,FALSE)</f>
        <v>0</v>
      </c>
      <c r="M53" s="5">
        <f>VLOOKUP(G53,全部!C:V,20,FALSE)*100</f>
        <v>3</v>
      </c>
      <c r="N53" s="6">
        <f>VLOOKUP(G53,全部!C:W,21,FALSE)</f>
        <v>155128.70819999999</v>
      </c>
      <c r="O53" s="4">
        <f>VLOOKUP(G53,全部!C:X,22,FALSE)</f>
        <v>155129</v>
      </c>
      <c r="P53" s="4">
        <f>VLOOKUP(G53,全部!C:Y,23,FALSE)</f>
        <v>155129</v>
      </c>
      <c r="Q53" s="6">
        <f>VLOOKUP(G53,全部!C:Z,24,FALSE)</f>
        <v>0</v>
      </c>
      <c r="R53" s="7">
        <f>VLOOKUP(G53,全部!C:AA,25,FALSE)</f>
        <v>4912409.09</v>
      </c>
      <c r="S53" s="7">
        <f>VLOOKUP(G53,全部!C:AB,26,FALSE)</f>
        <v>4912409.09</v>
      </c>
      <c r="T53" s="4">
        <f>VLOOKUP(计算!G53,全部!C:AC,27,FALSE)</f>
        <v>4912409.09</v>
      </c>
      <c r="U53" s="4">
        <f>VLOOKUP(G53,全部!C:AD,28,FALSE)</f>
        <v>4912409.09</v>
      </c>
      <c r="V53" s="6">
        <f>VLOOKUP(G53,全部!C:AE,29,FALSE)</f>
        <v>0.94999999941983648</v>
      </c>
      <c r="W53" s="4">
        <f>VLOOKUP(G53,全部!C:AF,30,FALSE)</f>
        <v>4676282.45</v>
      </c>
      <c r="X53" s="4">
        <f>VLOOKUP(G53,全部!C:AG,31,FALSE)</f>
        <v>4676282.45</v>
      </c>
      <c r="Y53" s="4">
        <f>VLOOKUP(计算!G53,全部!C:AH,32,FALSE)</f>
        <v>4902104.45</v>
      </c>
      <c r="Z53" s="4">
        <f>VLOOKUP(G53,全部!C:AL,36,FALSE)</f>
        <v>4902104.45</v>
      </c>
      <c r="AA53" s="4">
        <f>VLOOKUP(G53,全部!C:AM,37,FALSE)</f>
        <v>3.4000000000000002E-2</v>
      </c>
      <c r="AB53" s="6">
        <f>VLOOKUP(G53,全部!C:AN,38,FALSE)</f>
        <v>167021.90906000001</v>
      </c>
      <c r="AC53" s="4">
        <f>VLOOKUP(G53,全部!C:AO,39,FALSE)</f>
        <v>167022</v>
      </c>
      <c r="AD53" s="4">
        <f>VLOOKUP(G53,全部!C:AP,40,FALSE)</f>
        <v>167022</v>
      </c>
      <c r="AE53" s="6">
        <f>VLOOKUP(G53,全部!C:AQ,41,FALSE)</f>
        <v>0</v>
      </c>
      <c r="AF53" s="4">
        <f>VLOOKUP(G53,全部!C:AR,42,FALSE)</f>
        <v>0</v>
      </c>
      <c r="AG53" s="7">
        <f>VLOOKUP(G53,全部!C:AS,43,FALSE)</f>
        <v>16</v>
      </c>
      <c r="AH53" s="64" t="str">
        <f>IF(VLOOKUP(G53,全部!C:AT,44,FALSE)=0,"",VLOOKUP(G53,全部!C:AT,44,FALSE))</f>
        <v>亦庄</v>
      </c>
      <c r="AI53">
        <v>0</v>
      </c>
      <c r="AJ53" s="3">
        <v>41912.686261574097</v>
      </c>
      <c r="AK53" s="2" t="s">
        <v>2170</v>
      </c>
    </row>
    <row r="54" spans="1:37" x14ac:dyDescent="0.15">
      <c r="A54" s="2" t="s">
        <v>2169</v>
      </c>
      <c r="B54">
        <v>612</v>
      </c>
      <c r="C54" s="3">
        <v>41130</v>
      </c>
      <c r="D54" s="2" t="s">
        <v>37</v>
      </c>
      <c r="E54" s="2" t="s">
        <v>2168</v>
      </c>
      <c r="F54" s="2" t="s">
        <v>38</v>
      </c>
      <c r="G54" s="2" t="s">
        <v>147</v>
      </c>
      <c r="H54" s="2" t="s">
        <v>148</v>
      </c>
      <c r="I54" s="4">
        <f>VLOOKUP(G54,全部!C:M,11,FALSE)</f>
        <v>7737463.3499999996</v>
      </c>
      <c r="J54" s="4">
        <f t="shared" si="0"/>
        <v>0</v>
      </c>
      <c r="K54" s="4">
        <f>VLOOKUP(计算!G54,全部!C:N,12,FALSE)</f>
        <v>0</v>
      </c>
      <c r="L54" s="5">
        <f>VLOOKUP(G54,全部!C:P,14,FALSE)</f>
        <v>0</v>
      </c>
      <c r="M54" s="5">
        <f>VLOOKUP(G54,全部!C:V,20,FALSE)*100</f>
        <v>3</v>
      </c>
      <c r="N54" s="6">
        <f>VLOOKUP(G54,全部!C:W,21,FALSE)</f>
        <v>232123.90049999999</v>
      </c>
      <c r="O54" s="4">
        <f>VLOOKUP(G54,全部!C:X,22,FALSE)</f>
        <v>232124</v>
      </c>
      <c r="P54" s="4">
        <f>VLOOKUP(G54,全部!C:Y,23,FALSE)</f>
        <v>232124</v>
      </c>
      <c r="Q54" s="6">
        <f>VLOOKUP(G54,全部!C:Z,24,FALSE)</f>
        <v>0</v>
      </c>
      <c r="R54" s="7">
        <f>VLOOKUP(G54,全部!C:AA,25,FALSE)</f>
        <v>7737463.3599999994</v>
      </c>
      <c r="S54" s="7">
        <f>VLOOKUP(G54,全部!C:AB,26,FALSE)</f>
        <v>7737463.3600000003</v>
      </c>
      <c r="T54" s="4">
        <f>VLOOKUP(计算!G54,全部!C:AC,27,FALSE)</f>
        <v>7737463.3599999994</v>
      </c>
      <c r="U54" s="4">
        <f>VLOOKUP(G54,全部!C:AD,28,FALSE)</f>
        <v>7737463.3600000003</v>
      </c>
      <c r="V54" s="6">
        <f>VLOOKUP(G54,全部!C:AE,29,FALSE)</f>
        <v>1.0000000012924133</v>
      </c>
      <c r="W54" s="4">
        <f>VLOOKUP(G54,全部!C:AF,30,FALSE)</f>
        <v>6908727.1100000003</v>
      </c>
      <c r="X54" s="4">
        <f>VLOOKUP(G54,全部!C:AG,31,FALSE)</f>
        <v>6908727.1100000003</v>
      </c>
      <c r="Y54" s="4">
        <f>VLOOKUP(计算!G54,全部!C:AH,32,FALSE)</f>
        <v>7736045.21</v>
      </c>
      <c r="Z54" s="4">
        <f>VLOOKUP(G54,全部!C:AL,36,FALSE)</f>
        <v>7737228.21</v>
      </c>
      <c r="AA54" s="4">
        <f>VLOOKUP(G54,全部!C:AM,37,FALSE)</f>
        <v>3.4000000000000002E-2</v>
      </c>
      <c r="AB54" s="6">
        <f>VLOOKUP(G54,全部!C:AN,38,FALSE)</f>
        <v>263073.75424000004</v>
      </c>
      <c r="AC54" s="4">
        <f>VLOOKUP(G54,全部!C:AO,39,FALSE)</f>
        <v>263074</v>
      </c>
      <c r="AD54" s="4">
        <f>VLOOKUP(G54,全部!C:AP,40,FALSE)</f>
        <v>263074</v>
      </c>
      <c r="AE54" s="6">
        <f>VLOOKUP(G54,全部!C:AQ,41,FALSE)</f>
        <v>0</v>
      </c>
      <c r="AF54" s="4">
        <f>VLOOKUP(G54,全部!C:AR,42,FALSE)</f>
        <v>0</v>
      </c>
      <c r="AG54" s="7">
        <f>VLOOKUP(G54,全部!C:AS,43,FALSE)</f>
        <v>10</v>
      </c>
      <c r="AH54" s="64" t="str">
        <f>IF(VLOOKUP(G54,全部!C:AT,44,FALSE)=0,"",VLOOKUP(G54,全部!C:AT,44,FALSE))</f>
        <v>管庄</v>
      </c>
      <c r="AI54">
        <v>0</v>
      </c>
      <c r="AJ54" s="3">
        <v>41912.686261574097</v>
      </c>
      <c r="AK54" s="2" t="s">
        <v>2167</v>
      </c>
    </row>
    <row r="55" spans="1:37" x14ac:dyDescent="0.15">
      <c r="A55" s="2" t="s">
        <v>2166</v>
      </c>
      <c r="B55">
        <v>620</v>
      </c>
      <c r="C55" s="3">
        <v>41130</v>
      </c>
      <c r="D55" s="2" t="s">
        <v>37</v>
      </c>
      <c r="E55" s="2" t="s">
        <v>2165</v>
      </c>
      <c r="F55" s="2" t="s">
        <v>38</v>
      </c>
      <c r="G55" s="2" t="s">
        <v>149</v>
      </c>
      <c r="H55" s="2" t="s">
        <v>150</v>
      </c>
      <c r="I55" s="4">
        <f>VLOOKUP(G55,全部!C:M,11,FALSE)</f>
        <v>1615034.9</v>
      </c>
      <c r="J55" s="4">
        <f t="shared" si="0"/>
        <v>20970833.399999999</v>
      </c>
      <c r="K55" s="4">
        <f>VLOOKUP(计算!G55,全部!C:N,12,FALSE)</f>
        <v>20970833.399999999</v>
      </c>
      <c r="L55" s="5">
        <f>VLOOKUP(G55,全部!C:P,14,FALSE)</f>
        <v>0</v>
      </c>
      <c r="M55" s="5">
        <f>VLOOKUP(G55,全部!C:V,20,FALSE)*100</f>
        <v>3</v>
      </c>
      <c r="N55" s="6">
        <f>VLOOKUP(G55,全部!C:W,21,FALSE)</f>
        <v>677576.04899999988</v>
      </c>
      <c r="O55" s="4">
        <f>VLOOKUP(G55,全部!C:X,22,FALSE)</f>
        <v>677576</v>
      </c>
      <c r="P55" s="4">
        <f>VLOOKUP(G55,全部!C:Y,23,FALSE)</f>
        <v>677576</v>
      </c>
      <c r="Q55" s="6">
        <f>VLOOKUP(G55,全部!C:Z,24,FALSE)</f>
        <v>0</v>
      </c>
      <c r="R55" s="7">
        <f>VLOOKUP(G55,全部!C:AA,25,FALSE)</f>
        <v>19750000</v>
      </c>
      <c r="S55" s="7">
        <f>VLOOKUP(G55,全部!C:AB,26,FALSE)</f>
        <v>19750000</v>
      </c>
      <c r="T55" s="4">
        <f>VLOOKUP(计算!G55,全部!C:AC,27,FALSE)</f>
        <v>18850000</v>
      </c>
      <c r="U55" s="4">
        <f>VLOOKUP(G55,全部!C:AD,28,FALSE)</f>
        <v>18850000</v>
      </c>
      <c r="V55" s="6">
        <f>VLOOKUP(G55,全部!C:AE,29,FALSE)</f>
        <v>0.83459266429885282</v>
      </c>
      <c r="W55" s="4">
        <f>VLOOKUP(G55,全部!C:AF,30,FALSE)</f>
        <v>16568345.399999999</v>
      </c>
      <c r="X55" s="4">
        <f>VLOOKUP(G55,全部!C:AG,31,FALSE)</f>
        <v>16568345.4</v>
      </c>
      <c r="Y55" s="4">
        <f>VLOOKUP(计算!G55,全部!C:AH,32,FALSE)</f>
        <v>18818897.609999999</v>
      </c>
      <c r="Z55" s="4">
        <f>VLOOKUP(G55,全部!C:AL,36,FALSE)</f>
        <v>18818897.609999999</v>
      </c>
      <c r="AA55" s="4">
        <f>VLOOKUP(G55,全部!C:AM,37,FALSE)</f>
        <v>3.4000000000000002E-2</v>
      </c>
      <c r="AB55" s="6">
        <f>VLOOKUP(G55,全部!C:AN,38,FALSE)</f>
        <v>671500</v>
      </c>
      <c r="AC55" s="4">
        <f>VLOOKUP(G55,全部!C:AO,39,FALSE)</f>
        <v>671500</v>
      </c>
      <c r="AD55" s="4">
        <f>VLOOKUP(G55,全部!C:AP,40,FALSE)</f>
        <v>671500</v>
      </c>
      <c r="AE55" s="6">
        <f>VLOOKUP(G55,全部!C:AQ,41,FALSE)</f>
        <v>0</v>
      </c>
      <c r="AF55" s="4">
        <f>VLOOKUP(G55,全部!C:AR,42,FALSE)</f>
        <v>0</v>
      </c>
      <c r="AG55" s="7">
        <f>VLOOKUP(G55,全部!C:AS,43,FALSE)</f>
        <v>0</v>
      </c>
      <c r="AH55" s="64" t="str">
        <f>IF(VLOOKUP(G55,全部!C:AT,44,FALSE)=0,"",VLOOKUP(G55,全部!C:AT,44,FALSE))</f>
        <v/>
      </c>
      <c r="AI55">
        <v>0</v>
      </c>
      <c r="AJ55" s="3">
        <v>41912.686261574097</v>
      </c>
      <c r="AK55" s="2" t="s">
        <v>2164</v>
      </c>
    </row>
    <row r="56" spans="1:37" x14ac:dyDescent="0.15">
      <c r="A56" s="2" t="s">
        <v>2163</v>
      </c>
      <c r="B56">
        <v>64</v>
      </c>
      <c r="C56" s="3">
        <v>41153</v>
      </c>
      <c r="D56" s="2" t="s">
        <v>37</v>
      </c>
      <c r="E56" s="2" t="s">
        <v>2162</v>
      </c>
      <c r="F56" s="2" t="s">
        <v>41</v>
      </c>
      <c r="G56" s="2" t="s">
        <v>151</v>
      </c>
      <c r="H56" s="2" t="s">
        <v>152</v>
      </c>
      <c r="I56" s="4">
        <f>VLOOKUP(G56,全部!C:M,11,FALSE)</f>
        <v>10102313.33</v>
      </c>
      <c r="J56" s="4">
        <f t="shared" si="0"/>
        <v>0</v>
      </c>
      <c r="K56" s="4">
        <f>VLOOKUP(计算!G56,全部!C:N,12,FALSE)</f>
        <v>0</v>
      </c>
      <c r="L56" s="5">
        <f>VLOOKUP(G56,全部!C:P,14,FALSE)</f>
        <v>0</v>
      </c>
      <c r="M56" s="5">
        <f>VLOOKUP(G56,全部!C:V,20,FALSE)*100</f>
        <v>5</v>
      </c>
      <c r="N56" s="6">
        <f>VLOOKUP(G56,全部!C:W,21,FALSE)</f>
        <v>505115.66650000005</v>
      </c>
      <c r="O56" s="4">
        <f>VLOOKUP(G56,全部!C:X,22,FALSE)</f>
        <v>505116</v>
      </c>
      <c r="P56" s="4">
        <f>VLOOKUP(G56,全部!C:Y,23,FALSE)</f>
        <v>505116</v>
      </c>
      <c r="Q56" s="6">
        <f>VLOOKUP(G56,全部!C:Z,24,FALSE)</f>
        <v>-0.33349999994970858</v>
      </c>
      <c r="R56" s="7">
        <f>VLOOKUP(G56,全部!C:AA,25,FALSE)</f>
        <v>0</v>
      </c>
      <c r="S56" s="7">
        <f>VLOOKUP(G56,全部!C:AB,26,FALSE)</f>
        <v>0</v>
      </c>
      <c r="T56" s="4">
        <f>VLOOKUP(计算!G56,全部!C:AC,27,FALSE)</f>
        <v>8081848.8399999999</v>
      </c>
      <c r="U56" s="4">
        <f>VLOOKUP(G56,全部!C:AD,28,FALSE)</f>
        <v>8081848.8399999999</v>
      </c>
      <c r="V56" s="6">
        <f>VLOOKUP(G56,全部!C:AE,29,FALSE)</f>
        <v>0.79999981944729481</v>
      </c>
      <c r="W56" s="4">
        <f>VLOOKUP(G56,全部!C:AF,30,FALSE)</f>
        <v>0</v>
      </c>
      <c r="X56" s="4">
        <f>VLOOKUP(G56,全部!C:AG,31,FALSE)</f>
        <v>0</v>
      </c>
      <c r="Y56" s="4">
        <f>VLOOKUP(计算!G56,全部!C:AH,32,FALSE)</f>
        <v>7517811.9900000002</v>
      </c>
      <c r="Z56" s="4">
        <f>VLOOKUP(G56,全部!C:AL,36,FALSE)</f>
        <v>7517811.9900000002</v>
      </c>
      <c r="AA56" s="4">
        <f>VLOOKUP(G56,全部!C:AM,37,FALSE)</f>
        <v>0</v>
      </c>
      <c r="AB56" s="6">
        <f>VLOOKUP(G56,全部!C:AN,38,FALSE)</f>
        <v>0</v>
      </c>
      <c r="AC56" s="4">
        <f>VLOOKUP(G56,全部!C:AO,39,FALSE)</f>
        <v>306828.08</v>
      </c>
      <c r="AD56" s="4">
        <f>VLOOKUP(G56,全部!C:AP,40,FALSE)</f>
        <v>306828.08</v>
      </c>
      <c r="AE56" s="6">
        <f>VLOOKUP(G56,全部!C:AQ,41,FALSE)</f>
        <v>-306828.08</v>
      </c>
      <c r="AF56" s="4">
        <f>VLOOKUP(G56,全部!C:AR,42,FALSE)</f>
        <v>0</v>
      </c>
      <c r="AG56" s="7">
        <f>VLOOKUP(G56,全部!C:AS,43,FALSE)</f>
        <v>0</v>
      </c>
      <c r="AH56" s="64" t="str">
        <f>IF(VLOOKUP(G56,全部!C:AT,44,FALSE)=0,"",VLOOKUP(G56,全部!C:AT,44,FALSE))</f>
        <v/>
      </c>
      <c r="AI56">
        <v>0</v>
      </c>
      <c r="AJ56" s="3">
        <v>41912.6862384259</v>
      </c>
      <c r="AK56" s="2" t="s">
        <v>2161</v>
      </c>
    </row>
    <row r="57" spans="1:37" x14ac:dyDescent="0.15">
      <c r="A57" s="2" t="s">
        <v>2160</v>
      </c>
      <c r="B57">
        <v>628</v>
      </c>
      <c r="C57" s="3">
        <v>41155</v>
      </c>
      <c r="D57" s="2" t="s">
        <v>37</v>
      </c>
      <c r="E57" s="2" t="s">
        <v>2159</v>
      </c>
      <c r="F57" s="2" t="s">
        <v>38</v>
      </c>
      <c r="G57" s="2" t="s">
        <v>153</v>
      </c>
      <c r="H57" s="2" t="s">
        <v>154</v>
      </c>
      <c r="I57" s="4">
        <f>VLOOKUP(G57,全部!C:M,11,FALSE)</f>
        <v>20572132.07</v>
      </c>
      <c r="J57" s="4">
        <f t="shared" si="0"/>
        <v>0</v>
      </c>
      <c r="K57" s="4">
        <f>VLOOKUP(计算!G57,全部!C:N,12,FALSE)</f>
        <v>0</v>
      </c>
      <c r="L57" s="5">
        <f>VLOOKUP(G57,全部!C:P,14,FALSE)</f>
        <v>0</v>
      </c>
      <c r="M57" s="5">
        <f>VLOOKUP(G57,全部!C:V,20,FALSE)*100</f>
        <v>3</v>
      </c>
      <c r="N57" s="6">
        <f>VLOOKUP(G57,全部!C:W,21,FALSE)</f>
        <v>617163.9621</v>
      </c>
      <c r="O57" s="4">
        <f>VLOOKUP(G57,全部!C:X,22,FALSE)</f>
        <v>617164</v>
      </c>
      <c r="P57" s="4">
        <f>VLOOKUP(G57,全部!C:Y,23,FALSE)</f>
        <v>617164</v>
      </c>
      <c r="Q57" s="6">
        <f>VLOOKUP(G57,全部!C:Z,24,FALSE)</f>
        <v>0</v>
      </c>
      <c r="R57" s="7">
        <f>VLOOKUP(G57,全部!C:AA,25,FALSE)</f>
        <v>8450000</v>
      </c>
      <c r="S57" s="7">
        <f>VLOOKUP(G57,全部!C:AB,26,FALSE)</f>
        <v>8450000</v>
      </c>
      <c r="T57" s="4">
        <f>VLOOKUP(计算!G57,全部!C:AC,27,FALSE)</f>
        <v>11402300</v>
      </c>
      <c r="U57" s="4">
        <f>VLOOKUP(G57,全部!C:AD,28,FALSE)</f>
        <v>11402300</v>
      </c>
      <c r="V57" s="6">
        <f>VLOOKUP(G57,全部!C:AE,29,FALSE)</f>
        <v>0.55425951773991311</v>
      </c>
      <c r="W57" s="4">
        <f>VLOOKUP(G57,全部!C:AF,30,FALSE)</f>
        <v>9476128.4499999993</v>
      </c>
      <c r="X57" s="4">
        <f>VLOOKUP(G57,全部!C:AG,31,FALSE)</f>
        <v>9476128.4499999993</v>
      </c>
      <c r="Y57" s="4">
        <f>VLOOKUP(计算!G57,全部!C:AH,32,FALSE)</f>
        <v>10916099.67</v>
      </c>
      <c r="Z57" s="4">
        <f>VLOOKUP(G57,全部!C:AL,36,FALSE)</f>
        <v>10916099.67</v>
      </c>
      <c r="AA57" s="4">
        <f>VLOOKUP(G57,全部!C:AM,37,FALSE)</f>
        <v>3.4000000000000002E-2</v>
      </c>
      <c r="AB57" s="6">
        <f>VLOOKUP(G57,全部!C:AN,38,FALSE)</f>
        <v>287300</v>
      </c>
      <c r="AC57" s="4">
        <f>VLOOKUP(G57,全部!C:AO,39,FALSE)</f>
        <v>287300</v>
      </c>
      <c r="AD57" s="4">
        <f>VLOOKUP(G57,全部!C:AP,40,FALSE)</f>
        <v>287300</v>
      </c>
      <c r="AE57" s="6">
        <f>VLOOKUP(G57,全部!C:AQ,41,FALSE)</f>
        <v>0</v>
      </c>
      <c r="AF57" s="4">
        <f>VLOOKUP(G57,全部!C:AR,42,FALSE)</f>
        <v>0</v>
      </c>
      <c r="AG57" s="7">
        <f>VLOOKUP(G57,全部!C:AS,43,FALSE)</f>
        <v>55</v>
      </c>
      <c r="AH57" s="64" t="str">
        <f>IF(VLOOKUP(G57,全部!C:AT,44,FALSE)=0,"",VLOOKUP(G57,全部!C:AT,44,FALSE))</f>
        <v>管庄</v>
      </c>
      <c r="AI57">
        <v>0</v>
      </c>
      <c r="AJ57" s="3">
        <v>41912.686261574097</v>
      </c>
      <c r="AK57" s="2" t="s">
        <v>2158</v>
      </c>
    </row>
    <row r="58" spans="1:37" x14ac:dyDescent="0.15">
      <c r="A58" s="2" t="s">
        <v>2157</v>
      </c>
      <c r="B58">
        <v>637</v>
      </c>
      <c r="C58" s="3">
        <v>41155</v>
      </c>
      <c r="D58" s="2" t="s">
        <v>37</v>
      </c>
      <c r="E58" s="2" t="s">
        <v>2156</v>
      </c>
      <c r="F58" s="2" t="s">
        <v>38</v>
      </c>
      <c r="G58" s="2" t="s">
        <v>155</v>
      </c>
      <c r="H58" s="2" t="s">
        <v>156</v>
      </c>
      <c r="I58" s="4">
        <f>VLOOKUP(G58,全部!C:M,11,FALSE)</f>
        <v>500000</v>
      </c>
      <c r="J58" s="4">
        <f t="shared" si="0"/>
        <v>1680151.0899999999</v>
      </c>
      <c r="K58" s="4">
        <f>VLOOKUP(计算!G58,全部!C:N,12,FALSE)</f>
        <v>1680151.0899999999</v>
      </c>
      <c r="L58" s="5">
        <f>VLOOKUP(G58,全部!C:P,14,FALSE)</f>
        <v>0</v>
      </c>
      <c r="M58" s="5">
        <f>VLOOKUP(G58,全部!C:V,20,FALSE)*100</f>
        <v>3</v>
      </c>
      <c r="N58" s="6">
        <f>VLOOKUP(G58,全部!C:W,21,FALSE)</f>
        <v>65404.532699999996</v>
      </c>
      <c r="O58" s="4">
        <f>VLOOKUP(G58,全部!C:X,22,FALSE)</f>
        <v>65405</v>
      </c>
      <c r="P58" s="4">
        <f>VLOOKUP(G58,全部!C:Y,23,FALSE)</f>
        <v>65405</v>
      </c>
      <c r="Q58" s="6">
        <f>VLOOKUP(G58,全部!C:Z,24,FALSE)</f>
        <v>0</v>
      </c>
      <c r="R58" s="7">
        <f>VLOOKUP(G58,全部!C:AA,25,FALSE)</f>
        <v>1736110.48</v>
      </c>
      <c r="S58" s="7">
        <f>VLOOKUP(G58,全部!C:AB,26,FALSE)</f>
        <v>1736110.48</v>
      </c>
      <c r="T58" s="4">
        <f>VLOOKUP(计算!G58,全部!C:AC,27,FALSE)</f>
        <v>1681703.26</v>
      </c>
      <c r="U58" s="4">
        <f>VLOOKUP(G58,全部!C:AD,28,FALSE)</f>
        <v>1681703.26</v>
      </c>
      <c r="V58" s="6">
        <f>VLOOKUP(G58,全部!C:AE,29,FALSE)</f>
        <v>0.77137005215542198</v>
      </c>
      <c r="W58" s="4">
        <f>VLOOKUP(G58,全部!C:AF,30,FALSE)</f>
        <v>1289913.1599999999</v>
      </c>
      <c r="X58" s="4">
        <f>VLOOKUP(G58,全部!C:AG,31,FALSE)</f>
        <v>1289913.1599999999</v>
      </c>
      <c r="Y58" s="4">
        <f>VLOOKUP(计算!G58,全部!C:AH,32,FALSE)</f>
        <v>1348940.16</v>
      </c>
      <c r="Z58" s="4">
        <f>VLOOKUP(G58,全部!C:AL,36,FALSE)</f>
        <v>1348940.16</v>
      </c>
      <c r="AA58" s="4">
        <f>VLOOKUP(G58,全部!C:AM,37,FALSE)</f>
        <v>3.4000000000000002E-2</v>
      </c>
      <c r="AB58" s="6">
        <f>VLOOKUP(G58,全部!C:AN,38,FALSE)</f>
        <v>59027.75632</v>
      </c>
      <c r="AC58" s="4">
        <f>VLOOKUP(G58,全部!C:AO,39,FALSE)</f>
        <v>59027</v>
      </c>
      <c r="AD58" s="4">
        <f>VLOOKUP(G58,全部!C:AP,40,FALSE)</f>
        <v>59027</v>
      </c>
      <c r="AE58" s="6">
        <f>VLOOKUP(G58,全部!C:AQ,41,FALSE)</f>
        <v>0</v>
      </c>
      <c r="AF58" s="4">
        <f>VLOOKUP(G58,全部!C:AR,42,FALSE)</f>
        <v>0</v>
      </c>
      <c r="AG58" s="7">
        <f>VLOOKUP(G58,全部!C:AS,43,FALSE)</f>
        <v>63</v>
      </c>
      <c r="AH58" s="64" t="str">
        <f>IF(VLOOKUP(G58,全部!C:AT,44,FALSE)=0,"",VLOOKUP(G58,全部!C:AT,44,FALSE))</f>
        <v>管庄</v>
      </c>
      <c r="AI58">
        <v>0</v>
      </c>
      <c r="AJ58" s="3">
        <v>41912.686261574097</v>
      </c>
      <c r="AK58" s="2" t="s">
        <v>2155</v>
      </c>
    </row>
    <row r="59" spans="1:37" x14ac:dyDescent="0.15">
      <c r="A59" s="2" t="s">
        <v>2154</v>
      </c>
      <c r="B59">
        <v>648</v>
      </c>
      <c r="C59" s="3">
        <v>41172</v>
      </c>
      <c r="D59" s="2" t="s">
        <v>37</v>
      </c>
      <c r="E59" s="2" t="s">
        <v>2153</v>
      </c>
      <c r="F59" s="2" t="s">
        <v>38</v>
      </c>
      <c r="G59" s="2" t="s">
        <v>157</v>
      </c>
      <c r="H59" s="2" t="s">
        <v>158</v>
      </c>
      <c r="I59" s="4">
        <f>VLOOKUP(G59,全部!C:M,11,FALSE)</f>
        <v>7729248</v>
      </c>
      <c r="J59" s="4">
        <f t="shared" si="0"/>
        <v>364302</v>
      </c>
      <c r="K59" s="4">
        <f>VLOOKUP(计算!G59,全部!C:N,12,FALSE)</f>
        <v>364302</v>
      </c>
      <c r="L59" s="5">
        <f>VLOOKUP(G59,全部!C:P,14,FALSE)</f>
        <v>0</v>
      </c>
      <c r="M59" s="5">
        <f>VLOOKUP(G59,全部!C:V,20,FALSE)*100</f>
        <v>3</v>
      </c>
      <c r="N59" s="6">
        <f>VLOOKUP(G59,全部!C:W,21,FALSE)</f>
        <v>242806.5</v>
      </c>
      <c r="O59" s="4">
        <f>VLOOKUP(G59,全部!C:X,22,FALSE)</f>
        <v>242806</v>
      </c>
      <c r="P59" s="4">
        <f>VLOOKUP(G59,全部!C:Y,23,FALSE)</f>
        <v>242806</v>
      </c>
      <c r="Q59" s="6">
        <f>VLOOKUP(G59,全部!C:Z,24,FALSE)</f>
        <v>0</v>
      </c>
      <c r="R59" s="7">
        <f>VLOOKUP(G59,全部!C:AA,25,FALSE)</f>
        <v>5370000</v>
      </c>
      <c r="S59" s="7">
        <f>VLOOKUP(G59,全部!C:AB,26,FALSE)</f>
        <v>5370000</v>
      </c>
      <c r="T59" s="4">
        <f>VLOOKUP(计算!G59,全部!C:AC,27,FALSE)</f>
        <v>5370000</v>
      </c>
      <c r="U59" s="4">
        <f>VLOOKUP(G59,全部!C:AD,28,FALSE)</f>
        <v>5370000</v>
      </c>
      <c r="V59" s="6">
        <f>VLOOKUP(G59,全部!C:AE,29,FALSE)</f>
        <v>0.66349129862668421</v>
      </c>
      <c r="W59" s="4">
        <f>VLOOKUP(G59,全部!C:AF,30,FALSE)</f>
        <v>4906391</v>
      </c>
      <c r="X59" s="4">
        <f>VLOOKUP(G59,全部!C:AG,31,FALSE)</f>
        <v>4906391</v>
      </c>
      <c r="Y59" s="4">
        <f>VLOOKUP(计算!G59,全部!C:AH,32,FALSE)</f>
        <v>5097012.5</v>
      </c>
      <c r="Z59" s="4">
        <f>VLOOKUP(G59,全部!C:AL,36,FALSE)</f>
        <v>5098498</v>
      </c>
      <c r="AA59" s="4">
        <f>VLOOKUP(G59,全部!C:AM,37,FALSE)</f>
        <v>3.4000000000000002E-2</v>
      </c>
      <c r="AB59" s="6">
        <f>VLOOKUP(G59,全部!C:AN,38,FALSE)</f>
        <v>182580</v>
      </c>
      <c r="AC59" s="4">
        <f>VLOOKUP(G59,全部!C:AO,39,FALSE)</f>
        <v>173400</v>
      </c>
      <c r="AD59" s="4">
        <f>VLOOKUP(G59,全部!C:AP,40,FALSE)</f>
        <v>173400</v>
      </c>
      <c r="AE59" s="6">
        <f>VLOOKUP(G59,全部!C:AQ,41,FALSE)</f>
        <v>9180</v>
      </c>
      <c r="AF59" s="4">
        <f>VLOOKUP(G59,全部!C:AR,42,FALSE)</f>
        <v>0</v>
      </c>
      <c r="AG59" s="7">
        <f>VLOOKUP(G59,全部!C:AS,43,FALSE)</f>
        <v>50</v>
      </c>
      <c r="AH59" s="64" t="str">
        <f>IF(VLOOKUP(G59,全部!C:AT,44,FALSE)=0,"",VLOOKUP(G59,全部!C:AT,44,FALSE))</f>
        <v>昌平</v>
      </c>
      <c r="AI59">
        <v>0</v>
      </c>
      <c r="AJ59" s="3">
        <v>41912.686261574097</v>
      </c>
      <c r="AK59" s="2" t="s">
        <v>2152</v>
      </c>
    </row>
    <row r="60" spans="1:37" x14ac:dyDescent="0.15">
      <c r="A60" s="2" t="s">
        <v>2151</v>
      </c>
      <c r="B60">
        <v>69</v>
      </c>
      <c r="C60" s="3">
        <v>41183</v>
      </c>
      <c r="D60" s="2" t="s">
        <v>37</v>
      </c>
      <c r="E60" s="2" t="s">
        <v>2150</v>
      </c>
      <c r="F60" s="2" t="s">
        <v>41</v>
      </c>
      <c r="G60" s="2" t="s">
        <v>160</v>
      </c>
      <c r="H60" s="2" t="s">
        <v>161</v>
      </c>
      <c r="I60" s="4">
        <f>VLOOKUP(G60,全部!C:M,11,FALSE)</f>
        <v>5400000</v>
      </c>
      <c r="J60" s="4">
        <f t="shared" si="0"/>
        <v>0</v>
      </c>
      <c r="K60" s="4">
        <f>VLOOKUP(计算!G60,全部!C:N,12,FALSE)</f>
        <v>0</v>
      </c>
      <c r="L60" s="5">
        <f>VLOOKUP(G60,全部!C:P,14,FALSE)</f>
        <v>0</v>
      </c>
      <c r="M60" s="5">
        <f>VLOOKUP(G60,全部!C:V,20,FALSE)*100</f>
        <v>4</v>
      </c>
      <c r="N60" s="6">
        <f>VLOOKUP(G60,全部!C:W,21,FALSE)</f>
        <v>216000</v>
      </c>
      <c r="O60" s="4">
        <f>VLOOKUP(G60,全部!C:X,22,FALSE)</f>
        <v>216000</v>
      </c>
      <c r="P60" s="4">
        <f>VLOOKUP(G60,全部!C:Y,23,FALSE)</f>
        <v>216000</v>
      </c>
      <c r="Q60" s="6">
        <f>VLOOKUP(G60,全部!C:Z,24,FALSE)</f>
        <v>0</v>
      </c>
      <c r="R60" s="7">
        <f>VLOOKUP(G60,全部!C:AA,25,FALSE)</f>
        <v>0</v>
      </c>
      <c r="S60" s="7">
        <f>VLOOKUP(G60,全部!C:AB,26,FALSE)</f>
        <v>0</v>
      </c>
      <c r="T60" s="4">
        <f>VLOOKUP(计算!G60,全部!C:AC,27,FALSE)</f>
        <v>4236242</v>
      </c>
      <c r="U60" s="4">
        <f>VLOOKUP(G60,全部!C:AD,28,FALSE)</f>
        <v>4236242</v>
      </c>
      <c r="V60" s="6">
        <f>VLOOKUP(G60,全部!C:AE,29,FALSE)</f>
        <v>0.78448925925925928</v>
      </c>
      <c r="W60" s="4">
        <f>VLOOKUP(G60,全部!C:AF,30,FALSE)</f>
        <v>0</v>
      </c>
      <c r="X60" s="4">
        <f>VLOOKUP(G60,全部!C:AG,31,FALSE)</f>
        <v>0</v>
      </c>
      <c r="Y60" s="4">
        <f>VLOOKUP(计算!G60,全部!C:AH,32,FALSE)</f>
        <v>4091973.96</v>
      </c>
      <c r="Z60" s="4">
        <f>VLOOKUP(G60,全部!C:AL,36,FALSE)</f>
        <v>4091973.96</v>
      </c>
      <c r="AA60" s="4">
        <f>VLOOKUP(G60,全部!C:AM,37,FALSE)</f>
        <v>3.4000000000000002E-2</v>
      </c>
      <c r="AB60" s="6">
        <f>VLOOKUP(G60,全部!C:AN,38,FALSE)</f>
        <v>183600</v>
      </c>
      <c r="AC60" s="4">
        <f>VLOOKUP(G60,全部!C:AO,39,FALSE)</f>
        <v>144033</v>
      </c>
      <c r="AD60" s="4">
        <f>VLOOKUP(G60,全部!C:AP,40,FALSE)</f>
        <v>144033</v>
      </c>
      <c r="AE60" s="6">
        <f>VLOOKUP(G60,全部!C:AQ,41,FALSE)</f>
        <v>39567</v>
      </c>
      <c r="AF60" s="4">
        <f>VLOOKUP(G60,全部!C:AR,42,FALSE)</f>
        <v>0</v>
      </c>
      <c r="AG60" s="7">
        <f>VLOOKUP(G60,全部!C:AS,43,FALSE)</f>
        <v>0</v>
      </c>
      <c r="AH60" s="64" t="str">
        <f>IF(VLOOKUP(G60,全部!C:AT,44,FALSE)=0,"",VLOOKUP(G60,全部!C:AT,44,FALSE))</f>
        <v/>
      </c>
      <c r="AI60">
        <v>0</v>
      </c>
      <c r="AJ60" s="3">
        <v>41912.6862384259</v>
      </c>
      <c r="AK60" s="2" t="s">
        <v>2149</v>
      </c>
    </row>
    <row r="61" spans="1:37" x14ac:dyDescent="0.15">
      <c r="A61" s="2" t="s">
        <v>2148</v>
      </c>
      <c r="B61">
        <v>71</v>
      </c>
      <c r="C61" s="3">
        <v>41183</v>
      </c>
      <c r="D61" s="2" t="s">
        <v>37</v>
      </c>
      <c r="E61" s="2" t="s">
        <v>2147</v>
      </c>
      <c r="F61" s="2" t="s">
        <v>41</v>
      </c>
      <c r="G61" s="2" t="s">
        <v>162</v>
      </c>
      <c r="H61" s="2" t="s">
        <v>161</v>
      </c>
      <c r="I61" s="4">
        <f>VLOOKUP(G61,全部!C:M,11,FALSE)</f>
        <v>248322.8</v>
      </c>
      <c r="J61" s="4">
        <f t="shared" si="0"/>
        <v>0</v>
      </c>
      <c r="K61" s="4">
        <f>VLOOKUP(计算!G61,全部!C:N,12,FALSE)</f>
        <v>0</v>
      </c>
      <c r="L61" s="5">
        <f>VLOOKUP(G61,全部!C:P,14,FALSE)</f>
        <v>0</v>
      </c>
      <c r="M61" s="5">
        <f>VLOOKUP(G61,全部!C:V,20,FALSE)*100</f>
        <v>4</v>
      </c>
      <c r="N61" s="6">
        <f>VLOOKUP(G61,全部!C:W,21,FALSE)</f>
        <v>9932.9120000000003</v>
      </c>
      <c r="O61" s="4">
        <f>VLOOKUP(G61,全部!C:X,22,FALSE)</f>
        <v>9933</v>
      </c>
      <c r="P61" s="4">
        <f>VLOOKUP(G61,全部!C:Y,23,FALSE)</f>
        <v>9933</v>
      </c>
      <c r="Q61" s="6">
        <f>VLOOKUP(G61,全部!C:Z,24,FALSE)</f>
        <v>-8.7999999999738066E-2</v>
      </c>
      <c r="R61" s="7">
        <f>VLOOKUP(G61,全部!C:AA,25,FALSE)</f>
        <v>0</v>
      </c>
      <c r="S61" s="7">
        <f>VLOOKUP(G61,全部!C:AB,26,FALSE)</f>
        <v>0</v>
      </c>
      <c r="T61" s="4">
        <f>VLOOKUP(计算!G61,全部!C:AC,27,FALSE)</f>
        <v>0</v>
      </c>
      <c r="U61" s="4">
        <f>VLOOKUP(G61,全部!C:AD,28,FALSE)</f>
        <v>0</v>
      </c>
      <c r="V61" s="6">
        <f>VLOOKUP(G61,全部!C:AE,29,FALSE)</f>
        <v>0</v>
      </c>
      <c r="W61" s="4">
        <f>VLOOKUP(G61,全部!C:AF,30,FALSE)</f>
        <v>0</v>
      </c>
      <c r="X61" s="4">
        <f>VLOOKUP(G61,全部!C:AG,31,FALSE)</f>
        <v>0</v>
      </c>
      <c r="Y61" s="4">
        <f>VLOOKUP(计算!G61,全部!C:AH,32,FALSE)</f>
        <v>0</v>
      </c>
      <c r="Z61" s="4">
        <f>VLOOKUP(G61,全部!C:AL,36,FALSE)</f>
        <v>0</v>
      </c>
      <c r="AA61" s="4">
        <f>VLOOKUP(G61,全部!C:AM,37,FALSE)</f>
        <v>0</v>
      </c>
      <c r="AB61" s="6">
        <f>VLOOKUP(G61,全部!C:AN,38,FALSE)</f>
        <v>0</v>
      </c>
      <c r="AC61" s="4">
        <f>VLOOKUP(G61,全部!C:AO,39,FALSE)</f>
        <v>0</v>
      </c>
      <c r="AD61" s="4">
        <f>VLOOKUP(G61,全部!C:AP,40,FALSE)</f>
        <v>0</v>
      </c>
      <c r="AE61" s="6">
        <f>VLOOKUP(G61,全部!C:AQ,41,FALSE)</f>
        <v>0</v>
      </c>
      <c r="AF61" s="4">
        <f>VLOOKUP(G61,全部!C:AR,42,FALSE)</f>
        <v>0</v>
      </c>
      <c r="AG61" s="7">
        <f>VLOOKUP(G61,全部!C:AS,43,FALSE)</f>
        <v>0</v>
      </c>
      <c r="AH61" s="64" t="str">
        <f>IF(VLOOKUP(G61,全部!C:AT,44,FALSE)=0,"",VLOOKUP(G61,全部!C:AT,44,FALSE))</f>
        <v/>
      </c>
      <c r="AI61">
        <v>0</v>
      </c>
      <c r="AJ61" s="3">
        <v>41912.6862384259</v>
      </c>
      <c r="AK61" s="2" t="s">
        <v>2146</v>
      </c>
    </row>
    <row r="62" spans="1:37" x14ac:dyDescent="0.15">
      <c r="A62" s="2" t="s">
        <v>2145</v>
      </c>
      <c r="B62">
        <v>76</v>
      </c>
      <c r="C62" s="3">
        <v>41214</v>
      </c>
      <c r="D62" s="2" t="s">
        <v>37</v>
      </c>
      <c r="E62" s="2" t="s">
        <v>2144</v>
      </c>
      <c r="F62" s="2" t="s">
        <v>41</v>
      </c>
      <c r="G62" s="2" t="s">
        <v>163</v>
      </c>
      <c r="H62" s="2" t="s">
        <v>164</v>
      </c>
      <c r="I62" s="4">
        <f>VLOOKUP(G62,全部!C:M,11,FALSE)</f>
        <v>1095654</v>
      </c>
      <c r="J62" s="4">
        <f t="shared" si="0"/>
        <v>0</v>
      </c>
      <c r="K62" s="4">
        <f>VLOOKUP(计算!G62,全部!C:N,12,FALSE)</f>
        <v>0</v>
      </c>
      <c r="L62" s="5">
        <f>VLOOKUP(G62,全部!C:P,14,FALSE)</f>
        <v>0</v>
      </c>
      <c r="M62" s="5">
        <f>VLOOKUP(G62,全部!C:V,20,FALSE)*100</f>
        <v>4</v>
      </c>
      <c r="N62" s="6">
        <f>VLOOKUP(G62,全部!C:W,21,FALSE)</f>
        <v>43826.16</v>
      </c>
      <c r="O62" s="4">
        <f>VLOOKUP(G62,全部!C:X,22,FALSE)</f>
        <v>43827</v>
      </c>
      <c r="P62" s="4">
        <f>VLOOKUP(G62,全部!C:Y,23,FALSE)</f>
        <v>43827</v>
      </c>
      <c r="Q62" s="6">
        <f>VLOOKUP(G62,全部!C:Z,24,FALSE)</f>
        <v>-0.83999999999650754</v>
      </c>
      <c r="R62" s="7">
        <f>VLOOKUP(G62,全部!C:AA,25,FALSE)</f>
        <v>0</v>
      </c>
      <c r="S62" s="7">
        <f>VLOOKUP(G62,全部!C:AB,26,FALSE)</f>
        <v>0</v>
      </c>
      <c r="T62" s="4">
        <f>VLOOKUP(计算!G62,全部!C:AC,27,FALSE)</f>
        <v>930000</v>
      </c>
      <c r="U62" s="4">
        <f>VLOOKUP(G62,全部!C:AD,28,FALSE)</f>
        <v>930000</v>
      </c>
      <c r="V62" s="6">
        <f>VLOOKUP(G62,全部!C:AE,29,FALSE)</f>
        <v>0.8488081091293419</v>
      </c>
      <c r="W62" s="4">
        <f>VLOOKUP(G62,全部!C:AF,30,FALSE)</f>
        <v>0</v>
      </c>
      <c r="X62" s="4">
        <f>VLOOKUP(G62,全部!C:AG,31,FALSE)</f>
        <v>0</v>
      </c>
      <c r="Y62" s="4">
        <f>VLOOKUP(计算!G62,全部!C:AH,32,FALSE)</f>
        <v>898120.15</v>
      </c>
      <c r="Z62" s="4">
        <f>VLOOKUP(G62,全部!C:AL,36,FALSE)</f>
        <v>898120.15</v>
      </c>
      <c r="AA62" s="4">
        <f>VLOOKUP(G62,全部!C:AM,37,FALSE)</f>
        <v>3.4599999999999999E-2</v>
      </c>
      <c r="AB62" s="6">
        <f>VLOOKUP(G62,全部!C:AN,38,FALSE)</f>
        <v>37909.628400000001</v>
      </c>
      <c r="AC62" s="4">
        <f>VLOOKUP(G62,全部!C:AO,39,FALSE)</f>
        <v>31620</v>
      </c>
      <c r="AD62" s="4">
        <f>VLOOKUP(G62,全部!C:AP,40,FALSE)</f>
        <v>31620</v>
      </c>
      <c r="AE62" s="6">
        <f>VLOOKUP(G62,全部!C:AQ,41,FALSE)</f>
        <v>6289.6284000000014</v>
      </c>
      <c r="AF62" s="4">
        <f>VLOOKUP(G62,全部!C:AR,42,FALSE)</f>
        <v>0</v>
      </c>
      <c r="AG62" s="7">
        <f>VLOOKUP(G62,全部!C:AS,43,FALSE)</f>
        <v>0</v>
      </c>
      <c r="AH62" s="64" t="str">
        <f>IF(VLOOKUP(G62,全部!C:AT,44,FALSE)=0,"",VLOOKUP(G62,全部!C:AT,44,FALSE))</f>
        <v/>
      </c>
      <c r="AI62">
        <v>0</v>
      </c>
      <c r="AJ62" s="3">
        <v>41912.6862384259</v>
      </c>
      <c r="AK62" s="2" t="s">
        <v>2143</v>
      </c>
    </row>
    <row r="63" spans="1:37" x14ac:dyDescent="0.15">
      <c r="A63" s="2" t="s">
        <v>2142</v>
      </c>
      <c r="B63">
        <v>656</v>
      </c>
      <c r="C63" s="3">
        <v>41242</v>
      </c>
      <c r="D63" s="2" t="s">
        <v>37</v>
      </c>
      <c r="E63" s="2" t="s">
        <v>2141</v>
      </c>
      <c r="F63" s="2" t="s">
        <v>38</v>
      </c>
      <c r="G63" s="2" t="s">
        <v>165</v>
      </c>
      <c r="H63" s="2" t="s">
        <v>166</v>
      </c>
      <c r="I63" s="4">
        <f>VLOOKUP(G63,全部!C:M,11,FALSE)</f>
        <v>1947790</v>
      </c>
      <c r="J63" s="4">
        <f t="shared" si="0"/>
        <v>3958320</v>
      </c>
      <c r="K63" s="4">
        <f>VLOOKUP(计算!G63,全部!C:N,12,FALSE)</f>
        <v>3958320</v>
      </c>
      <c r="L63" s="5">
        <f>VLOOKUP(G63,全部!C:P,14,FALSE)</f>
        <v>0</v>
      </c>
      <c r="M63" s="5">
        <f>VLOOKUP(G63,全部!C:V,20,FALSE)*100</f>
        <v>3</v>
      </c>
      <c r="N63" s="6">
        <f>VLOOKUP(G63,全部!C:W,21,FALSE)</f>
        <v>177183.3</v>
      </c>
      <c r="O63" s="4">
        <f>VLOOKUP(G63,全部!C:X,22,FALSE)</f>
        <v>177183</v>
      </c>
      <c r="P63" s="4">
        <f>VLOOKUP(G63,全部!C:Y,23,FALSE)</f>
        <v>177183</v>
      </c>
      <c r="Q63" s="6">
        <f>VLOOKUP(G63,全部!C:Z,24,FALSE)</f>
        <v>0</v>
      </c>
      <c r="R63" s="7">
        <f>VLOOKUP(G63,全部!C:AA,25,FALSE)</f>
        <v>4929108.8</v>
      </c>
      <c r="S63" s="7">
        <f>VLOOKUP(G63,全部!C:AB,26,FALSE)</f>
        <v>4929108.8</v>
      </c>
      <c r="T63" s="4">
        <f>VLOOKUP(计算!G63,全部!C:AC,27,FALSE)</f>
        <v>4679800</v>
      </c>
      <c r="U63" s="4">
        <f>VLOOKUP(G63,全部!C:AD,28,FALSE)</f>
        <v>4679800</v>
      </c>
      <c r="V63" s="6">
        <f>VLOOKUP(G63,全部!C:AE,29,FALSE)</f>
        <v>0.79236587195294361</v>
      </c>
      <c r="W63" s="4">
        <f>VLOOKUP(G63,全部!C:AF,30,FALSE)</f>
        <v>3570320.71</v>
      </c>
      <c r="X63" s="4">
        <f>VLOOKUP(G63,全部!C:AG,31,FALSE)</f>
        <v>3570320.71</v>
      </c>
      <c r="Y63" s="4">
        <f>VLOOKUP(计算!G63,全部!C:AH,32,FALSE)</f>
        <v>3905909.71</v>
      </c>
      <c r="Z63" s="4">
        <f>VLOOKUP(G63,全部!C:AL,36,FALSE)</f>
        <v>3905909.71</v>
      </c>
      <c r="AA63" s="4">
        <f>VLOOKUP(G63,全部!C:AM,37,FALSE)</f>
        <v>3.4000000000000002E-2</v>
      </c>
      <c r="AB63" s="6">
        <f>VLOOKUP(G63,全部!C:AN,38,FALSE)</f>
        <v>167589.6992</v>
      </c>
      <c r="AC63" s="4">
        <f>VLOOKUP(G63,全部!C:AO,39,FALSE)</f>
        <v>167589</v>
      </c>
      <c r="AD63" s="4">
        <f>VLOOKUP(G63,全部!C:AP,40,FALSE)</f>
        <v>167589</v>
      </c>
      <c r="AE63" s="6">
        <f>VLOOKUP(G63,全部!C:AQ,41,FALSE)</f>
        <v>0</v>
      </c>
      <c r="AF63" s="4">
        <f>VLOOKUP(G63,全部!C:AR,42,FALSE)</f>
        <v>0</v>
      </c>
      <c r="AG63" s="7">
        <f>VLOOKUP(G63,全部!C:AS,43,FALSE)</f>
        <v>0</v>
      </c>
      <c r="AH63" s="64" t="str">
        <f>IF(VLOOKUP(G63,全部!C:AT,44,FALSE)=0,"",VLOOKUP(G63,全部!C:AT,44,FALSE))</f>
        <v/>
      </c>
      <c r="AI63">
        <v>0</v>
      </c>
      <c r="AJ63" s="3">
        <v>41912.686261574097</v>
      </c>
      <c r="AK63" s="2" t="s">
        <v>2140</v>
      </c>
    </row>
    <row r="64" spans="1:37" x14ac:dyDescent="0.15">
      <c r="A64" s="2" t="s">
        <v>2139</v>
      </c>
      <c r="B64">
        <v>87</v>
      </c>
      <c r="C64" s="3">
        <v>41244</v>
      </c>
      <c r="D64" s="2" t="s">
        <v>37</v>
      </c>
      <c r="E64" s="2" t="s">
        <v>2138</v>
      </c>
      <c r="F64" s="2" t="s">
        <v>41</v>
      </c>
      <c r="G64" s="2" t="s">
        <v>167</v>
      </c>
      <c r="H64" s="2" t="s">
        <v>168</v>
      </c>
      <c r="I64" s="4">
        <f>VLOOKUP(G64,全部!C:M,11,FALSE)</f>
        <v>1424272.9</v>
      </c>
      <c r="J64" s="4">
        <f t="shared" si="0"/>
        <v>0</v>
      </c>
      <c r="K64" s="4">
        <f>VLOOKUP(计算!G64,全部!C:N,12,FALSE)</f>
        <v>0</v>
      </c>
      <c r="L64" s="5">
        <f>VLOOKUP(G64,全部!C:P,14,FALSE)</f>
        <v>679820</v>
      </c>
      <c r="M64" s="5">
        <f>VLOOKUP(G64,全部!C:V,20,FALSE)*100</f>
        <v>4</v>
      </c>
      <c r="N64" s="6">
        <f>VLOOKUP(G64,全部!C:W,21,FALSE)</f>
        <v>27192.799999999999</v>
      </c>
      <c r="O64" s="4">
        <f>VLOOKUP(G64,全部!C:X,22,FALSE)</f>
        <v>27192.799999999999</v>
      </c>
      <c r="P64" s="4">
        <f>VLOOKUP(G64,全部!C:Y,23,FALSE)</f>
        <v>27192.799999999999</v>
      </c>
      <c r="Q64" s="6">
        <f>VLOOKUP(G64,全部!C:Z,24,FALSE)</f>
        <v>0</v>
      </c>
      <c r="R64" s="7">
        <f>VLOOKUP(G64,全部!C:AA,25,FALSE)</f>
        <v>0</v>
      </c>
      <c r="S64" s="7">
        <f>VLOOKUP(G64,全部!C:AB,26,FALSE)</f>
        <v>0</v>
      </c>
      <c r="T64" s="4">
        <f>VLOOKUP(计算!G64,全部!C:AC,27,FALSE)</f>
        <v>646009</v>
      </c>
      <c r="U64" s="4">
        <f>VLOOKUP(G64,全部!C:AD,28,FALSE)</f>
        <v>646009</v>
      </c>
      <c r="V64" s="6">
        <f>VLOOKUP(G64,全部!C:AE,29,FALSE)</f>
        <v>0.95026477597010972</v>
      </c>
      <c r="W64" s="4">
        <f>VLOOKUP(G64,全部!C:AF,30,FALSE)</f>
        <v>0</v>
      </c>
      <c r="X64" s="4">
        <f>VLOOKUP(G64,全部!C:AG,31,FALSE)</f>
        <v>0</v>
      </c>
      <c r="Y64" s="4">
        <f>VLOOKUP(计算!G64,全部!C:AH,32,FALSE)</f>
        <v>620287.39</v>
      </c>
      <c r="Z64" s="4">
        <f>VLOOKUP(G64,全部!C:AL,36,FALSE)</f>
        <v>620287.39</v>
      </c>
      <c r="AA64" s="4">
        <f>VLOOKUP(G64,全部!C:AM,37,FALSE)</f>
        <v>3.4000000000000002E-2</v>
      </c>
      <c r="AB64" s="6">
        <f>VLOOKUP(G64,全部!C:AN,38,FALSE)</f>
        <v>23113.88</v>
      </c>
      <c r="AC64" s="4">
        <f>VLOOKUP(G64,全部!C:AO,39,FALSE)</f>
        <v>21965.39</v>
      </c>
      <c r="AD64" s="4">
        <f>VLOOKUP(G64,全部!C:AP,40,FALSE)</f>
        <v>21965.39</v>
      </c>
      <c r="AE64" s="6">
        <f>VLOOKUP(G64,全部!C:AQ,41,FALSE)</f>
        <v>1148.4900000000016</v>
      </c>
      <c r="AF64" s="4">
        <f>VLOOKUP(G64,全部!C:AR,42,FALSE)</f>
        <v>0</v>
      </c>
      <c r="AG64" s="7">
        <f>VLOOKUP(G64,全部!C:AS,43,FALSE)</f>
        <v>0</v>
      </c>
      <c r="AH64" s="64" t="str">
        <f>IF(VLOOKUP(G64,全部!C:AT,44,FALSE)=0,"",VLOOKUP(G64,全部!C:AT,44,FALSE))</f>
        <v/>
      </c>
      <c r="AI64">
        <v>0</v>
      </c>
      <c r="AJ64" s="3">
        <v>41912.6862384259</v>
      </c>
      <c r="AK64" s="2" t="s">
        <v>2137</v>
      </c>
    </row>
    <row r="65" spans="1:37" x14ac:dyDescent="0.15">
      <c r="A65" s="2" t="s">
        <v>2136</v>
      </c>
      <c r="B65">
        <v>81</v>
      </c>
      <c r="C65" s="3">
        <v>41244</v>
      </c>
      <c r="D65" s="2" t="s">
        <v>37</v>
      </c>
      <c r="E65" s="2" t="s">
        <v>2135</v>
      </c>
      <c r="F65" s="2" t="s">
        <v>41</v>
      </c>
      <c r="G65" s="2" t="s">
        <v>169</v>
      </c>
      <c r="H65" s="2" t="s">
        <v>170</v>
      </c>
      <c r="I65" s="4">
        <f>VLOOKUP(G65,全部!C:M,11,FALSE)</f>
        <v>7400000</v>
      </c>
      <c r="J65" s="4">
        <f t="shared" si="0"/>
        <v>0</v>
      </c>
      <c r="K65" s="4">
        <f>VLOOKUP(计算!G65,全部!C:N,12,FALSE)</f>
        <v>0</v>
      </c>
      <c r="L65" s="5">
        <f>VLOOKUP(G65,全部!C:P,14,FALSE)</f>
        <v>0</v>
      </c>
      <c r="M65" s="5">
        <f>VLOOKUP(G65,全部!C:V,20,FALSE)*100</f>
        <v>4</v>
      </c>
      <c r="N65" s="6">
        <f>VLOOKUP(G65,全部!C:W,21,FALSE)</f>
        <v>296000</v>
      </c>
      <c r="O65" s="4">
        <f>VLOOKUP(G65,全部!C:X,22,FALSE)</f>
        <v>296000</v>
      </c>
      <c r="P65" s="4">
        <f>VLOOKUP(G65,全部!C:Y,23,FALSE)</f>
        <v>296000</v>
      </c>
      <c r="Q65" s="6">
        <f>VLOOKUP(G65,全部!C:Z,24,FALSE)</f>
        <v>0</v>
      </c>
      <c r="R65" s="7">
        <f>VLOOKUP(G65,全部!C:AA,25,FALSE)</f>
        <v>0</v>
      </c>
      <c r="S65" s="7">
        <f>VLOOKUP(G65,全部!C:AB,26,FALSE)</f>
        <v>0</v>
      </c>
      <c r="T65" s="4">
        <f>VLOOKUP(计算!G65,全部!C:AC,27,FALSE)</f>
        <v>3132050</v>
      </c>
      <c r="U65" s="4">
        <f>VLOOKUP(G65,全部!C:AD,28,FALSE)</f>
        <v>3132050</v>
      </c>
      <c r="V65" s="6">
        <f>VLOOKUP(G65,全部!C:AE,29,FALSE)</f>
        <v>0.42325000000000002</v>
      </c>
      <c r="W65" s="4">
        <f>VLOOKUP(G65,全部!C:AF,30,FALSE)</f>
        <v>0</v>
      </c>
      <c r="X65" s="4">
        <f>VLOOKUP(G65,全部!C:AG,31,FALSE)</f>
        <v>0</v>
      </c>
      <c r="Y65" s="4">
        <f>VLOOKUP(计算!G65,全部!C:AH,32,FALSE)</f>
        <v>3103690</v>
      </c>
      <c r="Z65" s="4">
        <f>VLOOKUP(G65,全部!C:AL,36,FALSE)</f>
        <v>3103690</v>
      </c>
      <c r="AA65" s="4">
        <f>VLOOKUP(G65,全部!C:AM,37,FALSE)</f>
        <v>3.4000000000000002E-2</v>
      </c>
      <c r="AB65" s="6">
        <f>VLOOKUP(G65,全部!C:AN,38,FALSE)</f>
        <v>251600.00000000003</v>
      </c>
      <c r="AC65" s="4">
        <f>VLOOKUP(G65,全部!C:AO,39,FALSE)</f>
        <v>54365.42</v>
      </c>
      <c r="AD65" s="4">
        <f>VLOOKUP(G65,全部!C:AP,40,FALSE)</f>
        <v>54365.42</v>
      </c>
      <c r="AE65" s="6">
        <f>VLOOKUP(G65,全部!C:AQ,41,FALSE)</f>
        <v>197234.58000000002</v>
      </c>
      <c r="AF65" s="4">
        <f>VLOOKUP(G65,全部!C:AR,42,FALSE)</f>
        <v>0</v>
      </c>
      <c r="AG65" s="7">
        <f>VLOOKUP(G65,全部!C:AS,43,FALSE)</f>
        <v>0</v>
      </c>
      <c r="AH65" s="64" t="str">
        <f>IF(VLOOKUP(G65,全部!C:AT,44,FALSE)=0,"",VLOOKUP(G65,全部!C:AT,44,FALSE))</f>
        <v/>
      </c>
      <c r="AI65">
        <v>0</v>
      </c>
      <c r="AJ65" s="3">
        <v>41912.6862384259</v>
      </c>
      <c r="AK65" s="2" t="s">
        <v>2134</v>
      </c>
    </row>
    <row r="66" spans="1:37" x14ac:dyDescent="0.15">
      <c r="A66" s="2" t="s">
        <v>2133</v>
      </c>
      <c r="B66">
        <v>89</v>
      </c>
      <c r="C66" s="3">
        <v>41244</v>
      </c>
      <c r="D66" s="2" t="s">
        <v>37</v>
      </c>
      <c r="E66" s="2" t="s">
        <v>2132</v>
      </c>
      <c r="F66" s="2" t="s">
        <v>41</v>
      </c>
      <c r="G66" s="2" t="s">
        <v>171</v>
      </c>
      <c r="H66" s="2" t="s">
        <v>172</v>
      </c>
      <c r="I66" s="4">
        <f>VLOOKUP(G66,全部!C:M,11,FALSE)</f>
        <v>560000</v>
      </c>
      <c r="J66" s="4">
        <f t="shared" si="0"/>
        <v>0</v>
      </c>
      <c r="K66" s="4">
        <f>VLOOKUP(计算!G66,全部!C:N,12,FALSE)</f>
        <v>0</v>
      </c>
      <c r="L66" s="5">
        <f>VLOOKUP(G66,全部!C:P,14,FALSE)</f>
        <v>0</v>
      </c>
      <c r="M66" s="5">
        <f>VLOOKUP(G66,全部!C:V,20,FALSE)*100</f>
        <v>6.5</v>
      </c>
      <c r="N66" s="6">
        <f>VLOOKUP(G66,全部!C:W,21,FALSE)</f>
        <v>36400</v>
      </c>
      <c r="O66" s="4">
        <f>VLOOKUP(G66,全部!C:X,22,FALSE)</f>
        <v>36400</v>
      </c>
      <c r="P66" s="4">
        <f>VLOOKUP(G66,全部!C:Y,23,FALSE)</f>
        <v>36400</v>
      </c>
      <c r="Q66" s="6">
        <f>VLOOKUP(G66,全部!C:Z,24,FALSE)</f>
        <v>0</v>
      </c>
      <c r="R66" s="7">
        <f>VLOOKUP(G66,全部!C:AA,25,FALSE)</f>
        <v>0</v>
      </c>
      <c r="S66" s="7">
        <f>VLOOKUP(G66,全部!C:AB,26,FALSE)</f>
        <v>0</v>
      </c>
      <c r="T66" s="4">
        <f>VLOOKUP(计算!G66,全部!C:AC,27,FALSE)</f>
        <v>0</v>
      </c>
      <c r="U66" s="4">
        <f>VLOOKUP(G66,全部!C:AD,28,FALSE)</f>
        <v>0</v>
      </c>
      <c r="V66" s="6">
        <f>VLOOKUP(G66,全部!C:AE,29,FALSE)</f>
        <v>0</v>
      </c>
      <c r="W66" s="4">
        <f>VLOOKUP(G66,全部!C:AF,30,FALSE)</f>
        <v>0</v>
      </c>
      <c r="X66" s="4">
        <f>VLOOKUP(G66,全部!C:AG,31,FALSE)</f>
        <v>0</v>
      </c>
      <c r="Y66" s="4">
        <f>VLOOKUP(计算!G66,全部!C:AH,32,FALSE)</f>
        <v>0</v>
      </c>
      <c r="Z66" s="4">
        <f>VLOOKUP(G66,全部!C:AL,36,FALSE)</f>
        <v>0</v>
      </c>
      <c r="AA66" s="4">
        <f>VLOOKUP(G66,全部!C:AM,37,FALSE)</f>
        <v>0</v>
      </c>
      <c r="AB66" s="6">
        <f>VLOOKUP(G66,全部!C:AN,38,FALSE)</f>
        <v>0</v>
      </c>
      <c r="AC66" s="4">
        <f>VLOOKUP(G66,全部!C:AO,39,FALSE)</f>
        <v>0</v>
      </c>
      <c r="AD66" s="4">
        <f>VLOOKUP(G66,全部!C:AP,40,FALSE)</f>
        <v>0</v>
      </c>
      <c r="AE66" s="6">
        <f>VLOOKUP(G66,全部!C:AQ,41,FALSE)</f>
        <v>0</v>
      </c>
      <c r="AF66" s="4">
        <f>VLOOKUP(G66,全部!C:AR,42,FALSE)</f>
        <v>0</v>
      </c>
      <c r="AG66" s="7">
        <f>VLOOKUP(G66,全部!C:AS,43,FALSE)</f>
        <v>0</v>
      </c>
      <c r="AH66" s="64" t="str">
        <f>IF(VLOOKUP(G66,全部!C:AT,44,FALSE)=0,"",VLOOKUP(G66,全部!C:AT,44,FALSE))</f>
        <v/>
      </c>
      <c r="AI66">
        <v>0</v>
      </c>
      <c r="AJ66" s="3">
        <v>41912.6862384259</v>
      </c>
      <c r="AK66" s="2" t="s">
        <v>2131</v>
      </c>
    </row>
    <row r="67" spans="1:37" x14ac:dyDescent="0.15">
      <c r="A67" s="2" t="s">
        <v>2130</v>
      </c>
      <c r="B67">
        <v>82</v>
      </c>
      <c r="C67" s="3">
        <v>41244</v>
      </c>
      <c r="D67" s="2" t="s">
        <v>37</v>
      </c>
      <c r="E67" s="2" t="s">
        <v>2129</v>
      </c>
      <c r="F67" s="2" t="s">
        <v>41</v>
      </c>
      <c r="G67" s="2" t="s">
        <v>175</v>
      </c>
      <c r="H67" s="2" t="s">
        <v>170</v>
      </c>
      <c r="I67" s="4">
        <f>VLOOKUP(G67,全部!C:M,11,FALSE)</f>
        <v>1679000</v>
      </c>
      <c r="J67" s="4">
        <f t="shared" ref="J67:J130" si="1">K67</f>
        <v>0</v>
      </c>
      <c r="K67" s="4">
        <f>VLOOKUP(计算!G67,全部!C:N,12,FALSE)</f>
        <v>0</v>
      </c>
      <c r="L67" s="5">
        <f>VLOOKUP(G67,全部!C:P,14,FALSE)</f>
        <v>0</v>
      </c>
      <c r="M67" s="5">
        <f>VLOOKUP(G67,全部!C:V,20,FALSE)*100</f>
        <v>3.5999999999999996</v>
      </c>
      <c r="N67" s="6">
        <f>VLOOKUP(G67,全部!C:W,21,FALSE)</f>
        <v>60443.999999999993</v>
      </c>
      <c r="O67" s="4">
        <f>VLOOKUP(G67,全部!C:X,22,FALSE)</f>
        <v>0</v>
      </c>
      <c r="P67" s="4">
        <f>VLOOKUP(G67,全部!C:Y,23,FALSE)</f>
        <v>0</v>
      </c>
      <c r="Q67" s="6">
        <f>VLOOKUP(G67,全部!C:Z,24,FALSE)</f>
        <v>60443.999999999993</v>
      </c>
      <c r="R67" s="7">
        <f>VLOOKUP(G67,全部!C:AA,25,FALSE)</f>
        <v>0</v>
      </c>
      <c r="S67" s="7">
        <f>VLOOKUP(G67,全部!C:AB,26,FALSE)</f>
        <v>0</v>
      </c>
      <c r="T67" s="4">
        <f>VLOOKUP(计算!G67,全部!C:AC,27,FALSE)</f>
        <v>0</v>
      </c>
      <c r="U67" s="4">
        <f>VLOOKUP(G67,全部!C:AD,28,FALSE)</f>
        <v>0</v>
      </c>
      <c r="V67" s="6">
        <f>VLOOKUP(G67,全部!C:AE,29,FALSE)</f>
        <v>0</v>
      </c>
      <c r="W67" s="4">
        <f>VLOOKUP(G67,全部!C:AF,30,FALSE)</f>
        <v>0</v>
      </c>
      <c r="X67" s="4">
        <f>VLOOKUP(G67,全部!C:AG,31,FALSE)</f>
        <v>0</v>
      </c>
      <c r="Y67" s="4">
        <f>VLOOKUP(计算!G67,全部!C:AH,32,FALSE)</f>
        <v>0</v>
      </c>
      <c r="Z67" s="4">
        <f>VLOOKUP(G67,全部!C:AL,36,FALSE)</f>
        <v>0</v>
      </c>
      <c r="AA67" s="4">
        <f>VLOOKUP(G67,全部!C:AM,37,FALSE)</f>
        <v>3.4000000000000002E-2</v>
      </c>
      <c r="AB67" s="6">
        <f>VLOOKUP(G67,全部!C:AN,38,FALSE)</f>
        <v>57086.000000000007</v>
      </c>
      <c r="AC67" s="4">
        <f>VLOOKUP(G67,全部!C:AO,39,FALSE)</f>
        <v>0</v>
      </c>
      <c r="AD67" s="4">
        <f>VLOOKUP(G67,全部!C:AP,40,FALSE)</f>
        <v>0</v>
      </c>
      <c r="AE67" s="6">
        <f>VLOOKUP(G67,全部!C:AQ,41,FALSE)</f>
        <v>57086.000000000007</v>
      </c>
      <c r="AF67" s="4">
        <f>VLOOKUP(G67,全部!C:AR,42,FALSE)</f>
        <v>0</v>
      </c>
      <c r="AG67" s="7">
        <f>VLOOKUP(G67,全部!C:AS,43,FALSE)</f>
        <v>0</v>
      </c>
      <c r="AH67" s="64" t="str">
        <f>IF(VLOOKUP(G67,全部!C:AT,44,FALSE)=0,"",VLOOKUP(G67,全部!C:AT,44,FALSE))</f>
        <v/>
      </c>
      <c r="AI67">
        <v>0</v>
      </c>
      <c r="AJ67" s="3">
        <v>41912.6862384259</v>
      </c>
      <c r="AK67" s="2" t="s">
        <v>2128</v>
      </c>
    </row>
    <row r="68" spans="1:37" x14ac:dyDescent="0.15">
      <c r="A68" s="2" t="s">
        <v>2127</v>
      </c>
      <c r="B68">
        <v>94</v>
      </c>
      <c r="C68" s="3">
        <v>41244</v>
      </c>
      <c r="D68" s="2" t="s">
        <v>37</v>
      </c>
      <c r="E68" s="2" t="s">
        <v>2126</v>
      </c>
      <c r="F68" s="2" t="s">
        <v>41</v>
      </c>
      <c r="G68" s="2" t="s">
        <v>173</v>
      </c>
      <c r="H68" s="2" t="s">
        <v>174</v>
      </c>
      <c r="I68" s="4">
        <f>VLOOKUP(G68,全部!C:M,11,FALSE)</f>
        <v>10496879</v>
      </c>
      <c r="J68" s="4">
        <f t="shared" si="1"/>
        <v>0</v>
      </c>
      <c r="K68" s="4">
        <f>VLOOKUP(计算!G68,全部!C:N,12,FALSE)</f>
        <v>0</v>
      </c>
      <c r="L68" s="5">
        <f>VLOOKUP(G68,全部!C:P,14,FALSE)</f>
        <v>12240225</v>
      </c>
      <c r="M68" s="5">
        <f>VLOOKUP(G68,全部!C:V,20,FALSE)*100</f>
        <v>3.5000000000000004</v>
      </c>
      <c r="N68" s="6">
        <f>VLOOKUP(G68,全部!C:W,21,FALSE)</f>
        <v>428407.87500000006</v>
      </c>
      <c r="O68" s="4">
        <f>VLOOKUP(G68,全部!C:X,22,FALSE)</f>
        <v>367390.76</v>
      </c>
      <c r="P68" s="4">
        <f>VLOOKUP(G68,全部!C:Y,23,FALSE)</f>
        <v>367390.76</v>
      </c>
      <c r="Q68" s="6">
        <f>VLOOKUP(G68,全部!C:Z,24,FALSE)</f>
        <v>61017.115000000049</v>
      </c>
      <c r="R68" s="7">
        <f>VLOOKUP(G68,全部!C:AA,25,FALSE)</f>
        <v>0</v>
      </c>
      <c r="S68" s="7">
        <f>VLOOKUP(G68,全部!C:AB,26,FALSE)</f>
        <v>0</v>
      </c>
      <c r="T68" s="4">
        <f>VLOOKUP(计算!G68,全部!C:AC,27,FALSE)</f>
        <v>9807180.1999999993</v>
      </c>
      <c r="U68" s="4">
        <f>VLOOKUP(G68,全部!C:AD,28,FALSE)</f>
        <v>9807180.1999999993</v>
      </c>
      <c r="V68" s="6">
        <f>VLOOKUP(G68,全部!C:AE,29,FALSE)</f>
        <v>0.93429486993229127</v>
      </c>
      <c r="W68" s="4">
        <f>VLOOKUP(G68,全部!C:AF,30,FALSE)</f>
        <v>0</v>
      </c>
      <c r="X68" s="4">
        <f>VLOOKUP(G68,全部!C:AG,31,FALSE)</f>
        <v>0</v>
      </c>
      <c r="Y68" s="4">
        <f>VLOOKUP(计算!G68,全部!C:AH,32,FALSE)</f>
        <v>9234785.1899999995</v>
      </c>
      <c r="Z68" s="4">
        <f>VLOOKUP(G68,全部!C:AL,36,FALSE)</f>
        <v>9234785.1899999995</v>
      </c>
      <c r="AA68" s="4">
        <f>VLOOKUP(G68,全部!C:AM,37,FALSE)</f>
        <v>0</v>
      </c>
      <c r="AB68" s="6">
        <f>VLOOKUP(G68,全部!C:AN,38,FALSE)</f>
        <v>414478.41</v>
      </c>
      <c r="AC68" s="4">
        <f>VLOOKUP(G68,全部!C:AO,39,FALSE)</f>
        <v>414478.41</v>
      </c>
      <c r="AD68" s="4">
        <f>VLOOKUP(G68,全部!C:AP,40,FALSE)</f>
        <v>414478.41</v>
      </c>
      <c r="AE68" s="6">
        <f>VLOOKUP(G68,全部!C:AQ,41,FALSE)</f>
        <v>0</v>
      </c>
      <c r="AF68" s="4">
        <f>VLOOKUP(G68,全部!C:AR,42,FALSE)</f>
        <v>0</v>
      </c>
      <c r="AG68" s="7">
        <f>VLOOKUP(G68,全部!C:AS,43,FALSE)</f>
        <v>0</v>
      </c>
      <c r="AH68" s="64" t="str">
        <f>IF(VLOOKUP(G68,全部!C:AT,44,FALSE)=0,"",VLOOKUP(G68,全部!C:AT,44,FALSE))</f>
        <v/>
      </c>
      <c r="AI68">
        <v>0</v>
      </c>
      <c r="AJ68" s="3">
        <v>41912.6862384259</v>
      </c>
      <c r="AK68" s="2" t="s">
        <v>2125</v>
      </c>
    </row>
    <row r="69" spans="1:37" x14ac:dyDescent="0.15">
      <c r="A69" s="2" t="s">
        <v>2124</v>
      </c>
      <c r="B69">
        <v>99</v>
      </c>
      <c r="C69" s="3">
        <v>41275</v>
      </c>
      <c r="D69" s="2" t="s">
        <v>37</v>
      </c>
      <c r="E69" s="2" t="s">
        <v>2123</v>
      </c>
      <c r="F69" s="2" t="s">
        <v>41</v>
      </c>
      <c r="G69" s="2" t="s">
        <v>176</v>
      </c>
      <c r="H69" s="2" t="s">
        <v>177</v>
      </c>
      <c r="I69" s="4">
        <f>VLOOKUP(G69,全部!C:M,11,FALSE)</f>
        <v>3323897.08</v>
      </c>
      <c r="J69" s="4">
        <f t="shared" si="1"/>
        <v>0</v>
      </c>
      <c r="K69" s="4">
        <f>VLOOKUP(计算!G69,全部!C:N,12,FALSE)</f>
        <v>0</v>
      </c>
      <c r="L69" s="5">
        <f>VLOOKUP(G69,全部!C:P,14,FALSE)</f>
        <v>4884000</v>
      </c>
      <c r="M69" s="5">
        <f>VLOOKUP(G69,全部!C:V,20,FALSE)*100</f>
        <v>4</v>
      </c>
      <c r="N69" s="6">
        <f>VLOOKUP(G69,全部!C:W,21,FALSE)</f>
        <v>195360</v>
      </c>
      <c r="O69" s="4">
        <f>VLOOKUP(G69,全部!C:X,22,FALSE)</f>
        <v>195360</v>
      </c>
      <c r="P69" s="4">
        <f>VLOOKUP(G69,全部!C:Y,23,FALSE)</f>
        <v>195360</v>
      </c>
      <c r="Q69" s="6">
        <f>VLOOKUP(G69,全部!C:Z,24,FALSE)</f>
        <v>0</v>
      </c>
      <c r="R69" s="7">
        <f>VLOOKUP(G69,全部!C:AA,25,FALSE)</f>
        <v>0</v>
      </c>
      <c r="S69" s="7">
        <f>VLOOKUP(G69,全部!C:AB,26,FALSE)</f>
        <v>0</v>
      </c>
      <c r="T69" s="4">
        <f>VLOOKUP(计算!G69,全部!C:AC,27,FALSE)</f>
        <v>3816858</v>
      </c>
      <c r="U69" s="4">
        <f>VLOOKUP(G69,全部!C:AD,28,FALSE)</f>
        <v>3816858</v>
      </c>
      <c r="V69" s="6">
        <f>VLOOKUP(G69,全部!C:AE,29,FALSE)</f>
        <v>1.1483081178915444</v>
      </c>
      <c r="W69" s="4">
        <f>VLOOKUP(G69,全部!C:AF,30,FALSE)</f>
        <v>0</v>
      </c>
      <c r="X69" s="4">
        <f>VLOOKUP(G69,全部!C:AG,31,FALSE)</f>
        <v>0</v>
      </c>
      <c r="Y69" s="4">
        <f>VLOOKUP(计算!G69,全部!C:AH,32,FALSE)</f>
        <v>3658680.67</v>
      </c>
      <c r="Z69" s="4">
        <f>VLOOKUP(G69,全部!C:AL,36,FALSE)</f>
        <v>3658680.67</v>
      </c>
      <c r="AA69" s="4">
        <f>VLOOKUP(G69,全部!C:AM,37,FALSE)</f>
        <v>3.4000000000000002E-2</v>
      </c>
      <c r="AB69" s="6">
        <f>VLOOKUP(G69,全部!C:AN,38,FALSE)</f>
        <v>113012.50072000001</v>
      </c>
      <c r="AC69" s="4">
        <f>VLOOKUP(G69,全部!C:AO,39,FALSE)</f>
        <v>129743</v>
      </c>
      <c r="AD69" s="4">
        <f>VLOOKUP(G69,全部!C:AP,40,FALSE)</f>
        <v>129743</v>
      </c>
      <c r="AE69" s="6">
        <f>VLOOKUP(G69,全部!C:AQ,41,FALSE)</f>
        <v>-16730.499279999989</v>
      </c>
      <c r="AF69" s="4">
        <f>VLOOKUP(G69,全部!C:AR,42,FALSE)</f>
        <v>0</v>
      </c>
      <c r="AG69" s="7">
        <f>VLOOKUP(G69,全部!C:AS,43,FALSE)</f>
        <v>0</v>
      </c>
      <c r="AH69" s="64" t="str">
        <f>IF(VLOOKUP(G69,全部!C:AT,44,FALSE)=0,"",VLOOKUP(G69,全部!C:AT,44,FALSE))</f>
        <v/>
      </c>
      <c r="AI69">
        <v>0</v>
      </c>
      <c r="AJ69" s="3">
        <v>41912.6862384259</v>
      </c>
      <c r="AK69" s="2" t="s">
        <v>2122</v>
      </c>
    </row>
    <row r="70" spans="1:37" x14ac:dyDescent="0.15">
      <c r="A70" s="2" t="s">
        <v>2121</v>
      </c>
      <c r="B70">
        <v>665</v>
      </c>
      <c r="C70" s="3">
        <v>41284</v>
      </c>
      <c r="D70" s="2" t="s">
        <v>37</v>
      </c>
      <c r="E70" s="2" t="s">
        <v>2120</v>
      </c>
      <c r="F70" s="2" t="s">
        <v>38</v>
      </c>
      <c r="G70" s="2" t="s">
        <v>178</v>
      </c>
      <c r="H70" s="2" t="s">
        <v>179</v>
      </c>
      <c r="I70" s="4">
        <f>VLOOKUP(G70,全部!C:M,11,FALSE)</f>
        <v>1973264</v>
      </c>
      <c r="J70" s="4">
        <f t="shared" si="1"/>
        <v>1837947</v>
      </c>
      <c r="K70" s="4">
        <f>VLOOKUP(计算!G70,全部!C:N,12,FALSE)</f>
        <v>1837947</v>
      </c>
      <c r="L70" s="5">
        <f>VLOOKUP(G70,全部!C:P,14,FALSE)</f>
        <v>0</v>
      </c>
      <c r="M70" s="5">
        <f>VLOOKUP(G70,全部!C:V,20,FALSE)*100</f>
        <v>3.5999999999999996</v>
      </c>
      <c r="N70" s="6">
        <f>VLOOKUP(G70,全部!C:W,21,FALSE)</f>
        <v>137203.59599999999</v>
      </c>
      <c r="O70" s="4">
        <f>VLOOKUP(G70,全部!C:X,22,FALSE)</f>
        <v>137204</v>
      </c>
      <c r="P70" s="4">
        <f>VLOOKUP(G70,全部!C:Y,23,FALSE)</f>
        <v>137204</v>
      </c>
      <c r="Q70" s="6">
        <f>VLOOKUP(G70,全部!C:Z,24,FALSE)</f>
        <v>0</v>
      </c>
      <c r="R70" s="7">
        <f>VLOOKUP(G70,全部!C:AA,25,FALSE)</f>
        <v>1500000</v>
      </c>
      <c r="S70" s="7">
        <f>VLOOKUP(G70,全部!C:AB,26,FALSE)</f>
        <v>1500000</v>
      </c>
      <c r="T70" s="4">
        <f>VLOOKUP(计算!G70,全部!C:AC,27,FALSE)</f>
        <v>1500000</v>
      </c>
      <c r="U70" s="4">
        <f>VLOOKUP(G70,全部!C:AD,28,FALSE)</f>
        <v>1500000</v>
      </c>
      <c r="V70" s="6">
        <f>VLOOKUP(G70,全部!C:AE,29,FALSE)</f>
        <v>0.39357569024648598</v>
      </c>
      <c r="W70" s="4">
        <f>VLOOKUP(G70,全部!C:AF,30,FALSE)</f>
        <v>1373403.7</v>
      </c>
      <c r="X70" s="4">
        <f>VLOOKUP(G70,全部!C:AG,31,FALSE)</f>
        <v>1373403.7</v>
      </c>
      <c r="Y70" s="4">
        <f>VLOOKUP(计算!G70,全部!C:AH,32,FALSE)</f>
        <v>1424403.7</v>
      </c>
      <c r="Z70" s="4">
        <f>VLOOKUP(G70,全部!C:AL,36,FALSE)</f>
        <v>1424403.7</v>
      </c>
      <c r="AA70" s="4">
        <f>VLOOKUP(G70,全部!C:AM,37,FALSE)</f>
        <v>3.4000000000000002E-2</v>
      </c>
      <c r="AB70" s="6">
        <f>VLOOKUP(G70,全部!C:AN,38,FALSE)</f>
        <v>51000.000000000007</v>
      </c>
      <c r="AC70" s="4">
        <f>VLOOKUP(G70,全部!C:AO,39,FALSE)</f>
        <v>51000</v>
      </c>
      <c r="AD70" s="4">
        <f>VLOOKUP(G70,全部!C:AP,40,FALSE)</f>
        <v>51000</v>
      </c>
      <c r="AE70" s="6">
        <f>VLOOKUP(G70,全部!C:AQ,41,FALSE)</f>
        <v>0</v>
      </c>
      <c r="AF70" s="4">
        <f>VLOOKUP(G70,全部!C:AR,42,FALSE)</f>
        <v>0</v>
      </c>
      <c r="AG70" s="7">
        <f>VLOOKUP(G70,全部!C:AS,43,FALSE)</f>
        <v>20</v>
      </c>
      <c r="AH70" s="64" t="str">
        <f>IF(VLOOKUP(G70,全部!C:AT,44,FALSE)=0,"",VLOOKUP(G70,全部!C:AT,44,FALSE))</f>
        <v>亦庄</v>
      </c>
      <c r="AI70">
        <v>0</v>
      </c>
      <c r="AJ70" s="3">
        <v>41912.686261574097</v>
      </c>
      <c r="AK70" s="2" t="s">
        <v>2119</v>
      </c>
    </row>
    <row r="71" spans="1:37" x14ac:dyDescent="0.15">
      <c r="A71" s="2" t="s">
        <v>2118</v>
      </c>
      <c r="B71">
        <v>682</v>
      </c>
      <c r="C71" s="3">
        <v>41294</v>
      </c>
      <c r="D71" s="2" t="s">
        <v>37</v>
      </c>
      <c r="E71" s="2" t="s">
        <v>2117</v>
      </c>
      <c r="F71" s="2" t="s">
        <v>38</v>
      </c>
      <c r="G71" s="2" t="s">
        <v>180</v>
      </c>
      <c r="H71" s="2" t="s">
        <v>181</v>
      </c>
      <c r="I71" s="4">
        <f>VLOOKUP(G71,全部!C:M,11,FALSE)</f>
        <v>5145173.21</v>
      </c>
      <c r="J71" s="4">
        <f t="shared" si="1"/>
        <v>0</v>
      </c>
      <c r="K71" s="4">
        <f>VLOOKUP(计算!G71,全部!C:N,12,FALSE)</f>
        <v>0</v>
      </c>
      <c r="L71" s="5">
        <f>VLOOKUP(G71,全部!C:P,14,FALSE)</f>
        <v>0</v>
      </c>
      <c r="M71" s="5">
        <f>VLOOKUP(G71,全部!C:V,20,FALSE)*100</f>
        <v>3</v>
      </c>
      <c r="N71" s="6">
        <f>VLOOKUP(G71,全部!C:W,21,FALSE)</f>
        <v>154355.19629999998</v>
      </c>
      <c r="O71" s="4">
        <f>VLOOKUP(G71,全部!C:X,22,FALSE)</f>
        <v>154355</v>
      </c>
      <c r="P71" s="4">
        <f>VLOOKUP(G71,全部!C:Y,23,FALSE)</f>
        <v>154355</v>
      </c>
      <c r="Q71" s="6">
        <f>VLOOKUP(G71,全部!C:Z,24,FALSE)</f>
        <v>0</v>
      </c>
      <c r="R71" s="7">
        <f>VLOOKUP(G71,全部!C:AA,25,FALSE)</f>
        <v>4112000</v>
      </c>
      <c r="S71" s="7">
        <f>VLOOKUP(G71,全部!C:AB,26,FALSE)</f>
        <v>4112000</v>
      </c>
      <c r="T71" s="4">
        <f>VLOOKUP(计算!G71,全部!C:AC,27,FALSE)</f>
        <v>4112000</v>
      </c>
      <c r="U71" s="4">
        <f>VLOOKUP(G71,全部!C:AD,28,FALSE)</f>
        <v>4112000</v>
      </c>
      <c r="V71" s="6">
        <f>VLOOKUP(G71,全部!C:AE,29,FALSE)</f>
        <v>0.79919564068475746</v>
      </c>
      <c r="W71" s="4">
        <f>VLOOKUP(G71,全部!C:AF,30,FALSE)</f>
        <v>3963512.81</v>
      </c>
      <c r="X71" s="4">
        <f>VLOOKUP(G71,全部!C:AG,31,FALSE)</f>
        <v>3963512.81</v>
      </c>
      <c r="Y71" s="4">
        <f>VLOOKUP(计算!G71,全部!C:AH,32,FALSE)</f>
        <v>4103320.81</v>
      </c>
      <c r="Z71" s="4">
        <f>VLOOKUP(G71,全部!C:AL,36,FALSE)</f>
        <v>4103320.81</v>
      </c>
      <c r="AA71" s="4">
        <f>VLOOKUP(G71,全部!C:AM,37,FALSE)</f>
        <v>3.4000000000000002E-2</v>
      </c>
      <c r="AB71" s="6">
        <f>VLOOKUP(G71,全部!C:AN,38,FALSE)</f>
        <v>139808</v>
      </c>
      <c r="AC71" s="4">
        <f>VLOOKUP(G71,全部!C:AO,39,FALSE)</f>
        <v>139806</v>
      </c>
      <c r="AD71" s="4">
        <f>VLOOKUP(G71,全部!C:AP,40,FALSE)</f>
        <v>139806</v>
      </c>
      <c r="AE71" s="6">
        <f>VLOOKUP(G71,全部!C:AQ,41,FALSE)</f>
        <v>0</v>
      </c>
      <c r="AF71" s="4">
        <f>VLOOKUP(G71,全部!C:AR,42,FALSE)</f>
        <v>0</v>
      </c>
      <c r="AG71" s="7">
        <f>VLOOKUP(G71,全部!C:AS,43,FALSE)</f>
        <v>75</v>
      </c>
      <c r="AH71" s="64" t="str">
        <f>IF(VLOOKUP(G71,全部!C:AT,44,FALSE)=0,"",VLOOKUP(G71,全部!C:AT,44,FALSE))</f>
        <v>大兴</v>
      </c>
      <c r="AI71">
        <v>0</v>
      </c>
      <c r="AJ71" s="3">
        <v>41912.686261574097</v>
      </c>
      <c r="AK71" s="2" t="s">
        <v>2116</v>
      </c>
    </row>
    <row r="72" spans="1:37" x14ac:dyDescent="0.15">
      <c r="A72" s="2" t="s">
        <v>2115</v>
      </c>
      <c r="B72">
        <v>698</v>
      </c>
      <c r="C72" s="3">
        <v>41294</v>
      </c>
      <c r="D72" s="2" t="s">
        <v>37</v>
      </c>
      <c r="E72" s="2" t="s">
        <v>2114</v>
      </c>
      <c r="F72" s="2" t="s">
        <v>38</v>
      </c>
      <c r="G72" s="2" t="s">
        <v>182</v>
      </c>
      <c r="H72" s="2" t="s">
        <v>183</v>
      </c>
      <c r="I72" s="4">
        <f>VLOOKUP(G72,全部!C:M,11,FALSE)</f>
        <v>8338455</v>
      </c>
      <c r="J72" s="4">
        <f t="shared" si="1"/>
        <v>1516000</v>
      </c>
      <c r="K72" s="4">
        <f>VLOOKUP(计算!G72,全部!C:N,12,FALSE)</f>
        <v>1516000</v>
      </c>
      <c r="L72" s="5">
        <f>VLOOKUP(G72,全部!C:P,14,FALSE)</f>
        <v>0</v>
      </c>
      <c r="M72" s="5">
        <f>VLOOKUP(G72,全部!C:V,20,FALSE)*100</f>
        <v>3</v>
      </c>
      <c r="N72" s="6">
        <f>VLOOKUP(G72,全部!C:W,21,FALSE)</f>
        <v>295633.64999999997</v>
      </c>
      <c r="O72" s="4">
        <f>VLOOKUP(G72,全部!C:X,22,FALSE)</f>
        <v>295634</v>
      </c>
      <c r="P72" s="4">
        <f>VLOOKUP(G72,全部!C:Y,23,FALSE)</f>
        <v>295634</v>
      </c>
      <c r="Q72" s="6">
        <f>VLOOKUP(G72,全部!C:Z,24,FALSE)</f>
        <v>0</v>
      </c>
      <c r="R72" s="7">
        <f>VLOOKUP(G72,全部!C:AA,25,FALSE)</f>
        <v>4000000</v>
      </c>
      <c r="S72" s="7">
        <f>VLOOKUP(G72,全部!C:AB,26,FALSE)</f>
        <v>4000000</v>
      </c>
      <c r="T72" s="4">
        <f>VLOOKUP(计算!G72,全部!C:AC,27,FALSE)</f>
        <v>6000000</v>
      </c>
      <c r="U72" s="4">
        <f>VLOOKUP(G72,全部!C:AD,28,FALSE)</f>
        <v>6000000</v>
      </c>
      <c r="V72" s="6">
        <f>VLOOKUP(G72,全部!C:AE,29,FALSE)</f>
        <v>0.60886167728200091</v>
      </c>
      <c r="W72" s="4">
        <f>VLOOKUP(G72,全部!C:AF,30,FALSE)</f>
        <v>2634546</v>
      </c>
      <c r="X72" s="4">
        <f>VLOOKUP(G72,全部!C:AG,31,FALSE)</f>
        <v>2634546</v>
      </c>
      <c r="Y72" s="4">
        <f>VLOOKUP(计算!G72,全部!C:AH,32,FALSE)</f>
        <v>4265306</v>
      </c>
      <c r="Z72" s="4">
        <f>VLOOKUP(G72,全部!C:AL,36,FALSE)</f>
        <v>4265306</v>
      </c>
      <c r="AA72" s="4">
        <f>VLOOKUP(G72,全部!C:AM,37,FALSE)</f>
        <v>0</v>
      </c>
      <c r="AB72" s="6">
        <f>VLOOKUP(G72,全部!C:AN,38,FALSE)</f>
        <v>0</v>
      </c>
      <c r="AC72" s="4">
        <f>VLOOKUP(G72,全部!C:AO,39,FALSE)</f>
        <v>0</v>
      </c>
      <c r="AD72" s="4">
        <f>VLOOKUP(G72,全部!C:AP,40,FALSE)</f>
        <v>0</v>
      </c>
      <c r="AE72" s="6">
        <f>VLOOKUP(G72,全部!C:AQ,41,FALSE)</f>
        <v>0</v>
      </c>
      <c r="AF72" s="4">
        <f>VLOOKUP(G72,全部!C:AR,42,FALSE)</f>
        <v>0</v>
      </c>
      <c r="AG72" s="7">
        <f>VLOOKUP(G72,全部!C:AS,43,FALSE)</f>
        <v>75</v>
      </c>
      <c r="AH72" s="64" t="str">
        <f>IF(VLOOKUP(G72,全部!C:AT,44,FALSE)=0,"",VLOOKUP(G72,全部!C:AT,44,FALSE))</f>
        <v>亦庄</v>
      </c>
      <c r="AI72">
        <v>0</v>
      </c>
      <c r="AJ72" s="3">
        <v>41912.686261574097</v>
      </c>
      <c r="AK72" s="2" t="s">
        <v>2113</v>
      </c>
    </row>
    <row r="73" spans="1:37" x14ac:dyDescent="0.15">
      <c r="A73" s="2" t="s">
        <v>2112</v>
      </c>
      <c r="B73">
        <v>674</v>
      </c>
      <c r="C73" s="3">
        <v>41297</v>
      </c>
      <c r="D73" s="2" t="s">
        <v>37</v>
      </c>
      <c r="E73" s="2" t="s">
        <v>2111</v>
      </c>
      <c r="F73" s="2" t="s">
        <v>38</v>
      </c>
      <c r="G73" s="2" t="s">
        <v>184</v>
      </c>
      <c r="H73" s="2" t="s">
        <v>185</v>
      </c>
      <c r="I73" s="4">
        <f>VLOOKUP(G73,全部!C:M,11,FALSE)</f>
        <v>478942</v>
      </c>
      <c r="J73" s="4">
        <f t="shared" si="1"/>
        <v>19643</v>
      </c>
      <c r="K73" s="4">
        <f>VLOOKUP(计算!G73,全部!C:N,12,FALSE)</f>
        <v>19643</v>
      </c>
      <c r="L73" s="5">
        <f>VLOOKUP(G73,全部!C:P,14,FALSE)</f>
        <v>0</v>
      </c>
      <c r="M73" s="5">
        <f>VLOOKUP(G73,全部!C:V,20,FALSE)*100</f>
        <v>3.5999999999999996</v>
      </c>
      <c r="N73" s="6">
        <f>VLOOKUP(G73,全部!C:W,21,FALSE)</f>
        <v>17949.059999999998</v>
      </c>
      <c r="O73" s="4">
        <f>VLOOKUP(G73,全部!C:X,22,FALSE)</f>
        <v>17831</v>
      </c>
      <c r="P73" s="4">
        <f>VLOOKUP(G73,全部!C:Y,23,FALSE)</f>
        <v>17831</v>
      </c>
      <c r="Q73" s="6">
        <f>VLOOKUP(G73,全部!C:Z,24,FALSE)</f>
        <v>118.05999999999767</v>
      </c>
      <c r="R73" s="7">
        <f>VLOOKUP(G73,全部!C:AA,25,FALSE)</f>
        <v>498585</v>
      </c>
      <c r="S73" s="7">
        <f>VLOOKUP(G73,全部!C:AB,26,FALSE)</f>
        <v>498585</v>
      </c>
      <c r="T73" s="4">
        <f>VLOOKUP(计算!G73,全部!C:AC,27,FALSE)</f>
        <v>473655</v>
      </c>
      <c r="U73" s="4">
        <f>VLOOKUP(G73,全部!C:AD,28,FALSE)</f>
        <v>473655</v>
      </c>
      <c r="V73" s="6">
        <f>VLOOKUP(G73,全部!C:AE,29,FALSE)</f>
        <v>0.94999849574295259</v>
      </c>
      <c r="W73" s="4">
        <f>VLOOKUP(G73,全部!C:AF,30,FALSE)</f>
        <v>450000</v>
      </c>
      <c r="X73" s="4">
        <f>VLOOKUP(G73,全部!C:AG,31,FALSE)</f>
        <v>450000</v>
      </c>
      <c r="Y73" s="4">
        <f>VLOOKUP(计算!G73,全部!C:AH,32,FALSE)</f>
        <v>466952</v>
      </c>
      <c r="Z73" s="4">
        <f>VLOOKUP(G73,全部!C:AL,36,FALSE)</f>
        <v>466952</v>
      </c>
      <c r="AA73" s="4">
        <f>VLOOKUP(G73,全部!C:AM,37,FALSE)</f>
        <v>3.4000000000000002E-2</v>
      </c>
      <c r="AB73" s="6">
        <f>VLOOKUP(G73,全部!C:AN,38,FALSE)</f>
        <v>16951.89</v>
      </c>
      <c r="AC73" s="4">
        <f>VLOOKUP(G73,全部!C:AO,39,FALSE)</f>
        <v>16952</v>
      </c>
      <c r="AD73" s="4">
        <f>VLOOKUP(G73,全部!C:AP,40,FALSE)</f>
        <v>16952</v>
      </c>
      <c r="AE73" s="6">
        <f>VLOOKUP(G73,全部!C:AQ,41,FALSE)</f>
        <v>0</v>
      </c>
      <c r="AF73" s="4">
        <f>VLOOKUP(G73,全部!C:AR,42,FALSE)</f>
        <v>0</v>
      </c>
      <c r="AG73" s="7">
        <f>VLOOKUP(G73,全部!C:AS,43,FALSE)</f>
        <v>6</v>
      </c>
      <c r="AH73" s="64" t="str">
        <f>IF(VLOOKUP(G73,全部!C:AT,44,FALSE)=0,"",VLOOKUP(G73,全部!C:AT,44,FALSE))</f>
        <v>亦庄</v>
      </c>
      <c r="AI73">
        <v>0</v>
      </c>
      <c r="AJ73" s="3">
        <v>41912.686261574097</v>
      </c>
      <c r="AK73" s="2" t="s">
        <v>2110</v>
      </c>
    </row>
    <row r="74" spans="1:37" x14ac:dyDescent="0.15">
      <c r="A74" s="2" t="s">
        <v>2109</v>
      </c>
      <c r="B74">
        <v>705</v>
      </c>
      <c r="C74" s="3">
        <v>41299</v>
      </c>
      <c r="D74" s="2" t="s">
        <v>37</v>
      </c>
      <c r="E74" s="2" t="s">
        <v>2108</v>
      </c>
      <c r="F74" s="2" t="s">
        <v>38</v>
      </c>
      <c r="G74" s="2" t="s">
        <v>186</v>
      </c>
      <c r="H74" s="2" t="s">
        <v>187</v>
      </c>
      <c r="I74" s="4">
        <f>VLOOKUP(G74,全部!C:M,11,FALSE)</f>
        <v>1707600</v>
      </c>
      <c r="J74" s="4">
        <f t="shared" si="1"/>
        <v>0</v>
      </c>
      <c r="K74" s="4">
        <f>VLOOKUP(计算!G74,全部!C:N,12,FALSE)</f>
        <v>0</v>
      </c>
      <c r="L74" s="5">
        <f>VLOOKUP(G74,全部!C:P,14,FALSE)</f>
        <v>0</v>
      </c>
      <c r="M74" s="5">
        <f>VLOOKUP(G74,全部!C:V,20,FALSE)*100</f>
        <v>3</v>
      </c>
      <c r="N74" s="6">
        <f>VLOOKUP(G74,全部!C:W,21,FALSE)</f>
        <v>51228</v>
      </c>
      <c r="O74" s="4">
        <f>VLOOKUP(G74,全部!C:X,22,FALSE)</f>
        <v>51228</v>
      </c>
      <c r="P74" s="4">
        <f>VLOOKUP(G74,全部!C:Y,23,FALSE)</f>
        <v>51228</v>
      </c>
      <c r="Q74" s="6">
        <f>VLOOKUP(G74,全部!C:Z,24,FALSE)</f>
        <v>0</v>
      </c>
      <c r="R74" s="7">
        <f>VLOOKUP(G74,全部!C:AA,25,FALSE)</f>
        <v>1536840</v>
      </c>
      <c r="S74" s="7">
        <f>VLOOKUP(G74,全部!C:AB,26,FALSE)</f>
        <v>1536840</v>
      </c>
      <c r="T74" s="4">
        <f>VLOOKUP(计算!G74,全部!C:AC,27,FALSE)</f>
        <v>1536840</v>
      </c>
      <c r="U74" s="4">
        <f>VLOOKUP(G74,全部!C:AD,28,FALSE)</f>
        <v>1536840</v>
      </c>
      <c r="V74" s="6">
        <f>VLOOKUP(G74,全部!C:AE,29,FALSE)</f>
        <v>0.9</v>
      </c>
      <c r="W74" s="4">
        <f>VLOOKUP(G74,全部!C:AF,30,FALSE)</f>
        <v>1484089.7</v>
      </c>
      <c r="X74" s="4">
        <f>VLOOKUP(G74,全部!C:AG,31,FALSE)</f>
        <v>1484089.7</v>
      </c>
      <c r="Y74" s="4">
        <f>VLOOKUP(计算!G74,全部!C:AH,32,FALSE)</f>
        <v>1536342.7</v>
      </c>
      <c r="Z74" s="4">
        <f>VLOOKUP(G74,全部!C:AL,36,FALSE)</f>
        <v>1536342.7</v>
      </c>
      <c r="AA74" s="4">
        <f>VLOOKUP(G74,全部!C:AM,37,FALSE)</f>
        <v>3.4000000000000002E-2</v>
      </c>
      <c r="AB74" s="6">
        <f>VLOOKUP(G74,全部!C:AN,38,FALSE)</f>
        <v>52252.560000000005</v>
      </c>
      <c r="AC74" s="4">
        <f>VLOOKUP(G74,全部!C:AO,39,FALSE)</f>
        <v>52253</v>
      </c>
      <c r="AD74" s="4">
        <f>VLOOKUP(G74,全部!C:AP,40,FALSE)</f>
        <v>52253</v>
      </c>
      <c r="AE74" s="6">
        <f>VLOOKUP(G74,全部!C:AQ,41,FALSE)</f>
        <v>0</v>
      </c>
      <c r="AF74" s="4">
        <f>VLOOKUP(G74,全部!C:AR,42,FALSE)</f>
        <v>0</v>
      </c>
      <c r="AG74" s="7">
        <f>VLOOKUP(G74,全部!C:AS,43,FALSE)</f>
        <v>0</v>
      </c>
      <c r="AH74" s="64" t="str">
        <f>IF(VLOOKUP(G74,全部!C:AT,44,FALSE)=0,"",VLOOKUP(G74,全部!C:AT,44,FALSE))</f>
        <v/>
      </c>
      <c r="AI74">
        <v>0</v>
      </c>
      <c r="AJ74" s="3">
        <v>41912.686261574097</v>
      </c>
      <c r="AK74" s="2" t="s">
        <v>2107</v>
      </c>
    </row>
    <row r="75" spans="1:37" x14ac:dyDescent="0.15">
      <c r="A75" s="2" t="s">
        <v>2106</v>
      </c>
      <c r="B75">
        <v>690</v>
      </c>
      <c r="C75" s="3">
        <v>41299</v>
      </c>
      <c r="D75" s="2" t="s">
        <v>37</v>
      </c>
      <c r="E75" s="2" t="s">
        <v>2105</v>
      </c>
      <c r="F75" s="2" t="s">
        <v>38</v>
      </c>
      <c r="G75" s="2" t="s">
        <v>188</v>
      </c>
      <c r="H75" s="2" t="s">
        <v>189</v>
      </c>
      <c r="I75" s="4">
        <f>VLOOKUP(G75,全部!C:M,11,FALSE)</f>
        <v>5903500</v>
      </c>
      <c r="J75" s="4">
        <f t="shared" si="1"/>
        <v>0</v>
      </c>
      <c r="K75" s="4">
        <f>VLOOKUP(计算!G75,全部!C:N,12,FALSE)</f>
        <v>0</v>
      </c>
      <c r="L75" s="5">
        <f>VLOOKUP(G75,全部!C:P,14,FALSE)</f>
        <v>0</v>
      </c>
      <c r="M75" s="5">
        <f>VLOOKUP(G75,全部!C:V,20,FALSE)*100</f>
        <v>4</v>
      </c>
      <c r="N75" s="6">
        <f>VLOOKUP(G75,全部!C:W,21,FALSE)</f>
        <v>236140</v>
      </c>
      <c r="O75" s="4">
        <f>VLOOKUP(G75,全部!C:X,22,FALSE)</f>
        <v>236140</v>
      </c>
      <c r="P75" s="4">
        <f>VLOOKUP(G75,全部!C:Y,23,FALSE)</f>
        <v>236140</v>
      </c>
      <c r="Q75" s="6">
        <f>VLOOKUP(G75,全部!C:Z,24,FALSE)</f>
        <v>0</v>
      </c>
      <c r="R75" s="7">
        <f>VLOOKUP(G75,全部!C:AA,25,FALSE)</f>
        <v>5400000</v>
      </c>
      <c r="S75" s="7">
        <f>VLOOKUP(G75,全部!C:AB,26,FALSE)</f>
        <v>5400000</v>
      </c>
      <c r="T75" s="4">
        <f>VLOOKUP(计算!G75,全部!C:AC,27,FALSE)</f>
        <v>4000000</v>
      </c>
      <c r="U75" s="4">
        <f>VLOOKUP(G75,全部!C:AD,28,FALSE)</f>
        <v>4000000</v>
      </c>
      <c r="V75" s="6">
        <f>VLOOKUP(G75,全部!C:AE,29,FALSE)</f>
        <v>0.67756415685610227</v>
      </c>
      <c r="W75" s="4">
        <f>VLOOKUP(G75,全部!C:AF,30,FALSE)</f>
        <v>2706499.32</v>
      </c>
      <c r="X75" s="4">
        <f>VLOOKUP(G75,全部!C:AG,31,FALSE)</f>
        <v>2706499.32</v>
      </c>
      <c r="Y75" s="4">
        <f>VLOOKUP(计算!G75,全部!C:AH,32,FALSE)</f>
        <v>3999943.58</v>
      </c>
      <c r="Z75" s="4">
        <f>VLOOKUP(G75,全部!C:AL,36,FALSE)</f>
        <v>3999943.58</v>
      </c>
      <c r="AA75" s="4">
        <f>VLOOKUP(G75,全部!C:AM,37,FALSE)</f>
        <v>3.4000000000000002E-2</v>
      </c>
      <c r="AB75" s="6">
        <f>VLOOKUP(G75,全部!C:AN,38,FALSE)</f>
        <v>183600</v>
      </c>
      <c r="AC75" s="4">
        <f>VLOOKUP(G75,全部!C:AO,39,FALSE)</f>
        <v>183600</v>
      </c>
      <c r="AD75" s="4">
        <f>VLOOKUP(G75,全部!C:AP,40,FALSE)</f>
        <v>183600</v>
      </c>
      <c r="AE75" s="6">
        <f>VLOOKUP(G75,全部!C:AQ,41,FALSE)</f>
        <v>0</v>
      </c>
      <c r="AF75" s="4">
        <f>VLOOKUP(G75,全部!C:AR,42,FALSE)</f>
        <v>0</v>
      </c>
      <c r="AG75" s="7">
        <f>VLOOKUP(G75,全部!C:AS,43,FALSE)</f>
        <v>74</v>
      </c>
      <c r="AH75" s="64" t="str">
        <f>IF(VLOOKUP(G75,全部!C:AT,44,FALSE)=0,"",VLOOKUP(G75,全部!C:AT,44,FALSE))</f>
        <v>亦庄</v>
      </c>
      <c r="AI75">
        <v>0</v>
      </c>
      <c r="AJ75" s="3">
        <v>41912.686261574097</v>
      </c>
      <c r="AK75" s="2" t="s">
        <v>2104</v>
      </c>
    </row>
    <row r="76" spans="1:37" x14ac:dyDescent="0.15">
      <c r="A76" s="2" t="s">
        <v>2103</v>
      </c>
      <c r="B76">
        <v>713</v>
      </c>
      <c r="C76" s="3">
        <v>41303</v>
      </c>
      <c r="D76" s="2" t="s">
        <v>37</v>
      </c>
      <c r="E76" s="2" t="s">
        <v>2102</v>
      </c>
      <c r="F76" s="2" t="s">
        <v>38</v>
      </c>
      <c r="G76" s="2" t="s">
        <v>190</v>
      </c>
      <c r="H76" s="2" t="s">
        <v>191</v>
      </c>
      <c r="I76" s="4">
        <f>VLOOKUP(G76,全部!C:M,11,FALSE)</f>
        <v>3171737</v>
      </c>
      <c r="J76" s="4">
        <f t="shared" si="1"/>
        <v>0</v>
      </c>
      <c r="K76" s="4">
        <f>VLOOKUP(计算!G76,全部!C:N,12,FALSE)</f>
        <v>0</v>
      </c>
      <c r="L76" s="5">
        <f>VLOOKUP(G76,全部!C:P,14,FALSE)</f>
        <v>0</v>
      </c>
      <c r="M76" s="5">
        <f>VLOOKUP(G76,全部!C:V,20,FALSE)*100</f>
        <v>4</v>
      </c>
      <c r="N76" s="6">
        <f>VLOOKUP(G76,全部!C:W,21,FALSE)</f>
        <v>126869.48</v>
      </c>
      <c r="O76" s="4">
        <f>VLOOKUP(G76,全部!C:X,22,FALSE)</f>
        <v>126870</v>
      </c>
      <c r="P76" s="4">
        <f>VLOOKUP(G76,全部!C:Y,23,FALSE)</f>
        <v>126870</v>
      </c>
      <c r="Q76" s="6">
        <f>VLOOKUP(G76,全部!C:Z,24,FALSE)</f>
        <v>0</v>
      </c>
      <c r="R76" s="7">
        <f>VLOOKUP(G76,全部!C:AA,25,FALSE)</f>
        <v>3000000</v>
      </c>
      <c r="S76" s="7">
        <f>VLOOKUP(G76,全部!C:AB,26,FALSE)</f>
        <v>3000000</v>
      </c>
      <c r="T76" s="4">
        <f>VLOOKUP(计算!G76,全部!C:AC,27,FALSE)</f>
        <v>3000000</v>
      </c>
      <c r="U76" s="4">
        <f>VLOOKUP(G76,全部!C:AD,28,FALSE)</f>
        <v>3000000</v>
      </c>
      <c r="V76" s="6">
        <f>VLOOKUP(G76,全部!C:AE,29,FALSE)</f>
        <v>0.94585395951808116</v>
      </c>
      <c r="W76" s="4">
        <f>VLOOKUP(G76,全部!C:AF,30,FALSE)</f>
        <v>2209075.2000000002</v>
      </c>
      <c r="X76" s="4">
        <f>VLOOKUP(G76,全部!C:AG,31,FALSE)</f>
        <v>2209075.2000000002</v>
      </c>
      <c r="Y76" s="4">
        <f>VLOOKUP(计算!G76,全部!C:AH,32,FALSE)</f>
        <v>2947212.54</v>
      </c>
      <c r="Z76" s="4">
        <f>VLOOKUP(G76,全部!C:AL,36,FALSE)</f>
        <v>2947212.54</v>
      </c>
      <c r="AA76" s="4">
        <f>VLOOKUP(G76,全部!C:AM,37,FALSE)</f>
        <v>3.4000000000000002E-2</v>
      </c>
      <c r="AB76" s="6">
        <f>VLOOKUP(G76,全部!C:AN,38,FALSE)</f>
        <v>102000.00000000001</v>
      </c>
      <c r="AC76" s="4">
        <f>VLOOKUP(G76,全部!C:AO,39,FALSE)</f>
        <v>102000</v>
      </c>
      <c r="AD76" s="4">
        <f>VLOOKUP(G76,全部!C:AP,40,FALSE)</f>
        <v>102000</v>
      </c>
      <c r="AE76" s="6">
        <f>VLOOKUP(G76,全部!C:AQ,41,FALSE)</f>
        <v>0</v>
      </c>
      <c r="AF76" s="4">
        <f>VLOOKUP(G76,全部!C:AR,42,FALSE)</f>
        <v>0</v>
      </c>
      <c r="AG76" s="7">
        <f>VLOOKUP(G76,全部!C:AS,43,FALSE)</f>
        <v>40</v>
      </c>
      <c r="AH76" s="64" t="str">
        <f>IF(VLOOKUP(G76,全部!C:AT,44,FALSE)=0,"",VLOOKUP(G76,全部!C:AT,44,FALSE))</f>
        <v>亦庄</v>
      </c>
      <c r="AI76">
        <v>0</v>
      </c>
      <c r="AJ76" s="3">
        <v>41912.686261574097</v>
      </c>
      <c r="AK76" s="2" t="s">
        <v>2101</v>
      </c>
    </row>
    <row r="77" spans="1:37" x14ac:dyDescent="0.15">
      <c r="A77" s="2" t="s">
        <v>2100</v>
      </c>
      <c r="B77">
        <v>722</v>
      </c>
      <c r="C77" s="3">
        <v>41304</v>
      </c>
      <c r="D77" s="2" t="s">
        <v>37</v>
      </c>
      <c r="E77" s="2" t="s">
        <v>2099</v>
      </c>
      <c r="F77" s="2" t="s">
        <v>38</v>
      </c>
      <c r="G77" s="2" t="s">
        <v>192</v>
      </c>
      <c r="H77" s="2" t="s">
        <v>193</v>
      </c>
      <c r="I77" s="4">
        <f>VLOOKUP(G77,全部!C:M,11,FALSE)</f>
        <v>3688900</v>
      </c>
      <c r="J77" s="4">
        <f t="shared" si="1"/>
        <v>2437951.61</v>
      </c>
      <c r="K77" s="4">
        <f>VLOOKUP(计算!G77,全部!C:N,12,FALSE)</f>
        <v>2437951.61</v>
      </c>
      <c r="L77" s="5">
        <f>VLOOKUP(G77,全部!C:P,14,FALSE)</f>
        <v>0</v>
      </c>
      <c r="M77" s="5">
        <f>VLOOKUP(G77,全部!C:V,20,FALSE)*100</f>
        <v>4</v>
      </c>
      <c r="N77" s="6">
        <f>VLOOKUP(G77,全部!C:W,21,FALSE)</f>
        <v>245074.06439999997</v>
      </c>
      <c r="O77" s="4">
        <f>VLOOKUP(G77,全部!C:X,22,FALSE)</f>
        <v>245074</v>
      </c>
      <c r="P77" s="4">
        <f>VLOOKUP(G77,全部!C:Y,23,FALSE)</f>
        <v>245074</v>
      </c>
      <c r="Q77" s="6">
        <f>VLOOKUP(G77,全部!C:Z,24,FALSE)</f>
        <v>0</v>
      </c>
      <c r="R77" s="7">
        <f>VLOOKUP(G77,全部!C:AA,25,FALSE)</f>
        <v>4400000</v>
      </c>
      <c r="S77" s="7">
        <f>VLOOKUP(G77,全部!C:AB,26,FALSE)</f>
        <v>4400000</v>
      </c>
      <c r="T77" s="4">
        <f>VLOOKUP(计算!G77,全部!C:AC,27,FALSE)</f>
        <v>4400000</v>
      </c>
      <c r="U77" s="4">
        <f>VLOOKUP(G77,全部!C:AD,28,FALSE)</f>
        <v>4400000</v>
      </c>
      <c r="V77" s="6">
        <f>VLOOKUP(G77,全部!C:AE,29,FALSE)</f>
        <v>0.71815024748085921</v>
      </c>
      <c r="W77" s="4">
        <f>VLOOKUP(G77,全部!C:AF,30,FALSE)</f>
        <v>3910369.0700000003</v>
      </c>
      <c r="X77" s="4">
        <f>VLOOKUP(G77,全部!C:AG,31,FALSE)</f>
        <v>3910369.07</v>
      </c>
      <c r="Y77" s="4">
        <f>VLOOKUP(计算!G77,全部!C:AH,32,FALSE)</f>
        <v>4363087.07</v>
      </c>
      <c r="Z77" s="4">
        <f>VLOOKUP(G77,全部!C:AL,36,FALSE)</f>
        <v>4363087.07</v>
      </c>
      <c r="AA77" s="4">
        <f>VLOOKUP(G77,全部!C:AM,37,FALSE)</f>
        <v>3.4000000000000002E-2</v>
      </c>
      <c r="AB77" s="6">
        <f>VLOOKUP(G77,全部!C:AN,38,FALSE)</f>
        <v>149600</v>
      </c>
      <c r="AC77" s="4">
        <f>VLOOKUP(G77,全部!C:AO,39,FALSE)</f>
        <v>149600</v>
      </c>
      <c r="AD77" s="4">
        <f>VLOOKUP(G77,全部!C:AP,40,FALSE)</f>
        <v>149600</v>
      </c>
      <c r="AE77" s="6">
        <f>VLOOKUP(G77,全部!C:AQ,41,FALSE)</f>
        <v>0</v>
      </c>
      <c r="AF77" s="4">
        <f>VLOOKUP(G77,全部!C:AR,42,FALSE)</f>
        <v>0</v>
      </c>
      <c r="AG77" s="7">
        <f>VLOOKUP(G77,全部!C:AS,43,FALSE)</f>
        <v>78</v>
      </c>
      <c r="AH77" s="64" t="str">
        <f>IF(VLOOKUP(G77,全部!C:AT,44,FALSE)=0,"",VLOOKUP(G77,全部!C:AT,44,FALSE))</f>
        <v>亦庄</v>
      </c>
      <c r="AI77">
        <v>0</v>
      </c>
      <c r="AJ77" s="3">
        <v>41912.686261574097</v>
      </c>
      <c r="AK77" s="2" t="s">
        <v>2098</v>
      </c>
    </row>
    <row r="78" spans="1:37" x14ac:dyDescent="0.15">
      <c r="A78" s="2" t="s">
        <v>2097</v>
      </c>
      <c r="B78">
        <v>104</v>
      </c>
      <c r="C78" s="3">
        <v>41306</v>
      </c>
      <c r="D78" s="2" t="s">
        <v>37</v>
      </c>
      <c r="E78" s="2" t="s">
        <v>2096</v>
      </c>
      <c r="F78" s="2" t="s">
        <v>41</v>
      </c>
      <c r="G78" s="2" t="s">
        <v>194</v>
      </c>
      <c r="H78" s="2" t="s">
        <v>195</v>
      </c>
      <c r="I78" s="4">
        <f>VLOOKUP(G78,全部!C:M,11,FALSE)</f>
        <v>24479188</v>
      </c>
      <c r="J78" s="4">
        <f t="shared" si="1"/>
        <v>0</v>
      </c>
      <c r="K78" s="4">
        <f>VLOOKUP(计算!G78,全部!C:N,12,FALSE)</f>
        <v>0</v>
      </c>
      <c r="L78" s="5">
        <f>VLOOKUP(G78,全部!C:P,14,FALSE)</f>
        <v>0</v>
      </c>
      <c r="M78" s="5">
        <f>VLOOKUP(G78,全部!C:V,20,FALSE)*100</f>
        <v>3.5000000000000004</v>
      </c>
      <c r="N78" s="6">
        <f>VLOOKUP(G78,全部!C:W,21,FALSE)</f>
        <v>856771.58000000007</v>
      </c>
      <c r="O78" s="4">
        <f>VLOOKUP(G78,全部!C:X,22,FALSE)</f>
        <v>856771.58</v>
      </c>
      <c r="P78" s="4">
        <f>VLOOKUP(G78,全部!C:Y,23,FALSE)</f>
        <v>856771.58</v>
      </c>
      <c r="Q78" s="6">
        <f>VLOOKUP(G78,全部!C:Z,24,FALSE)</f>
        <v>0</v>
      </c>
      <c r="R78" s="7">
        <f>VLOOKUP(G78,全部!C:AA,25,FALSE)</f>
        <v>0</v>
      </c>
      <c r="S78" s="7">
        <f>VLOOKUP(G78,全部!C:AB,26,FALSE)</f>
        <v>0</v>
      </c>
      <c r="T78" s="4">
        <f>VLOOKUP(计算!G78,全部!C:AC,27,FALSE)</f>
        <v>14834162.02</v>
      </c>
      <c r="U78" s="4">
        <f>VLOOKUP(G78,全部!C:AD,28,FALSE)</f>
        <v>14834162.02</v>
      </c>
      <c r="V78" s="6">
        <f>VLOOKUP(G78,全部!C:AE,29,FALSE)</f>
        <v>0.60599077142591495</v>
      </c>
      <c r="W78" s="4">
        <f>VLOOKUP(G78,全部!C:AF,30,FALSE)</f>
        <v>0</v>
      </c>
      <c r="X78" s="4">
        <f>VLOOKUP(G78,全部!C:AG,31,FALSE)</f>
        <v>0</v>
      </c>
      <c r="Y78" s="4">
        <f>VLOOKUP(计算!G78,全部!C:AH,32,FALSE)</f>
        <v>14128142.74</v>
      </c>
      <c r="Z78" s="4">
        <f>VLOOKUP(G78,全部!C:AL,36,FALSE)</f>
        <v>14128142.74</v>
      </c>
      <c r="AA78" s="4">
        <f>VLOOKUP(G78,全部!C:AM,37,FALSE)</f>
        <v>3.6999999999999998E-2</v>
      </c>
      <c r="AB78" s="6">
        <f>VLOOKUP(G78,全部!C:AN,38,FALSE)</f>
        <v>905729.95600000001</v>
      </c>
      <c r="AC78" s="4">
        <f>VLOOKUP(G78,全部!C:AO,39,FALSE)</f>
        <v>603593.67000000004</v>
      </c>
      <c r="AD78" s="4">
        <f>VLOOKUP(G78,全部!C:AP,40,FALSE)</f>
        <v>603593.67000000004</v>
      </c>
      <c r="AE78" s="6">
        <f>VLOOKUP(G78,全部!C:AQ,41,FALSE)</f>
        <v>302136.28599999996</v>
      </c>
      <c r="AF78" s="4">
        <f>VLOOKUP(G78,全部!C:AR,42,FALSE)</f>
        <v>0</v>
      </c>
      <c r="AG78" s="7">
        <f>VLOOKUP(G78,全部!C:AS,43,FALSE)</f>
        <v>0</v>
      </c>
      <c r="AH78" s="64" t="str">
        <f>IF(VLOOKUP(G78,全部!C:AT,44,FALSE)=0,"",VLOOKUP(G78,全部!C:AT,44,FALSE))</f>
        <v/>
      </c>
      <c r="AI78">
        <v>0</v>
      </c>
      <c r="AJ78" s="3">
        <v>41912.6862384259</v>
      </c>
      <c r="AK78" s="2" t="s">
        <v>2095</v>
      </c>
    </row>
    <row r="79" spans="1:37" x14ac:dyDescent="0.15">
      <c r="A79" s="2" t="s">
        <v>2094</v>
      </c>
      <c r="B79">
        <v>730</v>
      </c>
      <c r="C79" s="3">
        <v>41330</v>
      </c>
      <c r="D79" s="2" t="s">
        <v>37</v>
      </c>
      <c r="E79" s="2" t="s">
        <v>2093</v>
      </c>
      <c r="F79" s="2" t="s">
        <v>38</v>
      </c>
      <c r="G79" s="2" t="s">
        <v>196</v>
      </c>
      <c r="H79" s="2" t="s">
        <v>197</v>
      </c>
      <c r="I79" s="4">
        <f>VLOOKUP(G79,全部!C:M,11,FALSE)</f>
        <v>10242431.93</v>
      </c>
      <c r="J79" s="4">
        <f t="shared" si="1"/>
        <v>0</v>
      </c>
      <c r="K79" s="4">
        <f>VLOOKUP(计算!G79,全部!C:N,12,FALSE)</f>
        <v>0</v>
      </c>
      <c r="L79" s="5">
        <f>VLOOKUP(G79,全部!C:P,14,FALSE)</f>
        <v>0</v>
      </c>
      <c r="M79" s="5">
        <f>VLOOKUP(G79,全部!C:V,20,FALSE)*100</f>
        <v>3</v>
      </c>
      <c r="N79" s="6">
        <f>VLOOKUP(G79,全部!C:W,21,FALSE)</f>
        <v>307272.95789999998</v>
      </c>
      <c r="O79" s="4">
        <f>VLOOKUP(G79,全部!C:X,22,FALSE)</f>
        <v>307273</v>
      </c>
      <c r="P79" s="4">
        <f>VLOOKUP(G79,全部!C:Y,23,FALSE)</f>
        <v>307273</v>
      </c>
      <c r="Q79" s="6">
        <f>VLOOKUP(G79,全部!C:Z,24,FALSE)</f>
        <v>0</v>
      </c>
      <c r="R79" s="7">
        <f>VLOOKUP(G79,全部!C:AA,25,FALSE)</f>
        <v>5355000</v>
      </c>
      <c r="S79" s="7">
        <f>VLOOKUP(G79,全部!C:AB,26,FALSE)</f>
        <v>5355000</v>
      </c>
      <c r="T79" s="4">
        <f>VLOOKUP(计算!G79,全部!C:AC,27,FALSE)</f>
        <v>5355000</v>
      </c>
      <c r="U79" s="4">
        <f>VLOOKUP(G79,全部!C:AD,28,FALSE)</f>
        <v>5355000</v>
      </c>
      <c r="V79" s="6">
        <f>VLOOKUP(G79,全部!C:AE,29,FALSE)</f>
        <v>0.52282505137429802</v>
      </c>
      <c r="W79" s="4">
        <f>VLOOKUP(G79,全部!C:AF,30,FALSE)</f>
        <v>4746409.25</v>
      </c>
      <c r="X79" s="4">
        <f>VLOOKUP(G79,全部!C:AG,31,FALSE)</f>
        <v>4746409.25</v>
      </c>
      <c r="Y79" s="4">
        <f>VLOOKUP(计算!G79,全部!C:AH,32,FALSE)</f>
        <v>5006374.95</v>
      </c>
      <c r="Z79" s="4">
        <f>VLOOKUP(G79,全部!C:AL,36,FALSE)</f>
        <v>5006374.95</v>
      </c>
      <c r="AA79" s="4">
        <f>VLOOKUP(G79,全部!C:AM,37,FALSE)</f>
        <v>3.4000000000000002E-2</v>
      </c>
      <c r="AB79" s="6">
        <f>VLOOKUP(G79,全部!C:AN,38,FALSE)</f>
        <v>182070</v>
      </c>
      <c r="AC79" s="4">
        <f>VLOOKUP(G79,全部!C:AO,39,FALSE)</f>
        <v>182070</v>
      </c>
      <c r="AD79" s="4">
        <f>VLOOKUP(G79,全部!C:AP,40,FALSE)</f>
        <v>182070</v>
      </c>
      <c r="AE79" s="6">
        <f>VLOOKUP(G79,全部!C:AQ,41,FALSE)</f>
        <v>0</v>
      </c>
      <c r="AF79" s="4">
        <f>VLOOKUP(G79,全部!C:AR,42,FALSE)</f>
        <v>0</v>
      </c>
      <c r="AG79" s="7">
        <f>VLOOKUP(G79,全部!C:AS,43,FALSE)</f>
        <v>150</v>
      </c>
      <c r="AH79" s="64" t="str">
        <f>IF(VLOOKUP(G79,全部!C:AT,44,FALSE)=0,"",VLOOKUP(G79,全部!C:AT,44,FALSE))</f>
        <v>管庄</v>
      </c>
      <c r="AI79">
        <v>0</v>
      </c>
      <c r="AJ79" s="3">
        <v>41912.686261574097</v>
      </c>
      <c r="AK79" s="2" t="s">
        <v>2092</v>
      </c>
    </row>
    <row r="80" spans="1:37" x14ac:dyDescent="0.15">
      <c r="A80" s="2" t="s">
        <v>2091</v>
      </c>
      <c r="B80">
        <v>737</v>
      </c>
      <c r="C80" s="3">
        <v>41334</v>
      </c>
      <c r="D80" s="2" t="s">
        <v>37</v>
      </c>
      <c r="E80" s="2" t="s">
        <v>2090</v>
      </c>
      <c r="F80" s="2" t="s">
        <v>38</v>
      </c>
      <c r="G80" s="2" t="s">
        <v>198</v>
      </c>
      <c r="H80" s="2" t="s">
        <v>199</v>
      </c>
      <c r="I80" s="4">
        <f>VLOOKUP(G80,全部!C:M,11,FALSE)</f>
        <v>10182154.199999999</v>
      </c>
      <c r="J80" s="4">
        <f t="shared" si="1"/>
        <v>0</v>
      </c>
      <c r="K80" s="4">
        <f>VLOOKUP(计算!G80,全部!C:N,12,FALSE)</f>
        <v>0</v>
      </c>
      <c r="L80" s="5">
        <f>VLOOKUP(G80,全部!C:P,14,FALSE)</f>
        <v>0</v>
      </c>
      <c r="M80" s="5">
        <f>VLOOKUP(G80,全部!C:V,20,FALSE)*100</f>
        <v>3</v>
      </c>
      <c r="N80" s="6">
        <f>VLOOKUP(G80,全部!C:W,21,FALSE)</f>
        <v>305464.62599999999</v>
      </c>
      <c r="O80" s="4">
        <f>VLOOKUP(G80,全部!C:X,22,FALSE)</f>
        <v>305465</v>
      </c>
      <c r="P80" s="4">
        <f>VLOOKUP(G80,全部!C:Y,23,FALSE)</f>
        <v>305465</v>
      </c>
      <c r="Q80" s="6">
        <f>VLOOKUP(G80,全部!C:Z,24,FALSE)</f>
        <v>0</v>
      </c>
      <c r="R80" s="7">
        <f>VLOOKUP(G80,全部!C:AA,25,FALSE)</f>
        <v>6658381.3199999994</v>
      </c>
      <c r="S80" s="7">
        <f>VLOOKUP(G80,全部!C:AB,26,FALSE)</f>
        <v>6658381.3200000003</v>
      </c>
      <c r="T80" s="4">
        <f>VLOOKUP(计算!G80,全部!C:AC,27,FALSE)</f>
        <v>6658381.3199999994</v>
      </c>
      <c r="U80" s="4">
        <f>VLOOKUP(G80,全部!C:AD,28,FALSE)</f>
        <v>6658381.3200000003</v>
      </c>
      <c r="V80" s="6">
        <f>VLOOKUP(G80,全部!C:AE,29,FALSE)</f>
        <v>0.65392658461212461</v>
      </c>
      <c r="W80" s="4">
        <f>VLOOKUP(G80,全部!C:AF,30,FALSE)</f>
        <v>5550984.4000000004</v>
      </c>
      <c r="X80" s="4">
        <f>VLOOKUP(G80,全部!C:AG,31,FALSE)</f>
        <v>5550984.4000000004</v>
      </c>
      <c r="Y80" s="4">
        <f>VLOOKUP(计算!G80,全部!C:AH,32,FALSE)</f>
        <v>6656819.7599999998</v>
      </c>
      <c r="Z80" s="4">
        <f>VLOOKUP(G80,全部!C:AL,36,FALSE)</f>
        <v>66566819.759999998</v>
      </c>
      <c r="AA80" s="4">
        <f>VLOOKUP(G80,全部!C:AM,37,FALSE)</f>
        <v>0</v>
      </c>
      <c r="AB80" s="6">
        <f>VLOOKUP(G80,全部!C:AN,38,FALSE)</f>
        <v>0</v>
      </c>
      <c r="AC80" s="4">
        <f>VLOOKUP(G80,全部!C:AO,39,FALSE)</f>
        <v>0</v>
      </c>
      <c r="AD80" s="4">
        <f>VLOOKUP(G80,全部!C:AP,40,FALSE)</f>
        <v>0</v>
      </c>
      <c r="AE80" s="6">
        <f>VLOOKUP(G80,全部!C:AQ,41,FALSE)</f>
        <v>0</v>
      </c>
      <c r="AF80" s="4">
        <f>VLOOKUP(G80,全部!C:AR,42,FALSE)</f>
        <v>0</v>
      </c>
      <c r="AG80" s="7">
        <f>VLOOKUP(G80,全部!C:AS,43,FALSE)</f>
        <v>123</v>
      </c>
      <c r="AH80" s="64" t="str">
        <f>IF(VLOOKUP(G80,全部!C:AT,44,FALSE)=0,"",VLOOKUP(G80,全部!C:AT,44,FALSE))</f>
        <v>亦庄</v>
      </c>
      <c r="AI80">
        <v>0</v>
      </c>
      <c r="AJ80" s="3">
        <v>41912.686261574097</v>
      </c>
      <c r="AK80" s="2" t="s">
        <v>2089</v>
      </c>
    </row>
    <row r="81" spans="1:37" x14ac:dyDescent="0.15">
      <c r="A81" s="2" t="s">
        <v>2088</v>
      </c>
      <c r="B81">
        <v>108</v>
      </c>
      <c r="C81" s="3">
        <v>41334</v>
      </c>
      <c r="D81" s="2" t="s">
        <v>37</v>
      </c>
      <c r="E81" s="2" t="s">
        <v>2087</v>
      </c>
      <c r="F81" s="2" t="s">
        <v>41</v>
      </c>
      <c r="G81" s="2" t="s">
        <v>200</v>
      </c>
      <c r="H81" s="2" t="s">
        <v>201</v>
      </c>
      <c r="I81" s="4">
        <f>VLOOKUP(G81,全部!C:M,11,FALSE)</f>
        <v>735929</v>
      </c>
      <c r="J81" s="4">
        <f t="shared" si="1"/>
        <v>0</v>
      </c>
      <c r="K81" s="4">
        <f>VLOOKUP(计算!G81,全部!C:N,12,FALSE)</f>
        <v>0</v>
      </c>
      <c r="L81" s="5">
        <f>VLOOKUP(G81,全部!C:P,14,FALSE)</f>
        <v>0</v>
      </c>
      <c r="M81" s="5">
        <f>VLOOKUP(G81,全部!C:V,20,FALSE)*100</f>
        <v>4</v>
      </c>
      <c r="N81" s="6">
        <f>VLOOKUP(G81,全部!C:W,21,FALSE)</f>
        <v>32437.16</v>
      </c>
      <c r="O81" s="4">
        <f>VLOOKUP(G81,全部!C:X,22,FALSE)</f>
        <v>32438</v>
      </c>
      <c r="P81" s="4">
        <f>VLOOKUP(G81,全部!C:Y,23,FALSE)</f>
        <v>32438</v>
      </c>
      <c r="Q81" s="6">
        <f>VLOOKUP(G81,全部!C:Z,24,FALSE)</f>
        <v>-0.84000000000014552</v>
      </c>
      <c r="R81" s="7">
        <f>VLOOKUP(G81,全部!C:AA,25,FALSE)</f>
        <v>0</v>
      </c>
      <c r="S81" s="7">
        <f>VLOOKUP(G81,全部!C:AB,26,FALSE)</f>
        <v>0</v>
      </c>
      <c r="T81" s="4">
        <f>VLOOKUP(计算!G81,全部!C:AC,27,FALSE)</f>
        <v>369939.53</v>
      </c>
      <c r="U81" s="4">
        <f>VLOOKUP(G81,全部!C:AD,28,FALSE)</f>
        <v>369939.53</v>
      </c>
      <c r="V81" s="6">
        <f>VLOOKUP(G81,全部!C:AE,29,FALSE)</f>
        <v>0.50268372356572444</v>
      </c>
      <c r="W81" s="4">
        <f>VLOOKUP(G81,全部!C:AF,30,FALSE)</f>
        <v>0</v>
      </c>
      <c r="X81" s="4">
        <f>VLOOKUP(G81,全部!C:AG,31,FALSE)</f>
        <v>0</v>
      </c>
      <c r="Y81" s="4">
        <f>VLOOKUP(计算!G81,全部!C:AH,32,FALSE)</f>
        <v>369384</v>
      </c>
      <c r="Z81" s="4">
        <f>VLOOKUP(G81,全部!C:AL,36,FALSE)</f>
        <v>369384</v>
      </c>
      <c r="AA81" s="4">
        <f>VLOOKUP(G81,全部!C:AM,37,FALSE)</f>
        <v>0</v>
      </c>
      <c r="AB81" s="6">
        <f>VLOOKUP(G81,全部!C:AN,38,FALSE)</f>
        <v>0</v>
      </c>
      <c r="AC81" s="4">
        <f>VLOOKUP(G81,全部!C:AO,39,FALSE)</f>
        <v>0</v>
      </c>
      <c r="AD81" s="4">
        <f>VLOOKUP(G81,全部!C:AP,40,FALSE)</f>
        <v>0</v>
      </c>
      <c r="AE81" s="6">
        <f>VLOOKUP(G81,全部!C:AQ,41,FALSE)</f>
        <v>0</v>
      </c>
      <c r="AF81" s="4">
        <f>VLOOKUP(G81,全部!C:AR,42,FALSE)</f>
        <v>0</v>
      </c>
      <c r="AG81" s="7">
        <f>VLOOKUP(G81,全部!C:AS,43,FALSE)</f>
        <v>0</v>
      </c>
      <c r="AH81" s="64" t="str">
        <f>IF(VLOOKUP(G81,全部!C:AT,44,FALSE)=0,"",VLOOKUP(G81,全部!C:AT,44,FALSE))</f>
        <v/>
      </c>
      <c r="AI81">
        <v>0</v>
      </c>
      <c r="AJ81" s="3">
        <v>41912.6862384259</v>
      </c>
      <c r="AK81" s="2" t="s">
        <v>2086</v>
      </c>
    </row>
    <row r="82" spans="1:37" x14ac:dyDescent="0.15">
      <c r="A82" s="2" t="s">
        <v>2085</v>
      </c>
      <c r="B82">
        <v>748</v>
      </c>
      <c r="C82" s="3">
        <v>41361</v>
      </c>
      <c r="D82" s="2" t="s">
        <v>37</v>
      </c>
      <c r="E82" s="2" t="s">
        <v>2084</v>
      </c>
      <c r="F82" s="2" t="s">
        <v>38</v>
      </c>
      <c r="G82" s="2" t="s">
        <v>202</v>
      </c>
      <c r="H82" s="2" t="s">
        <v>203</v>
      </c>
      <c r="I82" s="4">
        <f>VLOOKUP(G82,全部!C:M,11,FALSE)</f>
        <v>1995000</v>
      </c>
      <c r="J82" s="4">
        <f t="shared" si="1"/>
        <v>0</v>
      </c>
      <c r="K82" s="4">
        <f>VLOOKUP(计算!G82,全部!C:N,12,FALSE)</f>
        <v>0</v>
      </c>
      <c r="L82" s="5">
        <f>VLOOKUP(G82,全部!C:P,14,FALSE)</f>
        <v>0</v>
      </c>
      <c r="M82" s="5">
        <f>VLOOKUP(G82,全部!C:V,20,FALSE)*100</f>
        <v>3.5999999999999996</v>
      </c>
      <c r="N82" s="6">
        <f>VLOOKUP(G82,全部!C:W,21,FALSE)</f>
        <v>71820</v>
      </c>
      <c r="O82" s="4">
        <f>VLOOKUP(G82,全部!C:X,22,FALSE)</f>
        <v>0</v>
      </c>
      <c r="P82" s="4">
        <f>VLOOKUP(G82,全部!C:Y,23,FALSE)</f>
        <v>0</v>
      </c>
      <c r="Q82" s="6">
        <f>VLOOKUP(G82,全部!C:Z,24,FALSE)</f>
        <v>71820</v>
      </c>
      <c r="R82" s="7">
        <f>VLOOKUP(G82,全部!C:AA,25,FALSE)</f>
        <v>0</v>
      </c>
      <c r="S82" s="7">
        <f>VLOOKUP(G82,全部!C:AB,26,FALSE)</f>
        <v>0</v>
      </c>
      <c r="T82" s="4">
        <f>VLOOKUP(计算!G82,全部!C:AC,27,FALSE)</f>
        <v>0</v>
      </c>
      <c r="U82" s="4">
        <f>VLOOKUP(G82,全部!C:AD,28,FALSE)</f>
        <v>0</v>
      </c>
      <c r="V82" s="6">
        <f>VLOOKUP(G82,全部!C:AE,29,FALSE)</f>
        <v>0</v>
      </c>
      <c r="W82" s="4">
        <f>VLOOKUP(G82,全部!C:AF,30,FALSE)</f>
        <v>0</v>
      </c>
      <c r="X82" s="4">
        <f>VLOOKUP(G82,全部!C:AG,31,FALSE)</f>
        <v>0</v>
      </c>
      <c r="Y82" s="4">
        <f>VLOOKUP(计算!G82,全部!C:AH,32,FALSE)</f>
        <v>0</v>
      </c>
      <c r="Z82" s="4">
        <f>VLOOKUP(G82,全部!C:AL,36,FALSE)</f>
        <v>0</v>
      </c>
      <c r="AA82" s="4">
        <f>VLOOKUP(G82,全部!C:AM,37,FALSE)</f>
        <v>3.4000000000000002E-2</v>
      </c>
      <c r="AB82" s="6">
        <f>VLOOKUP(G82,全部!C:AN,38,FALSE)</f>
        <v>0</v>
      </c>
      <c r="AC82" s="4">
        <f>VLOOKUP(G82,全部!C:AO,39,FALSE)</f>
        <v>0</v>
      </c>
      <c r="AD82" s="4">
        <f>VLOOKUP(G82,全部!C:AP,40,FALSE)</f>
        <v>0</v>
      </c>
      <c r="AE82" s="6">
        <f>VLOOKUP(G82,全部!C:AQ,41,FALSE)</f>
        <v>0</v>
      </c>
      <c r="AF82" s="4">
        <f>VLOOKUP(G82,全部!C:AR,42,FALSE)</f>
        <v>0</v>
      </c>
      <c r="AG82" s="7">
        <f>VLOOKUP(G82,全部!C:AS,43,FALSE)</f>
        <v>26</v>
      </c>
      <c r="AH82" s="64" t="str">
        <f>IF(VLOOKUP(G82,全部!C:AT,44,FALSE)=0,"",VLOOKUP(G82,全部!C:AT,44,FALSE))</f>
        <v>管庄</v>
      </c>
      <c r="AI82">
        <v>0</v>
      </c>
      <c r="AJ82" s="3">
        <v>41912.686261574097</v>
      </c>
      <c r="AK82" s="2" t="s">
        <v>2083</v>
      </c>
    </row>
    <row r="83" spans="1:37" x14ac:dyDescent="0.15">
      <c r="A83" s="2" t="s">
        <v>2082</v>
      </c>
      <c r="B83">
        <v>756</v>
      </c>
      <c r="C83" s="3">
        <v>41361</v>
      </c>
      <c r="D83" s="2" t="s">
        <v>37</v>
      </c>
      <c r="E83" s="2" t="s">
        <v>2081</v>
      </c>
      <c r="F83" s="2" t="s">
        <v>38</v>
      </c>
      <c r="G83" s="2" t="s">
        <v>204</v>
      </c>
      <c r="H83" s="2" t="s">
        <v>205</v>
      </c>
      <c r="I83" s="4">
        <f>VLOOKUP(G83,全部!C:M,11,FALSE)</f>
        <v>9000000</v>
      </c>
      <c r="J83" s="4">
        <f t="shared" si="1"/>
        <v>0</v>
      </c>
      <c r="K83" s="4">
        <f>VLOOKUP(计算!G83,全部!C:N,12,FALSE)</f>
        <v>0</v>
      </c>
      <c r="L83" s="5">
        <f>VLOOKUP(G83,全部!C:P,14,FALSE)</f>
        <v>0</v>
      </c>
      <c r="M83" s="5">
        <f>VLOOKUP(G83,全部!C:V,20,FALSE)*100</f>
        <v>3</v>
      </c>
      <c r="N83" s="6">
        <f>VLOOKUP(G83,全部!C:W,21,FALSE)</f>
        <v>270000</v>
      </c>
      <c r="O83" s="4">
        <f>VLOOKUP(G83,全部!C:X,22,FALSE)</f>
        <v>210000</v>
      </c>
      <c r="P83" s="4">
        <f>VLOOKUP(G83,全部!C:Y,23,FALSE)</f>
        <v>210000</v>
      </c>
      <c r="Q83" s="6">
        <f>VLOOKUP(G83,全部!C:Z,24,FALSE)</f>
        <v>60000</v>
      </c>
      <c r="R83" s="7">
        <f>VLOOKUP(G83,全部!C:AA,25,FALSE)</f>
        <v>9000000</v>
      </c>
      <c r="S83" s="7">
        <f>VLOOKUP(G83,全部!C:AB,26,FALSE)</f>
        <v>9000000</v>
      </c>
      <c r="T83" s="4">
        <f>VLOOKUP(计算!G83,全部!C:AC,27,FALSE)</f>
        <v>4800000</v>
      </c>
      <c r="U83" s="4">
        <f>VLOOKUP(G83,全部!C:AD,28,FALSE)</f>
        <v>4800000</v>
      </c>
      <c r="V83" s="6">
        <f>VLOOKUP(G83,全部!C:AE,29,FALSE)</f>
        <v>0.53333333333333333</v>
      </c>
      <c r="W83" s="4">
        <f>VLOOKUP(G83,全部!C:AF,30,FALSE)</f>
        <v>2571030.19</v>
      </c>
      <c r="X83" s="4">
        <f>VLOOKUP(G83,全部!C:AG,31,FALSE)</f>
        <v>2571030.19</v>
      </c>
      <c r="Y83" s="4">
        <f>VLOOKUP(计算!G83,全部!C:AH,32,FALSE)</f>
        <v>4800000</v>
      </c>
      <c r="Z83" s="4">
        <f>VLOOKUP(G83,全部!C:AL,36,FALSE)</f>
        <v>4800000</v>
      </c>
      <c r="AA83" s="4">
        <f>VLOOKUP(G83,全部!C:AM,37,FALSE)</f>
        <v>3.4000000000000002E-2</v>
      </c>
      <c r="AB83" s="6">
        <f>VLOOKUP(G83,全部!C:AN,38,FALSE)</f>
        <v>306000</v>
      </c>
      <c r="AC83" s="4">
        <f>VLOOKUP(G83,全部!C:AO,39,FALSE)</f>
        <v>306000</v>
      </c>
      <c r="AD83" s="4">
        <f>VLOOKUP(G83,全部!C:AP,40,FALSE)</f>
        <v>306000</v>
      </c>
      <c r="AE83" s="6">
        <f>VLOOKUP(G83,全部!C:AQ,41,FALSE)</f>
        <v>0</v>
      </c>
      <c r="AF83" s="4">
        <f>VLOOKUP(G83,全部!C:AR,42,FALSE)</f>
        <v>0</v>
      </c>
      <c r="AG83" s="7">
        <f>VLOOKUP(G83,全部!C:AS,43,FALSE)</f>
        <v>10</v>
      </c>
      <c r="AH83" s="64" t="str">
        <f>IF(VLOOKUP(G83,全部!C:AT,44,FALSE)=0,"",VLOOKUP(G83,全部!C:AT,44,FALSE))</f>
        <v>管庄</v>
      </c>
      <c r="AI83">
        <v>0</v>
      </c>
      <c r="AJ83" s="3">
        <v>41912.686261574097</v>
      </c>
      <c r="AK83" s="2" t="s">
        <v>2080</v>
      </c>
    </row>
    <row r="84" spans="1:37" x14ac:dyDescent="0.15">
      <c r="A84" s="2" t="s">
        <v>2079</v>
      </c>
      <c r="B84">
        <v>746</v>
      </c>
      <c r="C84" s="3">
        <v>41361</v>
      </c>
      <c r="D84" s="2" t="s">
        <v>37</v>
      </c>
      <c r="E84" s="2" t="s">
        <v>2078</v>
      </c>
      <c r="F84" s="2" t="s">
        <v>38</v>
      </c>
      <c r="G84" s="2" t="s">
        <v>206</v>
      </c>
      <c r="H84" s="2" t="s">
        <v>207</v>
      </c>
      <c r="I84" s="4">
        <f>VLOOKUP(G84,全部!C:M,11,FALSE)</f>
        <v>35281540.549999997</v>
      </c>
      <c r="J84" s="4">
        <f t="shared" si="1"/>
        <v>1087789.19</v>
      </c>
      <c r="K84" s="4">
        <f>VLOOKUP(计算!G84,全部!C:N,12,FALSE)</f>
        <v>1087789.19</v>
      </c>
      <c r="L84" s="5">
        <f>VLOOKUP(G84,全部!C:P,14,FALSE)</f>
        <v>0</v>
      </c>
      <c r="M84" s="5">
        <f>VLOOKUP(G84,全部!C:V,20,FALSE)*100</f>
        <v>3</v>
      </c>
      <c r="N84" s="6">
        <f>VLOOKUP(G84,全部!C:W,21,FALSE)</f>
        <v>1091079.8921999999</v>
      </c>
      <c r="O84" s="4">
        <f>VLOOKUP(G84,全部!C:X,22,FALSE)</f>
        <v>1064887</v>
      </c>
      <c r="P84" s="4">
        <f>VLOOKUP(G84,全部!C:Y,23,FALSE)</f>
        <v>1064887</v>
      </c>
      <c r="Q84" s="6">
        <f>VLOOKUP(G84,全部!C:Z,24,FALSE)</f>
        <v>26192.892199999886</v>
      </c>
      <c r="R84" s="7">
        <f>VLOOKUP(G84,全部!C:AA,25,FALSE)</f>
        <v>25050105</v>
      </c>
      <c r="S84" s="7">
        <f>VLOOKUP(G84,全部!C:AB,26,FALSE)</f>
        <v>25050105</v>
      </c>
      <c r="T84" s="4">
        <f>VLOOKUP(计算!G84,全部!C:AC,27,FALSE)</f>
        <v>25050105</v>
      </c>
      <c r="U84" s="4">
        <f>VLOOKUP(G84,全部!C:AD,28,FALSE)</f>
        <v>25050105</v>
      </c>
      <c r="V84" s="6">
        <f>VLOOKUP(G84,全部!C:AE,29,FALSE)</f>
        <v>0.68877004825440047</v>
      </c>
      <c r="W84" s="4">
        <f>VLOOKUP(G84,全部!C:AF,30,FALSE)</f>
        <v>23540714.640000001</v>
      </c>
      <c r="X84" s="4">
        <f>VLOOKUP(G84,全部!C:AG,31,FALSE)</f>
        <v>23540714.640000001</v>
      </c>
      <c r="Y84" s="4">
        <f>VLOOKUP(计算!G84,全部!C:AH,32,FALSE)</f>
        <v>25042419.640000001</v>
      </c>
      <c r="Z84" s="4">
        <f>VLOOKUP(G84,全部!C:AL,36,FALSE)</f>
        <v>25042419.640000001</v>
      </c>
      <c r="AA84" s="4">
        <f>VLOOKUP(G84,全部!C:AM,37,FALSE)</f>
        <v>3.4000000000000002E-2</v>
      </c>
      <c r="AB84" s="6">
        <f>VLOOKUP(G84,全部!C:AN,38,FALSE)</f>
        <v>851703.57000000007</v>
      </c>
      <c r="AC84" s="4">
        <f>VLOOKUP(G84,全部!C:AO,39,FALSE)</f>
        <v>851705</v>
      </c>
      <c r="AD84" s="4">
        <f>VLOOKUP(G84,全部!C:AP,40,FALSE)</f>
        <v>851705</v>
      </c>
      <c r="AE84" s="6">
        <f>VLOOKUP(G84,全部!C:AQ,41,FALSE)</f>
        <v>0</v>
      </c>
      <c r="AF84" s="4">
        <f>VLOOKUP(G84,全部!C:AR,42,FALSE)</f>
        <v>0</v>
      </c>
      <c r="AG84" s="7">
        <f>VLOOKUP(G84,全部!C:AS,43,FALSE)</f>
        <v>180</v>
      </c>
      <c r="AH84" s="64" t="str">
        <f>IF(VLOOKUP(G84,全部!C:AT,44,FALSE)=0,"",VLOOKUP(G84,全部!C:AT,44,FALSE))</f>
        <v>管庄</v>
      </c>
      <c r="AI84">
        <v>0</v>
      </c>
      <c r="AJ84" s="3">
        <v>41912.686261574097</v>
      </c>
      <c r="AK84" s="2" t="s">
        <v>2077</v>
      </c>
    </row>
    <row r="85" spans="1:37" x14ac:dyDescent="0.15">
      <c r="A85" s="2" t="s">
        <v>2076</v>
      </c>
      <c r="B85">
        <v>113</v>
      </c>
      <c r="C85" s="3">
        <v>41365</v>
      </c>
      <c r="D85" s="2" t="s">
        <v>37</v>
      </c>
      <c r="E85" s="2" t="s">
        <v>2075</v>
      </c>
      <c r="F85" s="2" t="s">
        <v>41</v>
      </c>
      <c r="G85" s="2" t="s">
        <v>210</v>
      </c>
      <c r="H85" s="2" t="s">
        <v>211</v>
      </c>
      <c r="I85" s="4">
        <f>VLOOKUP(G85,全部!C:M,11,FALSE)</f>
        <v>7457847.71</v>
      </c>
      <c r="J85" s="4">
        <f t="shared" si="1"/>
        <v>0</v>
      </c>
      <c r="K85" s="4">
        <f>VLOOKUP(计算!G85,全部!C:N,12,FALSE)</f>
        <v>0</v>
      </c>
      <c r="L85" s="5">
        <f>VLOOKUP(G85,全部!C:P,14,FALSE)</f>
        <v>0</v>
      </c>
      <c r="M85" s="5">
        <f>VLOOKUP(G85,全部!C:V,20,FALSE)*100</f>
        <v>4</v>
      </c>
      <c r="N85" s="6">
        <f>VLOOKUP(G85,全部!C:W,21,FALSE)</f>
        <v>298313.90840000001</v>
      </c>
      <c r="O85" s="4">
        <f>VLOOKUP(G85,全部!C:X,22,FALSE)</f>
        <v>298314</v>
      </c>
      <c r="P85" s="4">
        <f>VLOOKUP(G85,全部!C:Y,23,FALSE)</f>
        <v>298314</v>
      </c>
      <c r="Q85" s="6">
        <f>VLOOKUP(G85,全部!C:Z,24,FALSE)</f>
        <v>-9.1599999985191971E-2</v>
      </c>
      <c r="R85" s="7">
        <f>VLOOKUP(G85,全部!C:AA,25,FALSE)</f>
        <v>0</v>
      </c>
      <c r="S85" s="7">
        <f>VLOOKUP(G85,全部!C:AB,26,FALSE)</f>
        <v>0</v>
      </c>
      <c r="T85" s="4">
        <f>VLOOKUP(计算!G85,全部!C:AC,27,FALSE)</f>
        <v>6847606.6600000001</v>
      </c>
      <c r="U85" s="4">
        <f>VLOOKUP(G85,全部!C:AD,28,FALSE)</f>
        <v>6847606.6600000001</v>
      </c>
      <c r="V85" s="6">
        <f>VLOOKUP(G85,全部!C:AE,29,FALSE)</f>
        <v>0.91817464317731423</v>
      </c>
      <c r="W85" s="4">
        <f>VLOOKUP(G85,全部!C:AF,30,FALSE)</f>
        <v>0</v>
      </c>
      <c r="X85" s="4">
        <f>VLOOKUP(G85,全部!C:AG,31,FALSE)</f>
        <v>0</v>
      </c>
      <c r="Y85" s="4">
        <f>VLOOKUP(计算!G85,全部!C:AH,32,FALSE)</f>
        <v>6685410.4400000004</v>
      </c>
      <c r="Z85" s="4">
        <f>VLOOKUP(G85,全部!C:AL,36,FALSE)</f>
        <v>6685410.4400000004</v>
      </c>
      <c r="AA85" s="4">
        <f>VLOOKUP(G85,全部!C:AM,37,FALSE)</f>
        <v>3.4000000000000002E-2</v>
      </c>
      <c r="AB85" s="6">
        <f>VLOOKUP(G85,全部!C:AN,38,FALSE)</f>
        <v>253566.82214</v>
      </c>
      <c r="AC85" s="4">
        <f>VLOOKUP(G85,全部!C:AO,39,FALSE)</f>
        <v>140035.07</v>
      </c>
      <c r="AD85" s="4">
        <f>VLOOKUP(G85,全部!C:AP,40,FALSE)</f>
        <v>140035.07</v>
      </c>
      <c r="AE85" s="6">
        <f>VLOOKUP(G85,全部!C:AQ,41,FALSE)</f>
        <v>113531.75214</v>
      </c>
      <c r="AF85" s="4">
        <f>VLOOKUP(G85,全部!C:AR,42,FALSE)</f>
        <v>0</v>
      </c>
      <c r="AG85" s="7">
        <f>VLOOKUP(G85,全部!C:AS,43,FALSE)</f>
        <v>0</v>
      </c>
      <c r="AH85" s="64" t="str">
        <f>IF(VLOOKUP(G85,全部!C:AT,44,FALSE)=0,"",VLOOKUP(G85,全部!C:AT,44,FALSE))</f>
        <v/>
      </c>
      <c r="AI85">
        <v>0</v>
      </c>
      <c r="AJ85" s="3">
        <v>41912.6862384259</v>
      </c>
      <c r="AK85" s="2" t="s">
        <v>2074</v>
      </c>
    </row>
    <row r="86" spans="1:37" x14ac:dyDescent="0.15">
      <c r="A86" s="2" t="s">
        <v>2073</v>
      </c>
      <c r="B86">
        <v>771</v>
      </c>
      <c r="C86" s="3">
        <v>41365</v>
      </c>
      <c r="D86" s="2" t="s">
        <v>37</v>
      </c>
      <c r="E86" s="2" t="s">
        <v>2072</v>
      </c>
      <c r="F86" s="2" t="s">
        <v>38</v>
      </c>
      <c r="G86" s="2" t="s">
        <v>208</v>
      </c>
      <c r="H86" s="2" t="s">
        <v>209</v>
      </c>
      <c r="I86" s="4">
        <f>VLOOKUP(G86,全部!C:M,11,FALSE)</f>
        <v>12491680</v>
      </c>
      <c r="J86" s="4">
        <f t="shared" si="1"/>
        <v>0</v>
      </c>
      <c r="K86" s="4">
        <f>VLOOKUP(计算!G86,全部!C:N,12,FALSE)</f>
        <v>0</v>
      </c>
      <c r="L86" s="5">
        <f>VLOOKUP(G86,全部!C:P,14,FALSE)</f>
        <v>0</v>
      </c>
      <c r="M86" s="5">
        <f>VLOOKUP(G86,全部!C:V,20,FALSE)*100</f>
        <v>3</v>
      </c>
      <c r="N86" s="6">
        <f>VLOOKUP(G86,全部!C:W,21,FALSE)</f>
        <v>374750.39999999997</v>
      </c>
      <c r="O86" s="4">
        <f>VLOOKUP(G86,全部!C:X,22,FALSE)</f>
        <v>374750</v>
      </c>
      <c r="P86" s="4">
        <f>VLOOKUP(G86,全部!C:Y,23,FALSE)</f>
        <v>374750</v>
      </c>
      <c r="Q86" s="6">
        <f>VLOOKUP(G86,全部!C:Z,24,FALSE)</f>
        <v>0</v>
      </c>
      <c r="R86" s="7">
        <f>VLOOKUP(G86,全部!C:AA,25,FALSE)</f>
        <v>11200000</v>
      </c>
      <c r="S86" s="7">
        <f>VLOOKUP(G86,全部!C:AB,26,FALSE)</f>
        <v>11200000</v>
      </c>
      <c r="T86" s="4">
        <f>VLOOKUP(计算!G86,全部!C:AC,27,FALSE)</f>
        <v>11200000</v>
      </c>
      <c r="U86" s="4">
        <f>VLOOKUP(G86,全部!C:AD,28,FALSE)</f>
        <v>11200000</v>
      </c>
      <c r="V86" s="6">
        <f>VLOOKUP(G86,全部!C:AE,29,FALSE)</f>
        <v>0.89659677481331579</v>
      </c>
      <c r="W86" s="4">
        <f>VLOOKUP(G86,全部!C:AF,30,FALSE)</f>
        <v>10579700.51</v>
      </c>
      <c r="X86" s="4">
        <f>VLOOKUP(G86,全部!C:AG,31,FALSE)</f>
        <v>10579700.51</v>
      </c>
      <c r="Y86" s="4">
        <f>VLOOKUP(计算!G86,全部!C:AH,32,FALSE)</f>
        <v>11184000.51</v>
      </c>
      <c r="Z86" s="4">
        <f>VLOOKUP(G86,全部!C:AL,36,FALSE)</f>
        <v>11184000.51</v>
      </c>
      <c r="AA86" s="4">
        <f>VLOOKUP(G86,全部!C:AM,37,FALSE)</f>
        <v>3.4000000000000002E-2</v>
      </c>
      <c r="AB86" s="6">
        <f>VLOOKUP(G86,全部!C:AN,38,FALSE)</f>
        <v>380800</v>
      </c>
      <c r="AC86" s="4">
        <f>VLOOKUP(G86,全部!C:AO,39,FALSE)</f>
        <v>380800</v>
      </c>
      <c r="AD86" s="4">
        <f>VLOOKUP(G86,全部!C:AP,40,FALSE)</f>
        <v>380800</v>
      </c>
      <c r="AE86" s="6">
        <f>VLOOKUP(G86,全部!C:AQ,41,FALSE)</f>
        <v>0</v>
      </c>
      <c r="AF86" s="4">
        <f>VLOOKUP(G86,全部!C:AR,42,FALSE)</f>
        <v>0</v>
      </c>
      <c r="AG86" s="7">
        <f>VLOOKUP(G86,全部!C:AS,43,FALSE)</f>
        <v>145</v>
      </c>
      <c r="AH86" s="64" t="str">
        <f>IF(VLOOKUP(G86,全部!C:AT,44,FALSE)=0,"",VLOOKUP(G86,全部!C:AT,44,FALSE))</f>
        <v>三河</v>
      </c>
      <c r="AI86">
        <v>0</v>
      </c>
      <c r="AJ86" s="3">
        <v>41912.686273148101</v>
      </c>
      <c r="AK86" s="2" t="s">
        <v>2071</v>
      </c>
    </row>
    <row r="87" spans="1:37" x14ac:dyDescent="0.15">
      <c r="A87" s="2" t="s">
        <v>2070</v>
      </c>
      <c r="B87">
        <v>780</v>
      </c>
      <c r="C87" s="3">
        <v>41365</v>
      </c>
      <c r="D87" s="2" t="s">
        <v>37</v>
      </c>
      <c r="E87" s="2" t="s">
        <v>2069</v>
      </c>
      <c r="F87" s="2" t="s">
        <v>38</v>
      </c>
      <c r="G87" s="2" t="s">
        <v>212</v>
      </c>
      <c r="H87" s="2" t="s">
        <v>213</v>
      </c>
      <c r="I87" s="4">
        <f>VLOOKUP(G87,全部!C:M,11,FALSE)</f>
        <v>1195559</v>
      </c>
      <c r="J87" s="4">
        <f t="shared" si="1"/>
        <v>934441</v>
      </c>
      <c r="K87" s="4">
        <f>VLOOKUP(计算!G87,全部!C:N,12,FALSE)</f>
        <v>934441</v>
      </c>
      <c r="L87" s="5">
        <f>VLOOKUP(G87,全部!C:P,14,FALSE)</f>
        <v>0</v>
      </c>
      <c r="M87" s="5">
        <f>VLOOKUP(G87,全部!C:V,20,FALSE)*100</f>
        <v>3.5999999999999996</v>
      </c>
      <c r="N87" s="6">
        <f>VLOOKUP(G87,全部!C:W,21,FALSE)</f>
        <v>76680</v>
      </c>
      <c r="O87" s="4">
        <f>VLOOKUP(G87,全部!C:X,22,FALSE)</f>
        <v>76680</v>
      </c>
      <c r="P87" s="4">
        <f>VLOOKUP(G87,全部!C:Y,23,FALSE)</f>
        <v>76680</v>
      </c>
      <c r="Q87" s="6">
        <f>VLOOKUP(G87,全部!C:Z,24,FALSE)</f>
        <v>0</v>
      </c>
      <c r="R87" s="7">
        <f>VLOOKUP(G87,全部!C:AA,25,FALSE)</f>
        <v>2130000</v>
      </c>
      <c r="S87" s="7">
        <f>VLOOKUP(G87,全部!C:AB,26,FALSE)</f>
        <v>2130000</v>
      </c>
      <c r="T87" s="4">
        <f>VLOOKUP(计算!G87,全部!C:AC,27,FALSE)</f>
        <v>2023500</v>
      </c>
      <c r="U87" s="4">
        <f>VLOOKUP(G87,全部!C:AD,28,FALSE)</f>
        <v>2023500</v>
      </c>
      <c r="V87" s="6">
        <f>VLOOKUP(G87,全部!C:AE,29,FALSE)</f>
        <v>0.95</v>
      </c>
      <c r="W87" s="4">
        <f>VLOOKUP(G87,全部!C:AF,30,FALSE)</f>
        <v>1200000</v>
      </c>
      <c r="X87" s="4">
        <f>VLOOKUP(G87,全部!C:AG,31,FALSE)</f>
        <v>1200000</v>
      </c>
      <c r="Y87" s="4">
        <f>VLOOKUP(计算!G87,全部!C:AH,32,FALSE)</f>
        <v>1971374.8</v>
      </c>
      <c r="Z87" s="4">
        <f>VLOOKUP(G87,全部!C:AL,36,FALSE)</f>
        <v>1971374.8</v>
      </c>
      <c r="AA87" s="4">
        <f>VLOOKUP(G87,全部!C:AM,37,FALSE)</f>
        <v>3.4000000000000002E-2</v>
      </c>
      <c r="AB87" s="6">
        <f>VLOOKUP(G87,全部!C:AN,38,FALSE)</f>
        <v>72420</v>
      </c>
      <c r="AC87" s="4">
        <f>VLOOKUP(G87,全部!C:AO,39,FALSE)</f>
        <v>72420</v>
      </c>
      <c r="AD87" s="4">
        <f>VLOOKUP(G87,全部!C:AP,40,FALSE)</f>
        <v>72420</v>
      </c>
      <c r="AE87" s="6">
        <f>VLOOKUP(G87,全部!C:AQ,41,FALSE)</f>
        <v>0</v>
      </c>
      <c r="AF87" s="4">
        <f>VLOOKUP(G87,全部!C:AR,42,FALSE)</f>
        <v>0</v>
      </c>
      <c r="AG87" s="7">
        <f>VLOOKUP(G87,全部!C:AS,43,FALSE)</f>
        <v>16</v>
      </c>
      <c r="AH87" s="64" t="str">
        <f>IF(VLOOKUP(G87,全部!C:AT,44,FALSE)=0,"",VLOOKUP(G87,全部!C:AT,44,FALSE))</f>
        <v>亦庄</v>
      </c>
      <c r="AI87">
        <v>0</v>
      </c>
      <c r="AJ87" s="3">
        <v>41912.686273148101</v>
      </c>
      <c r="AK87" s="2" t="s">
        <v>2068</v>
      </c>
    </row>
    <row r="88" spans="1:37" x14ac:dyDescent="0.15">
      <c r="A88" s="2" t="s">
        <v>2067</v>
      </c>
      <c r="B88">
        <v>763</v>
      </c>
      <c r="C88" s="3">
        <v>41377</v>
      </c>
      <c r="D88" s="2" t="s">
        <v>37</v>
      </c>
      <c r="E88" s="2" t="s">
        <v>2066</v>
      </c>
      <c r="F88" s="2" t="s">
        <v>38</v>
      </c>
      <c r="G88" s="2" t="s">
        <v>214</v>
      </c>
      <c r="H88" s="2" t="s">
        <v>215</v>
      </c>
      <c r="I88" s="4">
        <f>VLOOKUP(G88,全部!C:M,11,FALSE)</f>
        <v>2600000</v>
      </c>
      <c r="J88" s="4">
        <f t="shared" si="1"/>
        <v>0</v>
      </c>
      <c r="K88" s="4">
        <f>VLOOKUP(计算!G88,全部!C:N,12,FALSE)</f>
        <v>0</v>
      </c>
      <c r="L88" s="5">
        <f>VLOOKUP(G88,全部!C:P,14,FALSE)</f>
        <v>0</v>
      </c>
      <c r="M88" s="5">
        <f>VLOOKUP(G88,全部!C:V,20,FALSE)*100</f>
        <v>3.5999999999999996</v>
      </c>
      <c r="N88" s="6">
        <f>VLOOKUP(G88,全部!C:W,21,FALSE)</f>
        <v>93600</v>
      </c>
      <c r="O88" s="4">
        <f>VLOOKUP(G88,全部!C:X,22,FALSE)</f>
        <v>93600</v>
      </c>
      <c r="P88" s="4">
        <f>VLOOKUP(G88,全部!C:Y,23,FALSE)</f>
        <v>93600</v>
      </c>
      <c r="Q88" s="6">
        <f>VLOOKUP(G88,全部!C:Z,24,FALSE)</f>
        <v>0</v>
      </c>
      <c r="R88" s="7">
        <f>VLOOKUP(G88,全部!C:AA,25,FALSE)</f>
        <v>2894471</v>
      </c>
      <c r="S88" s="7">
        <f>VLOOKUP(G88,全部!C:AB,26,FALSE)</f>
        <v>2894471</v>
      </c>
      <c r="T88" s="4">
        <f>VLOOKUP(计算!G88,全部!C:AC,27,FALSE)</f>
        <v>2894471</v>
      </c>
      <c r="U88" s="4">
        <f>VLOOKUP(G88,全部!C:AD,28,FALSE)</f>
        <v>2894471</v>
      </c>
      <c r="V88" s="6">
        <f>VLOOKUP(G88,全部!C:AE,29,FALSE)</f>
        <v>1.1132580769230769</v>
      </c>
      <c r="W88" s="4">
        <f>VLOOKUP(G88,全部!C:AF,30,FALSE)</f>
        <v>2705613.68</v>
      </c>
      <c r="X88" s="4">
        <f>VLOOKUP(G88,全部!C:AG,31,FALSE)</f>
        <v>2705613.68</v>
      </c>
      <c r="Y88" s="4">
        <f>VLOOKUP(计算!G88,全部!C:AH,32,FALSE)</f>
        <v>2804025.68</v>
      </c>
      <c r="Z88" s="4">
        <f>VLOOKUP(G88,全部!C:AL,36,FALSE)</f>
        <v>2804025.68</v>
      </c>
      <c r="AA88" s="4">
        <f>VLOOKUP(G88,全部!C:AM,37,FALSE)</f>
        <v>3.4000000000000002E-2</v>
      </c>
      <c r="AB88" s="6">
        <f>VLOOKUP(G88,全部!C:AN,38,FALSE)</f>
        <v>98412.01400000001</v>
      </c>
      <c r="AC88" s="4">
        <f>VLOOKUP(G88,全部!C:AO,39,FALSE)</f>
        <v>98412</v>
      </c>
      <c r="AD88" s="4">
        <f>VLOOKUP(G88,全部!C:AP,40,FALSE)</f>
        <v>98412</v>
      </c>
      <c r="AE88" s="6">
        <f>VLOOKUP(G88,全部!C:AQ,41,FALSE)</f>
        <v>0</v>
      </c>
      <c r="AF88" s="4">
        <f>VLOOKUP(G88,全部!C:AR,42,FALSE)</f>
        <v>0</v>
      </c>
      <c r="AG88" s="7">
        <f>VLOOKUP(G88,全部!C:AS,43,FALSE)</f>
        <v>0</v>
      </c>
      <c r="AH88" s="64" t="str">
        <f>IF(VLOOKUP(G88,全部!C:AT,44,FALSE)=0,"",VLOOKUP(G88,全部!C:AT,44,FALSE))</f>
        <v/>
      </c>
      <c r="AI88">
        <v>0</v>
      </c>
      <c r="AJ88" s="3">
        <v>41912.686273148101</v>
      </c>
      <c r="AK88" s="2" t="s">
        <v>2065</v>
      </c>
    </row>
    <row r="89" spans="1:37" x14ac:dyDescent="0.15">
      <c r="A89" s="2" t="s">
        <v>2064</v>
      </c>
      <c r="B89">
        <v>794</v>
      </c>
      <c r="C89" s="3">
        <v>41395</v>
      </c>
      <c r="D89" s="2" t="s">
        <v>37</v>
      </c>
      <c r="E89" s="2" t="s">
        <v>2063</v>
      </c>
      <c r="F89" s="2" t="s">
        <v>38</v>
      </c>
      <c r="G89" s="2" t="s">
        <v>218</v>
      </c>
      <c r="H89" s="2" t="s">
        <v>219</v>
      </c>
      <c r="I89" s="4">
        <f>VLOOKUP(G89,全部!C:M,11,FALSE)</f>
        <v>2894611</v>
      </c>
      <c r="J89" s="4">
        <f t="shared" si="1"/>
        <v>0</v>
      </c>
      <c r="K89" s="4">
        <f>VLOOKUP(计算!G89,全部!C:N,12,FALSE)</f>
        <v>0</v>
      </c>
      <c r="L89" s="5">
        <f>VLOOKUP(G89,全部!C:P,14,FALSE)</f>
        <v>0</v>
      </c>
      <c r="M89" s="5">
        <f>VLOOKUP(G89,全部!C:V,20,FALSE)*100</f>
        <v>3.5999999999999996</v>
      </c>
      <c r="N89" s="6">
        <f>VLOOKUP(G89,全部!C:W,21,FALSE)</f>
        <v>104205.996</v>
      </c>
      <c r="O89" s="4">
        <f>VLOOKUP(G89,全部!C:X,22,FALSE)</f>
        <v>104206</v>
      </c>
      <c r="P89" s="4">
        <f>VLOOKUP(G89,全部!C:Y,23,FALSE)</f>
        <v>104206</v>
      </c>
      <c r="Q89" s="6">
        <f>VLOOKUP(G89,全部!C:Z,24,FALSE)</f>
        <v>0</v>
      </c>
      <c r="R89" s="7">
        <f>VLOOKUP(G89,全部!C:AA,25,FALSE)</f>
        <v>1528383.3</v>
      </c>
      <c r="S89" s="7">
        <f>VLOOKUP(G89,全部!C:AB,26,FALSE)</f>
        <v>1528383.3</v>
      </c>
      <c r="T89" s="4">
        <f>VLOOKUP(计算!G89,全部!C:AC,27,FALSE)</f>
        <v>1528383.3</v>
      </c>
      <c r="U89" s="4">
        <f>VLOOKUP(G89,全部!C:AD,28,FALSE)</f>
        <v>1528383.3</v>
      </c>
      <c r="V89" s="6">
        <f>VLOOKUP(G89,全部!C:AE,29,FALSE)</f>
        <v>0.52800991221272908</v>
      </c>
      <c r="W89" s="4">
        <f>VLOOKUP(G89,全部!C:AF,30,FALSE)</f>
        <v>1476000</v>
      </c>
      <c r="X89" s="4">
        <f>VLOOKUP(G89,全部!C:AG,31,FALSE)</f>
        <v>1476000</v>
      </c>
      <c r="Y89" s="4">
        <f>VLOOKUP(计算!G89,全部!C:AH,32,FALSE)</f>
        <v>1527965</v>
      </c>
      <c r="Z89" s="4">
        <f>VLOOKUP(G89,全部!C:AL,36,FALSE)</f>
        <v>1527965</v>
      </c>
      <c r="AA89" s="4">
        <f>VLOOKUP(G89,全部!C:AM,37,FALSE)</f>
        <v>3.4000000000000002E-2</v>
      </c>
      <c r="AB89" s="6">
        <f>VLOOKUP(G89,全部!C:AN,38,FALSE)</f>
        <v>51965.032200000009</v>
      </c>
      <c r="AC89" s="4">
        <f>VLOOKUP(G89,全部!C:AO,39,FALSE)</f>
        <v>51965</v>
      </c>
      <c r="AD89" s="4">
        <f>VLOOKUP(G89,全部!C:AP,40,FALSE)</f>
        <v>51965</v>
      </c>
      <c r="AE89" s="6">
        <f>VLOOKUP(G89,全部!C:AQ,41,FALSE)</f>
        <v>0</v>
      </c>
      <c r="AF89" s="4">
        <f>VLOOKUP(G89,全部!C:AR,42,FALSE)</f>
        <v>0</v>
      </c>
      <c r="AG89" s="7">
        <f>VLOOKUP(G89,全部!C:AS,43,FALSE)</f>
        <v>0</v>
      </c>
      <c r="AH89" s="64" t="str">
        <f>IF(VLOOKUP(G89,全部!C:AT,44,FALSE)=0,"",VLOOKUP(G89,全部!C:AT,44,FALSE))</f>
        <v/>
      </c>
      <c r="AI89">
        <v>0</v>
      </c>
      <c r="AJ89" s="3">
        <v>41912.686273148101</v>
      </c>
      <c r="AK89" s="2" t="s">
        <v>2062</v>
      </c>
    </row>
    <row r="90" spans="1:37" x14ac:dyDescent="0.15">
      <c r="A90" s="2" t="s">
        <v>2061</v>
      </c>
      <c r="B90">
        <v>118</v>
      </c>
      <c r="C90" s="3">
        <v>41395</v>
      </c>
      <c r="D90" s="2" t="s">
        <v>37</v>
      </c>
      <c r="E90" s="2" t="s">
        <v>2060</v>
      </c>
      <c r="F90" s="2" t="s">
        <v>41</v>
      </c>
      <c r="G90" s="2" t="s">
        <v>223</v>
      </c>
      <c r="H90" s="2" t="s">
        <v>224</v>
      </c>
      <c r="I90" s="4">
        <f>VLOOKUP(G90,全部!C:M,11,FALSE)</f>
        <v>4596832.51</v>
      </c>
      <c r="J90" s="4">
        <f t="shared" si="1"/>
        <v>0</v>
      </c>
      <c r="K90" s="4">
        <f>VLOOKUP(计算!G90,全部!C:N,12,FALSE)</f>
        <v>0</v>
      </c>
      <c r="L90" s="5">
        <f>VLOOKUP(G90,全部!C:P,14,FALSE)</f>
        <v>0</v>
      </c>
      <c r="M90" s="5">
        <f>VLOOKUP(G90,全部!C:V,20,FALSE)*100</f>
        <v>4</v>
      </c>
      <c r="N90" s="6">
        <f>VLOOKUP(G90,全部!C:W,21,FALSE)</f>
        <v>183873.30040000001</v>
      </c>
      <c r="O90" s="4">
        <f>VLOOKUP(G90,全部!C:X,22,FALSE)</f>
        <v>183873.89</v>
      </c>
      <c r="P90" s="4">
        <f>VLOOKUP(G90,全部!C:Y,23,FALSE)</f>
        <v>183873.89</v>
      </c>
      <c r="Q90" s="6">
        <f>VLOOKUP(G90,全部!C:Z,24,FALSE)</f>
        <v>-0.58960000000661239</v>
      </c>
      <c r="R90" s="7">
        <f>VLOOKUP(G90,全部!C:AA,25,FALSE)</f>
        <v>0</v>
      </c>
      <c r="S90" s="7">
        <f>VLOOKUP(G90,全部!C:AB,26,FALSE)</f>
        <v>0</v>
      </c>
      <c r="T90" s="4">
        <f>VLOOKUP(计算!G90,全部!C:AC,27,FALSE)</f>
        <v>3403065.97</v>
      </c>
      <c r="U90" s="4">
        <f>VLOOKUP(G90,全部!C:AD,28,FALSE)</f>
        <v>3403065.97</v>
      </c>
      <c r="V90" s="6">
        <f>VLOOKUP(G90,全部!C:AE,29,FALSE)</f>
        <v>0.74030671393768066</v>
      </c>
      <c r="W90" s="4">
        <f>VLOOKUP(G90,全部!C:AF,30,FALSE)</f>
        <v>0</v>
      </c>
      <c r="X90" s="4">
        <f>VLOOKUP(G90,全部!C:AG,31,FALSE)</f>
        <v>0</v>
      </c>
      <c r="Y90" s="4">
        <f>VLOOKUP(计算!G90,全部!C:AH,32,FALSE)</f>
        <v>3112799.8</v>
      </c>
      <c r="Z90" s="4">
        <f>VLOOKUP(G90,全部!C:AL,36,FALSE)</f>
        <v>3112799.8</v>
      </c>
      <c r="AA90" s="4">
        <f>VLOOKUP(G90,全部!C:AM,37,FALSE)</f>
        <v>0</v>
      </c>
      <c r="AB90" s="6">
        <f>VLOOKUP(G90,全部!C:AN,38,FALSE)</f>
        <v>137474.67000000001</v>
      </c>
      <c r="AC90" s="4">
        <f>VLOOKUP(G90,全部!C:AO,39,FALSE)</f>
        <v>137474.67000000001</v>
      </c>
      <c r="AD90" s="4">
        <f>VLOOKUP(G90,全部!C:AP,40,FALSE)</f>
        <v>137474.67000000001</v>
      </c>
      <c r="AE90" s="6">
        <f>VLOOKUP(G90,全部!C:AQ,41,FALSE)</f>
        <v>0</v>
      </c>
      <c r="AF90" s="4">
        <f>VLOOKUP(G90,全部!C:AR,42,FALSE)</f>
        <v>0</v>
      </c>
      <c r="AG90" s="7">
        <f>VLOOKUP(G90,全部!C:AS,43,FALSE)</f>
        <v>0</v>
      </c>
      <c r="AH90" s="64" t="str">
        <f>IF(VLOOKUP(G90,全部!C:AT,44,FALSE)=0,"",VLOOKUP(G90,全部!C:AT,44,FALSE))</f>
        <v/>
      </c>
      <c r="AI90">
        <v>0</v>
      </c>
      <c r="AJ90" s="3">
        <v>41912.6862384259</v>
      </c>
      <c r="AK90" s="2" t="s">
        <v>2059</v>
      </c>
    </row>
    <row r="91" spans="1:37" x14ac:dyDescent="0.15">
      <c r="A91" s="2" t="s">
        <v>2058</v>
      </c>
      <c r="B91">
        <v>802</v>
      </c>
      <c r="C91" s="3">
        <v>41395</v>
      </c>
      <c r="D91" s="2" t="s">
        <v>37</v>
      </c>
      <c r="E91" s="2" t="s">
        <v>2057</v>
      </c>
      <c r="F91" s="2" t="s">
        <v>38</v>
      </c>
      <c r="G91" s="2" t="s">
        <v>220</v>
      </c>
      <c r="H91" s="2" t="s">
        <v>221</v>
      </c>
      <c r="I91" s="4">
        <f>VLOOKUP(G91,全部!C:M,11,FALSE)</f>
        <v>1691837.01</v>
      </c>
      <c r="J91" s="4">
        <f t="shared" si="1"/>
        <v>0</v>
      </c>
      <c r="K91" s="4">
        <f>VLOOKUP(计算!G91,全部!C:N,12,FALSE)</f>
        <v>0</v>
      </c>
      <c r="L91" s="5">
        <f>VLOOKUP(G91,全部!C:P,14,FALSE)</f>
        <v>0</v>
      </c>
      <c r="M91" s="5">
        <f>VLOOKUP(G91,全部!C:V,20,FALSE)*100</f>
        <v>3.5999999999999996</v>
      </c>
      <c r="N91" s="6">
        <f>VLOOKUP(G91,全部!C:W,21,FALSE)</f>
        <v>60906.132359999996</v>
      </c>
      <c r="O91" s="4">
        <f>VLOOKUP(G91,全部!C:X,22,FALSE)</f>
        <v>60906</v>
      </c>
      <c r="P91" s="4">
        <f>VLOOKUP(G91,全部!C:Y,23,FALSE)</f>
        <v>60906</v>
      </c>
      <c r="Q91" s="6">
        <f>VLOOKUP(G91,全部!C:Z,24,FALSE)</f>
        <v>0</v>
      </c>
      <c r="R91" s="7">
        <f>VLOOKUP(G91,全部!C:AA,25,FALSE)</f>
        <v>1892244</v>
      </c>
      <c r="S91" s="7">
        <f>VLOOKUP(G91,全部!C:AB,26,FALSE)</f>
        <v>1892244</v>
      </c>
      <c r="T91" s="4">
        <f>VLOOKUP(计算!G91,全部!C:AC,27,FALSE)</f>
        <v>1892244</v>
      </c>
      <c r="U91" s="4">
        <f>VLOOKUP(G91,全部!C:AD,28,FALSE)</f>
        <v>1892244</v>
      </c>
      <c r="V91" s="6">
        <f>VLOOKUP(G91,全部!C:AE,29,FALSE)</f>
        <v>1.118455258287558</v>
      </c>
      <c r="W91" s="4">
        <f>VLOOKUP(G91,全部!C:AF,30,FALSE)</f>
        <v>1729639.9999999998</v>
      </c>
      <c r="X91" s="4">
        <f>VLOOKUP(G91,全部!C:AG,31,FALSE)</f>
        <v>1729640</v>
      </c>
      <c r="Y91" s="4">
        <f>VLOOKUP(计算!G91,全部!C:AH,32,FALSE)</f>
        <v>1796005.9999999998</v>
      </c>
      <c r="Z91" s="4">
        <f>VLOOKUP(G91,全部!C:AL,36,FALSE)</f>
        <v>1796006</v>
      </c>
      <c r="AA91" s="4">
        <f>VLOOKUP(G91,全部!C:AM,37,FALSE)</f>
        <v>3.4000000000000002E-2</v>
      </c>
      <c r="AB91" s="6">
        <f>VLOOKUP(G91,全部!C:AN,38,FALSE)</f>
        <v>64336.296000000002</v>
      </c>
      <c r="AC91" s="4">
        <f>VLOOKUP(G91,全部!C:AO,39,FALSE)</f>
        <v>64336</v>
      </c>
      <c r="AD91" s="4">
        <f>VLOOKUP(G91,全部!C:AP,40,FALSE)</f>
        <v>64336</v>
      </c>
      <c r="AE91" s="6">
        <f>VLOOKUP(G91,全部!C:AQ,41,FALSE)</f>
        <v>0</v>
      </c>
      <c r="AF91" s="4">
        <f>VLOOKUP(G91,全部!C:AR,42,FALSE)</f>
        <v>0</v>
      </c>
      <c r="AG91" s="7">
        <f>VLOOKUP(G91,全部!C:AS,43,FALSE)</f>
        <v>15</v>
      </c>
      <c r="AH91" s="64" t="str">
        <f>IF(VLOOKUP(G91,全部!C:AT,44,FALSE)=0,"",VLOOKUP(G91,全部!C:AT,44,FALSE))</f>
        <v>京顺</v>
      </c>
      <c r="AI91">
        <v>0</v>
      </c>
      <c r="AJ91" s="3">
        <v>41912.686273148101</v>
      </c>
      <c r="AK91" s="2" t="s">
        <v>2056</v>
      </c>
    </row>
    <row r="92" spans="1:37" x14ac:dyDescent="0.15">
      <c r="A92" s="2" t="s">
        <v>2055</v>
      </c>
      <c r="B92">
        <v>120</v>
      </c>
      <c r="C92" s="3">
        <v>41395</v>
      </c>
      <c r="D92" s="2" t="s">
        <v>37</v>
      </c>
      <c r="E92" s="2" t="s">
        <v>2054</v>
      </c>
      <c r="F92" s="2" t="s">
        <v>41</v>
      </c>
      <c r="G92" s="2" t="s">
        <v>216</v>
      </c>
      <c r="H92" s="2" t="s">
        <v>217</v>
      </c>
      <c r="I92" s="4">
        <f>VLOOKUP(G92,全部!C:M,11,FALSE)</f>
        <v>573502.84</v>
      </c>
      <c r="J92" s="4">
        <f t="shared" si="1"/>
        <v>0</v>
      </c>
      <c r="K92" s="4">
        <f>VLOOKUP(计算!G92,全部!C:N,12,FALSE)</f>
        <v>0</v>
      </c>
      <c r="L92" s="5">
        <f>VLOOKUP(G92,全部!C:P,14,FALSE)</f>
        <v>0</v>
      </c>
      <c r="M92" s="5">
        <f>VLOOKUP(G92,全部!C:V,20,FALSE)*100</f>
        <v>4</v>
      </c>
      <c r="N92" s="6">
        <f>VLOOKUP(G92,全部!C:W,21,FALSE)</f>
        <v>22940.113600000001</v>
      </c>
      <c r="O92" s="4">
        <f>VLOOKUP(G92,全部!C:X,22,FALSE)</f>
        <v>22940.11</v>
      </c>
      <c r="P92" s="4">
        <f>VLOOKUP(G92,全部!C:Y,23,FALSE)</f>
        <v>22940.11</v>
      </c>
      <c r="Q92" s="6">
        <f>VLOOKUP(G92,全部!C:Z,24,FALSE)</f>
        <v>3.6000000000058208E-3</v>
      </c>
      <c r="R92" s="7">
        <f>VLOOKUP(G92,全部!C:AA,25,FALSE)</f>
        <v>0</v>
      </c>
      <c r="S92" s="7">
        <f>VLOOKUP(G92,全部!C:AB,26,FALSE)</f>
        <v>0</v>
      </c>
      <c r="T92" s="4">
        <f>VLOOKUP(计算!G92,全部!C:AC,27,FALSE)</f>
        <v>0</v>
      </c>
      <c r="U92" s="4">
        <f>VLOOKUP(G92,全部!C:AD,28,FALSE)</f>
        <v>0</v>
      </c>
      <c r="V92" s="6">
        <f>VLOOKUP(G92,全部!C:AE,29,FALSE)</f>
        <v>0</v>
      </c>
      <c r="W92" s="4">
        <f>VLOOKUP(G92,全部!C:AF,30,FALSE)</f>
        <v>0</v>
      </c>
      <c r="X92" s="4">
        <f>VLOOKUP(G92,全部!C:AG,31,FALSE)</f>
        <v>0</v>
      </c>
      <c r="Y92" s="4">
        <f>VLOOKUP(计算!G92,全部!C:AH,32,FALSE)</f>
        <v>0</v>
      </c>
      <c r="Z92" s="4">
        <f>VLOOKUP(G92,全部!C:AL,36,FALSE)</f>
        <v>0</v>
      </c>
      <c r="AA92" s="4">
        <f>VLOOKUP(G92,全部!C:AM,37,FALSE)</f>
        <v>0</v>
      </c>
      <c r="AB92" s="6">
        <f>VLOOKUP(G92,全部!C:AN,38,FALSE)</f>
        <v>0</v>
      </c>
      <c r="AC92" s="4">
        <f>VLOOKUP(G92,全部!C:AO,39,FALSE)</f>
        <v>0</v>
      </c>
      <c r="AD92" s="4">
        <f>VLOOKUP(G92,全部!C:AP,40,FALSE)</f>
        <v>0</v>
      </c>
      <c r="AE92" s="6">
        <f>VLOOKUP(G92,全部!C:AQ,41,FALSE)</f>
        <v>0</v>
      </c>
      <c r="AF92" s="4">
        <f>VLOOKUP(G92,全部!C:AR,42,FALSE)</f>
        <v>0</v>
      </c>
      <c r="AG92" s="7">
        <f>VLOOKUP(G92,全部!C:AS,43,FALSE)</f>
        <v>0</v>
      </c>
      <c r="AH92" s="64" t="str">
        <f>IF(VLOOKUP(G92,全部!C:AT,44,FALSE)=0,"",VLOOKUP(G92,全部!C:AT,44,FALSE))</f>
        <v/>
      </c>
      <c r="AI92">
        <v>0</v>
      </c>
      <c r="AJ92" s="3">
        <v>41912.6862384259</v>
      </c>
      <c r="AK92" s="2" t="s">
        <v>2053</v>
      </c>
    </row>
    <row r="93" spans="1:37" x14ac:dyDescent="0.15">
      <c r="A93" s="2" t="s">
        <v>2052</v>
      </c>
      <c r="B93">
        <v>787</v>
      </c>
      <c r="C93" s="3">
        <v>41396</v>
      </c>
      <c r="D93" s="2" t="s">
        <v>37</v>
      </c>
      <c r="E93" s="2" t="s">
        <v>2051</v>
      </c>
      <c r="F93" s="2" t="s">
        <v>38</v>
      </c>
      <c r="G93" s="2" t="s">
        <v>225</v>
      </c>
      <c r="H93" s="2" t="s">
        <v>226</v>
      </c>
      <c r="I93" s="4">
        <f>VLOOKUP(G93,全部!C:M,11,FALSE)</f>
        <v>1258749</v>
      </c>
      <c r="J93" s="4">
        <f t="shared" si="1"/>
        <v>0</v>
      </c>
      <c r="K93" s="4">
        <f>VLOOKUP(计算!G93,全部!C:N,12,FALSE)</f>
        <v>0</v>
      </c>
      <c r="L93" s="5">
        <f>VLOOKUP(G93,全部!C:P,14,FALSE)</f>
        <v>0</v>
      </c>
      <c r="M93" s="5">
        <f>VLOOKUP(G93,全部!C:V,20,FALSE)*100</f>
        <v>3.5999999999999996</v>
      </c>
      <c r="N93" s="6">
        <f>VLOOKUP(G93,全部!C:W,21,FALSE)</f>
        <v>45314.964</v>
      </c>
      <c r="O93" s="4">
        <f>VLOOKUP(G93,全部!C:X,22,FALSE)</f>
        <v>45315</v>
      </c>
      <c r="P93" s="4">
        <f>VLOOKUP(G93,全部!C:Y,23,FALSE)</f>
        <v>45315</v>
      </c>
      <c r="Q93" s="6">
        <f>VLOOKUP(G93,全部!C:Z,24,FALSE)</f>
        <v>0</v>
      </c>
      <c r="R93" s="7">
        <f>VLOOKUP(G93,全部!C:AA,25,FALSE)</f>
        <v>1052000</v>
      </c>
      <c r="S93" s="7">
        <f>VLOOKUP(G93,全部!C:AB,26,FALSE)</f>
        <v>1052000</v>
      </c>
      <c r="T93" s="4">
        <f>VLOOKUP(计算!G93,全部!C:AC,27,FALSE)</f>
        <v>1052000</v>
      </c>
      <c r="U93" s="4">
        <f>VLOOKUP(G93,全部!C:AD,28,FALSE)</f>
        <v>1052000</v>
      </c>
      <c r="V93" s="6">
        <f>VLOOKUP(G93,全部!C:AE,29,FALSE)</f>
        <v>0.83575041569049902</v>
      </c>
      <c r="W93" s="4">
        <f>VLOOKUP(G93,全部!C:AF,30,FALSE)</f>
        <v>1009286</v>
      </c>
      <c r="X93" s="4">
        <f>VLOOKUP(G93,全部!C:AG,31,FALSE)</f>
        <v>1009286</v>
      </c>
      <c r="Y93" s="4">
        <f>VLOOKUP(计算!G93,全部!C:AH,32,FALSE)</f>
        <v>1045054</v>
      </c>
      <c r="Z93" s="4">
        <f>VLOOKUP(G93,全部!C:AL,36,FALSE)</f>
        <v>1045054</v>
      </c>
      <c r="AA93" s="4">
        <f>VLOOKUP(G93,全部!C:AM,37,FALSE)</f>
        <v>3.4000000000000002E-2</v>
      </c>
      <c r="AB93" s="6">
        <f>VLOOKUP(G93,全部!C:AN,38,FALSE)</f>
        <v>35768</v>
      </c>
      <c r="AC93" s="4">
        <f>VLOOKUP(G93,全部!C:AO,39,FALSE)</f>
        <v>35768</v>
      </c>
      <c r="AD93" s="4">
        <f>VLOOKUP(G93,全部!C:AP,40,FALSE)</f>
        <v>35768</v>
      </c>
      <c r="AE93" s="6">
        <f>VLOOKUP(G93,全部!C:AQ,41,FALSE)</f>
        <v>0</v>
      </c>
      <c r="AF93" s="4">
        <f>VLOOKUP(G93,全部!C:AR,42,FALSE)</f>
        <v>0</v>
      </c>
      <c r="AG93" s="7">
        <f>VLOOKUP(G93,全部!C:AS,43,FALSE)</f>
        <v>0</v>
      </c>
      <c r="AH93" s="64" t="str">
        <f>IF(VLOOKUP(G93,全部!C:AT,44,FALSE)=0,"",VLOOKUP(G93,全部!C:AT,44,FALSE))</f>
        <v/>
      </c>
      <c r="AI93">
        <v>0</v>
      </c>
      <c r="AJ93" s="3">
        <v>41912.686273148101</v>
      </c>
      <c r="AK93" s="2" t="s">
        <v>2050</v>
      </c>
    </row>
    <row r="94" spans="1:37" x14ac:dyDescent="0.15">
      <c r="A94" s="2" t="s">
        <v>2049</v>
      </c>
      <c r="B94">
        <v>810</v>
      </c>
      <c r="C94" s="3">
        <v>41412</v>
      </c>
      <c r="D94" s="2" t="s">
        <v>37</v>
      </c>
      <c r="E94" s="2" t="s">
        <v>2048</v>
      </c>
      <c r="F94" s="2" t="s">
        <v>38</v>
      </c>
      <c r="G94" s="2" t="s">
        <v>227</v>
      </c>
      <c r="H94" s="2" t="s">
        <v>228</v>
      </c>
      <c r="I94" s="4">
        <f>VLOOKUP(G94,全部!C:M,11,FALSE)</f>
        <v>6498959</v>
      </c>
      <c r="J94" s="4">
        <f t="shared" si="1"/>
        <v>0</v>
      </c>
      <c r="K94" s="4">
        <f>VLOOKUP(计算!G94,全部!C:N,12,FALSE)</f>
        <v>0</v>
      </c>
      <c r="L94" s="5">
        <f>VLOOKUP(G94,全部!C:P,14,FALSE)</f>
        <v>0</v>
      </c>
      <c r="M94" s="5">
        <f>VLOOKUP(G94,全部!C:V,20,FALSE)*100</f>
        <v>3</v>
      </c>
      <c r="N94" s="6">
        <f>VLOOKUP(G94,全部!C:W,21,FALSE)</f>
        <v>194968.77</v>
      </c>
      <c r="O94" s="4">
        <f>VLOOKUP(G94,全部!C:X,22,FALSE)</f>
        <v>194969</v>
      </c>
      <c r="P94" s="4">
        <f>VLOOKUP(G94,全部!C:Y,23,FALSE)</f>
        <v>194969</v>
      </c>
      <c r="Q94" s="6">
        <f>VLOOKUP(G94,全部!C:Z,24,FALSE)</f>
        <v>0</v>
      </c>
      <c r="R94" s="7">
        <f>VLOOKUP(G94,全部!C:AA,25,FALSE)</f>
        <v>5165199.2</v>
      </c>
      <c r="S94" s="7">
        <f>VLOOKUP(G94,全部!C:AB,26,FALSE)</f>
        <v>5165199.2</v>
      </c>
      <c r="T94" s="4">
        <f>VLOOKUP(计算!G94,全部!C:AC,27,FALSE)</f>
        <v>4941545.5</v>
      </c>
      <c r="U94" s="4">
        <f>VLOOKUP(G94,全部!C:AD,28,FALSE)</f>
        <v>4941545.5</v>
      </c>
      <c r="V94" s="6">
        <f>VLOOKUP(G94,全部!C:AE,29,FALSE)</f>
        <v>0.76035954373615833</v>
      </c>
      <c r="W94" s="4">
        <f>VLOOKUP(G94,全部!C:AF,30,FALSE)</f>
        <v>4612419.1999999993</v>
      </c>
      <c r="X94" s="4">
        <f>VLOOKUP(G94,全部!C:AG,31,FALSE)</f>
        <v>4612419.2</v>
      </c>
      <c r="Y94" s="4">
        <f>VLOOKUP(计算!G94,全部!C:AH,32,FALSE)</f>
        <v>4934017.4499999993</v>
      </c>
      <c r="Z94" s="4">
        <f>VLOOKUP(G94,全部!C:AL,36,FALSE)</f>
        <v>4934017.45</v>
      </c>
      <c r="AA94" s="4">
        <f>VLOOKUP(G94,全部!C:AM,37,FALSE)</f>
        <v>3.7400000000000003E-2</v>
      </c>
      <c r="AB94" s="6">
        <f>VLOOKUP(G94,全部!C:AN,38,FALSE)</f>
        <v>193178.45008000001</v>
      </c>
      <c r="AC94" s="4">
        <f>VLOOKUP(G94,全部!C:AO,39,FALSE)</f>
        <v>193178.45</v>
      </c>
      <c r="AD94" s="4">
        <f>VLOOKUP(G94,全部!C:AP,40,FALSE)</f>
        <v>193178.45</v>
      </c>
      <c r="AE94" s="6">
        <f>VLOOKUP(G94,全部!C:AQ,41,FALSE)</f>
        <v>7.9999997979030013E-5</v>
      </c>
      <c r="AF94" s="4">
        <f>VLOOKUP(G94,全部!C:AR,42,FALSE)</f>
        <v>0</v>
      </c>
      <c r="AG94" s="7">
        <f>VLOOKUP(G94,全部!C:AS,43,FALSE)</f>
        <v>80</v>
      </c>
      <c r="AH94" s="64" t="str">
        <f>IF(VLOOKUP(G94,全部!C:AT,44,FALSE)=0,"",VLOOKUP(G94,全部!C:AT,44,FALSE))</f>
        <v>管庄</v>
      </c>
      <c r="AI94">
        <v>0</v>
      </c>
      <c r="AJ94" s="3">
        <v>41912.686273148101</v>
      </c>
      <c r="AK94" s="2" t="s">
        <v>2047</v>
      </c>
    </row>
    <row r="95" spans="1:37" x14ac:dyDescent="0.15">
      <c r="A95" s="2" t="s">
        <v>2046</v>
      </c>
      <c r="B95">
        <v>818</v>
      </c>
      <c r="C95" s="3">
        <v>41417</v>
      </c>
      <c r="D95" s="2" t="s">
        <v>37</v>
      </c>
      <c r="E95" s="2" t="s">
        <v>2045</v>
      </c>
      <c r="F95" s="2" t="s">
        <v>38</v>
      </c>
      <c r="G95" s="2" t="s">
        <v>229</v>
      </c>
      <c r="H95" s="2" t="s">
        <v>230</v>
      </c>
      <c r="I95" s="4">
        <f>VLOOKUP(G95,全部!C:M,11,FALSE)</f>
        <v>6000000</v>
      </c>
      <c r="J95" s="4">
        <f t="shared" si="1"/>
        <v>2023835.04</v>
      </c>
      <c r="K95" s="4">
        <f>VLOOKUP(计算!G95,全部!C:N,12,FALSE)</f>
        <v>2023835.04</v>
      </c>
      <c r="L95" s="5">
        <f>VLOOKUP(G95,全部!C:P,14,FALSE)</f>
        <v>0</v>
      </c>
      <c r="M95" s="5">
        <f>VLOOKUP(G95,全部!C:V,20,FALSE)*100</f>
        <v>3</v>
      </c>
      <c r="N95" s="6">
        <f>VLOOKUP(G95,全部!C:W,21,FALSE)</f>
        <v>240715.05119999999</v>
      </c>
      <c r="O95" s="4">
        <f>VLOOKUP(G95,全部!C:X,22,FALSE)</f>
        <v>240715</v>
      </c>
      <c r="P95" s="4">
        <f>VLOOKUP(G95,全部!C:Y,23,FALSE)</f>
        <v>240715</v>
      </c>
      <c r="Q95" s="6">
        <f>VLOOKUP(G95,全部!C:Z,24,FALSE)</f>
        <v>0</v>
      </c>
      <c r="R95" s="7">
        <f>VLOOKUP(G95,全部!C:AA,25,FALSE)</f>
        <v>8023835.04</v>
      </c>
      <c r="S95" s="7">
        <f>VLOOKUP(G95,全部!C:AB,26,FALSE)</f>
        <v>8023835.04</v>
      </c>
      <c r="T95" s="4">
        <f>VLOOKUP(计算!G95,全部!C:AC,27,FALSE)</f>
        <v>8023835.04</v>
      </c>
      <c r="U95" s="4">
        <f>VLOOKUP(G95,全部!C:AD,28,FALSE)</f>
        <v>8023835.04</v>
      </c>
      <c r="V95" s="6">
        <f>VLOOKUP(G95,全部!C:AE,29,FALSE)</f>
        <v>1</v>
      </c>
      <c r="W95" s="4">
        <f>VLOOKUP(G95,全部!C:AF,30,FALSE)</f>
        <v>7479804.75</v>
      </c>
      <c r="X95" s="4">
        <f>VLOOKUP(G95,全部!C:AG,31,FALSE)</f>
        <v>7479804.75</v>
      </c>
      <c r="Y95" s="4">
        <f>VLOOKUP(计算!G95,全部!C:AH,32,FALSE)</f>
        <v>7749964.75</v>
      </c>
      <c r="Z95" s="4">
        <f>VLOOKUP(G95,全部!C:AL,36,FALSE)</f>
        <v>7749964.75</v>
      </c>
      <c r="AA95" s="4">
        <f>VLOOKUP(G95,全部!C:AM,37,FALSE)</f>
        <v>3.4000000000000002E-2</v>
      </c>
      <c r="AB95" s="6">
        <f>VLOOKUP(G95,全部!C:AN,38,FALSE)</f>
        <v>272810.39136000001</v>
      </c>
      <c r="AC95" s="4">
        <f>VLOOKUP(G95,全部!C:AO,39,FALSE)</f>
        <v>272810</v>
      </c>
      <c r="AD95" s="4">
        <f>VLOOKUP(G95,全部!C:AP,40,FALSE)</f>
        <v>272810</v>
      </c>
      <c r="AE95" s="6">
        <f>VLOOKUP(G95,全部!C:AQ,41,FALSE)</f>
        <v>0</v>
      </c>
      <c r="AF95" s="4">
        <f>VLOOKUP(G95,全部!C:AR,42,FALSE)</f>
        <v>0</v>
      </c>
      <c r="AG95" s="7">
        <f>VLOOKUP(G95,全部!C:AS,43,FALSE)</f>
        <v>0</v>
      </c>
      <c r="AH95" s="64" t="str">
        <f>IF(VLOOKUP(G95,全部!C:AT,44,FALSE)=0,"",VLOOKUP(G95,全部!C:AT,44,FALSE))</f>
        <v/>
      </c>
      <c r="AI95">
        <v>0</v>
      </c>
      <c r="AJ95" s="3">
        <v>41912.686273148101</v>
      </c>
      <c r="AK95" s="2" t="s">
        <v>2044</v>
      </c>
    </row>
    <row r="96" spans="1:37" x14ac:dyDescent="0.15">
      <c r="A96" s="2" t="s">
        <v>2043</v>
      </c>
      <c r="B96">
        <v>125</v>
      </c>
      <c r="C96" s="3">
        <v>41426</v>
      </c>
      <c r="D96" s="2" t="s">
        <v>37</v>
      </c>
      <c r="E96" s="2" t="s">
        <v>2042</v>
      </c>
      <c r="F96" s="2" t="s">
        <v>41</v>
      </c>
      <c r="G96" s="2" t="s">
        <v>231</v>
      </c>
      <c r="H96" s="2" t="s">
        <v>232</v>
      </c>
      <c r="I96" s="4">
        <f>VLOOKUP(G96,全部!C:M,11,FALSE)</f>
        <v>773935.04</v>
      </c>
      <c r="J96" s="4">
        <f t="shared" si="1"/>
        <v>0</v>
      </c>
      <c r="K96" s="4">
        <f>VLOOKUP(计算!G96,全部!C:N,12,FALSE)</f>
        <v>0</v>
      </c>
      <c r="L96" s="5">
        <f>VLOOKUP(G96,全部!C:P,14,FALSE)</f>
        <v>0</v>
      </c>
      <c r="M96" s="5">
        <f>VLOOKUP(G96,全部!C:V,20,FALSE)*100</f>
        <v>4</v>
      </c>
      <c r="N96" s="6">
        <f>VLOOKUP(G96,全部!C:W,21,FALSE)</f>
        <v>30957.401600000001</v>
      </c>
      <c r="O96" s="4">
        <f>VLOOKUP(G96,全部!C:X,22,FALSE)</f>
        <v>30958</v>
      </c>
      <c r="P96" s="4">
        <f>VLOOKUP(G96,全部!C:Y,23,FALSE)</f>
        <v>30958</v>
      </c>
      <c r="Q96" s="6">
        <f>VLOOKUP(G96,全部!C:Z,24,FALSE)</f>
        <v>-0.59839999999894644</v>
      </c>
      <c r="R96" s="7">
        <f>VLOOKUP(G96,全部!C:AA,25,FALSE)</f>
        <v>0</v>
      </c>
      <c r="S96" s="7">
        <f>VLOOKUP(G96,全部!C:AB,26,FALSE)</f>
        <v>0</v>
      </c>
      <c r="T96" s="4">
        <f>VLOOKUP(计算!G96,全部!C:AC,27,FALSE)</f>
        <v>619147</v>
      </c>
      <c r="U96" s="4">
        <f>VLOOKUP(G96,全部!C:AD,28,FALSE)</f>
        <v>619147</v>
      </c>
      <c r="V96" s="6">
        <f>VLOOKUP(G96,全部!C:AE,29,FALSE)</f>
        <v>0.79999866655475371</v>
      </c>
      <c r="W96" s="4">
        <f>VLOOKUP(G96,全部!C:AF,30,FALSE)</f>
        <v>0</v>
      </c>
      <c r="X96" s="4">
        <f>VLOOKUP(G96,全部!C:AG,31,FALSE)</f>
        <v>0</v>
      </c>
      <c r="Y96" s="4">
        <f>VLOOKUP(计算!G96,全部!C:AH,32,FALSE)</f>
        <v>525687.91</v>
      </c>
      <c r="Z96" s="4">
        <f>VLOOKUP(G96,全部!C:AL,36,FALSE)</f>
        <v>525687.91</v>
      </c>
      <c r="AA96" s="4">
        <f>VLOOKUP(G96,全部!C:AM,37,FALSE)</f>
        <v>3.4000000000000002E-2</v>
      </c>
      <c r="AB96" s="6">
        <f>VLOOKUP(G96,全部!C:AN,38,FALSE)</f>
        <v>26313.791360000003</v>
      </c>
      <c r="AC96" s="4">
        <f>VLOOKUP(G96,全部!C:AO,39,FALSE)</f>
        <v>21051</v>
      </c>
      <c r="AD96" s="4">
        <f>VLOOKUP(G96,全部!C:AP,40,FALSE)</f>
        <v>21051</v>
      </c>
      <c r="AE96" s="6">
        <f>VLOOKUP(G96,全部!C:AQ,41,FALSE)</f>
        <v>5262.7913600000029</v>
      </c>
      <c r="AF96" s="4">
        <f>VLOOKUP(G96,全部!C:AR,42,FALSE)</f>
        <v>0</v>
      </c>
      <c r="AG96" s="7">
        <f>VLOOKUP(G96,全部!C:AS,43,FALSE)</f>
        <v>0</v>
      </c>
      <c r="AH96" s="64" t="str">
        <f>IF(VLOOKUP(G96,全部!C:AT,44,FALSE)=0,"",VLOOKUP(G96,全部!C:AT,44,FALSE))</f>
        <v/>
      </c>
      <c r="AI96">
        <v>0</v>
      </c>
      <c r="AJ96" s="3">
        <v>41912.6862384259</v>
      </c>
      <c r="AK96" s="2" t="s">
        <v>2041</v>
      </c>
    </row>
    <row r="97" spans="1:37" x14ac:dyDescent="0.15">
      <c r="A97" s="2" t="s">
        <v>2040</v>
      </c>
      <c r="B97">
        <v>826</v>
      </c>
      <c r="C97" s="3">
        <v>41438</v>
      </c>
      <c r="D97" s="2" t="s">
        <v>37</v>
      </c>
      <c r="E97" s="2" t="s">
        <v>2039</v>
      </c>
      <c r="F97" s="2" t="s">
        <v>38</v>
      </c>
      <c r="G97" s="2" t="s">
        <v>233</v>
      </c>
      <c r="H97" s="2" t="s">
        <v>234</v>
      </c>
      <c r="I97" s="4">
        <f>VLOOKUP(G97,全部!C:M,11,FALSE)</f>
        <v>15283442.58</v>
      </c>
      <c r="J97" s="4">
        <f t="shared" si="1"/>
        <v>1303649.56</v>
      </c>
      <c r="K97" s="4">
        <f>VLOOKUP(计算!G97,全部!C:N,12,FALSE)</f>
        <v>1303649.56</v>
      </c>
      <c r="L97" s="5">
        <f>VLOOKUP(G97,全部!C:P,14,FALSE)</f>
        <v>0</v>
      </c>
      <c r="M97" s="5">
        <f>VLOOKUP(G97,全部!C:V,20,FALSE)*100</f>
        <v>4</v>
      </c>
      <c r="N97" s="6">
        <f>VLOOKUP(G97,全部!C:W,21,FALSE)</f>
        <v>658269.08736</v>
      </c>
      <c r="O97" s="4">
        <f>VLOOKUP(G97,全部!C:X,22,FALSE)</f>
        <v>658269</v>
      </c>
      <c r="P97" s="4">
        <f>VLOOKUP(G97,全部!C:Y,23,FALSE)</f>
        <v>658269</v>
      </c>
      <c r="Q97" s="6">
        <f>VLOOKUP(G97,全部!C:Z,24,FALSE)</f>
        <v>0</v>
      </c>
      <c r="R97" s="7">
        <f>VLOOKUP(G97,全部!C:AA,25,FALSE)</f>
        <v>14335455.080000002</v>
      </c>
      <c r="S97" s="7">
        <f>VLOOKUP(G97,全部!C:AB,26,FALSE)</f>
        <v>14335455.08</v>
      </c>
      <c r="T97" s="4">
        <f>VLOOKUP(计算!G97,全部!C:AC,27,FALSE)</f>
        <v>13433095.440000001</v>
      </c>
      <c r="U97" s="4">
        <f>VLOOKUP(G97,全部!C:AD,28,FALSE)</f>
        <v>13433095.439999999</v>
      </c>
      <c r="V97" s="6">
        <f>VLOOKUP(G97,全部!C:AE,29,FALSE)</f>
        <v>0.80985234341382273</v>
      </c>
      <c r="W97" s="4">
        <f>VLOOKUP(G97,全部!C:AF,30,FALSE)</f>
        <v>13740016.289999999</v>
      </c>
      <c r="X97" s="4">
        <f>VLOOKUP(G97,全部!C:AG,31,FALSE)</f>
        <v>13740016.289999999</v>
      </c>
      <c r="Y97" s="4">
        <f>VLOOKUP(计算!G97,全部!C:AH,32,FALSE)</f>
        <v>14227421.289999999</v>
      </c>
      <c r="Z97" s="4">
        <f>VLOOKUP(G97,全部!C:AL,36,FALSE)</f>
        <v>14227421.289999999</v>
      </c>
      <c r="AA97" s="4">
        <f>VLOOKUP(G97,全部!C:AM,37,FALSE)</f>
        <v>3.4000000000000002E-2</v>
      </c>
      <c r="AB97" s="6">
        <f>VLOOKUP(G97,全部!C:AN,38,FALSE)</f>
        <v>487405.47272000002</v>
      </c>
      <c r="AC97" s="4">
        <f>VLOOKUP(G97,全部!C:AO,39,FALSE)</f>
        <v>487405</v>
      </c>
      <c r="AD97" s="4">
        <f>VLOOKUP(G97,全部!C:AP,40,FALSE)</f>
        <v>487405</v>
      </c>
      <c r="AE97" s="6">
        <f>VLOOKUP(G97,全部!C:AQ,41,FALSE)</f>
        <v>0.47272000001976267</v>
      </c>
      <c r="AF97" s="4">
        <f>VLOOKUP(G97,全部!C:AR,42,FALSE)</f>
        <v>0</v>
      </c>
      <c r="AG97" s="7">
        <f>VLOOKUP(G97,全部!C:AS,43,FALSE)</f>
        <v>0</v>
      </c>
      <c r="AH97" s="64" t="str">
        <f>IF(VLOOKUP(G97,全部!C:AT,44,FALSE)=0,"",VLOOKUP(G97,全部!C:AT,44,FALSE))</f>
        <v/>
      </c>
      <c r="AI97">
        <v>0</v>
      </c>
      <c r="AJ97" s="3">
        <v>41912.686273148101</v>
      </c>
      <c r="AK97" s="2" t="s">
        <v>2038</v>
      </c>
    </row>
    <row r="98" spans="1:37" x14ac:dyDescent="0.15">
      <c r="A98" s="2" t="s">
        <v>2037</v>
      </c>
      <c r="B98">
        <v>829</v>
      </c>
      <c r="C98" s="3">
        <v>41439</v>
      </c>
      <c r="D98" s="2" t="s">
        <v>37</v>
      </c>
      <c r="E98" s="2" t="s">
        <v>2036</v>
      </c>
      <c r="F98" s="2" t="s">
        <v>38</v>
      </c>
      <c r="G98" s="2" t="s">
        <v>235</v>
      </c>
      <c r="H98" s="2" t="s">
        <v>236</v>
      </c>
      <c r="I98" s="4">
        <f>VLOOKUP(G98,全部!C:M,11,FALSE)</f>
        <v>1712229.71</v>
      </c>
      <c r="J98" s="4">
        <f t="shared" si="1"/>
        <v>0</v>
      </c>
      <c r="K98" s="4">
        <f>VLOOKUP(计算!G98,全部!C:N,12,FALSE)</f>
        <v>0</v>
      </c>
      <c r="L98" s="5">
        <f>VLOOKUP(G98,全部!C:P,14,FALSE)</f>
        <v>0</v>
      </c>
      <c r="M98" s="5">
        <f>VLOOKUP(G98,全部!C:V,20,FALSE)*100</f>
        <v>3.5999999999999996</v>
      </c>
      <c r="N98" s="6">
        <f>VLOOKUP(G98,全部!C:W,21,FALSE)</f>
        <v>61640.269559999993</v>
      </c>
      <c r="O98" s="4">
        <f>VLOOKUP(G98,全部!C:X,22,FALSE)</f>
        <v>61640</v>
      </c>
      <c r="P98" s="4">
        <f>VLOOKUP(G98,全部!C:Y,23,FALSE)</f>
        <v>61640</v>
      </c>
      <c r="Q98" s="6">
        <f>VLOOKUP(G98,全部!C:Z,24,FALSE)</f>
        <v>0</v>
      </c>
      <c r="R98" s="7">
        <f>VLOOKUP(G98,全部!C:AA,25,FALSE)</f>
        <v>0</v>
      </c>
      <c r="S98" s="7">
        <f>VLOOKUP(G98,全部!C:AB,26,FALSE)</f>
        <v>0</v>
      </c>
      <c r="T98" s="4">
        <f>VLOOKUP(计算!G98,全部!C:AC,27,FALSE)</f>
        <v>0</v>
      </c>
      <c r="U98" s="4">
        <f>VLOOKUP(G98,全部!C:AD,28,FALSE)</f>
        <v>0</v>
      </c>
      <c r="V98" s="6">
        <f>VLOOKUP(G98,全部!C:AE,29,FALSE)</f>
        <v>0</v>
      </c>
      <c r="W98" s="4">
        <f>VLOOKUP(G98,全部!C:AF,30,FALSE)</f>
        <v>0</v>
      </c>
      <c r="X98" s="4">
        <f>VLOOKUP(G98,全部!C:AG,31,FALSE)</f>
        <v>0</v>
      </c>
      <c r="Y98" s="4">
        <f>VLOOKUP(计算!G98,全部!C:AH,32,FALSE)</f>
        <v>0</v>
      </c>
      <c r="Z98" s="4">
        <f>VLOOKUP(G98,全部!C:AL,36,FALSE)</f>
        <v>0</v>
      </c>
      <c r="AA98" s="4">
        <f>VLOOKUP(G98,全部!C:AM,37,FALSE)</f>
        <v>3.4000000000000002E-2</v>
      </c>
      <c r="AB98" s="6">
        <f>VLOOKUP(G98,全部!C:AN,38,FALSE)</f>
        <v>0</v>
      </c>
      <c r="AC98" s="4">
        <f>VLOOKUP(G98,全部!C:AO,39,FALSE)</f>
        <v>0</v>
      </c>
      <c r="AD98" s="4">
        <f>VLOOKUP(G98,全部!C:AP,40,FALSE)</f>
        <v>0</v>
      </c>
      <c r="AE98" s="6">
        <f>VLOOKUP(G98,全部!C:AQ,41,FALSE)</f>
        <v>0</v>
      </c>
      <c r="AF98" s="4">
        <f>VLOOKUP(G98,全部!C:AR,42,FALSE)</f>
        <v>0</v>
      </c>
      <c r="AG98" s="7">
        <f>VLOOKUP(G98,全部!C:AS,43,FALSE)</f>
        <v>19</v>
      </c>
      <c r="AH98" s="64" t="str">
        <f>IF(VLOOKUP(G98,全部!C:AT,44,FALSE)=0,"",VLOOKUP(G98,全部!C:AT,44,FALSE))</f>
        <v>三河</v>
      </c>
      <c r="AI98">
        <v>0</v>
      </c>
      <c r="AJ98" s="3">
        <v>41912.686273148101</v>
      </c>
      <c r="AK98" s="2" t="s">
        <v>2035</v>
      </c>
    </row>
    <row r="99" spans="1:37" x14ac:dyDescent="0.15">
      <c r="A99" s="2" t="s">
        <v>2034</v>
      </c>
      <c r="B99">
        <v>838</v>
      </c>
      <c r="C99" s="3">
        <v>41443</v>
      </c>
      <c r="D99" s="2" t="s">
        <v>37</v>
      </c>
      <c r="E99" s="2" t="s">
        <v>2033</v>
      </c>
      <c r="F99" s="2" t="s">
        <v>38</v>
      </c>
      <c r="G99" s="2" t="s">
        <v>237</v>
      </c>
      <c r="H99" s="2" t="s">
        <v>238</v>
      </c>
      <c r="I99" s="4">
        <f>VLOOKUP(G99,全部!C:M,11,FALSE)</f>
        <v>7389748</v>
      </c>
      <c r="J99" s="4">
        <f t="shared" si="1"/>
        <v>1116572</v>
      </c>
      <c r="K99" s="4">
        <f>VLOOKUP(计算!G99,全部!C:N,12,FALSE)</f>
        <v>1116572</v>
      </c>
      <c r="L99" s="5">
        <f>VLOOKUP(G99,全部!C:P,14,FALSE)</f>
        <v>0</v>
      </c>
      <c r="M99" s="5">
        <f>VLOOKUP(G99,全部!C:V,20,FALSE)*100</f>
        <v>3</v>
      </c>
      <c r="N99" s="6">
        <f>VLOOKUP(G99,全部!C:W,21,FALSE)</f>
        <v>255189.59999999998</v>
      </c>
      <c r="O99" s="4">
        <f>VLOOKUP(G99,全部!C:X,22,FALSE)</f>
        <v>255192.27</v>
      </c>
      <c r="P99" s="4">
        <f>VLOOKUP(G99,全部!C:Y,23,FALSE)</f>
        <v>255191.27</v>
      </c>
      <c r="Q99" s="6">
        <f>VLOOKUP(G99,全部!C:Z,24,FALSE)</f>
        <v>0</v>
      </c>
      <c r="R99" s="7">
        <f>VLOOKUP(G99,全部!C:AA,25,FALSE)</f>
        <v>8506320</v>
      </c>
      <c r="S99" s="7">
        <f>VLOOKUP(G99,全部!C:AB,26,FALSE)</f>
        <v>8506320</v>
      </c>
      <c r="T99" s="4">
        <f>VLOOKUP(计算!G99,全部!C:AC,27,FALSE)</f>
        <v>8506320</v>
      </c>
      <c r="U99" s="4">
        <f>VLOOKUP(G99,全部!C:AD,28,FALSE)</f>
        <v>8506320</v>
      </c>
      <c r="V99" s="6">
        <f>VLOOKUP(G99,全部!C:AE,29,FALSE)</f>
        <v>1</v>
      </c>
      <c r="W99" s="4">
        <f>VLOOKUP(G99,全部!C:AF,30,FALSE)</f>
        <v>8036530.9499999993</v>
      </c>
      <c r="X99" s="4">
        <f>VLOOKUP(G99,全部!C:AG,31,FALSE)</f>
        <v>8036530.9500000002</v>
      </c>
      <c r="Y99" s="4">
        <f>VLOOKUP(计算!G99,全部!C:AH,32,FALSE)</f>
        <v>8505439.0700000003</v>
      </c>
      <c r="Z99" s="4">
        <f>VLOOKUP(G99,全部!C:AL,36,FALSE)</f>
        <v>8505439.0700000003</v>
      </c>
      <c r="AA99" s="4">
        <f>VLOOKUP(G99,全部!C:AM,37,FALSE)</f>
        <v>3.4000000000000002E-2</v>
      </c>
      <c r="AB99" s="6">
        <f>VLOOKUP(G99,全部!C:AN,38,FALSE)</f>
        <v>289214.88</v>
      </c>
      <c r="AC99" s="4">
        <f>VLOOKUP(G99,全部!C:AO,39,FALSE)</f>
        <v>289214</v>
      </c>
      <c r="AD99" s="4">
        <f>VLOOKUP(G99,全部!C:AP,40,FALSE)</f>
        <v>289214</v>
      </c>
      <c r="AE99" s="6">
        <f>VLOOKUP(G99,全部!C:AQ,41,FALSE)</f>
        <v>0</v>
      </c>
      <c r="AF99" s="4">
        <f>VLOOKUP(G99,全部!C:AR,42,FALSE)</f>
        <v>0</v>
      </c>
      <c r="AG99" s="7">
        <f>VLOOKUP(G99,全部!C:AS,43,FALSE)</f>
        <v>50</v>
      </c>
      <c r="AH99" s="64" t="str">
        <f>IF(VLOOKUP(G99,全部!C:AT,44,FALSE)=0,"",VLOOKUP(G99,全部!C:AT,44,FALSE))</f>
        <v>管庄</v>
      </c>
      <c r="AI99">
        <v>0</v>
      </c>
      <c r="AJ99" s="3">
        <v>41912.686273148101</v>
      </c>
      <c r="AK99" s="2" t="s">
        <v>2032</v>
      </c>
    </row>
    <row r="100" spans="1:37" x14ac:dyDescent="0.15">
      <c r="A100" s="2" t="s">
        <v>2031</v>
      </c>
      <c r="B100">
        <v>130</v>
      </c>
      <c r="C100" s="3">
        <v>41456</v>
      </c>
      <c r="D100" s="2" t="s">
        <v>37</v>
      </c>
      <c r="E100" s="2" t="s">
        <v>2030</v>
      </c>
      <c r="F100" s="2" t="s">
        <v>41</v>
      </c>
      <c r="G100" s="2" t="s">
        <v>241</v>
      </c>
      <c r="H100" s="2" t="s">
        <v>242</v>
      </c>
      <c r="I100" s="4">
        <f>VLOOKUP(G100,全部!C:M,11,FALSE)</f>
        <v>238178</v>
      </c>
      <c r="J100" s="4">
        <f t="shared" si="1"/>
        <v>0</v>
      </c>
      <c r="K100" s="4">
        <f>VLOOKUP(计算!G100,全部!C:N,12,FALSE)</f>
        <v>0</v>
      </c>
      <c r="L100" s="5">
        <f>VLOOKUP(G100,全部!C:P,14,FALSE)</f>
        <v>0</v>
      </c>
      <c r="M100" s="5">
        <f>VLOOKUP(G100,全部!C:V,20,FALSE)*100</f>
        <v>4</v>
      </c>
      <c r="N100" s="6">
        <f>VLOOKUP(G100,全部!C:W,21,FALSE)</f>
        <v>9527.1200000000008</v>
      </c>
      <c r="O100" s="4">
        <f>VLOOKUP(G100,全部!C:X,22,FALSE)</f>
        <v>9569</v>
      </c>
      <c r="P100" s="4">
        <f>VLOOKUP(G100,全部!C:Y,23,FALSE)</f>
        <v>9569</v>
      </c>
      <c r="Q100" s="6">
        <f>VLOOKUP(G100,全部!C:Z,24,FALSE)</f>
        <v>-41.8799999999992</v>
      </c>
      <c r="R100" s="7">
        <f>VLOOKUP(G100,全部!C:AA,25,FALSE)</f>
        <v>0</v>
      </c>
      <c r="S100" s="7">
        <f>VLOOKUP(G100,全部!C:AB,26,FALSE)</f>
        <v>0</v>
      </c>
      <c r="T100" s="4">
        <f>VLOOKUP(计算!G100,全部!C:AC,27,FALSE)</f>
        <v>169089</v>
      </c>
      <c r="U100" s="4">
        <f>VLOOKUP(G100,全部!C:AD,28,FALSE)</f>
        <v>169089</v>
      </c>
      <c r="V100" s="6">
        <f>VLOOKUP(G100,全部!C:AE,29,FALSE)</f>
        <v>0.70992702936459284</v>
      </c>
      <c r="W100" s="4">
        <f>VLOOKUP(G100,全部!C:AF,30,FALSE)</f>
        <v>0</v>
      </c>
      <c r="X100" s="4">
        <f>VLOOKUP(G100,全部!C:AG,31,FALSE)</f>
        <v>0</v>
      </c>
      <c r="Y100" s="4">
        <f>VLOOKUP(计算!G100,全部!C:AH,32,FALSE)</f>
        <v>178578</v>
      </c>
      <c r="Z100" s="4">
        <f>VLOOKUP(G100,全部!C:AL,36,FALSE)</f>
        <v>178578</v>
      </c>
      <c r="AA100" s="4">
        <f>VLOOKUP(G100,全部!C:AM,37,FALSE)</f>
        <v>3.4599999999999999E-2</v>
      </c>
      <c r="AB100" s="6">
        <f>VLOOKUP(G100,全部!C:AN,38,FALSE)</f>
        <v>8240.9588000000003</v>
      </c>
      <c r="AC100" s="4">
        <f>VLOOKUP(G100,全部!C:AO,39,FALSE)</f>
        <v>8240.9599999999991</v>
      </c>
      <c r="AD100" s="4">
        <f>VLOOKUP(G100,全部!C:AP,40,FALSE)</f>
        <v>8240.9599999999991</v>
      </c>
      <c r="AE100" s="6">
        <f>VLOOKUP(G100,全部!C:AQ,41,FALSE)</f>
        <v>-1.1999999987892807E-3</v>
      </c>
      <c r="AF100" s="4">
        <f>VLOOKUP(G100,全部!C:AR,42,FALSE)</f>
        <v>0</v>
      </c>
      <c r="AG100" s="7">
        <f>VLOOKUP(G100,全部!C:AS,43,FALSE)</f>
        <v>0</v>
      </c>
      <c r="AH100" s="64" t="str">
        <f>IF(VLOOKUP(G100,全部!C:AT,44,FALSE)=0,"",VLOOKUP(G100,全部!C:AT,44,FALSE))</f>
        <v/>
      </c>
      <c r="AI100">
        <v>0</v>
      </c>
      <c r="AJ100" s="3">
        <v>41912.6862384259</v>
      </c>
      <c r="AK100" s="2" t="s">
        <v>2029</v>
      </c>
    </row>
    <row r="101" spans="1:37" x14ac:dyDescent="0.15">
      <c r="A101" s="2" t="s">
        <v>2028</v>
      </c>
      <c r="B101">
        <v>845</v>
      </c>
      <c r="C101" s="3">
        <v>41456</v>
      </c>
      <c r="D101" s="2" t="s">
        <v>37</v>
      </c>
      <c r="E101" s="2" t="s">
        <v>2027</v>
      </c>
      <c r="F101" s="2" t="s">
        <v>38</v>
      </c>
      <c r="G101" s="2" t="s">
        <v>239</v>
      </c>
      <c r="H101" s="2" t="s">
        <v>240</v>
      </c>
      <c r="I101" s="4">
        <f>VLOOKUP(G101,全部!C:M,11,FALSE)</f>
        <v>205000</v>
      </c>
      <c r="J101" s="4">
        <f t="shared" si="1"/>
        <v>0</v>
      </c>
      <c r="K101" s="4">
        <f>VLOOKUP(计算!G101,全部!C:N,12,FALSE)</f>
        <v>0</v>
      </c>
      <c r="L101" s="5">
        <f>VLOOKUP(G101,全部!C:P,14,FALSE)</f>
        <v>0</v>
      </c>
      <c r="M101" s="5">
        <f>VLOOKUP(G101,全部!C:V,20,FALSE)*100</f>
        <v>3.5999999999999996</v>
      </c>
      <c r="N101" s="6">
        <f>VLOOKUP(G101,全部!C:W,21,FALSE)</f>
        <v>7379.9999999999991</v>
      </c>
      <c r="O101" s="4">
        <f>VLOOKUP(G101,全部!C:X,22,FALSE)</f>
        <v>7380</v>
      </c>
      <c r="P101" s="4">
        <f>VLOOKUP(G101,全部!C:Y,23,FALSE)</f>
        <v>7380</v>
      </c>
      <c r="Q101" s="6">
        <f>VLOOKUP(G101,全部!C:Z,24,FALSE)</f>
        <v>0</v>
      </c>
      <c r="R101" s="7">
        <f>VLOOKUP(G101,全部!C:AA,25,FALSE)</f>
        <v>194750</v>
      </c>
      <c r="S101" s="7">
        <f>VLOOKUP(G101,全部!C:AB,26,FALSE)</f>
        <v>194750</v>
      </c>
      <c r="T101" s="4">
        <f>VLOOKUP(计算!G101,全部!C:AC,27,FALSE)</f>
        <v>194750</v>
      </c>
      <c r="U101" s="4">
        <f>VLOOKUP(G101,全部!C:AD,28,FALSE)</f>
        <v>194750</v>
      </c>
      <c r="V101" s="6">
        <f>VLOOKUP(G101,全部!C:AE,29,FALSE)</f>
        <v>0.95</v>
      </c>
      <c r="W101" s="4">
        <f>VLOOKUP(G101,全部!C:AF,30,FALSE)</f>
        <v>155447.20000000001</v>
      </c>
      <c r="X101" s="4">
        <f>VLOOKUP(G101,全部!C:AG,31,FALSE)</f>
        <v>155447.20000000001</v>
      </c>
      <c r="Y101" s="4">
        <f>VLOOKUP(计算!G101,全部!C:AH,32,FALSE)</f>
        <v>192069.2</v>
      </c>
      <c r="Z101" s="4">
        <f>VLOOKUP(G101,全部!C:AL,36,FALSE)</f>
        <v>192069.2</v>
      </c>
      <c r="AA101" s="4">
        <f>VLOOKUP(G101,全部!C:AM,37,FALSE)</f>
        <v>3.4000000000000002E-2</v>
      </c>
      <c r="AB101" s="6">
        <f>VLOOKUP(G101,全部!C:AN,38,FALSE)</f>
        <v>6621.5000000000009</v>
      </c>
      <c r="AC101" s="4">
        <f>VLOOKUP(G101,全部!C:AO,39,FALSE)</f>
        <v>6622</v>
      </c>
      <c r="AD101" s="4">
        <f>VLOOKUP(G101,全部!C:AP,40,FALSE)</f>
        <v>6622</v>
      </c>
      <c r="AE101" s="6">
        <f>VLOOKUP(G101,全部!C:AQ,41,FALSE)</f>
        <v>0</v>
      </c>
      <c r="AF101" s="4">
        <f>VLOOKUP(G101,全部!C:AR,42,FALSE)</f>
        <v>0</v>
      </c>
      <c r="AG101" s="7">
        <f>VLOOKUP(G101,全部!C:AS,43,FALSE)</f>
        <v>0</v>
      </c>
      <c r="AH101" s="64" t="str">
        <f>IF(VLOOKUP(G101,全部!C:AT,44,FALSE)=0,"",VLOOKUP(G101,全部!C:AT,44,FALSE))</f>
        <v/>
      </c>
      <c r="AI101">
        <v>0</v>
      </c>
      <c r="AJ101" s="3">
        <v>41912.686273148101</v>
      </c>
      <c r="AK101" s="2" t="s">
        <v>2026</v>
      </c>
    </row>
    <row r="102" spans="1:37" x14ac:dyDescent="0.15">
      <c r="A102" s="2" t="s">
        <v>2025</v>
      </c>
      <c r="B102">
        <v>847</v>
      </c>
      <c r="C102" s="3">
        <v>41457</v>
      </c>
      <c r="D102" s="2" t="s">
        <v>37</v>
      </c>
      <c r="E102" s="2" t="s">
        <v>2024</v>
      </c>
      <c r="F102" s="2" t="s">
        <v>38</v>
      </c>
      <c r="G102" s="2" t="s">
        <v>243</v>
      </c>
      <c r="H102" s="2" t="s">
        <v>244</v>
      </c>
      <c r="I102" s="4">
        <f>VLOOKUP(G102,全部!C:M,11,FALSE)</f>
        <v>5287718</v>
      </c>
      <c r="J102" s="4">
        <f t="shared" si="1"/>
        <v>0</v>
      </c>
      <c r="K102" s="4">
        <f>VLOOKUP(计算!G102,全部!C:N,12,FALSE)</f>
        <v>0</v>
      </c>
      <c r="L102" s="5">
        <f>VLOOKUP(G102,全部!C:P,14,FALSE)</f>
        <v>0</v>
      </c>
      <c r="M102" s="5">
        <f>VLOOKUP(G102,全部!C:V,20,FALSE)*100</f>
        <v>3</v>
      </c>
      <c r="N102" s="6">
        <f>VLOOKUP(G102,全部!C:W,21,FALSE)</f>
        <v>158631.54</v>
      </c>
      <c r="O102" s="4">
        <f>VLOOKUP(G102,全部!C:X,22,FALSE)</f>
        <v>0</v>
      </c>
      <c r="P102" s="4">
        <f>VLOOKUP(G102,全部!C:Y,23,FALSE)</f>
        <v>0</v>
      </c>
      <c r="Q102" s="6">
        <f>VLOOKUP(G102,全部!C:Z,24,FALSE)</f>
        <v>158631.54</v>
      </c>
      <c r="R102" s="7">
        <f>VLOOKUP(G102,全部!C:AA,25,FALSE)</f>
        <v>0</v>
      </c>
      <c r="S102" s="7">
        <f>VLOOKUP(G102,全部!C:AB,26,FALSE)</f>
        <v>0</v>
      </c>
      <c r="T102" s="4">
        <f>VLOOKUP(计算!G102,全部!C:AC,27,FALSE)</f>
        <v>0</v>
      </c>
      <c r="U102" s="4">
        <f>VLOOKUP(G102,全部!C:AD,28,FALSE)</f>
        <v>0</v>
      </c>
      <c r="V102" s="6">
        <f>VLOOKUP(G102,全部!C:AE,29,FALSE)</f>
        <v>0</v>
      </c>
      <c r="W102" s="4">
        <f>VLOOKUP(G102,全部!C:AF,30,FALSE)</f>
        <v>0</v>
      </c>
      <c r="X102" s="4">
        <f>VLOOKUP(G102,全部!C:AG,31,FALSE)</f>
        <v>0</v>
      </c>
      <c r="Y102" s="4">
        <f>VLOOKUP(计算!G102,全部!C:AH,32,FALSE)</f>
        <v>0</v>
      </c>
      <c r="Z102" s="4">
        <f>VLOOKUP(G102,全部!C:AL,36,FALSE)</f>
        <v>0</v>
      </c>
      <c r="AA102" s="4">
        <f>VLOOKUP(G102,全部!C:AM,37,FALSE)</f>
        <v>3.4000000000000002E-2</v>
      </c>
      <c r="AB102" s="6">
        <f>VLOOKUP(G102,全部!C:AN,38,FALSE)</f>
        <v>0</v>
      </c>
      <c r="AC102" s="4">
        <f>VLOOKUP(G102,全部!C:AO,39,FALSE)</f>
        <v>0</v>
      </c>
      <c r="AD102" s="4">
        <f>VLOOKUP(G102,全部!C:AP,40,FALSE)</f>
        <v>0</v>
      </c>
      <c r="AE102" s="6">
        <f>VLOOKUP(G102,全部!C:AQ,41,FALSE)</f>
        <v>0</v>
      </c>
      <c r="AF102" s="4">
        <f>VLOOKUP(G102,全部!C:AR,42,FALSE)</f>
        <v>0</v>
      </c>
      <c r="AG102" s="7">
        <f>VLOOKUP(G102,全部!C:AS,43,FALSE)</f>
        <v>15</v>
      </c>
      <c r="AH102" s="64" t="str">
        <f>IF(VLOOKUP(G102,全部!C:AT,44,FALSE)=0,"",VLOOKUP(G102,全部!C:AT,44,FALSE))</f>
        <v>管庄</v>
      </c>
      <c r="AI102">
        <v>0</v>
      </c>
      <c r="AJ102" s="3">
        <v>41912.686273148101</v>
      </c>
      <c r="AK102" s="2" t="s">
        <v>2023</v>
      </c>
    </row>
    <row r="103" spans="1:37" x14ac:dyDescent="0.15">
      <c r="A103" s="2" t="s">
        <v>2022</v>
      </c>
      <c r="B103">
        <v>854</v>
      </c>
      <c r="C103" s="3">
        <v>41459</v>
      </c>
      <c r="D103" s="2" t="s">
        <v>37</v>
      </c>
      <c r="E103" s="2" t="s">
        <v>2021</v>
      </c>
      <c r="F103" s="2" t="s">
        <v>38</v>
      </c>
      <c r="G103" s="2" t="s">
        <v>245</v>
      </c>
      <c r="H103" s="2" t="s">
        <v>246</v>
      </c>
      <c r="I103" s="4">
        <f>VLOOKUP(G103,全部!C:M,11,FALSE)</f>
        <v>2440063.9</v>
      </c>
      <c r="J103" s="4">
        <f t="shared" si="1"/>
        <v>0</v>
      </c>
      <c r="K103" s="4">
        <f>VLOOKUP(计算!G103,全部!C:N,12,FALSE)</f>
        <v>0</v>
      </c>
      <c r="L103" s="5">
        <f>VLOOKUP(G103,全部!C:P,14,FALSE)</f>
        <v>0</v>
      </c>
      <c r="M103" s="5">
        <f>VLOOKUP(G103,全部!C:V,20,FALSE)*100</f>
        <v>4.5999999999999996</v>
      </c>
      <c r="N103" s="6">
        <f>VLOOKUP(G103,全部!C:W,21,FALSE)</f>
        <v>112242.93939999999</v>
      </c>
      <c r="O103" s="4">
        <f>VLOOKUP(G103,全部!C:X,22,FALSE)</f>
        <v>112243.75</v>
      </c>
      <c r="P103" s="4">
        <f>VLOOKUP(G103,全部!C:Y,23,FALSE)</f>
        <v>112243.75</v>
      </c>
      <c r="Q103" s="6">
        <f>VLOOKUP(G103,全部!C:Z,24,FALSE)</f>
        <v>0</v>
      </c>
      <c r="R103" s="7">
        <f>VLOOKUP(G103,全部!C:AA,25,FALSE)</f>
        <v>2352756.3200000003</v>
      </c>
      <c r="S103" s="7">
        <f>VLOOKUP(G103,全部!C:AB,26,FALSE)</f>
        <v>2352756.3199999998</v>
      </c>
      <c r="T103" s="4">
        <f>VLOOKUP(计算!G103,全部!C:AC,27,FALSE)</f>
        <v>1952051.12</v>
      </c>
      <c r="U103" s="4">
        <f>VLOOKUP(G103,全部!C:AD,28,FALSE)</f>
        <v>1952051.12</v>
      </c>
      <c r="V103" s="6">
        <f>VLOOKUP(G103,全部!C:AE,29,FALSE)</f>
        <v>0.8</v>
      </c>
      <c r="W103" s="4">
        <f>VLOOKUP(G103,全部!C:AF,30,FALSE)</f>
        <v>1554257.75</v>
      </c>
      <c r="X103" s="4">
        <f>VLOOKUP(G103,全部!C:AG,31,FALSE)</f>
        <v>1554257.75</v>
      </c>
      <c r="Y103" s="4">
        <f>VLOOKUP(计算!G103,全部!C:AH,32,FALSE)</f>
        <v>1936975.93</v>
      </c>
      <c r="Z103" s="4">
        <f>VLOOKUP(G103,全部!C:AL,36,FALSE)</f>
        <v>1936975.93</v>
      </c>
      <c r="AA103" s="4">
        <f>VLOOKUP(G103,全部!C:AM,37,FALSE)</f>
        <v>3.7400000000000003E-2</v>
      </c>
      <c r="AB103" s="6">
        <f>VLOOKUP(G103,全部!C:AN,38,FALSE)</f>
        <v>87993.086368000004</v>
      </c>
      <c r="AC103" s="4">
        <f>VLOOKUP(G103,全部!C:AO,39,FALSE)</f>
        <v>87993.09</v>
      </c>
      <c r="AD103" s="4">
        <f>VLOOKUP(G103,全部!C:AP,40,FALSE)</f>
        <v>87993.09</v>
      </c>
      <c r="AE103" s="6">
        <f>VLOOKUP(G103,全部!C:AQ,41,FALSE)</f>
        <v>0</v>
      </c>
      <c r="AF103" s="4">
        <f>VLOOKUP(G103,全部!C:AR,42,FALSE)</f>
        <v>0</v>
      </c>
      <c r="AG103" s="7">
        <f>VLOOKUP(G103,全部!C:AS,43,FALSE)</f>
        <v>0</v>
      </c>
      <c r="AH103" s="64" t="str">
        <f>IF(VLOOKUP(G103,全部!C:AT,44,FALSE)=0,"",VLOOKUP(G103,全部!C:AT,44,FALSE))</f>
        <v/>
      </c>
      <c r="AI103">
        <v>0</v>
      </c>
      <c r="AJ103" s="3">
        <v>41912.686273148101</v>
      </c>
      <c r="AK103" s="2" t="s">
        <v>2020</v>
      </c>
    </row>
    <row r="104" spans="1:37" x14ac:dyDescent="0.15">
      <c r="A104" s="2" t="s">
        <v>2019</v>
      </c>
      <c r="B104">
        <v>861</v>
      </c>
      <c r="C104" s="3">
        <v>41470</v>
      </c>
      <c r="D104" s="2" t="s">
        <v>37</v>
      </c>
      <c r="E104" s="2" t="s">
        <v>2018</v>
      </c>
      <c r="F104" s="2" t="s">
        <v>38</v>
      </c>
      <c r="G104" s="2" t="s">
        <v>247</v>
      </c>
      <c r="H104" s="2" t="s">
        <v>248</v>
      </c>
      <c r="I104" s="4">
        <f>VLOOKUP(G104,全部!C:M,11,FALSE)</f>
        <v>1457017.94</v>
      </c>
      <c r="J104" s="4">
        <f t="shared" si="1"/>
        <v>0</v>
      </c>
      <c r="K104" s="4">
        <f>VLOOKUP(计算!G104,全部!C:N,12,FALSE)</f>
        <v>0</v>
      </c>
      <c r="L104" s="5">
        <f>VLOOKUP(G104,全部!C:P,14,FALSE)</f>
        <v>0</v>
      </c>
      <c r="M104" s="5">
        <f>VLOOKUP(G104,全部!C:V,20,FALSE)*100</f>
        <v>3.5999999999999996</v>
      </c>
      <c r="N104" s="6">
        <f>VLOOKUP(G104,全部!C:W,21,FALSE)</f>
        <v>52452.645839999997</v>
      </c>
      <c r="O104" s="4">
        <f>VLOOKUP(G104,全部!C:X,22,FALSE)</f>
        <v>52453</v>
      </c>
      <c r="P104" s="4">
        <f>VLOOKUP(G104,全部!C:Y,23,FALSE)</f>
        <v>52453</v>
      </c>
      <c r="Q104" s="6">
        <f>VLOOKUP(G104,全部!C:Z,24,FALSE)</f>
        <v>0</v>
      </c>
      <c r="R104" s="7">
        <f>VLOOKUP(G104,全部!C:AA,25,FALSE)</f>
        <v>1400000</v>
      </c>
      <c r="S104" s="7">
        <f>VLOOKUP(G104,全部!C:AB,26,FALSE)</f>
        <v>1400000</v>
      </c>
      <c r="T104" s="4">
        <f>VLOOKUP(计算!G104,全部!C:AC,27,FALSE)</f>
        <v>1400000</v>
      </c>
      <c r="U104" s="4">
        <f>VLOOKUP(G104,全部!C:AD,28,FALSE)</f>
        <v>1400000</v>
      </c>
      <c r="V104" s="6">
        <f>VLOOKUP(G104,全部!C:AE,29,FALSE)</f>
        <v>0.96086668637724537</v>
      </c>
      <c r="W104" s="4">
        <f>VLOOKUP(G104,全部!C:AF,30,FALSE)</f>
        <v>1335000</v>
      </c>
      <c r="X104" s="4">
        <f>VLOOKUP(G104,全部!C:AG,31,FALSE)</f>
        <v>1335000</v>
      </c>
      <c r="Y104" s="4">
        <f>VLOOKUP(计算!G104,全部!C:AH,32,FALSE)</f>
        <v>1384348</v>
      </c>
      <c r="Z104" s="4">
        <f>VLOOKUP(G104,全部!C:AL,36,FALSE)</f>
        <v>1384348</v>
      </c>
      <c r="AA104" s="4">
        <f>VLOOKUP(G104,全部!C:AM,37,FALSE)</f>
        <v>3.4000000000000002E-2</v>
      </c>
      <c r="AB104" s="6">
        <f>VLOOKUP(G104,全部!C:AN,38,FALSE)</f>
        <v>47600</v>
      </c>
      <c r="AC104" s="4">
        <f>VLOOKUP(G104,全部!C:AO,39,FALSE)</f>
        <v>47600</v>
      </c>
      <c r="AD104" s="4">
        <f>VLOOKUP(G104,全部!C:AP,40,FALSE)</f>
        <v>47600</v>
      </c>
      <c r="AE104" s="6">
        <f>VLOOKUP(G104,全部!C:AQ,41,FALSE)</f>
        <v>0</v>
      </c>
      <c r="AF104" s="4">
        <f>VLOOKUP(G104,全部!C:AR,42,FALSE)</f>
        <v>0</v>
      </c>
      <c r="AG104" s="7">
        <f>VLOOKUP(G104,全部!C:AS,43,FALSE)</f>
        <v>0</v>
      </c>
      <c r="AH104" s="64" t="str">
        <f>IF(VLOOKUP(G104,全部!C:AT,44,FALSE)=0,"",VLOOKUP(G104,全部!C:AT,44,FALSE))</f>
        <v/>
      </c>
      <c r="AI104">
        <v>0</v>
      </c>
      <c r="AJ104" s="3">
        <v>41912.686273148101</v>
      </c>
      <c r="AK104" s="2" t="s">
        <v>2017</v>
      </c>
    </row>
    <row r="105" spans="1:37" x14ac:dyDescent="0.15">
      <c r="A105" s="2" t="s">
        <v>2016</v>
      </c>
      <c r="B105">
        <v>865</v>
      </c>
      <c r="C105" s="3">
        <v>41472</v>
      </c>
      <c r="D105" s="2" t="s">
        <v>37</v>
      </c>
      <c r="E105" s="2" t="s">
        <v>2015</v>
      </c>
      <c r="F105" s="2" t="s">
        <v>38</v>
      </c>
      <c r="G105" s="2" t="s">
        <v>249</v>
      </c>
      <c r="H105" s="2" t="s">
        <v>250</v>
      </c>
      <c r="I105" s="4">
        <f>VLOOKUP(G105,全部!C:M,11,FALSE)</f>
        <v>190000</v>
      </c>
      <c r="J105" s="4">
        <f t="shared" si="1"/>
        <v>0</v>
      </c>
      <c r="K105" s="4">
        <f>VLOOKUP(计算!G105,全部!C:N,12,FALSE)</f>
        <v>0</v>
      </c>
      <c r="L105" s="5">
        <f>VLOOKUP(G105,全部!C:P,14,FALSE)</f>
        <v>0</v>
      </c>
      <c r="M105" s="5">
        <f>VLOOKUP(G105,全部!C:V,20,FALSE)*100</f>
        <v>3.5999999999999996</v>
      </c>
      <c r="N105" s="6">
        <f>VLOOKUP(G105,全部!C:W,21,FALSE)</f>
        <v>6839.9999999999991</v>
      </c>
      <c r="O105" s="4">
        <f>VLOOKUP(G105,全部!C:X,22,FALSE)</f>
        <v>0</v>
      </c>
      <c r="P105" s="4">
        <f>VLOOKUP(G105,全部!C:Y,23,FALSE)</f>
        <v>0</v>
      </c>
      <c r="Q105" s="6">
        <f>VLOOKUP(G105,全部!C:Z,24,FALSE)</f>
        <v>6839.9999999999991</v>
      </c>
      <c r="R105" s="7">
        <f>VLOOKUP(G105,全部!C:AA,25,FALSE)</f>
        <v>180500</v>
      </c>
      <c r="S105" s="7">
        <f>VLOOKUP(G105,全部!C:AB,26,FALSE)</f>
        <v>180500</v>
      </c>
      <c r="T105" s="4">
        <f>VLOOKUP(计算!G105,全部!C:AC,27,FALSE)</f>
        <v>57000</v>
      </c>
      <c r="U105" s="4">
        <f>VLOOKUP(G105,全部!C:AD,28,FALSE)</f>
        <v>57000</v>
      </c>
      <c r="V105" s="6">
        <f>VLOOKUP(G105,全部!C:AE,29,FALSE)</f>
        <v>0.3</v>
      </c>
      <c r="W105" s="4">
        <f>VLOOKUP(G105,全部!C:AF,30,FALSE)</f>
        <v>0</v>
      </c>
      <c r="X105" s="4">
        <f>VLOOKUP(G105,全部!C:AG,31,FALSE)</f>
        <v>0</v>
      </c>
      <c r="Y105" s="4">
        <f>VLOOKUP(计算!G105,全部!C:AH,32,FALSE)</f>
        <v>50000</v>
      </c>
      <c r="Z105" s="4">
        <f>VLOOKUP(G105,全部!C:AL,36,FALSE)</f>
        <v>50000</v>
      </c>
      <c r="AA105" s="4">
        <f>VLOOKUP(G105,全部!C:AM,37,FALSE)</f>
        <v>3.4000000000000002E-2</v>
      </c>
      <c r="AB105" s="6">
        <f>VLOOKUP(G105,全部!C:AN,38,FALSE)</f>
        <v>6137</v>
      </c>
      <c r="AC105" s="4">
        <f>VLOOKUP(G105,全部!C:AO,39,FALSE)</f>
        <v>0</v>
      </c>
      <c r="AD105" s="4">
        <f>VLOOKUP(G105,全部!C:AP,40,FALSE)</f>
        <v>0</v>
      </c>
      <c r="AE105" s="6">
        <f>VLOOKUP(G105,全部!C:AQ,41,FALSE)</f>
        <v>6137</v>
      </c>
      <c r="AF105" s="4">
        <f>VLOOKUP(G105,全部!C:AR,42,FALSE)</f>
        <v>0</v>
      </c>
      <c r="AG105" s="7">
        <f>VLOOKUP(G105,全部!C:AS,43,FALSE)</f>
        <v>0</v>
      </c>
      <c r="AH105" s="64" t="str">
        <f>IF(VLOOKUP(G105,全部!C:AT,44,FALSE)=0,"",VLOOKUP(G105,全部!C:AT,44,FALSE))</f>
        <v/>
      </c>
      <c r="AI105">
        <v>0</v>
      </c>
      <c r="AJ105" s="3">
        <v>41912.686273148101</v>
      </c>
      <c r="AK105" s="2" t="s">
        <v>2014</v>
      </c>
    </row>
    <row r="106" spans="1:37" x14ac:dyDescent="0.15">
      <c r="A106" s="2" t="s">
        <v>2013</v>
      </c>
      <c r="B106">
        <v>872</v>
      </c>
      <c r="C106" s="3">
        <v>41484</v>
      </c>
      <c r="D106" s="2" t="s">
        <v>37</v>
      </c>
      <c r="E106" s="2" t="s">
        <v>2012</v>
      </c>
      <c r="F106" s="2" t="s">
        <v>38</v>
      </c>
      <c r="G106" s="2" t="s">
        <v>251</v>
      </c>
      <c r="H106" s="2" t="s">
        <v>252</v>
      </c>
      <c r="I106" s="4">
        <f>VLOOKUP(G106,全部!C:M,11,FALSE)</f>
        <v>2768475</v>
      </c>
      <c r="J106" s="4">
        <f t="shared" si="1"/>
        <v>0</v>
      </c>
      <c r="K106" s="4">
        <f>VLOOKUP(计算!G106,全部!C:N,12,FALSE)</f>
        <v>0</v>
      </c>
      <c r="L106" s="5">
        <f>VLOOKUP(G106,全部!C:P,14,FALSE)</f>
        <v>0</v>
      </c>
      <c r="M106" s="5">
        <f>VLOOKUP(G106,全部!C:V,20,FALSE)*100</f>
        <v>3.5999999999999996</v>
      </c>
      <c r="N106" s="6">
        <f>VLOOKUP(G106,全部!C:W,21,FALSE)</f>
        <v>99665.099999999991</v>
      </c>
      <c r="O106" s="4">
        <f>VLOOKUP(G106,全部!C:X,22,FALSE)</f>
        <v>99665</v>
      </c>
      <c r="P106" s="4">
        <f>VLOOKUP(G106,全部!C:Y,23,FALSE)</f>
        <v>99665</v>
      </c>
      <c r="Q106" s="6">
        <f>VLOOKUP(G106,全部!C:Z,24,FALSE)</f>
        <v>0</v>
      </c>
      <c r="R106" s="7">
        <f>VLOOKUP(G106,全部!C:AA,25,FALSE)</f>
        <v>2353204</v>
      </c>
      <c r="S106" s="7">
        <f>VLOOKUP(G106,全部!C:AB,26,FALSE)</f>
        <v>2353204</v>
      </c>
      <c r="T106" s="4">
        <f>VLOOKUP(计算!G106,全部!C:AC,27,FALSE)</f>
        <v>2353204</v>
      </c>
      <c r="U106" s="4">
        <f>VLOOKUP(G106,全部!C:AD,28,FALSE)</f>
        <v>2353204</v>
      </c>
      <c r="V106" s="6">
        <f>VLOOKUP(G106,全部!C:AE,29,FALSE)</f>
        <v>0.85000009030242285</v>
      </c>
      <c r="W106" s="4">
        <f>VLOOKUP(G106,全部!C:AF,30,FALSE)</f>
        <v>2021228.99</v>
      </c>
      <c r="X106" s="4">
        <f>VLOOKUP(G106,全部!C:AG,31,FALSE)</f>
        <v>2021228.99</v>
      </c>
      <c r="Y106" s="4">
        <f>VLOOKUP(计算!G106,全部!C:AH,32,FALSE)</f>
        <v>2338304.9900000002</v>
      </c>
      <c r="Z106" s="4">
        <f>VLOOKUP(G106,全部!C:AL,36,FALSE)</f>
        <v>2338304.9900000002</v>
      </c>
      <c r="AA106" s="4">
        <f>VLOOKUP(G106,全部!C:AM,37,FALSE)</f>
        <v>3.4000000000000002E-2</v>
      </c>
      <c r="AB106" s="6">
        <f>VLOOKUP(G106,全部!C:AN,38,FALSE)</f>
        <v>80008.936000000002</v>
      </c>
      <c r="AC106" s="4">
        <f>VLOOKUP(G106,全部!C:AO,39,FALSE)</f>
        <v>80009</v>
      </c>
      <c r="AD106" s="4">
        <f>VLOOKUP(G106,全部!C:AP,40,FALSE)</f>
        <v>80009</v>
      </c>
      <c r="AE106" s="6">
        <f>VLOOKUP(G106,全部!C:AQ,41,FALSE)</f>
        <v>0</v>
      </c>
      <c r="AF106" s="4">
        <f>VLOOKUP(G106,全部!C:AR,42,FALSE)</f>
        <v>0</v>
      </c>
      <c r="AG106" s="7">
        <f>VLOOKUP(G106,全部!C:AS,43,FALSE)</f>
        <v>0</v>
      </c>
      <c r="AH106" s="64" t="str">
        <f>IF(VLOOKUP(G106,全部!C:AT,44,FALSE)=0,"",VLOOKUP(G106,全部!C:AT,44,FALSE))</f>
        <v/>
      </c>
      <c r="AI106">
        <v>0</v>
      </c>
      <c r="AJ106" s="3">
        <v>41912.686273148101</v>
      </c>
      <c r="AK106" s="2" t="s">
        <v>2011</v>
      </c>
    </row>
    <row r="107" spans="1:37" x14ac:dyDescent="0.15">
      <c r="A107" s="2" t="s">
        <v>2010</v>
      </c>
      <c r="B107">
        <v>880</v>
      </c>
      <c r="C107" s="3">
        <v>41484</v>
      </c>
      <c r="D107" s="2" t="s">
        <v>37</v>
      </c>
      <c r="E107" s="2" t="s">
        <v>2009</v>
      </c>
      <c r="F107" s="2" t="s">
        <v>38</v>
      </c>
      <c r="G107" s="2" t="s">
        <v>253</v>
      </c>
      <c r="H107" s="2" t="s">
        <v>254</v>
      </c>
      <c r="I107" s="4">
        <f>VLOOKUP(G107,全部!C:M,11,FALSE)</f>
        <v>19543207.129999999</v>
      </c>
      <c r="J107" s="4">
        <f t="shared" si="1"/>
        <v>0</v>
      </c>
      <c r="K107" s="4">
        <f>VLOOKUP(计算!G107,全部!C:N,12,FALSE)</f>
        <v>0</v>
      </c>
      <c r="L107" s="5">
        <f>VLOOKUP(G107,全部!C:P,14,FALSE)</f>
        <v>0</v>
      </c>
      <c r="M107" s="5">
        <f>VLOOKUP(G107,全部!C:V,20,FALSE)*100</f>
        <v>3</v>
      </c>
      <c r="N107" s="6">
        <f>VLOOKUP(G107,全部!C:W,21,FALSE)</f>
        <v>586296.21389999997</v>
      </c>
      <c r="O107" s="4">
        <f>VLOOKUP(G107,全部!C:X,22,FALSE)</f>
        <v>586297</v>
      </c>
      <c r="P107" s="4">
        <f>VLOOKUP(G107,全部!C:Y,23,FALSE)</f>
        <v>586297</v>
      </c>
      <c r="Q107" s="6">
        <f>VLOOKUP(G107,全部!C:Z,24,FALSE)</f>
        <v>0</v>
      </c>
      <c r="R107" s="7">
        <f>VLOOKUP(G107,全部!C:AA,25,FALSE)</f>
        <v>12820000</v>
      </c>
      <c r="S107" s="7">
        <f>VLOOKUP(G107,全部!C:AB,26,FALSE)</f>
        <v>12820000</v>
      </c>
      <c r="T107" s="4">
        <f>VLOOKUP(计算!G107,全部!C:AC,27,FALSE)</f>
        <v>7790000</v>
      </c>
      <c r="U107" s="4">
        <f>VLOOKUP(G107,全部!C:AD,28,FALSE)</f>
        <v>7790000</v>
      </c>
      <c r="V107" s="6">
        <f>VLOOKUP(G107,全部!C:AE,29,FALSE)</f>
        <v>0.39860397263261266</v>
      </c>
      <c r="W107" s="4">
        <f>VLOOKUP(G107,全部!C:AF,30,FALSE)</f>
        <v>10117250.52</v>
      </c>
      <c r="X107" s="4">
        <f>VLOOKUP(G107,全部!C:AG,31,FALSE)</f>
        <v>10117250.52</v>
      </c>
      <c r="Y107" s="4">
        <f>VLOOKUP(计算!G107,全部!C:AH,32,FALSE)</f>
        <v>10577625.82</v>
      </c>
      <c r="Z107" s="4">
        <f>VLOOKUP(G107,全部!C:AL,36,FALSE)</f>
        <v>10577625.82</v>
      </c>
      <c r="AA107" s="4">
        <f>VLOOKUP(G107,全部!C:AM,37,FALSE)</f>
        <v>3.4000000000000002E-2</v>
      </c>
      <c r="AB107" s="6">
        <f>VLOOKUP(G107,全部!C:AN,38,FALSE)</f>
        <v>435880.00000000006</v>
      </c>
      <c r="AC107" s="4">
        <f>VLOOKUP(G107,全部!C:AO,39,FALSE)</f>
        <v>232900</v>
      </c>
      <c r="AD107" s="4">
        <f>VLOOKUP(G107,全部!C:AP,40,FALSE)</f>
        <v>232900</v>
      </c>
      <c r="AE107" s="6">
        <f>VLOOKUP(G107,全部!C:AQ,41,FALSE)</f>
        <v>0</v>
      </c>
      <c r="AF107" s="4">
        <f>VLOOKUP(G107,全部!C:AR,42,FALSE)</f>
        <v>0</v>
      </c>
      <c r="AG107" s="7">
        <f>VLOOKUP(G107,全部!C:AS,43,FALSE)</f>
        <v>96</v>
      </c>
      <c r="AH107" s="64" t="str">
        <f>IF(VLOOKUP(G107,全部!C:AT,44,FALSE)=0,"",VLOOKUP(G107,全部!C:AT,44,FALSE))</f>
        <v>管庄</v>
      </c>
      <c r="AI107">
        <v>0</v>
      </c>
      <c r="AJ107" s="3">
        <v>41912.686273148101</v>
      </c>
      <c r="AK107" s="2" t="s">
        <v>2008</v>
      </c>
    </row>
    <row r="108" spans="1:37" x14ac:dyDescent="0.15">
      <c r="A108" s="2" t="s">
        <v>2007</v>
      </c>
      <c r="B108">
        <v>896</v>
      </c>
      <c r="C108" s="3">
        <v>41487</v>
      </c>
      <c r="D108" s="2" t="s">
        <v>37</v>
      </c>
      <c r="E108" s="2" t="s">
        <v>2006</v>
      </c>
      <c r="F108" s="2" t="s">
        <v>38</v>
      </c>
      <c r="G108" s="2" t="s">
        <v>257</v>
      </c>
      <c r="H108" s="2" t="s">
        <v>258</v>
      </c>
      <c r="I108" s="4">
        <f>VLOOKUP(G108,全部!C:M,11,FALSE)</f>
        <v>3427568</v>
      </c>
      <c r="J108" s="4">
        <f t="shared" si="1"/>
        <v>0</v>
      </c>
      <c r="K108" s="4">
        <f>VLOOKUP(计算!G108,全部!C:N,12,FALSE)</f>
        <v>0</v>
      </c>
      <c r="L108" s="5">
        <f>VLOOKUP(G108,全部!C:P,14,FALSE)</f>
        <v>0</v>
      </c>
      <c r="M108" s="5">
        <f>VLOOKUP(G108,全部!C:V,20,FALSE)*100</f>
        <v>3</v>
      </c>
      <c r="N108" s="6">
        <f>VLOOKUP(G108,全部!C:W,21,FALSE)</f>
        <v>102827.04</v>
      </c>
      <c r="O108" s="4">
        <f>VLOOKUP(G108,全部!C:X,22,FALSE)</f>
        <v>102827</v>
      </c>
      <c r="P108" s="4">
        <f>VLOOKUP(G108,全部!C:Y,23,FALSE)</f>
        <v>102827</v>
      </c>
      <c r="Q108" s="6">
        <f>VLOOKUP(G108,全部!C:Z,24,FALSE)</f>
        <v>0</v>
      </c>
      <c r="R108" s="7">
        <f>VLOOKUP(G108,全部!C:AA,25,FALSE)</f>
        <v>2742054.4000000004</v>
      </c>
      <c r="S108" s="7">
        <f>VLOOKUP(G108,全部!C:AB,26,FALSE)</f>
        <v>2742054.4</v>
      </c>
      <c r="T108" s="4">
        <f>VLOOKUP(计算!G108,全部!C:AC,27,FALSE)</f>
        <v>2576919.6799999997</v>
      </c>
      <c r="U108" s="4">
        <f>VLOOKUP(G108,全部!C:AD,28,FALSE)</f>
        <v>2576919.6800000002</v>
      </c>
      <c r="V108" s="6">
        <f>VLOOKUP(G108,全部!C:AE,29,FALSE)</f>
        <v>0.75182160645682294</v>
      </c>
      <c r="W108" s="4">
        <f>VLOOKUP(G108,全部!C:AF,30,FALSE)</f>
        <v>2316496.25</v>
      </c>
      <c r="X108" s="4">
        <f>VLOOKUP(G108,全部!C:AG,31,FALSE)</f>
        <v>2316496.25</v>
      </c>
      <c r="Y108" s="4">
        <f>VLOOKUP(计算!G108,全部!C:AH,32,FALSE)</f>
        <v>2572434.8600000003</v>
      </c>
      <c r="Z108" s="4">
        <f>VLOOKUP(G108,全部!C:AL,36,FALSE)</f>
        <v>2572434.86</v>
      </c>
      <c r="AA108" s="4">
        <f>VLOOKUP(G108,全部!C:AM,37,FALSE)</f>
        <v>3.7400000000000003E-2</v>
      </c>
      <c r="AB108" s="6">
        <f>VLOOKUP(G108,全部!C:AN,38,FALSE)</f>
        <v>102552.83456</v>
      </c>
      <c r="AC108" s="4">
        <f>VLOOKUP(G108,全部!C:AO,39,FALSE)</f>
        <v>102552.83</v>
      </c>
      <c r="AD108" s="4">
        <f>VLOOKUP(G108,全部!C:AP,40,FALSE)</f>
        <v>102552.83</v>
      </c>
      <c r="AE108" s="6">
        <f>VLOOKUP(G108,全部!C:AQ,41,FALSE)</f>
        <v>4.5600000012200326E-3</v>
      </c>
      <c r="AF108" s="4">
        <f>VLOOKUP(G108,全部!C:AR,42,FALSE)</f>
        <v>0</v>
      </c>
      <c r="AG108" s="7">
        <f>VLOOKUP(G108,全部!C:AS,43,FALSE)</f>
        <v>42</v>
      </c>
      <c r="AH108" s="64" t="str">
        <f>IF(VLOOKUP(G108,全部!C:AT,44,FALSE)=0,"",VLOOKUP(G108,全部!C:AT,44,FALSE))</f>
        <v>管庄</v>
      </c>
      <c r="AI108">
        <v>0</v>
      </c>
      <c r="AJ108" s="3">
        <v>41912.686273148101</v>
      </c>
      <c r="AK108" s="2" t="s">
        <v>2005</v>
      </c>
    </row>
    <row r="109" spans="1:37" x14ac:dyDescent="0.15">
      <c r="A109" s="2" t="s">
        <v>2004</v>
      </c>
      <c r="B109">
        <v>135</v>
      </c>
      <c r="C109" s="3">
        <v>41487</v>
      </c>
      <c r="D109" s="2" t="s">
        <v>37</v>
      </c>
      <c r="E109" s="2" t="s">
        <v>2003</v>
      </c>
      <c r="F109" s="2" t="s">
        <v>41</v>
      </c>
      <c r="G109" s="2" t="s">
        <v>255</v>
      </c>
      <c r="H109" s="2" t="s">
        <v>256</v>
      </c>
      <c r="I109" s="4">
        <f>VLOOKUP(G109,全部!C:M,11,FALSE)</f>
        <v>6455953.0800000001</v>
      </c>
      <c r="J109" s="4">
        <f t="shared" si="1"/>
        <v>0</v>
      </c>
      <c r="K109" s="4">
        <f>VLOOKUP(计算!G109,全部!C:N,12,FALSE)</f>
        <v>0</v>
      </c>
      <c r="L109" s="5">
        <f>VLOOKUP(G109,全部!C:P,14,FALSE)</f>
        <v>0</v>
      </c>
      <c r="M109" s="5">
        <f>VLOOKUP(G109,全部!C:V,20,FALSE)*100</f>
        <v>4</v>
      </c>
      <c r="N109" s="6">
        <f>VLOOKUP(G109,全部!C:W,21,FALSE)</f>
        <v>258238.1232</v>
      </c>
      <c r="O109" s="4">
        <f>VLOOKUP(G109,全部!C:X,22,FALSE)</f>
        <v>258238.12</v>
      </c>
      <c r="P109" s="4">
        <f>VLOOKUP(G109,全部!C:Y,23,FALSE)</f>
        <v>258238.12</v>
      </c>
      <c r="Q109" s="6">
        <f>VLOOKUP(G109,全部!C:Z,24,FALSE)</f>
        <v>3.2000000064726919E-3</v>
      </c>
      <c r="R109" s="7">
        <f>VLOOKUP(G109,全部!C:AA,25,FALSE)</f>
        <v>0</v>
      </c>
      <c r="S109" s="7">
        <f>VLOOKUP(G109,全部!C:AB,26,FALSE)</f>
        <v>0</v>
      </c>
      <c r="T109" s="4">
        <f>VLOOKUP(计算!G109,全部!C:AC,27,FALSE)</f>
        <v>6131964.8099999996</v>
      </c>
      <c r="U109" s="4">
        <f>VLOOKUP(G109,全部!C:AD,28,FALSE)</f>
        <v>6131964.8099999996</v>
      </c>
      <c r="V109" s="6">
        <f>VLOOKUP(G109,全部!C:AE,29,FALSE)</f>
        <v>0.94981557858533872</v>
      </c>
      <c r="W109" s="4">
        <f>VLOOKUP(G109,全部!C:AF,30,FALSE)</f>
        <v>0</v>
      </c>
      <c r="X109" s="4">
        <f>VLOOKUP(G109,全部!C:AG,31,FALSE)</f>
        <v>0</v>
      </c>
      <c r="Y109" s="4">
        <f>VLOOKUP(计算!G109,全部!C:AH,32,FALSE)</f>
        <v>5413506.1699999999</v>
      </c>
      <c r="Z109" s="4">
        <f>VLOOKUP(G109,全部!C:AL,36,FALSE)</f>
        <v>5413506.1699999999</v>
      </c>
      <c r="AA109" s="4">
        <f>VLOOKUP(G109,全部!C:AM,37,FALSE)</f>
        <v>3.4000000000000002E-2</v>
      </c>
      <c r="AB109" s="6">
        <f>VLOOKUP(G109,全部!C:AN,38,FALSE)</f>
        <v>219502.40472000002</v>
      </c>
      <c r="AC109" s="4">
        <f>VLOOKUP(G109,全部!C:AO,39,FALSE)</f>
        <v>208486.96</v>
      </c>
      <c r="AD109" s="4">
        <f>VLOOKUP(G109,全部!C:AP,40,FALSE)</f>
        <v>208486.96</v>
      </c>
      <c r="AE109" s="6">
        <f>VLOOKUP(G109,全部!C:AQ,41,FALSE)</f>
        <v>11015.444720000029</v>
      </c>
      <c r="AF109" s="4">
        <f>VLOOKUP(G109,全部!C:AR,42,FALSE)</f>
        <v>0</v>
      </c>
      <c r="AG109" s="7">
        <f>VLOOKUP(G109,全部!C:AS,43,FALSE)</f>
        <v>0</v>
      </c>
      <c r="AH109" s="64" t="str">
        <f>IF(VLOOKUP(G109,全部!C:AT,44,FALSE)=0,"",VLOOKUP(G109,全部!C:AT,44,FALSE))</f>
        <v/>
      </c>
      <c r="AI109">
        <v>0</v>
      </c>
      <c r="AJ109" s="3">
        <v>41912.6862384259</v>
      </c>
      <c r="AK109" s="2" t="s">
        <v>2002</v>
      </c>
    </row>
    <row r="110" spans="1:37" x14ac:dyDescent="0.15">
      <c r="A110" s="2" t="s">
        <v>2001</v>
      </c>
      <c r="B110">
        <v>888</v>
      </c>
      <c r="C110" s="3">
        <v>41494</v>
      </c>
      <c r="D110" s="2" t="s">
        <v>37</v>
      </c>
      <c r="E110" s="2" t="s">
        <v>2000</v>
      </c>
      <c r="F110" s="2" t="s">
        <v>38</v>
      </c>
      <c r="G110" s="2" t="s">
        <v>259</v>
      </c>
      <c r="H110" s="2" t="s">
        <v>260</v>
      </c>
      <c r="I110" s="4">
        <f>VLOOKUP(G110,全部!C:M,11,FALSE)</f>
        <v>8061172</v>
      </c>
      <c r="J110" s="4">
        <f t="shared" si="1"/>
        <v>0</v>
      </c>
      <c r="K110" s="4">
        <f>VLOOKUP(计算!G110,全部!C:N,12,FALSE)</f>
        <v>0</v>
      </c>
      <c r="L110" s="5">
        <f>VLOOKUP(G110,全部!C:P,14,FALSE)</f>
        <v>0</v>
      </c>
      <c r="M110" s="5">
        <f>VLOOKUP(G110,全部!C:V,20,FALSE)*100</f>
        <v>3</v>
      </c>
      <c r="N110" s="6">
        <f>VLOOKUP(G110,全部!C:W,21,FALSE)</f>
        <v>241835.16</v>
      </c>
      <c r="O110" s="4">
        <f>VLOOKUP(G110,全部!C:X,22,FALSE)</f>
        <v>240000</v>
      </c>
      <c r="P110" s="4">
        <f>VLOOKUP(G110,全部!C:Y,23,FALSE)</f>
        <v>240000</v>
      </c>
      <c r="Q110" s="6">
        <f>VLOOKUP(G110,全部!C:Z,24,FALSE)</f>
        <v>1835.1600000000035</v>
      </c>
      <c r="R110" s="7">
        <f>VLOOKUP(G110,全部!C:AA,25,FALSE)</f>
        <v>1600000</v>
      </c>
      <c r="S110" s="7">
        <f>VLOOKUP(G110,全部!C:AB,26,FALSE)</f>
        <v>1600000</v>
      </c>
      <c r="T110" s="4">
        <f>VLOOKUP(计算!G110,全部!C:AC,27,FALSE)</f>
        <v>1040000</v>
      </c>
      <c r="U110" s="4">
        <f>VLOOKUP(G110,全部!C:AD,28,FALSE)</f>
        <v>1040000</v>
      </c>
      <c r="V110" s="6">
        <f>VLOOKUP(G110,全部!C:AE,29,FALSE)</f>
        <v>0.12901349828536099</v>
      </c>
      <c r="W110" s="4">
        <f>VLOOKUP(G110,全部!C:AF,30,FALSE)</f>
        <v>1002259</v>
      </c>
      <c r="X110" s="4">
        <f>VLOOKUP(G110,全部!C:AG,31,FALSE)</f>
        <v>1002259</v>
      </c>
      <c r="Y110" s="4">
        <f>VLOOKUP(计算!G110,全部!C:AH,32,FALSE)</f>
        <v>1039549</v>
      </c>
      <c r="Z110" s="4">
        <f>VLOOKUP(G110,全部!C:AL,36,FALSE)</f>
        <v>1039549</v>
      </c>
      <c r="AA110" s="4">
        <f>VLOOKUP(G110,全部!C:AM,37,FALSE)</f>
        <v>3.7400000000000003E-2</v>
      </c>
      <c r="AB110" s="6">
        <f>VLOOKUP(G110,全部!C:AN,38,FALSE)</f>
        <v>59840.000000000007</v>
      </c>
      <c r="AC110" s="4">
        <f>VLOOKUP(G110,全部!C:AO,39,FALSE)</f>
        <v>59840</v>
      </c>
      <c r="AD110" s="4">
        <f>VLOOKUP(G110,全部!C:AP,40,FALSE)</f>
        <v>59840</v>
      </c>
      <c r="AE110" s="6">
        <f>VLOOKUP(G110,全部!C:AQ,41,FALSE)</f>
        <v>0</v>
      </c>
      <c r="AF110" s="4">
        <f>VLOOKUP(G110,全部!C:AR,42,FALSE)</f>
        <v>0</v>
      </c>
      <c r="AG110" s="7">
        <f>VLOOKUP(G110,全部!C:AS,43,FALSE)</f>
        <v>105</v>
      </c>
      <c r="AH110" s="64" t="str">
        <f>IF(VLOOKUP(G110,全部!C:AT,44,FALSE)=0,"",VLOOKUP(G110,全部!C:AT,44,FALSE))</f>
        <v>管庄</v>
      </c>
      <c r="AI110">
        <v>0</v>
      </c>
      <c r="AJ110" s="3">
        <v>41912.686273148101</v>
      </c>
      <c r="AK110" s="2" t="s">
        <v>1999</v>
      </c>
    </row>
    <row r="111" spans="1:37" x14ac:dyDescent="0.15">
      <c r="A111" s="2" t="s">
        <v>1998</v>
      </c>
      <c r="B111">
        <v>904</v>
      </c>
      <c r="C111" s="3">
        <v>41496</v>
      </c>
      <c r="D111" s="2" t="s">
        <v>37</v>
      </c>
      <c r="E111" s="2" t="s">
        <v>1997</v>
      </c>
      <c r="F111" s="2" t="s">
        <v>38</v>
      </c>
      <c r="G111" s="2" t="s">
        <v>261</v>
      </c>
      <c r="H111" s="2" t="s">
        <v>262</v>
      </c>
      <c r="I111" s="4">
        <f>VLOOKUP(G111,全部!C:M,11,FALSE)</f>
        <v>2823828.2</v>
      </c>
      <c r="J111" s="4">
        <f t="shared" si="1"/>
        <v>0</v>
      </c>
      <c r="K111" s="4">
        <f>VLOOKUP(计算!G111,全部!C:N,12,FALSE)</f>
        <v>0</v>
      </c>
      <c r="L111" s="5">
        <f>VLOOKUP(G111,全部!C:P,14,FALSE)</f>
        <v>0</v>
      </c>
      <c r="M111" s="5">
        <f>VLOOKUP(G111,全部!C:V,20,FALSE)*100</f>
        <v>3</v>
      </c>
      <c r="N111" s="6">
        <f>VLOOKUP(G111,全部!C:W,21,FALSE)</f>
        <v>84714.846000000005</v>
      </c>
      <c r="O111" s="4">
        <f>VLOOKUP(G111,全部!C:X,22,FALSE)</f>
        <v>84715</v>
      </c>
      <c r="P111" s="4">
        <f>VLOOKUP(G111,全部!C:Y,23,FALSE)</f>
        <v>84715</v>
      </c>
      <c r="Q111" s="6">
        <f>VLOOKUP(G111,全部!C:Z,24,FALSE)</f>
        <v>0</v>
      </c>
      <c r="R111" s="7">
        <f>VLOOKUP(G111,全部!C:AA,25,FALSE)</f>
        <v>2034096.63</v>
      </c>
      <c r="S111" s="7">
        <f>VLOOKUP(G111,全部!C:AB,26,FALSE)</f>
        <v>2034096.63</v>
      </c>
      <c r="T111" s="4">
        <f>VLOOKUP(计算!G111,全部!C:AC,27,FALSE)</f>
        <v>2034096.63</v>
      </c>
      <c r="U111" s="4">
        <f>VLOOKUP(G111,全部!C:AD,28,FALSE)</f>
        <v>2034096.63</v>
      </c>
      <c r="V111" s="6">
        <f>VLOOKUP(G111,全部!C:AE,29,FALSE)</f>
        <v>0.72033299688699182</v>
      </c>
      <c r="W111" s="4">
        <f>VLOOKUP(G111,全部!C:AF,30,FALSE)</f>
        <v>1735922.1099999999</v>
      </c>
      <c r="X111" s="4">
        <f>VLOOKUP(G111,全部!C:AG,31,FALSE)</f>
        <v>1735922.11</v>
      </c>
      <c r="Y111" s="4">
        <f>VLOOKUP(计算!G111,全部!C:AH,32,FALSE)</f>
        <v>1805082.1099999999</v>
      </c>
      <c r="Z111" s="4">
        <f>VLOOKUP(G111,全部!C:AL,36,FALSE)</f>
        <v>1805082.11</v>
      </c>
      <c r="AA111" s="4">
        <f>VLOOKUP(G111,全部!C:AM,37,FALSE)</f>
        <v>3.4000000000000002E-2</v>
      </c>
      <c r="AB111" s="6">
        <f>VLOOKUP(G111,全部!C:AN,38,FALSE)</f>
        <v>69159.28542</v>
      </c>
      <c r="AC111" s="4">
        <f>VLOOKUP(G111,全部!C:AO,39,FALSE)</f>
        <v>69160</v>
      </c>
      <c r="AD111" s="4">
        <f>VLOOKUP(G111,全部!C:AP,40,FALSE)</f>
        <v>69160</v>
      </c>
      <c r="AE111" s="6">
        <f>VLOOKUP(G111,全部!C:AQ,41,FALSE)</f>
        <v>0</v>
      </c>
      <c r="AF111" s="4">
        <f>VLOOKUP(G111,全部!C:AR,42,FALSE)</f>
        <v>0</v>
      </c>
      <c r="AG111" s="7">
        <f>VLOOKUP(G111,全部!C:AS,43,FALSE)</f>
        <v>6</v>
      </c>
      <c r="AH111" s="64" t="str">
        <f>IF(VLOOKUP(G111,全部!C:AT,44,FALSE)=0,"",VLOOKUP(G111,全部!C:AT,44,FALSE))</f>
        <v>管庄</v>
      </c>
      <c r="AI111">
        <v>0</v>
      </c>
      <c r="AJ111" s="3">
        <v>41912.686273148101</v>
      </c>
      <c r="AK111" s="2" t="s">
        <v>1996</v>
      </c>
    </row>
    <row r="112" spans="1:37" x14ac:dyDescent="0.15">
      <c r="A112" s="2" t="s">
        <v>1995</v>
      </c>
      <c r="B112">
        <v>911</v>
      </c>
      <c r="C112" s="3">
        <v>41506</v>
      </c>
      <c r="D112" s="2" t="s">
        <v>37</v>
      </c>
      <c r="E112" s="2" t="s">
        <v>1994</v>
      </c>
      <c r="F112" s="2" t="s">
        <v>38</v>
      </c>
      <c r="G112" s="2" t="s">
        <v>263</v>
      </c>
      <c r="H112" s="2" t="s">
        <v>264</v>
      </c>
      <c r="I112" s="4">
        <f>VLOOKUP(G112,全部!C:M,11,FALSE)</f>
        <v>17411600</v>
      </c>
      <c r="J112" s="4">
        <f t="shared" si="1"/>
        <v>14846</v>
      </c>
      <c r="K112" s="4">
        <f>VLOOKUP(计算!G112,全部!C:N,12,FALSE)</f>
        <v>14846</v>
      </c>
      <c r="L112" s="5">
        <f>VLOOKUP(G112,全部!C:P,14,FALSE)</f>
        <v>0</v>
      </c>
      <c r="M112" s="5">
        <f>VLOOKUP(G112,全部!C:V,20,FALSE)*100</f>
        <v>3</v>
      </c>
      <c r="N112" s="6">
        <f>VLOOKUP(G112,全部!C:W,21,FALSE)</f>
        <v>522793.38</v>
      </c>
      <c r="O112" s="4">
        <f>VLOOKUP(G112,全部!C:X,22,FALSE)</f>
        <v>522348</v>
      </c>
      <c r="P112" s="4">
        <f>VLOOKUP(G112,全部!C:Y,23,FALSE)</f>
        <v>522348</v>
      </c>
      <c r="Q112" s="6">
        <f>VLOOKUP(G112,全部!C:Z,24,FALSE)</f>
        <v>445.38000000000466</v>
      </c>
      <c r="R112" s="7">
        <f>VLOOKUP(G112,全部!C:AA,25,FALSE)</f>
        <v>17426446</v>
      </c>
      <c r="S112" s="7">
        <f>VLOOKUP(G112,全部!C:AB,26,FALSE)</f>
        <v>17426446</v>
      </c>
      <c r="T112" s="4">
        <f>VLOOKUP(计算!G112,全部!C:AC,27,FALSE)</f>
        <v>11880000</v>
      </c>
      <c r="U112" s="4">
        <f>VLOOKUP(G112,全部!C:AD,28,FALSE)</f>
        <v>11880000</v>
      </c>
      <c r="V112" s="6">
        <f>VLOOKUP(G112,全部!C:AE,29,FALSE)</f>
        <v>0.68172248087762699</v>
      </c>
      <c r="W112" s="4">
        <f>VLOOKUP(G112,全部!C:AF,30,FALSE)</f>
        <v>11232076.699999999</v>
      </c>
      <c r="X112" s="4">
        <f>VLOOKUP(G112,全部!C:AG,31,FALSE)</f>
        <v>11232076.699999999</v>
      </c>
      <c r="Y112" s="4">
        <f>VLOOKUP(计算!G112,全部!C:AH,32,FALSE)</f>
        <v>11735031.74</v>
      </c>
      <c r="Z112" s="4">
        <f>VLOOKUP(G112,全部!C:AL,36,FALSE)</f>
        <v>11735031.74</v>
      </c>
      <c r="AA112" s="4">
        <f>VLOOKUP(G112,全部!C:AM,37,FALSE)</f>
        <v>0</v>
      </c>
      <c r="AB112" s="6">
        <f>VLOOKUP(G112,全部!C:AN,38,FALSE)</f>
        <v>0</v>
      </c>
      <c r="AC112" s="4">
        <f>VLOOKUP(G112,全部!C:AO,39,FALSE)</f>
        <v>0</v>
      </c>
      <c r="AD112" s="4">
        <f>VLOOKUP(G112,全部!C:AP,40,FALSE)</f>
        <v>0</v>
      </c>
      <c r="AE112" s="6">
        <f>VLOOKUP(G112,全部!C:AQ,41,FALSE)</f>
        <v>0</v>
      </c>
      <c r="AF112" s="4">
        <f>VLOOKUP(G112,全部!C:AR,42,FALSE)</f>
        <v>0</v>
      </c>
      <c r="AG112" s="7">
        <f>VLOOKUP(G112,全部!C:AS,43,FALSE)</f>
        <v>0</v>
      </c>
      <c r="AH112" s="64" t="str">
        <f>IF(VLOOKUP(G112,全部!C:AT,44,FALSE)=0,"",VLOOKUP(G112,全部!C:AT,44,FALSE))</f>
        <v/>
      </c>
      <c r="AI112">
        <v>0</v>
      </c>
      <c r="AJ112" s="3">
        <v>41912.686273148101</v>
      </c>
      <c r="AK112" s="2" t="s">
        <v>1993</v>
      </c>
    </row>
    <row r="113" spans="1:37" x14ac:dyDescent="0.15">
      <c r="A113" s="2" t="s">
        <v>1992</v>
      </c>
      <c r="B113">
        <v>918</v>
      </c>
      <c r="C113" s="3">
        <v>41511</v>
      </c>
      <c r="D113" s="2" t="s">
        <v>37</v>
      </c>
      <c r="E113" s="2" t="s">
        <v>1991</v>
      </c>
      <c r="F113" s="2" t="s">
        <v>38</v>
      </c>
      <c r="G113" s="2" t="s">
        <v>265</v>
      </c>
      <c r="H113" s="2" t="s">
        <v>266</v>
      </c>
      <c r="I113" s="4">
        <f>VLOOKUP(G113,全部!C:M,11,FALSE)</f>
        <v>407310.98</v>
      </c>
      <c r="J113" s="4">
        <f t="shared" si="1"/>
        <v>0</v>
      </c>
      <c r="K113" s="4">
        <f>VLOOKUP(计算!G113,全部!C:N,12,FALSE)</f>
        <v>0</v>
      </c>
      <c r="L113" s="5">
        <f>VLOOKUP(G113,全部!C:P,14,FALSE)</f>
        <v>0</v>
      </c>
      <c r="M113" s="5">
        <f>VLOOKUP(G113,全部!C:V,20,FALSE)*100</f>
        <v>3.5999999999999996</v>
      </c>
      <c r="N113" s="6">
        <f>VLOOKUP(G113,全部!C:W,21,FALSE)</f>
        <v>14663.195279999998</v>
      </c>
      <c r="O113" s="4">
        <f>VLOOKUP(G113,全部!C:X,22,FALSE)</f>
        <v>14663</v>
      </c>
      <c r="P113" s="4">
        <f>VLOOKUP(G113,全部!C:Y,23,FALSE)</f>
        <v>14663</v>
      </c>
      <c r="Q113" s="6">
        <f>VLOOKUP(G113,全部!C:Z,24,FALSE)</f>
        <v>0</v>
      </c>
      <c r="R113" s="7">
        <f>VLOOKUP(G113,全部!C:AA,25,FALSE)</f>
        <v>407310.98</v>
      </c>
      <c r="S113" s="7">
        <f>VLOOKUP(G113,全部!C:AB,26,FALSE)</f>
        <v>407310.98</v>
      </c>
      <c r="T113" s="4">
        <f>VLOOKUP(计算!G113,全部!C:AC,27,FALSE)</f>
        <v>350000</v>
      </c>
      <c r="U113" s="4">
        <f>VLOOKUP(G113,全部!C:AD,28,FALSE)</f>
        <v>350000</v>
      </c>
      <c r="V113" s="6">
        <f>VLOOKUP(G113,全部!C:AE,29,FALSE)</f>
        <v>0.85929429155089321</v>
      </c>
      <c r="W113" s="4">
        <f>VLOOKUP(G113,全部!C:AF,30,FALSE)</f>
        <v>300000</v>
      </c>
      <c r="X113" s="4">
        <f>VLOOKUP(G113,全部!C:AG,31,FALSE)</f>
        <v>300000</v>
      </c>
      <c r="Y113" s="4">
        <f>VLOOKUP(计算!G113,全部!C:AH,32,FALSE)</f>
        <v>313849</v>
      </c>
      <c r="Z113" s="4">
        <f>VLOOKUP(G113,全部!C:AL,36,FALSE)</f>
        <v>313849</v>
      </c>
      <c r="AA113" s="4">
        <f>VLOOKUP(G113,全部!C:AM,37,FALSE)</f>
        <v>3.4000000000000002E-2</v>
      </c>
      <c r="AB113" s="6">
        <f>VLOOKUP(G113,全部!C:AN,38,FALSE)</f>
        <v>13848.57332</v>
      </c>
      <c r="AC113" s="4">
        <f>VLOOKUP(G113,全部!C:AO,39,FALSE)</f>
        <v>13849</v>
      </c>
      <c r="AD113" s="4">
        <f>VLOOKUP(G113,全部!C:AP,40,FALSE)</f>
        <v>13849</v>
      </c>
      <c r="AE113" s="6">
        <f>VLOOKUP(G113,全部!C:AQ,41,FALSE)</f>
        <v>0</v>
      </c>
      <c r="AF113" s="4">
        <f>VLOOKUP(G113,全部!C:AR,42,FALSE)</f>
        <v>0</v>
      </c>
      <c r="AG113" s="7">
        <f>VLOOKUP(G113,全部!C:AS,43,FALSE)</f>
        <v>0</v>
      </c>
      <c r="AH113" s="64" t="str">
        <f>IF(VLOOKUP(G113,全部!C:AT,44,FALSE)=0,"",VLOOKUP(G113,全部!C:AT,44,FALSE))</f>
        <v/>
      </c>
      <c r="AI113">
        <v>0</v>
      </c>
      <c r="AJ113" s="3">
        <v>41912.686273148101</v>
      </c>
      <c r="AK113" s="2" t="s">
        <v>1990</v>
      </c>
    </row>
    <row r="114" spans="1:37" x14ac:dyDescent="0.15">
      <c r="A114" s="2" t="s">
        <v>1989</v>
      </c>
      <c r="B114">
        <v>140</v>
      </c>
      <c r="C114" s="3">
        <v>41518</v>
      </c>
      <c r="D114" s="2" t="s">
        <v>37</v>
      </c>
      <c r="E114" s="2" t="s">
        <v>1988</v>
      </c>
      <c r="F114" s="2" t="s">
        <v>41</v>
      </c>
      <c r="G114" s="2" t="s">
        <v>267</v>
      </c>
      <c r="H114" s="2" t="s">
        <v>268</v>
      </c>
      <c r="I114" s="4">
        <f>VLOOKUP(G114,全部!C:M,11,FALSE)</f>
        <v>1860000</v>
      </c>
      <c r="J114" s="4">
        <f t="shared" si="1"/>
        <v>0</v>
      </c>
      <c r="K114" s="4">
        <f>VLOOKUP(计算!G114,全部!C:N,12,FALSE)</f>
        <v>0</v>
      </c>
      <c r="L114" s="5">
        <f>VLOOKUP(G114,全部!C:P,14,FALSE)</f>
        <v>0</v>
      </c>
      <c r="M114" s="5">
        <f>VLOOKUP(G114,全部!C:V,20,FALSE)*100</f>
        <v>4</v>
      </c>
      <c r="N114" s="6">
        <f>VLOOKUP(G114,全部!C:W,21,FALSE)</f>
        <v>74400</v>
      </c>
      <c r="O114" s="4">
        <f>VLOOKUP(G114,全部!C:X,22,FALSE)</f>
        <v>74400</v>
      </c>
      <c r="P114" s="4">
        <f>VLOOKUP(G114,全部!C:Y,23,FALSE)</f>
        <v>74400</v>
      </c>
      <c r="Q114" s="6">
        <f>VLOOKUP(G114,全部!C:Z,24,FALSE)</f>
        <v>0</v>
      </c>
      <c r="R114" s="7">
        <f>VLOOKUP(G114,全部!C:AA,25,FALSE)</f>
        <v>0</v>
      </c>
      <c r="S114" s="7">
        <f>VLOOKUP(G114,全部!C:AB,26,FALSE)</f>
        <v>0</v>
      </c>
      <c r="T114" s="4">
        <f>VLOOKUP(计算!G114,全部!C:AC,27,FALSE)</f>
        <v>1250000</v>
      </c>
      <c r="U114" s="4">
        <f>VLOOKUP(G114,全部!C:AD,28,FALSE)</f>
        <v>1250000</v>
      </c>
      <c r="V114" s="6">
        <f>VLOOKUP(G114,全部!C:AE,29,FALSE)</f>
        <v>0.67204301075268813</v>
      </c>
      <c r="W114" s="4">
        <f>VLOOKUP(G114,全部!C:AF,30,FALSE)</f>
        <v>0</v>
      </c>
      <c r="X114" s="4">
        <f>VLOOKUP(G114,全部!C:AG,31,FALSE)</f>
        <v>0</v>
      </c>
      <c r="Y114" s="4">
        <f>VLOOKUP(计算!G114,全部!C:AH,32,FALSE)</f>
        <v>1088668.1499999999</v>
      </c>
      <c r="Z114" s="4">
        <f>VLOOKUP(G114,全部!C:AL,36,FALSE)</f>
        <v>1088668.1499999999</v>
      </c>
      <c r="AA114" s="4">
        <f>VLOOKUP(G114,全部!C:AM,37,FALSE)</f>
        <v>3.4000000000000002E-2</v>
      </c>
      <c r="AB114" s="6">
        <f>VLOOKUP(G114,全部!C:AN,38,FALSE)</f>
        <v>63240.000000000007</v>
      </c>
      <c r="AC114" s="4">
        <f>VLOOKUP(G114,全部!C:AO,39,FALSE)</f>
        <v>42500</v>
      </c>
      <c r="AD114" s="4">
        <f>VLOOKUP(G114,全部!C:AP,40,FALSE)</f>
        <v>42500</v>
      </c>
      <c r="AE114" s="6">
        <f>VLOOKUP(G114,全部!C:AQ,41,FALSE)</f>
        <v>20740.000000000007</v>
      </c>
      <c r="AF114" s="4">
        <f>VLOOKUP(G114,全部!C:AR,42,FALSE)</f>
        <v>0</v>
      </c>
      <c r="AG114" s="7">
        <f>VLOOKUP(G114,全部!C:AS,43,FALSE)</f>
        <v>0</v>
      </c>
      <c r="AH114" s="64" t="str">
        <f>IF(VLOOKUP(G114,全部!C:AT,44,FALSE)=0,"",VLOOKUP(G114,全部!C:AT,44,FALSE))</f>
        <v/>
      </c>
      <c r="AI114">
        <v>0</v>
      </c>
      <c r="AJ114" s="3">
        <v>41912.6862384259</v>
      </c>
      <c r="AK114" s="2" t="s">
        <v>1987</v>
      </c>
    </row>
    <row r="115" spans="1:37" x14ac:dyDescent="0.15">
      <c r="A115" s="2" t="s">
        <v>1986</v>
      </c>
      <c r="B115">
        <v>927</v>
      </c>
      <c r="C115" s="3">
        <v>41519</v>
      </c>
      <c r="D115" s="2" t="s">
        <v>37</v>
      </c>
      <c r="E115" s="2" t="s">
        <v>1985</v>
      </c>
      <c r="F115" s="2" t="s">
        <v>38</v>
      </c>
      <c r="G115" s="2" t="s">
        <v>269</v>
      </c>
      <c r="H115" s="2" t="s">
        <v>270</v>
      </c>
      <c r="I115" s="4">
        <f>VLOOKUP(G115,全部!C:M,11,FALSE)</f>
        <v>8700000</v>
      </c>
      <c r="J115" s="4">
        <f t="shared" si="1"/>
        <v>7411961</v>
      </c>
      <c r="K115" s="4">
        <f>VLOOKUP(计算!G115,全部!C:N,12,FALSE)</f>
        <v>7411961</v>
      </c>
      <c r="L115" s="5">
        <f>VLOOKUP(G115,全部!C:P,14,FALSE)</f>
        <v>0</v>
      </c>
      <c r="M115" s="5">
        <f>VLOOKUP(G115,全部!C:V,20,FALSE)*100</f>
        <v>3</v>
      </c>
      <c r="N115" s="6">
        <f>VLOOKUP(G115,全部!C:W,21,FALSE)</f>
        <v>483358.82999999996</v>
      </c>
      <c r="O115" s="4">
        <f>VLOOKUP(G115,全部!C:X,22,FALSE)</f>
        <v>476853</v>
      </c>
      <c r="P115" s="4">
        <f>VLOOKUP(G115,全部!C:Y,23,FALSE)</f>
        <v>476853</v>
      </c>
      <c r="Q115" s="6">
        <f>VLOOKUP(G115,全部!C:Z,24,FALSE)</f>
        <v>6505.8299999999581</v>
      </c>
      <c r="R115" s="7">
        <f>VLOOKUP(G115,全部!C:AA,25,FALSE)</f>
        <v>10308167.640000001</v>
      </c>
      <c r="S115" s="7">
        <f>VLOOKUP(G115,全部!C:AB,26,FALSE)</f>
        <v>10308167.640000001</v>
      </c>
      <c r="T115" s="4">
        <f>VLOOKUP(计算!G115,全部!C:AC,27,FALSE)</f>
        <v>9343700.0500000007</v>
      </c>
      <c r="U115" s="4">
        <f>VLOOKUP(G115,全部!C:AD,28,FALSE)</f>
        <v>9343700.0500000007</v>
      </c>
      <c r="V115" s="6">
        <f>VLOOKUP(G115,全部!C:AE,29,FALSE)</f>
        <v>0.57992320425800437</v>
      </c>
      <c r="W115" s="4">
        <f>VLOOKUP(G115,全部!C:AF,30,FALSE)</f>
        <v>7420626.7899999982</v>
      </c>
      <c r="X115" s="4">
        <f>VLOOKUP(G115,全部!C:AG,31,FALSE)</f>
        <v>7420626.79</v>
      </c>
      <c r="Y115" s="4">
        <f>VLOOKUP(计算!G115,全部!C:AH,32,FALSE)</f>
        <v>8252263.7899999982</v>
      </c>
      <c r="Z115" s="4">
        <f>VLOOKUP(G115,全部!C:AL,36,FALSE)</f>
        <v>8252263.79</v>
      </c>
      <c r="AA115" s="4">
        <f>VLOOKUP(G115,全部!C:AM,37,FALSE)</f>
        <v>3.4000000000000002E-2</v>
      </c>
      <c r="AB115" s="6">
        <f>VLOOKUP(G115,全部!C:AN,38,FALSE)</f>
        <v>350477.69976000005</v>
      </c>
      <c r="AC115" s="4">
        <f>VLOOKUP(G115,全部!C:AO,39,FALSE)</f>
        <v>350477</v>
      </c>
      <c r="AD115" s="4">
        <f>VLOOKUP(G115,全部!C:AP,40,FALSE)</f>
        <v>350477</v>
      </c>
      <c r="AE115" s="6">
        <f>VLOOKUP(G115,全部!C:AQ,41,FALSE)</f>
        <v>0</v>
      </c>
      <c r="AF115" s="4">
        <f>VLOOKUP(G115,全部!C:AR,42,FALSE)</f>
        <v>0</v>
      </c>
      <c r="AG115" s="7">
        <f>VLOOKUP(G115,全部!C:AS,43,FALSE)</f>
        <v>90</v>
      </c>
      <c r="AH115" s="64" t="str">
        <f>IF(VLOOKUP(G115,全部!C:AT,44,FALSE)=0,"",VLOOKUP(G115,全部!C:AT,44,FALSE))</f>
        <v>管庄</v>
      </c>
      <c r="AI115">
        <v>0</v>
      </c>
      <c r="AJ115" s="3">
        <v>41912.686273148101</v>
      </c>
      <c r="AK115" s="2" t="s">
        <v>1984</v>
      </c>
    </row>
    <row r="116" spans="1:37" x14ac:dyDescent="0.15">
      <c r="A116" s="2" t="s">
        <v>1983</v>
      </c>
      <c r="B116">
        <v>934</v>
      </c>
      <c r="C116" s="3">
        <v>41522</v>
      </c>
      <c r="D116" s="2" t="s">
        <v>37</v>
      </c>
      <c r="E116" s="2" t="s">
        <v>1982</v>
      </c>
      <c r="F116" s="2" t="s">
        <v>38</v>
      </c>
      <c r="G116" s="2" t="s">
        <v>271</v>
      </c>
      <c r="H116" s="2" t="s">
        <v>272</v>
      </c>
      <c r="I116" s="4">
        <f>VLOOKUP(G116,全部!C:M,11,FALSE)</f>
        <v>360000</v>
      </c>
      <c r="J116" s="4">
        <f t="shared" si="1"/>
        <v>0</v>
      </c>
      <c r="K116" s="4">
        <f>VLOOKUP(计算!G116,全部!C:N,12,FALSE)</f>
        <v>0</v>
      </c>
      <c r="L116" s="5">
        <f>VLOOKUP(G116,全部!C:P,14,FALSE)</f>
        <v>0</v>
      </c>
      <c r="M116" s="5">
        <f>VLOOKUP(G116,全部!C:V,20,FALSE)*100</f>
        <v>3.5999999999999996</v>
      </c>
      <c r="N116" s="6">
        <f>VLOOKUP(G116,全部!C:W,21,FALSE)</f>
        <v>12959.999999999998</v>
      </c>
      <c r="O116" s="4">
        <f>VLOOKUP(G116,全部!C:X,22,FALSE)</f>
        <v>12960</v>
      </c>
      <c r="P116" s="4">
        <f>VLOOKUP(G116,全部!C:Y,23,FALSE)</f>
        <v>12960</v>
      </c>
      <c r="Q116" s="6">
        <f>VLOOKUP(G116,全部!C:Z,24,FALSE)</f>
        <v>0</v>
      </c>
      <c r="R116" s="7">
        <f>VLOOKUP(G116,全部!C:AA,25,FALSE)</f>
        <v>251827</v>
      </c>
      <c r="S116" s="7">
        <f>VLOOKUP(G116,全部!C:AB,26,FALSE)</f>
        <v>251827</v>
      </c>
      <c r="T116" s="4">
        <f>VLOOKUP(计算!G116,全部!C:AC,27,FALSE)</f>
        <v>250827</v>
      </c>
      <c r="U116" s="4">
        <f>VLOOKUP(G116,全部!C:AD,28,FALSE)</f>
        <v>250827</v>
      </c>
      <c r="V116" s="6">
        <f>VLOOKUP(G116,全部!C:AE,29,FALSE)</f>
        <v>0.6967416666666667</v>
      </c>
      <c r="W116" s="4">
        <f>VLOOKUP(G116,全部!C:AF,30,FALSE)</f>
        <v>239535.1</v>
      </c>
      <c r="X116" s="4">
        <f>VLOOKUP(G116,全部!C:AG,31,FALSE)</f>
        <v>239535.1</v>
      </c>
      <c r="Y116" s="4">
        <f>VLOOKUP(计算!G116,全部!C:AH,32,FALSE)</f>
        <v>248097.1</v>
      </c>
      <c r="Z116" s="4">
        <f>VLOOKUP(G116,全部!C:AL,36,FALSE)</f>
        <v>248097.1</v>
      </c>
      <c r="AA116" s="4">
        <f>VLOOKUP(G116,全部!C:AM,37,FALSE)</f>
        <v>3.4000000000000002E-2</v>
      </c>
      <c r="AB116" s="6">
        <f>VLOOKUP(G116,全部!C:AN,38,FALSE)</f>
        <v>8562.1180000000004</v>
      </c>
      <c r="AC116" s="4">
        <f>VLOOKUP(G116,全部!C:AO,39,FALSE)</f>
        <v>8562</v>
      </c>
      <c r="AD116" s="4">
        <f>VLOOKUP(G116,全部!C:AP,40,FALSE)</f>
        <v>8562</v>
      </c>
      <c r="AE116" s="6">
        <f>VLOOKUP(G116,全部!C:AQ,41,FALSE)</f>
        <v>0</v>
      </c>
      <c r="AF116" s="4">
        <f>VLOOKUP(G116,全部!C:AR,42,FALSE)</f>
        <v>0</v>
      </c>
      <c r="AG116" s="7">
        <f>VLOOKUP(G116,全部!C:AS,43,FALSE)</f>
        <v>0</v>
      </c>
      <c r="AH116" s="64" t="str">
        <f>IF(VLOOKUP(G116,全部!C:AT,44,FALSE)=0,"",VLOOKUP(G116,全部!C:AT,44,FALSE))</f>
        <v/>
      </c>
      <c r="AI116">
        <v>0</v>
      </c>
      <c r="AJ116" s="3">
        <v>41912.686273148101</v>
      </c>
      <c r="AK116" s="2" t="s">
        <v>1981</v>
      </c>
    </row>
    <row r="117" spans="1:37" x14ac:dyDescent="0.15">
      <c r="A117" s="2" t="s">
        <v>1980</v>
      </c>
      <c r="B117">
        <v>946</v>
      </c>
      <c r="C117" s="3">
        <v>41532</v>
      </c>
      <c r="D117" s="2" t="s">
        <v>37</v>
      </c>
      <c r="E117" s="2" t="s">
        <v>1979</v>
      </c>
      <c r="F117" s="2" t="s">
        <v>38</v>
      </c>
      <c r="G117" s="2" t="s">
        <v>273</v>
      </c>
      <c r="H117" s="2" t="s">
        <v>274</v>
      </c>
      <c r="I117" s="4">
        <f>VLOOKUP(G117,全部!C:M,11,FALSE)</f>
        <v>26077738.800000001</v>
      </c>
      <c r="J117" s="4">
        <f t="shared" si="1"/>
        <v>0</v>
      </c>
      <c r="K117" s="4">
        <f>VLOOKUP(计算!G117,全部!C:N,12,FALSE)</f>
        <v>0</v>
      </c>
      <c r="L117" s="5">
        <f>VLOOKUP(G117,全部!C:P,14,FALSE)</f>
        <v>0</v>
      </c>
      <c r="M117" s="5">
        <f>VLOOKUP(G117,全部!C:V,20,FALSE)*100</f>
        <v>3</v>
      </c>
      <c r="N117" s="6">
        <f>VLOOKUP(G117,全部!C:W,21,FALSE)</f>
        <v>782332.16399999999</v>
      </c>
      <c r="O117" s="4">
        <f>VLOOKUP(G117,全部!C:X,22,FALSE)</f>
        <v>6047</v>
      </c>
      <c r="P117" s="4">
        <f>VLOOKUP(G117,全部!C:Y,23,FALSE)</f>
        <v>6047</v>
      </c>
      <c r="Q117" s="6">
        <f>VLOOKUP(G117,全部!C:Z,24,FALSE)</f>
        <v>776285.16399999999</v>
      </c>
      <c r="R117" s="7">
        <f>VLOOKUP(G117,全部!C:AA,25,FALSE)</f>
        <v>0</v>
      </c>
      <c r="S117" s="7">
        <f>VLOOKUP(G117,全部!C:AB,26,FALSE)</f>
        <v>0</v>
      </c>
      <c r="T117" s="4">
        <f>VLOOKUP(计算!G117,全部!C:AC,27,FALSE)</f>
        <v>0</v>
      </c>
      <c r="U117" s="4">
        <f>VLOOKUP(G117,全部!C:AD,28,FALSE)</f>
        <v>0</v>
      </c>
      <c r="V117" s="6">
        <f>VLOOKUP(G117,全部!C:AE,29,FALSE)</f>
        <v>0</v>
      </c>
      <c r="W117" s="4">
        <f>VLOOKUP(G117,全部!C:AF,30,FALSE)</f>
        <v>0</v>
      </c>
      <c r="X117" s="4">
        <f>VLOOKUP(G117,全部!C:AG,31,FALSE)</f>
        <v>0</v>
      </c>
      <c r="Y117" s="4">
        <f>VLOOKUP(计算!G117,全部!C:AH,32,FALSE)</f>
        <v>0</v>
      </c>
      <c r="Z117" s="4">
        <f>VLOOKUP(G117,全部!C:AL,36,FALSE)</f>
        <v>0</v>
      </c>
      <c r="AA117" s="4">
        <f>VLOOKUP(G117,全部!C:AM,37,FALSE)</f>
        <v>3.56E-2</v>
      </c>
      <c r="AB117" s="6">
        <f>VLOOKUP(G117,全部!C:AN,38,FALSE)</f>
        <v>0</v>
      </c>
      <c r="AC117" s="4">
        <f>VLOOKUP(G117,全部!C:AO,39,FALSE)</f>
        <v>0</v>
      </c>
      <c r="AD117" s="4">
        <f>VLOOKUP(G117,全部!C:AP,40,FALSE)</f>
        <v>0</v>
      </c>
      <c r="AE117" s="6">
        <f>VLOOKUP(G117,全部!C:AQ,41,FALSE)</f>
        <v>0</v>
      </c>
      <c r="AF117" s="4">
        <f>VLOOKUP(G117,全部!C:AR,42,FALSE)</f>
        <v>0</v>
      </c>
      <c r="AG117" s="7">
        <f>VLOOKUP(G117,全部!C:AS,43,FALSE)</f>
        <v>180</v>
      </c>
      <c r="AH117" s="64" t="str">
        <f>IF(VLOOKUP(G117,全部!C:AT,44,FALSE)=0,"",VLOOKUP(G117,全部!C:AT,44,FALSE))</f>
        <v>管庄</v>
      </c>
      <c r="AI117">
        <v>0</v>
      </c>
      <c r="AJ117" s="3">
        <v>41912.686273148101</v>
      </c>
      <c r="AK117" s="2" t="s">
        <v>1978</v>
      </c>
    </row>
    <row r="118" spans="1:37" x14ac:dyDescent="0.15">
      <c r="A118" s="2" t="s">
        <v>1977</v>
      </c>
      <c r="B118">
        <v>953</v>
      </c>
      <c r="C118" s="3">
        <v>41535</v>
      </c>
      <c r="D118" s="2" t="s">
        <v>37</v>
      </c>
      <c r="E118" s="2" t="s">
        <v>1976</v>
      </c>
      <c r="F118" s="2" t="s">
        <v>38</v>
      </c>
      <c r="G118" s="2" t="s">
        <v>275</v>
      </c>
      <c r="H118" s="2" t="s">
        <v>276</v>
      </c>
      <c r="I118" s="4">
        <f>VLOOKUP(G118,全部!C:M,11,FALSE)</f>
        <v>937580</v>
      </c>
      <c r="J118" s="4">
        <f t="shared" si="1"/>
        <v>0</v>
      </c>
      <c r="K118" s="4">
        <f>VLOOKUP(计算!G118,全部!C:N,12,FALSE)</f>
        <v>0</v>
      </c>
      <c r="L118" s="5">
        <f>VLOOKUP(G118,全部!C:P,14,FALSE)</f>
        <v>0</v>
      </c>
      <c r="M118" s="5">
        <f>VLOOKUP(G118,全部!C:V,20,FALSE)*100</f>
        <v>3.5999999999999996</v>
      </c>
      <c r="N118" s="6">
        <f>VLOOKUP(G118,全部!C:W,21,FALSE)</f>
        <v>33752.879999999997</v>
      </c>
      <c r="O118" s="4">
        <f>VLOOKUP(G118,全部!C:X,22,FALSE)</f>
        <v>33753</v>
      </c>
      <c r="P118" s="4">
        <f>VLOOKUP(G118,全部!C:Y,23,FALSE)</f>
        <v>33753</v>
      </c>
      <c r="Q118" s="6">
        <f>VLOOKUP(G118,全部!C:Z,24,FALSE)</f>
        <v>0</v>
      </c>
      <c r="R118" s="7">
        <f>VLOOKUP(G118,全部!C:AA,25,FALSE)</f>
        <v>589567.19999999995</v>
      </c>
      <c r="S118" s="7">
        <f>VLOOKUP(G118,全部!C:AB,26,FALSE)</f>
        <v>589567.19999999995</v>
      </c>
      <c r="T118" s="4">
        <f>VLOOKUP(计算!G118,全部!C:AC,27,FALSE)</f>
        <v>589567.19999999995</v>
      </c>
      <c r="U118" s="4">
        <f>VLOOKUP(G118,全部!C:AD,28,FALSE)</f>
        <v>589567.19999999995</v>
      </c>
      <c r="V118" s="6">
        <f>VLOOKUP(G118,全部!C:AE,29,FALSE)</f>
        <v>0.62881802086221972</v>
      </c>
      <c r="W118" s="4">
        <f>VLOOKUP(G118,全部!C:AF,30,FALSE)</f>
        <v>562960</v>
      </c>
      <c r="X118" s="4">
        <f>VLOOKUP(G118,全部!C:AG,31,FALSE)</f>
        <v>562960</v>
      </c>
      <c r="Y118" s="4">
        <f>VLOOKUP(计算!G118,全部!C:AH,32,FALSE)</f>
        <v>583005</v>
      </c>
      <c r="Z118" s="4">
        <f>VLOOKUP(G118,全部!C:AL,36,FALSE)</f>
        <v>583005</v>
      </c>
      <c r="AA118" s="4">
        <f>VLOOKUP(G118,全部!C:AM,37,FALSE)</f>
        <v>3.4000000000000002E-2</v>
      </c>
      <c r="AB118" s="6">
        <f>VLOOKUP(G118,全部!C:AN,38,FALSE)</f>
        <v>20045.284800000001</v>
      </c>
      <c r="AC118" s="4">
        <f>VLOOKUP(G118,全部!C:AO,39,FALSE)</f>
        <v>20045</v>
      </c>
      <c r="AD118" s="4">
        <f>VLOOKUP(G118,全部!C:AP,40,FALSE)</f>
        <v>20045</v>
      </c>
      <c r="AE118" s="6">
        <f>VLOOKUP(G118,全部!C:AQ,41,FALSE)</f>
        <v>0</v>
      </c>
      <c r="AF118" s="4">
        <f>VLOOKUP(G118,全部!C:AR,42,FALSE)</f>
        <v>0</v>
      </c>
      <c r="AG118" s="7">
        <f>VLOOKUP(G118,全部!C:AS,43,FALSE)</f>
        <v>0</v>
      </c>
      <c r="AH118" s="64" t="str">
        <f>IF(VLOOKUP(G118,全部!C:AT,44,FALSE)=0,"",VLOOKUP(G118,全部!C:AT,44,FALSE))</f>
        <v/>
      </c>
      <c r="AI118">
        <v>0</v>
      </c>
      <c r="AJ118" s="3">
        <v>41912.686273148101</v>
      </c>
      <c r="AK118" s="2" t="s">
        <v>1975</v>
      </c>
    </row>
    <row r="119" spans="1:37" x14ac:dyDescent="0.15">
      <c r="A119" s="2" t="s">
        <v>1974</v>
      </c>
      <c r="B119">
        <v>146</v>
      </c>
      <c r="C119" s="3">
        <v>41548</v>
      </c>
      <c r="D119" s="2" t="s">
        <v>37</v>
      </c>
      <c r="E119" s="2" t="s">
        <v>1973</v>
      </c>
      <c r="F119" s="2" t="s">
        <v>41</v>
      </c>
      <c r="G119" s="2" t="s">
        <v>277</v>
      </c>
      <c r="H119" s="2" t="s">
        <v>278</v>
      </c>
      <c r="I119" s="4">
        <f>VLOOKUP(G119,全部!C:M,11,FALSE)</f>
        <v>4095378.25</v>
      </c>
      <c r="J119" s="4">
        <f t="shared" si="1"/>
        <v>0</v>
      </c>
      <c r="K119" s="4">
        <f>VLOOKUP(计算!G119,全部!C:N,12,FALSE)</f>
        <v>0</v>
      </c>
      <c r="L119" s="5">
        <f>VLOOKUP(G119,全部!C:P,14,FALSE)</f>
        <v>0</v>
      </c>
      <c r="M119" s="5">
        <f>VLOOKUP(G119,全部!C:V,20,FALSE)*100</f>
        <v>4</v>
      </c>
      <c r="N119" s="6">
        <f>VLOOKUP(G119,全部!C:W,21,FALSE)</f>
        <v>163815.13</v>
      </c>
      <c r="O119" s="4">
        <f>VLOOKUP(G119,全部!C:X,22,FALSE)</f>
        <v>82026.100000000006</v>
      </c>
      <c r="P119" s="4">
        <f>VLOOKUP(G119,全部!C:Y,23,FALSE)</f>
        <v>82026.100000000006</v>
      </c>
      <c r="Q119" s="6">
        <f>VLOOKUP(G119,全部!C:Z,24,FALSE)</f>
        <v>81789.03</v>
      </c>
      <c r="R119" s="7">
        <f>VLOOKUP(G119,全部!C:AA,25,FALSE)</f>
        <v>0</v>
      </c>
      <c r="S119" s="7">
        <f>VLOOKUP(G119,全部!C:AB,26,FALSE)</f>
        <v>0</v>
      </c>
      <c r="T119" s="4">
        <f>VLOOKUP(计算!G119,全部!C:AC,27,FALSE)</f>
        <v>2950877.69</v>
      </c>
      <c r="U119" s="4">
        <f>VLOOKUP(G119,全部!C:AD,28,FALSE)</f>
        <v>2950877.69</v>
      </c>
      <c r="V119" s="6">
        <f>VLOOKUP(G119,全部!C:AE,29,FALSE)</f>
        <v>0.7205384972682316</v>
      </c>
      <c r="W119" s="4">
        <f>VLOOKUP(G119,全部!C:AF,30,FALSE)</f>
        <v>0</v>
      </c>
      <c r="X119" s="4">
        <f>VLOOKUP(G119,全部!C:AG,31,FALSE)</f>
        <v>0</v>
      </c>
      <c r="Y119" s="4">
        <f>VLOOKUP(计算!G119,全部!C:AH,32,FALSE)</f>
        <v>2211953.5</v>
      </c>
      <c r="Z119" s="4">
        <f>VLOOKUP(G119,全部!C:AL,36,FALSE)</f>
        <v>2211953.5</v>
      </c>
      <c r="AA119" s="4">
        <f>VLOOKUP(G119,全部!C:AM,37,FALSE)</f>
        <v>0</v>
      </c>
      <c r="AB119" s="6">
        <f>VLOOKUP(G119,全部!C:AN,38,FALSE)</f>
        <v>148512</v>
      </c>
      <c r="AC119" s="4">
        <f>VLOOKUP(G119,全部!C:AO,39,FALSE)</f>
        <v>78290.92</v>
      </c>
      <c r="AD119" s="4">
        <f>VLOOKUP(G119,全部!C:AP,40,FALSE)</f>
        <v>78290.92</v>
      </c>
      <c r="AE119" s="6">
        <f>VLOOKUP(G119,全部!C:AQ,41,FALSE)</f>
        <v>70221.08</v>
      </c>
      <c r="AF119" s="4">
        <f>VLOOKUP(G119,全部!C:AR,42,FALSE)</f>
        <v>322921</v>
      </c>
      <c r="AG119" s="7">
        <f>VLOOKUP(G119,全部!C:AS,43,FALSE)</f>
        <v>0</v>
      </c>
      <c r="AH119" s="64" t="str">
        <f>IF(VLOOKUP(G119,全部!C:AT,44,FALSE)=0,"",VLOOKUP(G119,全部!C:AT,44,FALSE))</f>
        <v/>
      </c>
      <c r="AI119">
        <v>0</v>
      </c>
      <c r="AJ119" s="3">
        <v>41912.6862384259</v>
      </c>
      <c r="AK119" s="2" t="s">
        <v>1972</v>
      </c>
    </row>
    <row r="120" spans="1:37" x14ac:dyDescent="0.15">
      <c r="A120" s="2" t="s">
        <v>1971</v>
      </c>
      <c r="B120">
        <v>987</v>
      </c>
      <c r="C120" s="3">
        <v>41552</v>
      </c>
      <c r="D120" s="2" t="s">
        <v>37</v>
      </c>
      <c r="E120" s="2" t="s">
        <v>1970</v>
      </c>
      <c r="F120" s="2" t="s">
        <v>38</v>
      </c>
      <c r="G120" s="2" t="s">
        <v>279</v>
      </c>
      <c r="H120" s="2" t="s">
        <v>280</v>
      </c>
      <c r="I120" s="4">
        <f>VLOOKUP(G120,全部!C:M,11,FALSE)</f>
        <v>14920000</v>
      </c>
      <c r="J120" s="4">
        <f t="shared" si="1"/>
        <v>53188404.710000001</v>
      </c>
      <c r="K120" s="4">
        <f>VLOOKUP(计算!G120,全部!C:N,12,FALSE)</f>
        <v>53188404.710000001</v>
      </c>
      <c r="L120" s="5">
        <f>VLOOKUP(G120,全部!C:P,14,FALSE)</f>
        <v>0</v>
      </c>
      <c r="M120" s="5">
        <f>VLOOKUP(G120,全部!C:V,20,FALSE)*100</f>
        <v>2.5</v>
      </c>
      <c r="N120" s="6">
        <f>VLOOKUP(G120,全部!C:W,21,FALSE)</f>
        <v>1702710.1177500002</v>
      </c>
      <c r="O120" s="4">
        <f>VLOOKUP(G120,全部!C:X,22,FALSE)</f>
        <v>1103347</v>
      </c>
      <c r="P120" s="4">
        <f>VLOOKUP(G120,全部!C:Y,23,FALSE)</f>
        <v>1103347</v>
      </c>
      <c r="Q120" s="6">
        <f>VLOOKUP(G120,全部!C:Z,24,FALSE)</f>
        <v>599363.11775000021</v>
      </c>
      <c r="R120" s="7">
        <f>VLOOKUP(G120,全部!C:AA,25,FALSE)</f>
        <v>15000000</v>
      </c>
      <c r="S120" s="7">
        <f>VLOOKUP(G120,全部!C:AB,26,FALSE)</f>
        <v>15000000</v>
      </c>
      <c r="T120" s="4">
        <f>VLOOKUP(计算!G120,全部!C:AC,27,FALSE)</f>
        <v>14978500</v>
      </c>
      <c r="U120" s="4">
        <f>VLOOKUP(G120,全部!C:AD,28,FALSE)</f>
        <v>14978500</v>
      </c>
      <c r="V120" s="6">
        <f>VLOOKUP(G120,全部!C:AE,29,FALSE)</f>
        <v>0.2199214629057489</v>
      </c>
      <c r="W120" s="4">
        <f>VLOOKUP(G120,全部!C:AF,30,FALSE)</f>
        <v>11787002.560000001</v>
      </c>
      <c r="X120" s="4">
        <f>VLOOKUP(G120,全部!C:AG,31,FALSE)</f>
        <v>11787002.560000001</v>
      </c>
      <c r="Y120" s="4">
        <f>VLOOKUP(计算!G120,全部!C:AH,32,FALSE)</f>
        <v>12097000.560000001</v>
      </c>
      <c r="Z120" s="4">
        <f>VLOOKUP(G120,全部!C:AL,36,FALSE)</f>
        <v>12097000.560000001</v>
      </c>
      <c r="AA120" s="4">
        <f>VLOOKUP(G120,全部!C:AM,37,FALSE)</f>
        <v>3.4000000000000002E-2</v>
      </c>
      <c r="AB120" s="6">
        <f>VLOOKUP(G120,全部!C:AN,38,FALSE)</f>
        <v>510000.00000000006</v>
      </c>
      <c r="AC120" s="4">
        <f>VLOOKUP(G120,全部!C:AO,39,FALSE)</f>
        <v>510000</v>
      </c>
      <c r="AD120" s="4">
        <f>VLOOKUP(G120,全部!C:AP,40,FALSE)</f>
        <v>510000</v>
      </c>
      <c r="AE120" s="6">
        <f>VLOOKUP(G120,全部!C:AQ,41,FALSE)</f>
        <v>0</v>
      </c>
      <c r="AF120" s="4">
        <f>VLOOKUP(G120,全部!C:AR,42,FALSE)</f>
        <v>0</v>
      </c>
      <c r="AG120" s="7">
        <f>VLOOKUP(G120,全部!C:AS,43,FALSE)</f>
        <v>210</v>
      </c>
      <c r="AH120" s="64" t="str">
        <f>IF(VLOOKUP(G120,全部!C:AT,44,FALSE)=0,"",VLOOKUP(G120,全部!C:AT,44,FALSE))</f>
        <v>管庄</v>
      </c>
      <c r="AI120">
        <v>0</v>
      </c>
      <c r="AJ120" s="3">
        <v>41912.686273148101</v>
      </c>
      <c r="AK120" s="2" t="s">
        <v>1969</v>
      </c>
    </row>
    <row r="121" spans="1:37" x14ac:dyDescent="0.15">
      <c r="A121" s="2" t="s">
        <v>1968</v>
      </c>
      <c r="B121">
        <v>961</v>
      </c>
      <c r="C121" s="3">
        <v>41557</v>
      </c>
      <c r="D121" s="2" t="s">
        <v>37</v>
      </c>
      <c r="E121" s="2" t="s">
        <v>1967</v>
      </c>
      <c r="F121" s="2" t="s">
        <v>38</v>
      </c>
      <c r="G121" s="2" t="s">
        <v>281</v>
      </c>
      <c r="H121" s="2" t="s">
        <v>282</v>
      </c>
      <c r="I121" s="4">
        <f>VLOOKUP(G121,全部!C:M,11,FALSE)</f>
        <v>7763574.6600000001</v>
      </c>
      <c r="J121" s="4">
        <f t="shared" si="1"/>
        <v>0</v>
      </c>
      <c r="K121" s="4">
        <f>VLOOKUP(计算!G121,全部!C:N,12,FALSE)</f>
        <v>0</v>
      </c>
      <c r="L121" s="5">
        <f>VLOOKUP(G121,全部!C:P,14,FALSE)</f>
        <v>0</v>
      </c>
      <c r="M121" s="5">
        <f>VLOOKUP(G121,全部!C:V,20,FALSE)*100</f>
        <v>3</v>
      </c>
      <c r="N121" s="6">
        <f>VLOOKUP(G121,全部!C:W,21,FALSE)</f>
        <v>232907.23980000001</v>
      </c>
      <c r="O121" s="4">
        <f>VLOOKUP(G121,全部!C:X,22,FALSE)</f>
        <v>92979</v>
      </c>
      <c r="P121" s="4">
        <f>VLOOKUP(G121,全部!C:Y,23,FALSE)</f>
        <v>92979</v>
      </c>
      <c r="Q121" s="6">
        <f>VLOOKUP(G121,全部!C:Z,24,FALSE)</f>
        <v>139928.23980000001</v>
      </c>
      <c r="R121" s="7">
        <f>VLOOKUP(G121,全部!C:AA,25,FALSE)</f>
        <v>4906233</v>
      </c>
      <c r="S121" s="7">
        <f>VLOOKUP(G121,全部!C:AB,26,FALSE)</f>
        <v>4906233</v>
      </c>
      <c r="T121" s="4">
        <f>VLOOKUP(计算!G121,全部!C:AC,27,FALSE)</f>
        <v>3423677</v>
      </c>
      <c r="U121" s="4">
        <f>VLOOKUP(G121,全部!C:AD,28,FALSE)</f>
        <v>3423677</v>
      </c>
      <c r="V121" s="6">
        <f>VLOOKUP(G121,全部!C:AE,29,FALSE)</f>
        <v>0.44099234565743195</v>
      </c>
      <c r="W121" s="4">
        <f>VLOOKUP(G121,全部!C:AF,30,FALSE)</f>
        <v>3263646.19</v>
      </c>
      <c r="X121" s="4">
        <f>VLOOKUP(G121,全部!C:AG,31,FALSE)</f>
        <v>3263646.19</v>
      </c>
      <c r="Y121" s="4">
        <f>VLOOKUP(计算!G121,全部!C:AH,32,FALSE)</f>
        <v>3414292.42</v>
      </c>
      <c r="Z121" s="4">
        <f>VLOOKUP(G121,全部!C:AL,36,FALSE)</f>
        <v>3414292.42</v>
      </c>
      <c r="AA121" s="4">
        <f>VLOOKUP(G121,全部!C:AM,37,FALSE)</f>
        <v>3.4000000000000002E-2</v>
      </c>
      <c r="AB121" s="6">
        <f>VLOOKUP(G121,全部!C:AN,38,FALSE)</f>
        <v>166811.92200000002</v>
      </c>
      <c r="AC121" s="4">
        <f>VLOOKUP(G121,全部!C:AO,39,FALSE)</f>
        <v>87101</v>
      </c>
      <c r="AD121" s="4">
        <f>VLOOKUP(G121,全部!C:AP,40,FALSE)</f>
        <v>87101</v>
      </c>
      <c r="AE121" s="6">
        <f>VLOOKUP(G121,全部!C:AQ,41,FALSE)</f>
        <v>0</v>
      </c>
      <c r="AF121" s="4">
        <f>VLOOKUP(G121,全部!C:AR,42,FALSE)</f>
        <v>0</v>
      </c>
      <c r="AG121" s="7">
        <f>VLOOKUP(G121,全部!C:AS,43,FALSE)</f>
        <v>100</v>
      </c>
      <c r="AH121" s="64" t="str">
        <f>IF(VLOOKUP(G121,全部!C:AT,44,FALSE)=0,"",VLOOKUP(G121,全部!C:AT,44,FALSE))</f>
        <v>三河</v>
      </c>
      <c r="AI121">
        <v>0</v>
      </c>
      <c r="AJ121" s="3">
        <v>41912.686273148101</v>
      </c>
      <c r="AK121" s="2" t="s">
        <v>1966</v>
      </c>
    </row>
    <row r="122" spans="1:37" x14ac:dyDescent="0.15">
      <c r="A122" s="2" t="s">
        <v>1965</v>
      </c>
      <c r="B122">
        <v>969</v>
      </c>
      <c r="C122" s="3">
        <v>41562</v>
      </c>
      <c r="D122" s="2" t="s">
        <v>37</v>
      </c>
      <c r="E122" s="2" t="s">
        <v>1964</v>
      </c>
      <c r="F122" s="2" t="s">
        <v>38</v>
      </c>
      <c r="G122" s="2" t="s">
        <v>283</v>
      </c>
      <c r="H122" s="2" t="s">
        <v>284</v>
      </c>
      <c r="I122" s="4">
        <f>VLOOKUP(G122,全部!C:M,11,FALSE)</f>
        <v>11700792.689999999</v>
      </c>
      <c r="J122" s="4">
        <f t="shared" si="1"/>
        <v>0</v>
      </c>
      <c r="K122" s="4">
        <f>VLOOKUP(计算!G122,全部!C:N,12,FALSE)</f>
        <v>0</v>
      </c>
      <c r="L122" s="5">
        <f>VLOOKUP(G122,全部!C:P,14,FALSE)</f>
        <v>0</v>
      </c>
      <c r="M122" s="5">
        <f>VLOOKUP(G122,全部!C:V,20,FALSE)*100</f>
        <v>3</v>
      </c>
      <c r="N122" s="6">
        <f>VLOOKUP(G122,全部!C:W,21,FALSE)</f>
        <v>351023.78069999994</v>
      </c>
      <c r="O122" s="4">
        <f>VLOOKUP(G122,全部!C:X,22,FALSE)</f>
        <v>351024</v>
      </c>
      <c r="P122" s="4">
        <f>VLOOKUP(G122,全部!C:Y,23,FALSE)</f>
        <v>351024</v>
      </c>
      <c r="Q122" s="6">
        <f>VLOOKUP(G122,全部!C:Z,24,FALSE)</f>
        <v>0</v>
      </c>
      <c r="R122" s="7">
        <f>VLOOKUP(G122,全部!C:AA,25,FALSE)</f>
        <v>5874521</v>
      </c>
      <c r="S122" s="7">
        <f>VLOOKUP(G122,全部!C:AB,26,FALSE)</f>
        <v>5874521</v>
      </c>
      <c r="T122" s="4">
        <f>VLOOKUP(计算!G122,全部!C:AC,27,FALSE)</f>
        <v>5874521</v>
      </c>
      <c r="U122" s="4">
        <f>VLOOKUP(G122,全部!C:AD,28,FALSE)</f>
        <v>5874521</v>
      </c>
      <c r="V122" s="6">
        <f>VLOOKUP(G122,全部!C:AE,29,FALSE)</f>
        <v>0.50206179663542094</v>
      </c>
      <c r="W122" s="4">
        <f>VLOOKUP(G122,全部!C:AF,30,FALSE)</f>
        <v>5402150.129999999</v>
      </c>
      <c r="X122" s="4">
        <f>VLOOKUP(G122,全部!C:AG,31,FALSE)</f>
        <v>5402150.1299999999</v>
      </c>
      <c r="Y122" s="4">
        <f>VLOOKUP(计算!G122,全部!C:AH,32,FALSE)</f>
        <v>5800083.129999999</v>
      </c>
      <c r="Z122" s="4">
        <f>VLOOKUP(G122,全部!C:AL,36,FALSE)</f>
        <v>5800083.1299999999</v>
      </c>
      <c r="AA122" s="4">
        <f>VLOOKUP(G122,全部!C:AM,37,FALSE)</f>
        <v>3.4000000000000002E-2</v>
      </c>
      <c r="AB122" s="6">
        <f>VLOOKUP(G122,全部!C:AN,38,FALSE)</f>
        <v>199733.71400000001</v>
      </c>
      <c r="AC122" s="4">
        <f>VLOOKUP(G122,全部!C:AO,39,FALSE)</f>
        <v>199733</v>
      </c>
      <c r="AD122" s="4">
        <f>VLOOKUP(G122,全部!C:AP,40,FALSE)</f>
        <v>199733</v>
      </c>
      <c r="AE122" s="6">
        <f>VLOOKUP(G122,全部!C:AQ,41,FALSE)</f>
        <v>0</v>
      </c>
      <c r="AF122" s="4">
        <f>VLOOKUP(G122,全部!C:AR,42,FALSE)</f>
        <v>0</v>
      </c>
      <c r="AG122" s="7">
        <f>VLOOKUP(G122,全部!C:AS,43,FALSE)</f>
        <v>85</v>
      </c>
      <c r="AH122" s="64" t="str">
        <f>IF(VLOOKUP(G122,全部!C:AT,44,FALSE)=0,"",VLOOKUP(G122,全部!C:AT,44,FALSE))</f>
        <v>管庄</v>
      </c>
      <c r="AI122">
        <v>0</v>
      </c>
      <c r="AJ122" s="3">
        <v>41912.686273148101</v>
      </c>
      <c r="AK122" s="2" t="s">
        <v>1963</v>
      </c>
    </row>
    <row r="123" spans="1:37" x14ac:dyDescent="0.15">
      <c r="A123" s="2" t="s">
        <v>1962</v>
      </c>
      <c r="B123">
        <v>994</v>
      </c>
      <c r="C123" s="3">
        <v>41562</v>
      </c>
      <c r="D123" s="2" t="s">
        <v>37</v>
      </c>
      <c r="E123" s="2" t="s">
        <v>1961</v>
      </c>
      <c r="F123" s="2" t="s">
        <v>38</v>
      </c>
      <c r="G123" s="2" t="s">
        <v>285</v>
      </c>
      <c r="H123" s="2" t="s">
        <v>286</v>
      </c>
      <c r="I123" s="4">
        <f>VLOOKUP(G123,全部!C:M,11,FALSE)</f>
        <v>126591039.39</v>
      </c>
      <c r="J123" s="4">
        <f t="shared" si="1"/>
        <v>0</v>
      </c>
      <c r="K123" s="4">
        <f>VLOOKUP(计算!G123,全部!C:N,12,FALSE)</f>
        <v>0</v>
      </c>
      <c r="L123" s="5">
        <f>VLOOKUP(G123,全部!C:P,14,FALSE)</f>
        <v>0</v>
      </c>
      <c r="M123" s="5">
        <f>VLOOKUP(G123,全部!C:V,20,FALSE)*100</f>
        <v>2</v>
      </c>
      <c r="N123" s="6">
        <f>VLOOKUP(G123,全部!C:W,21,FALSE)</f>
        <v>2531820.7878</v>
      </c>
      <c r="O123" s="4">
        <f>VLOOKUP(G123,全部!C:X,22,FALSE)</f>
        <v>2317283.8600000003</v>
      </c>
      <c r="P123" s="4">
        <f>VLOOKUP(G123,全部!C:Y,23,FALSE)</f>
        <v>2317283.86</v>
      </c>
      <c r="Q123" s="6">
        <f>VLOOKUP(G123,全部!C:Z,24,FALSE)</f>
        <v>214536.92780000018</v>
      </c>
      <c r="R123" s="7">
        <f>VLOOKUP(G123,全部!C:AA,25,FALSE)</f>
        <v>43167474.460000001</v>
      </c>
      <c r="S123" s="7">
        <f>VLOOKUP(G123,全部!C:AB,26,FALSE)</f>
        <v>43167474.460000001</v>
      </c>
      <c r="T123" s="4">
        <f>VLOOKUP(计算!G123,全部!C:AC,27,FALSE)</f>
        <v>43167473.980000004</v>
      </c>
      <c r="U123" s="4">
        <f>VLOOKUP(G123,全部!C:AD,28,FALSE)</f>
        <v>43167473.979999997</v>
      </c>
      <c r="V123" s="6">
        <f>VLOOKUP(G123,全部!C:AE,29,FALSE)</f>
        <v>0.34099944346779726</v>
      </c>
      <c r="W123" s="4">
        <f>VLOOKUP(G123,全部!C:AF,30,FALSE)</f>
        <v>36009565.639999986</v>
      </c>
      <c r="X123" s="4">
        <f>VLOOKUP(G123,全部!C:AG,31,FALSE)</f>
        <v>36009565.640000001</v>
      </c>
      <c r="Y123" s="4">
        <f>VLOOKUP(计算!G123,全部!C:AH,32,FALSE)</f>
        <v>40907590.870000005</v>
      </c>
      <c r="Z123" s="4">
        <f>VLOOKUP(G123,全部!C:AL,36,FALSE)</f>
        <v>40907590.870000005</v>
      </c>
      <c r="AA123" s="4">
        <f>VLOOKUP(G123,全部!C:AM,37,FALSE)</f>
        <v>3.3599999999999998E-2</v>
      </c>
      <c r="AB123" s="6">
        <f>VLOOKUP(G123,全部!C:AN,38,FALSE)</f>
        <v>1450427.1418559998</v>
      </c>
      <c r="AC123" s="4">
        <f>VLOOKUP(G123,全部!C:AO,39,FALSE)</f>
        <v>0</v>
      </c>
      <c r="AD123" s="4">
        <f>VLOOKUP(G123,全部!C:AP,40,FALSE)</f>
        <v>0</v>
      </c>
      <c r="AE123" s="6">
        <f>VLOOKUP(G123,全部!C:AQ,41,FALSE)</f>
        <v>0</v>
      </c>
      <c r="AF123" s="4">
        <f>VLOOKUP(G123,全部!C:AR,42,FALSE)</f>
        <v>0</v>
      </c>
      <c r="AG123" s="7">
        <f>VLOOKUP(G123,全部!C:AS,43,FALSE)</f>
        <v>530</v>
      </c>
      <c r="AH123" s="64" t="str">
        <f>IF(VLOOKUP(G123,全部!C:AT,44,FALSE)=0,"",VLOOKUP(G123,全部!C:AT,44,FALSE))</f>
        <v>管庄</v>
      </c>
      <c r="AI123">
        <v>0</v>
      </c>
      <c r="AJ123" s="3">
        <v>41912.686273148101</v>
      </c>
      <c r="AK123" s="2" t="s">
        <v>1960</v>
      </c>
    </row>
    <row r="124" spans="1:37" x14ac:dyDescent="0.15">
      <c r="A124" s="2" t="s">
        <v>1959</v>
      </c>
      <c r="B124">
        <v>1001</v>
      </c>
      <c r="C124" s="3">
        <v>41565</v>
      </c>
      <c r="D124" s="2" t="s">
        <v>37</v>
      </c>
      <c r="E124" s="2" t="s">
        <v>1958</v>
      </c>
      <c r="F124" s="2" t="s">
        <v>38</v>
      </c>
      <c r="G124" s="2" t="s">
        <v>287</v>
      </c>
      <c r="H124" s="2" t="s">
        <v>288</v>
      </c>
      <c r="I124" s="4">
        <f>VLOOKUP(G124,全部!C:M,11,FALSE)</f>
        <v>5992383</v>
      </c>
      <c r="J124" s="4">
        <f t="shared" si="1"/>
        <v>0</v>
      </c>
      <c r="K124" s="4">
        <f>VLOOKUP(计算!G124,全部!C:N,12,FALSE)</f>
        <v>0</v>
      </c>
      <c r="L124" s="5">
        <f>VLOOKUP(G124,全部!C:P,14,FALSE)</f>
        <v>0</v>
      </c>
      <c r="M124" s="5">
        <f>VLOOKUP(G124,全部!C:V,20,FALSE)*100</f>
        <v>3</v>
      </c>
      <c r="N124" s="6">
        <f>VLOOKUP(G124,全部!C:W,21,FALSE)</f>
        <v>179771.49</v>
      </c>
      <c r="O124" s="4">
        <f>VLOOKUP(G124,全部!C:X,22,FALSE)</f>
        <v>129771</v>
      </c>
      <c r="P124" s="4">
        <f>VLOOKUP(G124,全部!C:Y,23,FALSE)</f>
        <v>129771</v>
      </c>
      <c r="Q124" s="6">
        <f>VLOOKUP(G124,全部!C:Z,24,FALSE)</f>
        <v>50000.489999999991</v>
      </c>
      <c r="R124" s="7">
        <f>VLOOKUP(G124,全部!C:AA,25,FALSE)</f>
        <v>4194668</v>
      </c>
      <c r="S124" s="7">
        <f>VLOOKUP(G124,全部!C:AB,26,FALSE)</f>
        <v>4194668</v>
      </c>
      <c r="T124" s="4">
        <f>VLOOKUP(计算!G124,全部!C:AC,27,FALSE)</f>
        <v>4194668</v>
      </c>
      <c r="U124" s="4">
        <f>VLOOKUP(G124,全部!C:AD,28,FALSE)</f>
        <v>4194668</v>
      </c>
      <c r="V124" s="6">
        <f>VLOOKUP(G124,全部!C:AE,29,FALSE)</f>
        <v>0.69999998331214808</v>
      </c>
      <c r="W124" s="4">
        <f>VLOOKUP(G124,全部!C:AF,30,FALSE)</f>
        <v>3543290</v>
      </c>
      <c r="X124" s="4">
        <f>VLOOKUP(G124,全部!C:AG,31,FALSE)</f>
        <v>3543290</v>
      </c>
      <c r="Y124" s="4">
        <f>VLOOKUP(计算!G124,全部!C:AH,32,FALSE)</f>
        <v>3845489.24</v>
      </c>
      <c r="Z124" s="4">
        <f>VLOOKUP(G124,全部!C:AL,36,FALSE)</f>
        <v>3845489.24</v>
      </c>
      <c r="AA124" s="4">
        <f>VLOOKUP(G124,全部!C:AM,37,FALSE)</f>
        <v>3.7400000000000003E-2</v>
      </c>
      <c r="AB124" s="6">
        <f>VLOOKUP(G124,全部!C:AN,38,FALSE)</f>
        <v>156880.58320000002</v>
      </c>
      <c r="AC124" s="4">
        <f>VLOOKUP(G124,全部!C:AO,39,FALSE)</f>
        <v>0</v>
      </c>
      <c r="AD124" s="4">
        <f>VLOOKUP(G124,全部!C:AP,40,FALSE)</f>
        <v>0</v>
      </c>
      <c r="AE124" s="6">
        <f>VLOOKUP(G124,全部!C:AQ,41,FALSE)</f>
        <v>0</v>
      </c>
      <c r="AF124" s="4">
        <f>VLOOKUP(G124,全部!C:AR,42,FALSE)</f>
        <v>0</v>
      </c>
      <c r="AG124" s="7">
        <f>VLOOKUP(G124,全部!C:AS,43,FALSE)</f>
        <v>66</v>
      </c>
      <c r="AH124" s="64" t="str">
        <f>IF(VLOOKUP(G124,全部!C:AT,44,FALSE)=0,"",VLOOKUP(G124,全部!C:AT,44,FALSE))</f>
        <v>管庄</v>
      </c>
      <c r="AI124">
        <v>0</v>
      </c>
      <c r="AJ124" s="3">
        <v>41912.686273148101</v>
      </c>
      <c r="AK124" s="2" t="s">
        <v>1957</v>
      </c>
    </row>
    <row r="125" spans="1:37" x14ac:dyDescent="0.15">
      <c r="A125" s="2" t="s">
        <v>1956</v>
      </c>
      <c r="B125">
        <v>978</v>
      </c>
      <c r="C125" s="3">
        <v>41566</v>
      </c>
      <c r="D125" s="2" t="s">
        <v>37</v>
      </c>
      <c r="E125" s="2" t="s">
        <v>1955</v>
      </c>
      <c r="F125" s="2" t="s">
        <v>38</v>
      </c>
      <c r="G125" s="2" t="s">
        <v>289</v>
      </c>
      <c r="H125" s="2" t="s">
        <v>290</v>
      </c>
      <c r="I125" s="4">
        <f>VLOOKUP(G125,全部!C:M,11,FALSE)</f>
        <v>3443591.39</v>
      </c>
      <c r="J125" s="4">
        <f t="shared" si="1"/>
        <v>0</v>
      </c>
      <c r="K125" s="4">
        <f>VLOOKUP(计算!G125,全部!C:N,12,FALSE)</f>
        <v>0</v>
      </c>
      <c r="L125" s="5">
        <f>VLOOKUP(G125,全部!C:P,14,FALSE)</f>
        <v>0</v>
      </c>
      <c r="M125" s="5">
        <f>VLOOKUP(G125,全部!C:V,20,FALSE)*100</f>
        <v>3.5999999999999996</v>
      </c>
      <c r="N125" s="6">
        <f>VLOOKUP(G125,全部!C:W,21,FALSE)</f>
        <v>123969.29003999999</v>
      </c>
      <c r="O125" s="4">
        <f>VLOOKUP(G125,全部!C:X,22,FALSE)</f>
        <v>123969</v>
      </c>
      <c r="P125" s="4">
        <f>VLOOKUP(G125,全部!C:Y,23,FALSE)</f>
        <v>123969</v>
      </c>
      <c r="Q125" s="6">
        <f>VLOOKUP(G125,全部!C:Z,24,FALSE)</f>
        <v>0</v>
      </c>
      <c r="R125" s="7">
        <f>VLOOKUP(G125,全部!C:AA,25,FALSE)</f>
        <v>2421795.42</v>
      </c>
      <c r="S125" s="7">
        <f>VLOOKUP(G125,全部!C:AB,26,FALSE)</f>
        <v>2421795.42</v>
      </c>
      <c r="T125" s="4">
        <f>VLOOKUP(计算!G125,全部!C:AC,27,FALSE)</f>
        <v>2421795.42</v>
      </c>
      <c r="U125" s="4">
        <f>VLOOKUP(G125,全部!C:AD,28,FALSE)</f>
        <v>2421795.42</v>
      </c>
      <c r="V125" s="6">
        <f>VLOOKUP(G125,全部!C:AE,29,FALSE)</f>
        <v>0.70327607016115812</v>
      </c>
      <c r="W125" s="4">
        <f>VLOOKUP(G125,全部!C:AF,30,FALSE)</f>
        <v>2312874.58</v>
      </c>
      <c r="X125" s="4">
        <f>VLOOKUP(G125,全部!C:AG,31,FALSE)</f>
        <v>2312874.58</v>
      </c>
      <c r="Y125" s="4">
        <f>VLOOKUP(计算!G125,全部!C:AH,32,FALSE)</f>
        <v>2359931.3899999997</v>
      </c>
      <c r="Z125" s="4">
        <f>VLOOKUP(G125,全部!C:AL,36,FALSE)</f>
        <v>2370544.39</v>
      </c>
      <c r="AA125" s="4">
        <f>VLOOKUP(G125,全部!C:AM,37,FALSE)</f>
        <v>3.4000000000000002E-2</v>
      </c>
      <c r="AB125" s="6">
        <f>VLOOKUP(G125,全部!C:AN,38,FALSE)</f>
        <v>82341.044280000002</v>
      </c>
      <c r="AC125" s="4">
        <f>VLOOKUP(G125,全部!C:AO,39,FALSE)</f>
        <v>82341</v>
      </c>
      <c r="AD125" s="4">
        <f>VLOOKUP(G125,全部!C:AP,40,FALSE)</f>
        <v>82341</v>
      </c>
      <c r="AE125" s="6">
        <f>VLOOKUP(G125,全部!C:AQ,41,FALSE)</f>
        <v>0</v>
      </c>
      <c r="AF125" s="4">
        <f>VLOOKUP(G125,全部!C:AR,42,FALSE)</f>
        <v>0</v>
      </c>
      <c r="AG125" s="7">
        <f>VLOOKUP(G125,全部!C:AS,43,FALSE)</f>
        <v>52</v>
      </c>
      <c r="AH125" s="64" t="str">
        <f>IF(VLOOKUP(G125,全部!C:AT,44,FALSE)=0,"",VLOOKUP(G125,全部!C:AT,44,FALSE))</f>
        <v>三河</v>
      </c>
      <c r="AI125">
        <v>0</v>
      </c>
      <c r="AJ125" s="3">
        <v>41912.686273148101</v>
      </c>
      <c r="AK125" s="2" t="s">
        <v>1954</v>
      </c>
    </row>
    <row r="126" spans="1:37" x14ac:dyDescent="0.15">
      <c r="A126" s="2" t="s">
        <v>1953</v>
      </c>
      <c r="B126">
        <v>1009</v>
      </c>
      <c r="C126" s="3">
        <v>41579</v>
      </c>
      <c r="D126" s="2" t="s">
        <v>37</v>
      </c>
      <c r="E126" s="2" t="s">
        <v>1952</v>
      </c>
      <c r="F126" s="2" t="s">
        <v>38</v>
      </c>
      <c r="G126" s="2" t="s">
        <v>293</v>
      </c>
      <c r="H126" s="2" t="s">
        <v>294</v>
      </c>
      <c r="I126" s="4">
        <f>VLOOKUP(G126,全部!C:M,11,FALSE)</f>
        <v>3117195.98</v>
      </c>
      <c r="J126" s="4">
        <f t="shared" si="1"/>
        <v>0</v>
      </c>
      <c r="K126" s="4">
        <f>VLOOKUP(计算!G126,全部!C:N,12,FALSE)</f>
        <v>0</v>
      </c>
      <c r="L126" s="5">
        <f>VLOOKUP(G126,全部!C:P,14,FALSE)</f>
        <v>0</v>
      </c>
      <c r="M126" s="5">
        <f>VLOOKUP(G126,全部!C:V,20,FALSE)*100</f>
        <v>3.5999999999999996</v>
      </c>
      <c r="N126" s="6">
        <f>VLOOKUP(G126,全部!C:W,21,FALSE)</f>
        <v>112219.05527999999</v>
      </c>
      <c r="O126" s="4">
        <f>VLOOKUP(G126,全部!C:X,22,FALSE)</f>
        <v>112219</v>
      </c>
      <c r="P126" s="4">
        <f>VLOOKUP(G126,全部!C:Y,23,FALSE)</f>
        <v>112219</v>
      </c>
      <c r="Q126" s="6">
        <f>VLOOKUP(G126,全部!C:Z,24,FALSE)</f>
        <v>0</v>
      </c>
      <c r="R126" s="7">
        <f>VLOOKUP(G126,全部!C:AA,25,FALSE)</f>
        <v>1555000</v>
      </c>
      <c r="S126" s="7">
        <f>VLOOKUP(G126,全部!C:AB,26,FALSE)</f>
        <v>1555000</v>
      </c>
      <c r="T126" s="4">
        <f>VLOOKUP(计算!G126,全部!C:AC,27,FALSE)</f>
        <v>1520000</v>
      </c>
      <c r="U126" s="4">
        <f>VLOOKUP(G126,全部!C:AD,28,FALSE)</f>
        <v>1520000</v>
      </c>
      <c r="V126" s="6">
        <f>VLOOKUP(G126,全部!C:AE,29,FALSE)</f>
        <v>0.48761772110331031</v>
      </c>
      <c r="W126" s="4">
        <f>VLOOKUP(G126,全部!C:AF,30,FALSE)</f>
        <v>1449499.64</v>
      </c>
      <c r="X126" s="4">
        <f>VLOOKUP(G126,全部!C:AG,31,FALSE)</f>
        <v>1449499.64</v>
      </c>
      <c r="Y126" s="4">
        <f>VLOOKUP(计算!G126,全部!C:AH,32,FALSE)</f>
        <v>1502369.64</v>
      </c>
      <c r="Z126" s="4">
        <f>VLOOKUP(G126,全部!C:AL,36,FALSE)</f>
        <v>1502369.64</v>
      </c>
      <c r="AA126" s="4">
        <f>VLOOKUP(G126,全部!C:AM,37,FALSE)</f>
        <v>3.4000000000000002E-2</v>
      </c>
      <c r="AB126" s="6">
        <f>VLOOKUP(G126,全部!C:AN,38,FALSE)</f>
        <v>52870.000000000007</v>
      </c>
      <c r="AC126" s="4">
        <f>VLOOKUP(G126,全部!C:AO,39,FALSE)</f>
        <v>52870</v>
      </c>
      <c r="AD126" s="4">
        <f>VLOOKUP(G126,全部!C:AP,40,FALSE)</f>
        <v>52870</v>
      </c>
      <c r="AE126" s="6">
        <f>VLOOKUP(G126,全部!C:AQ,41,FALSE)</f>
        <v>0</v>
      </c>
      <c r="AF126" s="4">
        <f>VLOOKUP(G126,全部!C:AR,42,FALSE)</f>
        <v>0</v>
      </c>
      <c r="AG126" s="7">
        <f>VLOOKUP(G126,全部!C:AS,43,FALSE)</f>
        <v>35</v>
      </c>
      <c r="AH126" s="64" t="str">
        <f>IF(VLOOKUP(G126,全部!C:AT,44,FALSE)=0,"",VLOOKUP(G126,全部!C:AT,44,FALSE))</f>
        <v>大兴</v>
      </c>
      <c r="AI126">
        <v>0</v>
      </c>
      <c r="AJ126" s="3">
        <v>41912.686273148101</v>
      </c>
      <c r="AK126" s="2" t="s">
        <v>1951</v>
      </c>
    </row>
    <row r="127" spans="1:37" x14ac:dyDescent="0.15">
      <c r="A127" s="2" t="s">
        <v>1950</v>
      </c>
      <c r="B127">
        <v>151</v>
      </c>
      <c r="C127" s="3">
        <v>41579</v>
      </c>
      <c r="D127" s="2" t="s">
        <v>37</v>
      </c>
      <c r="E127" s="2" t="s">
        <v>1949</v>
      </c>
      <c r="F127" s="2" t="s">
        <v>41</v>
      </c>
      <c r="G127" s="2" t="s">
        <v>291</v>
      </c>
      <c r="H127" s="2" t="s">
        <v>292</v>
      </c>
      <c r="I127" s="4">
        <f>VLOOKUP(G127,全部!C:M,11,FALSE)</f>
        <v>5489711</v>
      </c>
      <c r="J127" s="4">
        <f t="shared" si="1"/>
        <v>0</v>
      </c>
      <c r="K127" s="4">
        <f>VLOOKUP(计算!G127,全部!C:N,12,FALSE)</f>
        <v>0</v>
      </c>
      <c r="L127" s="5">
        <f>VLOOKUP(G127,全部!C:P,14,FALSE)</f>
        <v>0</v>
      </c>
      <c r="M127" s="5">
        <f>VLOOKUP(G127,全部!C:V,20,FALSE)*100</f>
        <v>3</v>
      </c>
      <c r="N127" s="6">
        <f>VLOOKUP(G127,全部!C:W,21,FALSE)</f>
        <v>164691.32999999999</v>
      </c>
      <c r="O127" s="4">
        <f>VLOOKUP(G127,全部!C:X,22,FALSE)</f>
        <v>164692</v>
      </c>
      <c r="P127" s="4">
        <f>VLOOKUP(G127,全部!C:Y,23,FALSE)</f>
        <v>164692</v>
      </c>
      <c r="Q127" s="6">
        <f>VLOOKUP(G127,全部!C:Z,24,FALSE)</f>
        <v>-0.67000000001280569</v>
      </c>
      <c r="R127" s="7">
        <f>VLOOKUP(G127,全部!C:AA,25,FALSE)</f>
        <v>0</v>
      </c>
      <c r="S127" s="7">
        <f>VLOOKUP(G127,全部!C:AB,26,FALSE)</f>
        <v>0</v>
      </c>
      <c r="T127" s="4">
        <f>VLOOKUP(计算!G127,全部!C:AC,27,FALSE)</f>
        <v>4391768.8</v>
      </c>
      <c r="U127" s="4">
        <f>VLOOKUP(G127,全部!C:AD,28,FALSE)</f>
        <v>4391768.8</v>
      </c>
      <c r="V127" s="6">
        <f>VLOOKUP(G127,全部!C:AE,29,FALSE)</f>
        <v>0.79999999999999993</v>
      </c>
      <c r="W127" s="4">
        <f>VLOOKUP(G127,全部!C:AF,30,FALSE)</f>
        <v>0</v>
      </c>
      <c r="X127" s="4">
        <f>VLOOKUP(G127,全部!C:AG,31,FALSE)</f>
        <v>0</v>
      </c>
      <c r="Y127" s="4">
        <f>VLOOKUP(计算!G127,全部!C:AH,32,FALSE)</f>
        <v>4131953.83</v>
      </c>
      <c r="Z127" s="4">
        <f>VLOOKUP(G127,全部!C:AL,36,FALSE)</f>
        <v>4131953.83</v>
      </c>
      <c r="AA127" s="4">
        <f>VLOOKUP(G127,全部!C:AM,37,FALSE)</f>
        <v>3.61E-2</v>
      </c>
      <c r="AB127" s="6">
        <f>VLOOKUP(G127,全部!C:AN,38,FALSE)</f>
        <v>198178.56710000001</v>
      </c>
      <c r="AC127" s="4">
        <f>VLOOKUP(G127,全部!C:AO,39,FALSE)</f>
        <v>158542.85999999999</v>
      </c>
      <c r="AD127" s="4">
        <f>VLOOKUP(G127,全部!C:AP,40,FALSE)</f>
        <v>158542.85999999999</v>
      </c>
      <c r="AE127" s="6">
        <f>VLOOKUP(G127,全部!C:AQ,41,FALSE)</f>
        <v>39635.707100000029</v>
      </c>
      <c r="AF127" s="4">
        <f>VLOOKUP(G127,全部!C:AR,42,FALSE)</f>
        <v>0</v>
      </c>
      <c r="AG127" s="7">
        <f>VLOOKUP(G127,全部!C:AS,43,FALSE)</f>
        <v>0</v>
      </c>
      <c r="AH127" s="64" t="str">
        <f>IF(VLOOKUP(G127,全部!C:AT,44,FALSE)=0,"",VLOOKUP(G127,全部!C:AT,44,FALSE))</f>
        <v/>
      </c>
      <c r="AI127">
        <v>0</v>
      </c>
      <c r="AJ127" s="3">
        <v>41912.6862384259</v>
      </c>
      <c r="AK127" s="2" t="s">
        <v>1948</v>
      </c>
    </row>
    <row r="128" spans="1:37" x14ac:dyDescent="0.15">
      <c r="A128" s="2" t="s">
        <v>1947</v>
      </c>
      <c r="B128">
        <v>1024</v>
      </c>
      <c r="C128" s="3">
        <v>41583</v>
      </c>
      <c r="D128" s="2" t="s">
        <v>37</v>
      </c>
      <c r="E128" s="2" t="s">
        <v>1946</v>
      </c>
      <c r="F128" s="2" t="s">
        <v>38</v>
      </c>
      <c r="G128" s="2" t="s">
        <v>295</v>
      </c>
      <c r="H128" s="2" t="s">
        <v>296</v>
      </c>
      <c r="I128" s="4">
        <f>VLOOKUP(G128,全部!C:M,11,FALSE)</f>
        <v>76467</v>
      </c>
      <c r="J128" s="4">
        <f t="shared" si="1"/>
        <v>479</v>
      </c>
      <c r="K128" s="4">
        <f>VLOOKUP(计算!G128,全部!C:N,12,FALSE)</f>
        <v>479</v>
      </c>
      <c r="L128" s="5">
        <f>VLOOKUP(G128,全部!C:P,14,FALSE)</f>
        <v>0</v>
      </c>
      <c r="M128" s="5">
        <f>VLOOKUP(G128,全部!C:V,20,FALSE)*100</f>
        <v>3.5999999999999996</v>
      </c>
      <c r="N128" s="6">
        <f>VLOOKUP(G128,全部!C:W,21,FALSE)</f>
        <v>2770.0559999999996</v>
      </c>
      <c r="O128" s="4">
        <f>VLOOKUP(G128,全部!C:X,22,FALSE)</f>
        <v>2753</v>
      </c>
      <c r="P128" s="4">
        <f>VLOOKUP(G128,全部!C:Y,23,FALSE)</f>
        <v>2753</v>
      </c>
      <c r="Q128" s="6">
        <f>VLOOKUP(G128,全部!C:Z,24,FALSE)</f>
        <v>17.055999999999585</v>
      </c>
      <c r="R128" s="7">
        <f>VLOOKUP(G128,全部!C:AA,25,FALSE)</f>
        <v>76946</v>
      </c>
      <c r="S128" s="7">
        <f>VLOOKUP(G128,全部!C:AB,26,FALSE)</f>
        <v>76946</v>
      </c>
      <c r="T128" s="4">
        <f>VLOOKUP(计算!G128,全部!C:AC,27,FALSE)</f>
        <v>54000</v>
      </c>
      <c r="U128" s="4">
        <f>VLOOKUP(G128,全部!C:AD,28,FALSE)</f>
        <v>54000</v>
      </c>
      <c r="V128" s="6">
        <f>VLOOKUP(G128,全部!C:AE,29,FALSE)</f>
        <v>0.70179086632183607</v>
      </c>
      <c r="W128" s="4">
        <f>VLOOKUP(G128,全部!C:AF,30,FALSE)</f>
        <v>50000</v>
      </c>
      <c r="X128" s="4">
        <f>VLOOKUP(G128,全部!C:AG,31,FALSE)</f>
        <v>50000</v>
      </c>
      <c r="Y128" s="4">
        <f>VLOOKUP(计算!G128,全部!C:AH,32,FALSE)</f>
        <v>52616</v>
      </c>
      <c r="Z128" s="4">
        <f>VLOOKUP(G128,全部!C:AL,36,FALSE)</f>
        <v>52616</v>
      </c>
      <c r="AA128" s="4">
        <f>VLOOKUP(G128,全部!C:AM,37,FALSE)</f>
        <v>3.4000000000000002E-2</v>
      </c>
      <c r="AB128" s="6">
        <f>VLOOKUP(G128,全部!C:AN,38,FALSE)</f>
        <v>2616.1640000000002</v>
      </c>
      <c r="AC128" s="4">
        <f>VLOOKUP(G128,全部!C:AO,39,FALSE)</f>
        <v>2616</v>
      </c>
      <c r="AD128" s="4">
        <f>VLOOKUP(G128,全部!C:AP,40,FALSE)</f>
        <v>2616</v>
      </c>
      <c r="AE128" s="6">
        <f>VLOOKUP(G128,全部!C:AQ,41,FALSE)</f>
        <v>0</v>
      </c>
      <c r="AF128" s="4">
        <f>VLOOKUP(G128,全部!C:AR,42,FALSE)</f>
        <v>0</v>
      </c>
      <c r="AG128" s="7">
        <f>VLOOKUP(G128,全部!C:AS,43,FALSE)</f>
        <v>0</v>
      </c>
      <c r="AH128" s="64" t="str">
        <f>IF(VLOOKUP(G128,全部!C:AT,44,FALSE)=0,"",VLOOKUP(G128,全部!C:AT,44,FALSE))</f>
        <v/>
      </c>
      <c r="AI128">
        <v>0</v>
      </c>
      <c r="AJ128" s="3">
        <v>41912.686273148101</v>
      </c>
      <c r="AK128" s="2" t="s">
        <v>1945</v>
      </c>
    </row>
    <row r="129" spans="1:37" x14ac:dyDescent="0.15">
      <c r="A129" s="2" t="s">
        <v>1944</v>
      </c>
      <c r="B129">
        <v>943</v>
      </c>
      <c r="C129" s="3">
        <v>41588</v>
      </c>
      <c r="D129" s="2" t="s">
        <v>37</v>
      </c>
      <c r="E129" s="2" t="s">
        <v>1943</v>
      </c>
      <c r="F129" s="2" t="s">
        <v>38</v>
      </c>
      <c r="G129" s="2" t="s">
        <v>297</v>
      </c>
      <c r="H129" s="2" t="s">
        <v>298</v>
      </c>
      <c r="I129" s="4">
        <f>VLOOKUP(G129,全部!C:M,11,FALSE)</f>
        <v>20420000</v>
      </c>
      <c r="J129" s="4">
        <f t="shared" si="1"/>
        <v>0</v>
      </c>
      <c r="K129" s="4">
        <f>VLOOKUP(计算!G129,全部!C:N,12,FALSE)</f>
        <v>0</v>
      </c>
      <c r="L129" s="5">
        <f>VLOOKUP(G129,全部!C:P,14,FALSE)</f>
        <v>0</v>
      </c>
      <c r="M129" s="5">
        <f>VLOOKUP(G129,全部!C:V,20,FALSE)*100</f>
        <v>3</v>
      </c>
      <c r="N129" s="6">
        <f>VLOOKUP(G129,全部!C:W,21,FALSE)</f>
        <v>612600</v>
      </c>
      <c r="O129" s="4">
        <f>VLOOKUP(G129,全部!C:X,22,FALSE)</f>
        <v>612600.5</v>
      </c>
      <c r="P129" s="4">
        <f>VLOOKUP(G129,全部!C:Y,23,FALSE)</f>
        <v>612600.5</v>
      </c>
      <c r="Q129" s="6">
        <f>VLOOKUP(G129,全部!C:Z,24,FALSE)</f>
        <v>0</v>
      </c>
      <c r="R129" s="7">
        <f>VLOOKUP(G129,全部!C:AA,25,FALSE)</f>
        <v>7357840.3600000003</v>
      </c>
      <c r="S129" s="7">
        <f>VLOOKUP(G129,全部!C:AB,26,FALSE)</f>
        <v>7357840.3600000003</v>
      </c>
      <c r="T129" s="4">
        <f>VLOOKUP(计算!G129,全部!C:AC,27,FALSE)</f>
        <v>7357840.3600000003</v>
      </c>
      <c r="U129" s="4">
        <f>VLOOKUP(G129,全部!C:AD,28,FALSE)</f>
        <v>7357840.3600000003</v>
      </c>
      <c r="V129" s="6">
        <f>VLOOKUP(G129,全部!C:AE,29,FALSE)</f>
        <v>0.36032518903036242</v>
      </c>
      <c r="W129" s="4">
        <f>VLOOKUP(G129,全部!C:AF,30,FALSE)</f>
        <v>7006009.6999999993</v>
      </c>
      <c r="X129" s="4">
        <f>VLOOKUP(G129,全部!C:AG,31,FALSE)</f>
        <v>7006009.7000000002</v>
      </c>
      <c r="Y129" s="4">
        <f>VLOOKUP(计算!G129,全部!C:AH,32,FALSE)</f>
        <v>7147414.3300000001</v>
      </c>
      <c r="Z129" s="4">
        <f>VLOOKUP(G129,全部!C:AL,36,FALSE)</f>
        <v>7150316.3300000001</v>
      </c>
      <c r="AA129" s="4">
        <f>VLOOKUP(G129,全部!C:AM,37,FALSE)</f>
        <v>3.56E-2</v>
      </c>
      <c r="AB129" s="6">
        <f>VLOOKUP(G129,全部!C:AN,38,FALSE)</f>
        <v>261939.11681600002</v>
      </c>
      <c r="AC129" s="4">
        <f>VLOOKUP(G129,全部!C:AO,39,FALSE)</f>
        <v>0</v>
      </c>
      <c r="AD129" s="4">
        <f>VLOOKUP(G129,全部!C:AP,40,FALSE)</f>
        <v>0</v>
      </c>
      <c r="AE129" s="6">
        <f>VLOOKUP(G129,全部!C:AQ,41,FALSE)</f>
        <v>0</v>
      </c>
      <c r="AF129" s="4">
        <f>VLOOKUP(G129,全部!C:AR,42,FALSE)</f>
        <v>0</v>
      </c>
      <c r="AG129" s="7">
        <f>VLOOKUP(G129,全部!C:AS,43,FALSE)</f>
        <v>0</v>
      </c>
      <c r="AH129" s="64" t="str">
        <f>IF(VLOOKUP(G129,全部!C:AT,44,FALSE)=0,"",VLOOKUP(G129,全部!C:AT,44,FALSE))</f>
        <v/>
      </c>
      <c r="AI129">
        <v>0</v>
      </c>
      <c r="AJ129" s="3">
        <v>41912.686273148101</v>
      </c>
      <c r="AK129" s="2" t="s">
        <v>1942</v>
      </c>
    </row>
    <row r="130" spans="1:37" x14ac:dyDescent="0.15">
      <c r="A130" s="2" t="s">
        <v>1941</v>
      </c>
      <c r="B130">
        <v>1034</v>
      </c>
      <c r="C130" s="3">
        <v>41592</v>
      </c>
      <c r="D130" s="2" t="s">
        <v>37</v>
      </c>
      <c r="E130" s="2" t="s">
        <v>1940</v>
      </c>
      <c r="F130" s="2" t="s">
        <v>38</v>
      </c>
      <c r="G130" s="2" t="s">
        <v>299</v>
      </c>
      <c r="H130" s="2" t="s">
        <v>300</v>
      </c>
      <c r="I130" s="4">
        <f>VLOOKUP(G130,全部!C:M,11,FALSE)</f>
        <v>3058486</v>
      </c>
      <c r="J130" s="4">
        <f t="shared" si="1"/>
        <v>0</v>
      </c>
      <c r="K130" s="4">
        <f>VLOOKUP(计算!G130,全部!C:N,12,FALSE)</f>
        <v>0</v>
      </c>
      <c r="L130" s="5">
        <f>VLOOKUP(G130,全部!C:P,14,FALSE)</f>
        <v>0</v>
      </c>
      <c r="M130" s="5">
        <f>VLOOKUP(G130,全部!C:V,20,FALSE)*100</f>
        <v>3.5999999999999996</v>
      </c>
      <c r="N130" s="6">
        <f>VLOOKUP(G130,全部!C:W,21,FALSE)</f>
        <v>110105.49599999998</v>
      </c>
      <c r="O130" s="4">
        <f>VLOOKUP(G130,全部!C:X,22,FALSE)</f>
        <v>110105.36</v>
      </c>
      <c r="P130" s="4">
        <f>VLOOKUP(G130,全部!C:Y,23,FALSE)</f>
        <v>110105.36</v>
      </c>
      <c r="Q130" s="6">
        <f>VLOOKUP(G130,全部!C:Z,24,FALSE)</f>
        <v>0</v>
      </c>
      <c r="R130" s="7">
        <f>VLOOKUP(G130,全部!C:AA,25,FALSE)</f>
        <v>2140940.2000000002</v>
      </c>
      <c r="S130" s="7">
        <f>VLOOKUP(G130,全部!C:AB,26,FALSE)</f>
        <v>2140940.2000000002</v>
      </c>
      <c r="T130" s="4">
        <f>VLOOKUP(计算!G130,全部!C:AC,27,FALSE)</f>
        <v>2140940.2000000002</v>
      </c>
      <c r="U130" s="4">
        <f>VLOOKUP(G130,全部!C:AD,28,FALSE)</f>
        <v>2140940.2000000002</v>
      </c>
      <c r="V130" s="6">
        <f>VLOOKUP(G130,全部!C:AE,29,FALSE)</f>
        <v>0.70000000000000007</v>
      </c>
      <c r="W130" s="4">
        <f>VLOOKUP(G130,全部!C:AF,30,FALSE)</f>
        <v>1955643.64</v>
      </c>
      <c r="X130" s="4">
        <f>VLOOKUP(G130,全部!C:AG,31,FALSE)</f>
        <v>1955643.64</v>
      </c>
      <c r="Y130" s="4">
        <f>VLOOKUP(计算!G130,全部!C:AH,32,FALSE)</f>
        <v>2022412.17</v>
      </c>
      <c r="Z130" s="4">
        <f>VLOOKUP(G130,全部!C:AL,36,FALSE)</f>
        <v>2029969.67</v>
      </c>
      <c r="AA130" s="4">
        <f>VLOOKUP(G130,全部!C:AM,37,FALSE)</f>
        <v>0</v>
      </c>
      <c r="AB130" s="6">
        <f>VLOOKUP(G130,全部!C:AN,38,FALSE)</f>
        <v>0</v>
      </c>
      <c r="AC130" s="4">
        <f>VLOOKUP(G130,全部!C:AO,39,FALSE)</f>
        <v>0</v>
      </c>
      <c r="AD130" s="4">
        <f>VLOOKUP(G130,全部!C:AP,40,FALSE)</f>
        <v>0</v>
      </c>
      <c r="AE130" s="6">
        <f>VLOOKUP(G130,全部!C:AQ,41,FALSE)</f>
        <v>0</v>
      </c>
      <c r="AF130" s="4">
        <f>VLOOKUP(G130,全部!C:AR,42,FALSE)</f>
        <v>0</v>
      </c>
      <c r="AG130" s="7">
        <f>VLOOKUP(G130,全部!C:AS,43,FALSE)</f>
        <v>30</v>
      </c>
      <c r="AH130" s="64" t="str">
        <f>IF(VLOOKUP(G130,全部!C:AT,44,FALSE)=0,"",VLOOKUP(G130,全部!C:AT,44,FALSE))</f>
        <v>管庄</v>
      </c>
      <c r="AI130">
        <v>0</v>
      </c>
      <c r="AJ130" s="3">
        <v>41912.686273148101</v>
      </c>
      <c r="AK130" s="2" t="s">
        <v>1939</v>
      </c>
    </row>
    <row r="131" spans="1:37" x14ac:dyDescent="0.15">
      <c r="A131" s="2" t="s">
        <v>1938</v>
      </c>
      <c r="B131">
        <v>1036</v>
      </c>
      <c r="C131" s="3">
        <v>41596</v>
      </c>
      <c r="D131" s="2" t="s">
        <v>37</v>
      </c>
      <c r="E131" s="2" t="s">
        <v>1937</v>
      </c>
      <c r="F131" s="2" t="s">
        <v>38</v>
      </c>
      <c r="G131" s="2" t="s">
        <v>301</v>
      </c>
      <c r="H131" s="2" t="s">
        <v>302</v>
      </c>
      <c r="I131" s="4">
        <f>VLOOKUP(G131,全部!C:M,11,FALSE)</f>
        <v>12067070</v>
      </c>
      <c r="J131" s="4">
        <f t="shared" ref="J131:J194" si="2">K131</f>
        <v>0</v>
      </c>
      <c r="K131" s="4">
        <f>VLOOKUP(计算!G131,全部!C:N,12,FALSE)</f>
        <v>0</v>
      </c>
      <c r="L131" s="5">
        <f>VLOOKUP(G131,全部!C:P,14,FALSE)</f>
        <v>0</v>
      </c>
      <c r="M131" s="5">
        <f>VLOOKUP(G131,全部!C:V,20,FALSE)*100</f>
        <v>3</v>
      </c>
      <c r="N131" s="6">
        <f>VLOOKUP(G131,全部!C:W,21,FALSE)</f>
        <v>362012.1</v>
      </c>
      <c r="O131" s="4">
        <f>VLOOKUP(G131,全部!C:X,22,FALSE)</f>
        <v>0</v>
      </c>
      <c r="P131" s="4">
        <f>VLOOKUP(G131,全部!C:Y,23,FALSE)</f>
        <v>0</v>
      </c>
      <c r="Q131" s="6">
        <f>VLOOKUP(G131,全部!C:Z,24,FALSE)</f>
        <v>362012.1</v>
      </c>
      <c r="R131" s="7">
        <f>VLOOKUP(G131,全部!C:AA,25,FALSE)</f>
        <v>0</v>
      </c>
      <c r="S131" s="7">
        <f>VLOOKUP(G131,全部!C:AB,26,FALSE)</f>
        <v>0</v>
      </c>
      <c r="T131" s="4">
        <f>VLOOKUP(计算!G131,全部!C:AC,27,FALSE)</f>
        <v>0</v>
      </c>
      <c r="U131" s="4">
        <f>VLOOKUP(G131,全部!C:AD,28,FALSE)</f>
        <v>0</v>
      </c>
      <c r="V131" s="6">
        <f>VLOOKUP(G131,全部!C:AE,29,FALSE)</f>
        <v>0</v>
      </c>
      <c r="W131" s="4">
        <f>VLOOKUP(G131,全部!C:AF,30,FALSE)</f>
        <v>0</v>
      </c>
      <c r="X131" s="4">
        <f>VLOOKUP(G131,全部!C:AG,31,FALSE)</f>
        <v>0</v>
      </c>
      <c r="Y131" s="4">
        <f>VLOOKUP(计算!G131,全部!C:AH,32,FALSE)</f>
        <v>0</v>
      </c>
      <c r="Z131" s="4">
        <f>VLOOKUP(G131,全部!C:AL,36,FALSE)</f>
        <v>0</v>
      </c>
      <c r="AA131" s="4">
        <f>VLOOKUP(G131,全部!C:AM,37,FALSE)</f>
        <v>3.4000000000000002E-2</v>
      </c>
      <c r="AB131" s="6">
        <f>VLOOKUP(G131,全部!C:AN,38,FALSE)</f>
        <v>0</v>
      </c>
      <c r="AC131" s="4">
        <f>VLOOKUP(G131,全部!C:AO,39,FALSE)</f>
        <v>0</v>
      </c>
      <c r="AD131" s="4">
        <f>VLOOKUP(G131,全部!C:AP,40,FALSE)</f>
        <v>0</v>
      </c>
      <c r="AE131" s="6">
        <f>VLOOKUP(G131,全部!C:AQ,41,FALSE)</f>
        <v>0</v>
      </c>
      <c r="AF131" s="4">
        <f>VLOOKUP(G131,全部!C:AR,42,FALSE)</f>
        <v>0</v>
      </c>
      <c r="AG131" s="7">
        <f>VLOOKUP(G131,全部!C:AS,43,FALSE)</f>
        <v>140</v>
      </c>
      <c r="AH131" s="64" t="str">
        <f>IF(VLOOKUP(G131,全部!C:AT,44,FALSE)=0,"",VLOOKUP(G131,全部!C:AT,44,FALSE))</f>
        <v>大厂</v>
      </c>
      <c r="AI131">
        <v>0</v>
      </c>
      <c r="AJ131" s="3">
        <v>41912.686273148101</v>
      </c>
      <c r="AK131" s="2" t="s">
        <v>1936</v>
      </c>
    </row>
    <row r="132" spans="1:37" x14ac:dyDescent="0.15">
      <c r="A132" s="2" t="s">
        <v>1935</v>
      </c>
      <c r="B132">
        <v>1016</v>
      </c>
      <c r="C132" s="3">
        <v>41599</v>
      </c>
      <c r="D132" s="2" t="s">
        <v>37</v>
      </c>
      <c r="E132" s="2" t="s">
        <v>1934</v>
      </c>
      <c r="F132" s="2" t="s">
        <v>38</v>
      </c>
      <c r="G132" s="2" t="s">
        <v>304</v>
      </c>
      <c r="H132" s="2" t="s">
        <v>305</v>
      </c>
      <c r="I132" s="4">
        <f>VLOOKUP(G132,全部!C:M,11,FALSE)</f>
        <v>5811890</v>
      </c>
      <c r="J132" s="4">
        <f t="shared" si="2"/>
        <v>0</v>
      </c>
      <c r="K132" s="4">
        <f>VLOOKUP(计算!G132,全部!C:N,12,FALSE)</f>
        <v>0</v>
      </c>
      <c r="L132" s="5">
        <f>VLOOKUP(G132,全部!C:P,14,FALSE)</f>
        <v>0</v>
      </c>
      <c r="M132" s="5">
        <f>VLOOKUP(G132,全部!C:V,20,FALSE)*100</f>
        <v>4</v>
      </c>
      <c r="N132" s="6">
        <f>VLOOKUP(G132,全部!C:W,21,FALSE)</f>
        <v>232475.6</v>
      </c>
      <c r="O132" s="4">
        <f>VLOOKUP(G132,全部!C:X,22,FALSE)</f>
        <v>232476</v>
      </c>
      <c r="P132" s="4">
        <f>VLOOKUP(G132,全部!C:Y,23,FALSE)</f>
        <v>232476</v>
      </c>
      <c r="Q132" s="6">
        <f>VLOOKUP(G132,全部!C:Z,24,FALSE)</f>
        <v>0</v>
      </c>
      <c r="R132" s="7">
        <f>VLOOKUP(G132,全部!C:AA,25,FALSE)</f>
        <v>2200000</v>
      </c>
      <c r="S132" s="7">
        <f>VLOOKUP(G132,全部!C:AB,26,FALSE)</f>
        <v>2200000</v>
      </c>
      <c r="T132" s="4">
        <f>VLOOKUP(计算!G132,全部!C:AC,27,FALSE)</f>
        <v>2200000</v>
      </c>
      <c r="U132" s="4">
        <f>VLOOKUP(G132,全部!C:AD,28,FALSE)</f>
        <v>2200000</v>
      </c>
      <c r="V132" s="6">
        <f>VLOOKUP(G132,全部!C:AE,29,FALSE)</f>
        <v>0.37853434941129305</v>
      </c>
      <c r="W132" s="4">
        <f>VLOOKUP(G132,全部!C:AF,30,FALSE)</f>
        <v>1623974</v>
      </c>
      <c r="X132" s="4">
        <f>VLOOKUP(G132,全部!C:AG,31,FALSE)</f>
        <v>1623974</v>
      </c>
      <c r="Y132" s="4">
        <f>VLOOKUP(计算!G132,全部!C:AH,32,FALSE)</f>
        <v>1698774</v>
      </c>
      <c r="Z132" s="4">
        <f>VLOOKUP(G132,全部!C:AL,36,FALSE)</f>
        <v>1698774</v>
      </c>
      <c r="AA132" s="4">
        <f>VLOOKUP(G132,全部!C:AM,37,FALSE)</f>
        <v>3.4000000000000002E-2</v>
      </c>
      <c r="AB132" s="6">
        <f>VLOOKUP(G132,全部!C:AN,38,FALSE)</f>
        <v>74800</v>
      </c>
      <c r="AC132" s="4">
        <f>VLOOKUP(G132,全部!C:AO,39,FALSE)</f>
        <v>74800</v>
      </c>
      <c r="AD132" s="4">
        <f>VLOOKUP(G132,全部!C:AP,40,FALSE)</f>
        <v>74800</v>
      </c>
      <c r="AE132" s="6">
        <f>VLOOKUP(G132,全部!C:AQ,41,FALSE)</f>
        <v>0</v>
      </c>
      <c r="AF132" s="4">
        <f>VLOOKUP(G132,全部!C:AR,42,FALSE)</f>
        <v>0</v>
      </c>
      <c r="AG132" s="7">
        <f>VLOOKUP(G132,全部!C:AS,43,FALSE)</f>
        <v>0</v>
      </c>
      <c r="AH132" s="64" t="str">
        <f>IF(VLOOKUP(G132,全部!C:AT,44,FALSE)=0,"",VLOOKUP(G132,全部!C:AT,44,FALSE))</f>
        <v/>
      </c>
      <c r="AI132">
        <v>0</v>
      </c>
      <c r="AJ132" s="3">
        <v>41912.686273148101</v>
      </c>
      <c r="AK132" s="2" t="s">
        <v>1933</v>
      </c>
    </row>
    <row r="133" spans="1:37" x14ac:dyDescent="0.15">
      <c r="A133" s="2" t="s">
        <v>1932</v>
      </c>
      <c r="B133">
        <v>168</v>
      </c>
      <c r="C133" s="3">
        <v>41609</v>
      </c>
      <c r="D133" s="2" t="s">
        <v>37</v>
      </c>
      <c r="E133" s="2" t="s">
        <v>1931</v>
      </c>
      <c r="F133" s="2" t="s">
        <v>41</v>
      </c>
      <c r="G133" s="2" t="s">
        <v>318</v>
      </c>
      <c r="H133" s="2" t="s">
        <v>319</v>
      </c>
      <c r="I133" s="4">
        <f>VLOOKUP(G133,全部!C:M,11,FALSE)</f>
        <v>710641.6</v>
      </c>
      <c r="J133" s="4">
        <f t="shared" si="2"/>
        <v>0</v>
      </c>
      <c r="K133" s="4">
        <f>VLOOKUP(计算!G133,全部!C:N,12,FALSE)</f>
        <v>0</v>
      </c>
      <c r="L133" s="5">
        <f>VLOOKUP(G133,全部!C:P,14,FALSE)</f>
        <v>0</v>
      </c>
      <c r="M133" s="5">
        <f>VLOOKUP(G133,全部!C:V,20,FALSE)*100</f>
        <v>3.5999999999999996</v>
      </c>
      <c r="N133" s="6">
        <f>VLOOKUP(G133,全部!C:W,21,FALSE)</f>
        <v>25583.097599999997</v>
      </c>
      <c r="O133" s="4">
        <f>VLOOKUP(G133,全部!C:X,22,FALSE)</f>
        <v>25583.1</v>
      </c>
      <c r="P133" s="4">
        <f>VLOOKUP(G133,全部!C:Y,23,FALSE)</f>
        <v>25583.1</v>
      </c>
      <c r="Q133" s="6">
        <f>VLOOKUP(G133,全部!C:Z,24,FALSE)</f>
        <v>-2.4000000012165401E-3</v>
      </c>
      <c r="R133" s="7">
        <f>VLOOKUP(G133,全部!C:AA,25,FALSE)</f>
        <v>0</v>
      </c>
      <c r="S133" s="7">
        <f>VLOOKUP(G133,全部!C:AB,26,FALSE)</f>
        <v>0</v>
      </c>
      <c r="T133" s="4">
        <f>VLOOKUP(计算!G133,全部!C:AC,27,FALSE)</f>
        <v>0</v>
      </c>
      <c r="U133" s="4">
        <f>VLOOKUP(G133,全部!C:AD,28,FALSE)</f>
        <v>0</v>
      </c>
      <c r="V133" s="6">
        <f>VLOOKUP(G133,全部!C:AE,29,FALSE)</f>
        <v>0</v>
      </c>
      <c r="W133" s="4">
        <f>VLOOKUP(G133,全部!C:AF,30,FALSE)</f>
        <v>0</v>
      </c>
      <c r="X133" s="4">
        <f>VLOOKUP(G133,全部!C:AG,31,FALSE)</f>
        <v>0</v>
      </c>
      <c r="Y133" s="4">
        <f>VLOOKUP(计算!G133,全部!C:AH,32,FALSE)</f>
        <v>0</v>
      </c>
      <c r="Z133" s="4">
        <f>VLOOKUP(G133,全部!C:AL,36,FALSE)</f>
        <v>0</v>
      </c>
      <c r="AA133" s="4">
        <f>VLOOKUP(G133,全部!C:AM,37,FALSE)</f>
        <v>0</v>
      </c>
      <c r="AB133" s="6">
        <f>VLOOKUP(G133,全部!C:AN,38,FALSE)</f>
        <v>0</v>
      </c>
      <c r="AC133" s="4">
        <f>VLOOKUP(G133,全部!C:AO,39,FALSE)</f>
        <v>0</v>
      </c>
      <c r="AD133" s="4">
        <f>VLOOKUP(G133,全部!C:AP,40,FALSE)</f>
        <v>0</v>
      </c>
      <c r="AE133" s="6">
        <f>VLOOKUP(G133,全部!C:AQ,41,FALSE)</f>
        <v>0</v>
      </c>
      <c r="AF133" s="4">
        <f>VLOOKUP(G133,全部!C:AR,42,FALSE)</f>
        <v>0</v>
      </c>
      <c r="AG133" s="7">
        <f>VLOOKUP(G133,全部!C:AS,43,FALSE)</f>
        <v>0</v>
      </c>
      <c r="AH133" s="64" t="str">
        <f>IF(VLOOKUP(G133,全部!C:AT,44,FALSE)=0,"",VLOOKUP(G133,全部!C:AT,44,FALSE))</f>
        <v/>
      </c>
      <c r="AI133">
        <v>0</v>
      </c>
      <c r="AJ133" s="3">
        <v>41912.6862384259</v>
      </c>
      <c r="AK133" s="2" t="s">
        <v>1930</v>
      </c>
    </row>
    <row r="134" spans="1:37" x14ac:dyDescent="0.15">
      <c r="A134" s="2" t="s">
        <v>1929</v>
      </c>
      <c r="B134">
        <v>156</v>
      </c>
      <c r="C134" s="3">
        <v>41609</v>
      </c>
      <c r="D134" s="2" t="s">
        <v>37</v>
      </c>
      <c r="E134" s="2" t="s">
        <v>1928</v>
      </c>
      <c r="F134" s="2" t="s">
        <v>41</v>
      </c>
      <c r="G134" s="2" t="s">
        <v>316</v>
      </c>
      <c r="H134" s="2" t="s">
        <v>317</v>
      </c>
      <c r="I134" s="4">
        <f>VLOOKUP(G134,全部!C:M,11,FALSE)</f>
        <v>9753320.8200000003</v>
      </c>
      <c r="J134" s="4">
        <f t="shared" si="2"/>
        <v>0</v>
      </c>
      <c r="K134" s="4">
        <f>VLOOKUP(计算!G134,全部!C:N,12,FALSE)</f>
        <v>0</v>
      </c>
      <c r="L134" s="5">
        <f>VLOOKUP(G134,全部!C:P,14,FALSE)</f>
        <v>0</v>
      </c>
      <c r="M134" s="5">
        <f>VLOOKUP(G134,全部!C:V,20,FALSE)*100</f>
        <v>3</v>
      </c>
      <c r="N134" s="6">
        <f>VLOOKUP(G134,全部!C:W,21,FALSE)</f>
        <v>292599.62459999998</v>
      </c>
      <c r="O134" s="4">
        <f>VLOOKUP(G134,全部!C:X,22,FALSE)</f>
        <v>271590.55</v>
      </c>
      <c r="P134" s="4">
        <f>VLOOKUP(G134,全部!C:Y,23,FALSE)</f>
        <v>271590.55</v>
      </c>
      <c r="Q134" s="6">
        <f>VLOOKUP(G134,全部!C:Z,24,FALSE)</f>
        <v>21009.074599999993</v>
      </c>
      <c r="R134" s="7">
        <f>VLOOKUP(G134,全部!C:AA,25,FALSE)</f>
        <v>0</v>
      </c>
      <c r="S134" s="7">
        <f>VLOOKUP(G134,全部!C:AB,26,FALSE)</f>
        <v>0</v>
      </c>
      <c r="T134" s="4">
        <f>VLOOKUP(计算!G134,全部!C:AC,27,FALSE)</f>
        <v>4983610.42</v>
      </c>
      <c r="U134" s="4">
        <f>VLOOKUP(G134,全部!C:AD,28,FALSE)</f>
        <v>4983610.42</v>
      </c>
      <c r="V134" s="6">
        <f>VLOOKUP(G134,全部!C:AE,29,FALSE)</f>
        <v>0.51096549698034022</v>
      </c>
      <c r="W134" s="4">
        <f>VLOOKUP(G134,全部!C:AF,30,FALSE)</f>
        <v>0</v>
      </c>
      <c r="X134" s="4">
        <f>VLOOKUP(G134,全部!C:AG,31,FALSE)</f>
        <v>0</v>
      </c>
      <c r="Y134" s="4">
        <f>VLOOKUP(计算!G134,全部!C:AH,32,FALSE)</f>
        <v>4727621</v>
      </c>
      <c r="Z134" s="4">
        <f>VLOOKUP(G134,全部!C:AL,36,FALSE)</f>
        <v>4727621</v>
      </c>
      <c r="AA134" s="4">
        <f>VLOOKUP(G134,全部!C:AM,37,FALSE)</f>
        <v>3.4000000000000002E-2</v>
      </c>
      <c r="AB134" s="6">
        <f>VLOOKUP(G134,全部!C:AN,38,FALSE)</f>
        <v>331612.90788000001</v>
      </c>
      <c r="AC134" s="4">
        <f>VLOOKUP(G134,全部!C:AO,39,FALSE)</f>
        <v>169442.69</v>
      </c>
      <c r="AD134" s="4">
        <f>VLOOKUP(G134,全部!C:AP,40,FALSE)</f>
        <v>169442.69</v>
      </c>
      <c r="AE134" s="6">
        <f>VLOOKUP(G134,全部!C:AQ,41,FALSE)</f>
        <v>162170.21788000001</v>
      </c>
      <c r="AF134" s="4">
        <f>VLOOKUP(G134,全部!C:AR,42,FALSE)</f>
        <v>0</v>
      </c>
      <c r="AG134" s="7">
        <f>VLOOKUP(G134,全部!C:AS,43,FALSE)</f>
        <v>0</v>
      </c>
      <c r="AH134" s="64" t="str">
        <f>IF(VLOOKUP(G134,全部!C:AT,44,FALSE)=0,"",VLOOKUP(G134,全部!C:AT,44,FALSE))</f>
        <v/>
      </c>
      <c r="AI134">
        <v>0</v>
      </c>
      <c r="AJ134" s="3">
        <v>41912.6862384259</v>
      </c>
      <c r="AK134" s="2" t="s">
        <v>1927</v>
      </c>
    </row>
    <row r="135" spans="1:37" x14ac:dyDescent="0.15">
      <c r="A135" s="2" t="s">
        <v>1926</v>
      </c>
      <c r="B135">
        <v>183</v>
      </c>
      <c r="C135" s="3">
        <v>41609</v>
      </c>
      <c r="D135" s="2" t="s">
        <v>37</v>
      </c>
      <c r="E135" s="2" t="s">
        <v>1925</v>
      </c>
      <c r="F135" s="2" t="s">
        <v>41</v>
      </c>
      <c r="G135" s="2" t="s">
        <v>322</v>
      </c>
      <c r="H135" s="2" t="s">
        <v>323</v>
      </c>
      <c r="I135" s="4">
        <f>VLOOKUP(G135,全部!C:M,11,FALSE)</f>
        <v>1674815</v>
      </c>
      <c r="J135" s="4">
        <f t="shared" si="2"/>
        <v>0</v>
      </c>
      <c r="K135" s="4">
        <f>VLOOKUP(计算!G135,全部!C:N,12,FALSE)</f>
        <v>0</v>
      </c>
      <c r="L135" s="5">
        <f>VLOOKUP(G135,全部!C:P,14,FALSE)</f>
        <v>0</v>
      </c>
      <c r="M135" s="5">
        <f>VLOOKUP(G135,全部!C:V,20,FALSE)*100</f>
        <v>4</v>
      </c>
      <c r="N135" s="6">
        <f>VLOOKUP(G135,全部!C:W,21,FALSE)</f>
        <v>66992.600000000006</v>
      </c>
      <c r="O135" s="4">
        <f>VLOOKUP(G135,全部!C:X,22,FALSE)</f>
        <v>66993</v>
      </c>
      <c r="P135" s="4">
        <f>VLOOKUP(G135,全部!C:Y,23,FALSE)</f>
        <v>66993</v>
      </c>
      <c r="Q135" s="6">
        <f>VLOOKUP(G135,全部!C:Z,24,FALSE)</f>
        <v>-0.39999999999417923</v>
      </c>
      <c r="R135" s="7">
        <f>VLOOKUP(G135,全部!C:AA,25,FALSE)</f>
        <v>0</v>
      </c>
      <c r="S135" s="7">
        <f>VLOOKUP(G135,全部!C:AB,26,FALSE)</f>
        <v>0</v>
      </c>
      <c r="T135" s="4">
        <f>VLOOKUP(计算!G135,全部!C:AC,27,FALSE)</f>
        <v>1300000</v>
      </c>
      <c r="U135" s="4">
        <f>VLOOKUP(G135,全部!C:AD,28,FALSE)</f>
        <v>1300000</v>
      </c>
      <c r="V135" s="6">
        <f>VLOOKUP(G135,全部!C:AE,29,FALSE)</f>
        <v>0.77620513310425332</v>
      </c>
      <c r="W135" s="4">
        <f>VLOOKUP(G135,全部!C:AF,30,FALSE)</f>
        <v>0</v>
      </c>
      <c r="X135" s="4">
        <f>VLOOKUP(G135,全部!C:AG,31,FALSE)</f>
        <v>0</v>
      </c>
      <c r="Y135" s="4">
        <f>VLOOKUP(计算!G135,全部!C:AH,32,FALSE)</f>
        <v>1233232.5</v>
      </c>
      <c r="Z135" s="4">
        <f>VLOOKUP(G135,全部!C:AL,36,FALSE)</f>
        <v>1233232.5</v>
      </c>
      <c r="AA135" s="4">
        <f>VLOOKUP(G135,全部!C:AM,37,FALSE)</f>
        <v>3.6600000000000001E-2</v>
      </c>
      <c r="AB135" s="6">
        <f>VLOOKUP(G135,全部!C:AN,38,FALSE)</f>
        <v>61298.228999999999</v>
      </c>
      <c r="AC135" s="4">
        <f>VLOOKUP(G135,全部!C:AO,39,FALSE)</f>
        <v>61298.23</v>
      </c>
      <c r="AD135" s="4">
        <f>VLOOKUP(G135,全部!C:AP,40,FALSE)</f>
        <v>61298.23</v>
      </c>
      <c r="AE135" s="6">
        <f>VLOOKUP(G135,全部!C:AQ,41,FALSE)</f>
        <v>-1.0000000038417056E-3</v>
      </c>
      <c r="AF135" s="4">
        <f>VLOOKUP(G135,全部!C:AR,42,FALSE)</f>
        <v>0</v>
      </c>
      <c r="AG135" s="7">
        <f>VLOOKUP(G135,全部!C:AS,43,FALSE)</f>
        <v>0</v>
      </c>
      <c r="AH135" s="64" t="str">
        <f>IF(VLOOKUP(G135,全部!C:AT,44,FALSE)=0,"",VLOOKUP(G135,全部!C:AT,44,FALSE))</f>
        <v/>
      </c>
      <c r="AI135">
        <v>0</v>
      </c>
      <c r="AJ135" s="3">
        <v>41912.6862384259</v>
      </c>
      <c r="AK135" s="2" t="s">
        <v>1924</v>
      </c>
    </row>
    <row r="136" spans="1:37" x14ac:dyDescent="0.15">
      <c r="A136" s="2" t="s">
        <v>1923</v>
      </c>
      <c r="B136">
        <v>197</v>
      </c>
      <c r="C136" s="3">
        <v>41609</v>
      </c>
      <c r="D136" s="2" t="s">
        <v>37</v>
      </c>
      <c r="E136" s="2" t="s">
        <v>1922</v>
      </c>
      <c r="F136" s="2" t="s">
        <v>41</v>
      </c>
      <c r="G136" s="2" t="s">
        <v>320</v>
      </c>
      <c r="H136" s="2" t="s">
        <v>321</v>
      </c>
      <c r="I136" s="4">
        <f>VLOOKUP(G136,全部!C:M,11,FALSE)</f>
        <v>3480350</v>
      </c>
      <c r="J136" s="4">
        <f t="shared" si="2"/>
        <v>0</v>
      </c>
      <c r="K136" s="4">
        <f>VLOOKUP(计算!G136,全部!C:N,12,FALSE)</f>
        <v>0</v>
      </c>
      <c r="L136" s="5">
        <f>VLOOKUP(G136,全部!C:P,14,FALSE)</f>
        <v>0</v>
      </c>
      <c r="M136" s="5">
        <f>VLOOKUP(G136,全部!C:V,20,FALSE)*100</f>
        <v>3.5999999999999996</v>
      </c>
      <c r="N136" s="6">
        <f>VLOOKUP(G136,全部!C:W,21,FALSE)</f>
        <v>125292.59999999999</v>
      </c>
      <c r="O136" s="4">
        <f>VLOOKUP(G136,全部!C:X,22,FALSE)</f>
        <v>125292.6</v>
      </c>
      <c r="P136" s="4">
        <f>VLOOKUP(G136,全部!C:Y,23,FALSE)</f>
        <v>125292.6</v>
      </c>
      <c r="Q136" s="6">
        <f>VLOOKUP(G136,全部!C:Z,24,FALSE)</f>
        <v>0</v>
      </c>
      <c r="R136" s="7">
        <f>VLOOKUP(G136,全部!C:AA,25,FALSE)</f>
        <v>0</v>
      </c>
      <c r="S136" s="7">
        <f>VLOOKUP(G136,全部!C:AB,26,FALSE)</f>
        <v>0</v>
      </c>
      <c r="T136" s="4">
        <f>VLOOKUP(计算!G136,全部!C:AC,27,FALSE)</f>
        <v>1563875.12</v>
      </c>
      <c r="U136" s="4">
        <f>VLOOKUP(G136,全部!C:AD,28,FALSE)</f>
        <v>1563875.12</v>
      </c>
      <c r="V136" s="6">
        <f>VLOOKUP(G136,全部!C:AE,29,FALSE)</f>
        <v>0.44934420963408855</v>
      </c>
      <c r="W136" s="4">
        <f>VLOOKUP(G136,全部!C:AF,30,FALSE)</f>
        <v>0</v>
      </c>
      <c r="X136" s="4">
        <f>VLOOKUP(G136,全部!C:AG,31,FALSE)</f>
        <v>0</v>
      </c>
      <c r="Y136" s="4">
        <f>VLOOKUP(计算!G136,全部!C:AH,32,FALSE)</f>
        <v>1596613.91</v>
      </c>
      <c r="Z136" s="4">
        <f>VLOOKUP(G136,全部!C:AL,36,FALSE)</f>
        <v>1596613.91</v>
      </c>
      <c r="AA136" s="4">
        <f>VLOOKUP(G136,全部!C:AM,37,FALSE)</f>
        <v>3.4000000000000002E-2</v>
      </c>
      <c r="AB136" s="6">
        <f>VLOOKUP(G136,全部!C:AN,38,FALSE)</f>
        <v>118331.90000000001</v>
      </c>
      <c r="AC136" s="4">
        <f>VLOOKUP(G136,全部!C:AO,39,FALSE)</f>
        <v>51187.45</v>
      </c>
      <c r="AD136" s="4">
        <f>VLOOKUP(G136,全部!C:AP,40,FALSE)</f>
        <v>51187.45</v>
      </c>
      <c r="AE136" s="6">
        <f>VLOOKUP(G136,全部!C:AQ,41,FALSE)</f>
        <v>67144.450000000012</v>
      </c>
      <c r="AF136" s="4">
        <f>VLOOKUP(G136,全部!C:AR,42,FALSE)</f>
        <v>0</v>
      </c>
      <c r="AG136" s="7">
        <f>VLOOKUP(G136,全部!C:AS,43,FALSE)</f>
        <v>0</v>
      </c>
      <c r="AH136" s="64" t="str">
        <f>IF(VLOOKUP(G136,全部!C:AT,44,FALSE)=0,"",VLOOKUP(G136,全部!C:AT,44,FALSE))</f>
        <v/>
      </c>
      <c r="AI136">
        <v>0</v>
      </c>
      <c r="AJ136" s="3">
        <v>41912.6862384259</v>
      </c>
      <c r="AK136" s="2" t="s">
        <v>1921</v>
      </c>
    </row>
    <row r="137" spans="1:37" x14ac:dyDescent="0.15">
      <c r="A137" s="2" t="s">
        <v>1920</v>
      </c>
      <c r="B137">
        <v>1043</v>
      </c>
      <c r="C137" s="3">
        <v>41609</v>
      </c>
      <c r="D137" s="2" t="s">
        <v>37</v>
      </c>
      <c r="E137" s="2" t="s">
        <v>1919</v>
      </c>
      <c r="F137" s="2" t="s">
        <v>38</v>
      </c>
      <c r="G137" s="2" t="s">
        <v>312</v>
      </c>
      <c r="H137" s="2" t="s">
        <v>313</v>
      </c>
      <c r="I137" s="4">
        <f>VLOOKUP(G137,全部!C:M,11,FALSE)</f>
        <v>11000000</v>
      </c>
      <c r="J137" s="4">
        <f t="shared" si="2"/>
        <v>0</v>
      </c>
      <c r="K137" s="4">
        <f>VLOOKUP(计算!G137,全部!C:N,12,FALSE)</f>
        <v>0</v>
      </c>
      <c r="L137" s="5">
        <f>VLOOKUP(G137,全部!C:P,14,FALSE)</f>
        <v>0</v>
      </c>
      <c r="M137" s="5">
        <f>VLOOKUP(G137,全部!C:V,20,FALSE)*100</f>
        <v>3</v>
      </c>
      <c r="N137" s="6">
        <f>VLOOKUP(G137,全部!C:W,21,FALSE)</f>
        <v>330000</v>
      </c>
      <c r="O137" s="4">
        <f>VLOOKUP(G137,全部!C:X,22,FALSE)</f>
        <v>330000</v>
      </c>
      <c r="P137" s="4">
        <f>VLOOKUP(G137,全部!C:Y,23,FALSE)</f>
        <v>330000</v>
      </c>
      <c r="Q137" s="6">
        <f>VLOOKUP(G137,全部!C:Z,24,FALSE)</f>
        <v>0</v>
      </c>
      <c r="R137" s="7">
        <f>VLOOKUP(G137,全部!C:AA,25,FALSE)</f>
        <v>5500000</v>
      </c>
      <c r="S137" s="7">
        <f>VLOOKUP(G137,全部!C:AB,26,FALSE)</f>
        <v>5500000</v>
      </c>
      <c r="T137" s="4">
        <f>VLOOKUP(计算!G137,全部!C:AC,27,FALSE)</f>
        <v>5000000</v>
      </c>
      <c r="U137" s="4">
        <f>VLOOKUP(G137,全部!C:AD,28,FALSE)</f>
        <v>5000000</v>
      </c>
      <c r="V137" s="6">
        <f>VLOOKUP(G137,全部!C:AE,29,FALSE)</f>
        <v>0.45454545454545453</v>
      </c>
      <c r="W137" s="4">
        <f>VLOOKUP(G137,全部!C:AF,30,FALSE)</f>
        <v>4680000</v>
      </c>
      <c r="X137" s="4">
        <f>VLOOKUP(G137,全部!C:AG,31,FALSE)</f>
        <v>4680000</v>
      </c>
      <c r="Y137" s="4">
        <f>VLOOKUP(计算!G137,全部!C:AH,32,FALSE)</f>
        <v>4916450</v>
      </c>
      <c r="Z137" s="4">
        <f>VLOOKUP(G137,全部!C:AL,36,FALSE)</f>
        <v>4916450</v>
      </c>
      <c r="AA137" s="4">
        <f>VLOOKUP(G137,全部!C:AM,37,FALSE)</f>
        <v>0</v>
      </c>
      <c r="AB137" s="6">
        <f>VLOOKUP(G137,全部!C:AN,38,FALSE)</f>
        <v>0</v>
      </c>
      <c r="AC137" s="4">
        <f>VLOOKUP(G137,全部!C:AO,39,FALSE)</f>
        <v>0</v>
      </c>
      <c r="AD137" s="4">
        <f>VLOOKUP(G137,全部!C:AP,40,FALSE)</f>
        <v>0</v>
      </c>
      <c r="AE137" s="6">
        <f>VLOOKUP(G137,全部!C:AQ,41,FALSE)</f>
        <v>0</v>
      </c>
      <c r="AF137" s="4">
        <f>VLOOKUP(G137,全部!C:AR,42,FALSE)</f>
        <v>0</v>
      </c>
      <c r="AG137" s="7">
        <f>VLOOKUP(G137,全部!C:AS,43,FALSE)</f>
        <v>120</v>
      </c>
      <c r="AH137" s="64" t="str">
        <f>IF(VLOOKUP(G137,全部!C:AT,44,FALSE)=0,"",VLOOKUP(G137,全部!C:AT,44,FALSE))</f>
        <v>昌平</v>
      </c>
      <c r="AI137">
        <v>0</v>
      </c>
      <c r="AJ137" s="3">
        <v>41912.6862847222</v>
      </c>
      <c r="AK137" s="2" t="s">
        <v>1918</v>
      </c>
    </row>
    <row r="138" spans="1:37" x14ac:dyDescent="0.15">
      <c r="A138" s="2" t="s">
        <v>1917</v>
      </c>
      <c r="B138">
        <v>211</v>
      </c>
      <c r="C138" s="3">
        <v>41609</v>
      </c>
      <c r="D138" s="2" t="s">
        <v>37</v>
      </c>
      <c r="E138" s="2" t="s">
        <v>1916</v>
      </c>
      <c r="F138" s="2" t="s">
        <v>41</v>
      </c>
      <c r="G138" s="2" t="s">
        <v>326</v>
      </c>
      <c r="H138" s="2" t="s">
        <v>327</v>
      </c>
      <c r="I138" s="4">
        <f>VLOOKUP(G138,全部!C:M,11,FALSE)</f>
        <v>600000</v>
      </c>
      <c r="J138" s="4">
        <f t="shared" si="2"/>
        <v>0</v>
      </c>
      <c r="K138" s="4">
        <f>VLOOKUP(计算!G138,全部!C:N,12,FALSE)</f>
        <v>0</v>
      </c>
      <c r="L138" s="5">
        <f>VLOOKUP(G138,全部!C:P,14,FALSE)</f>
        <v>0</v>
      </c>
      <c r="M138" s="5">
        <f>VLOOKUP(G138,全部!C:V,20,FALSE)*100</f>
        <v>8.6</v>
      </c>
      <c r="N138" s="6">
        <f>VLOOKUP(G138,全部!C:W,21,FALSE)</f>
        <v>51599.999999999993</v>
      </c>
      <c r="O138" s="4">
        <f>VLOOKUP(G138,全部!C:X,22,FALSE)</f>
        <v>25800</v>
      </c>
      <c r="P138" s="4">
        <f>VLOOKUP(G138,全部!C:Y,23,FALSE)</f>
        <v>25800</v>
      </c>
      <c r="Q138" s="6">
        <f>VLOOKUP(G138,全部!C:Z,24,FALSE)</f>
        <v>25799.999999999993</v>
      </c>
      <c r="R138" s="7">
        <f>VLOOKUP(G138,全部!C:AA,25,FALSE)</f>
        <v>0</v>
      </c>
      <c r="S138" s="7">
        <f>VLOOKUP(G138,全部!C:AB,26,FALSE)</f>
        <v>0</v>
      </c>
      <c r="T138" s="4">
        <f>VLOOKUP(计算!G138,全部!C:AC,27,FALSE)</f>
        <v>120000</v>
      </c>
      <c r="U138" s="4">
        <f>VLOOKUP(G138,全部!C:AD,28,FALSE)</f>
        <v>120000</v>
      </c>
      <c r="V138" s="6">
        <f>VLOOKUP(G138,全部!C:AE,29,FALSE)</f>
        <v>0.2</v>
      </c>
      <c r="W138" s="4">
        <f>VLOOKUP(G138,全部!C:AF,30,FALSE)</f>
        <v>0</v>
      </c>
      <c r="X138" s="4">
        <f>VLOOKUP(G138,全部!C:AG,31,FALSE)</f>
        <v>0</v>
      </c>
      <c r="Y138" s="4">
        <f>VLOOKUP(计算!G138,全部!C:AH,32,FALSE)</f>
        <v>120000</v>
      </c>
      <c r="Z138" s="4">
        <f>VLOOKUP(G138,全部!C:AL,36,FALSE)</f>
        <v>120000</v>
      </c>
      <c r="AA138" s="4">
        <f>VLOOKUP(G138,全部!C:AM,37,FALSE)</f>
        <v>3.4000000000000002E-2</v>
      </c>
      <c r="AB138" s="6">
        <f>VLOOKUP(G138,全部!C:AN,38,FALSE)</f>
        <v>20400</v>
      </c>
      <c r="AC138" s="4">
        <f>VLOOKUP(G138,全部!C:AO,39,FALSE)</f>
        <v>4080</v>
      </c>
      <c r="AD138" s="4">
        <f>VLOOKUP(G138,全部!C:AP,40,FALSE)</f>
        <v>4080</v>
      </c>
      <c r="AE138" s="6">
        <f>VLOOKUP(G138,全部!C:AQ,41,FALSE)</f>
        <v>16320</v>
      </c>
      <c r="AF138" s="4">
        <f>VLOOKUP(G138,全部!C:AR,42,FALSE)</f>
        <v>0</v>
      </c>
      <c r="AG138" s="7">
        <f>VLOOKUP(G138,全部!C:AS,43,FALSE)</f>
        <v>0</v>
      </c>
      <c r="AH138" s="64" t="str">
        <f>IF(VLOOKUP(G138,全部!C:AT,44,FALSE)=0,"",VLOOKUP(G138,全部!C:AT,44,FALSE))</f>
        <v/>
      </c>
      <c r="AI138">
        <v>0</v>
      </c>
      <c r="AJ138" s="3">
        <v>41912.6862384259</v>
      </c>
      <c r="AK138" s="2" t="s">
        <v>1915</v>
      </c>
    </row>
    <row r="139" spans="1:37" x14ac:dyDescent="0.15">
      <c r="A139" s="2" t="s">
        <v>1914</v>
      </c>
      <c r="B139">
        <v>173</v>
      </c>
      <c r="C139" s="3">
        <v>41609</v>
      </c>
      <c r="D139" s="2" t="s">
        <v>37</v>
      </c>
      <c r="E139" s="2" t="s">
        <v>1913</v>
      </c>
      <c r="F139" s="2" t="s">
        <v>41</v>
      </c>
      <c r="G139" s="2" t="s">
        <v>330</v>
      </c>
      <c r="H139" s="2" t="s">
        <v>331</v>
      </c>
      <c r="I139" s="4">
        <f>VLOOKUP(G139,全部!C:M,11,FALSE)</f>
        <v>4036583.48</v>
      </c>
      <c r="J139" s="4">
        <f t="shared" si="2"/>
        <v>0</v>
      </c>
      <c r="K139" s="4">
        <f>VLOOKUP(计算!G139,全部!C:N,12,FALSE)</f>
        <v>0</v>
      </c>
      <c r="L139" s="5">
        <f>VLOOKUP(G139,全部!C:P,14,FALSE)</f>
        <v>0</v>
      </c>
      <c r="M139" s="5">
        <f>VLOOKUP(G139,全部!C:V,20,FALSE)*100</f>
        <v>3.5999999999999996</v>
      </c>
      <c r="N139" s="6">
        <f>VLOOKUP(G139,全部!C:W,21,FALSE)</f>
        <v>145317.00527999998</v>
      </c>
      <c r="O139" s="4">
        <f>VLOOKUP(G139,全部!C:X,22,FALSE)</f>
        <v>145317</v>
      </c>
      <c r="P139" s="4">
        <f>VLOOKUP(G139,全部!C:Y,23,FALSE)</f>
        <v>145317</v>
      </c>
      <c r="Q139" s="6">
        <f>VLOOKUP(G139,全部!C:Z,24,FALSE)</f>
        <v>5.2799999830313027E-3</v>
      </c>
      <c r="R139" s="7">
        <f>VLOOKUP(G139,全部!C:AA,25,FALSE)</f>
        <v>0</v>
      </c>
      <c r="S139" s="7">
        <f>VLOOKUP(G139,全部!C:AB,26,FALSE)</f>
        <v>0</v>
      </c>
      <c r="T139" s="4">
        <f>VLOOKUP(计算!G139,全部!C:AC,27,FALSE)</f>
        <v>3478419.92</v>
      </c>
      <c r="U139" s="4">
        <f>VLOOKUP(G139,全部!C:AD,28,FALSE)</f>
        <v>3478419.92</v>
      </c>
      <c r="V139" s="6">
        <f>VLOOKUP(G139,全部!C:AE,29,FALSE)</f>
        <v>0.86172376645608229</v>
      </c>
      <c r="W139" s="4">
        <f>VLOOKUP(G139,全部!C:AF,30,FALSE)</f>
        <v>0</v>
      </c>
      <c r="X139" s="4">
        <f>VLOOKUP(G139,全部!C:AG,31,FALSE)</f>
        <v>0</v>
      </c>
      <c r="Y139" s="4">
        <f>VLOOKUP(计算!G139,全部!C:AH,32,FALSE)</f>
        <v>3359296.75</v>
      </c>
      <c r="Z139" s="4">
        <f>VLOOKUP(G139,全部!C:AL,36,FALSE)</f>
        <v>3359296.75</v>
      </c>
      <c r="AA139" s="4">
        <f>VLOOKUP(G139,全部!C:AM,37,FALSE)</f>
        <v>3.4000000000000002E-2</v>
      </c>
      <c r="AB139" s="6">
        <f>VLOOKUP(G139,全部!C:AN,38,FALSE)</f>
        <v>137243.83832000001</v>
      </c>
      <c r="AC139" s="4">
        <f>VLOOKUP(G139,全部!C:AO,39,FALSE)</f>
        <v>118235.4</v>
      </c>
      <c r="AD139" s="4">
        <f>VLOOKUP(G139,全部!C:AP,40,FALSE)</f>
        <v>118235.4</v>
      </c>
      <c r="AE139" s="6">
        <f>VLOOKUP(G139,全部!C:AQ,41,FALSE)</f>
        <v>19008.438320000016</v>
      </c>
      <c r="AF139" s="4">
        <f>VLOOKUP(G139,全部!C:AR,42,FALSE)</f>
        <v>0</v>
      </c>
      <c r="AG139" s="7">
        <f>VLOOKUP(G139,全部!C:AS,43,FALSE)</f>
        <v>0</v>
      </c>
      <c r="AH139" s="64" t="str">
        <f>IF(VLOOKUP(G139,全部!C:AT,44,FALSE)=0,"",VLOOKUP(G139,全部!C:AT,44,FALSE))</f>
        <v/>
      </c>
      <c r="AI139">
        <v>0</v>
      </c>
      <c r="AJ139" s="3">
        <v>41912.6862384259</v>
      </c>
      <c r="AK139" s="2" t="s">
        <v>1912</v>
      </c>
    </row>
    <row r="140" spans="1:37" x14ac:dyDescent="0.15">
      <c r="A140" s="2" t="s">
        <v>1911</v>
      </c>
      <c r="B140">
        <v>161</v>
      </c>
      <c r="C140" s="3">
        <v>41609</v>
      </c>
      <c r="D140" s="2" t="s">
        <v>37</v>
      </c>
      <c r="E140" s="2" t="s">
        <v>1910</v>
      </c>
      <c r="F140" s="2" t="s">
        <v>41</v>
      </c>
      <c r="G140" s="2" t="s">
        <v>328</v>
      </c>
      <c r="H140" s="2" t="s">
        <v>329</v>
      </c>
      <c r="I140" s="4">
        <f>VLOOKUP(G140,全部!C:M,11,FALSE)</f>
        <v>449812</v>
      </c>
      <c r="J140" s="4">
        <f t="shared" si="2"/>
        <v>0</v>
      </c>
      <c r="K140" s="4">
        <f>VLOOKUP(计算!G140,全部!C:N,12,FALSE)</f>
        <v>0</v>
      </c>
      <c r="L140" s="5">
        <f>VLOOKUP(G140,全部!C:P,14,FALSE)</f>
        <v>0</v>
      </c>
      <c r="M140" s="5">
        <f>VLOOKUP(G140,全部!C:V,20,FALSE)*100</f>
        <v>4</v>
      </c>
      <c r="N140" s="6">
        <f>VLOOKUP(G140,全部!C:W,21,FALSE)</f>
        <v>17992.48</v>
      </c>
      <c r="O140" s="4">
        <f>VLOOKUP(G140,全部!C:X,22,FALSE)</f>
        <v>17992.48</v>
      </c>
      <c r="P140" s="4">
        <f>VLOOKUP(G140,全部!C:Y,23,FALSE)</f>
        <v>17992.48</v>
      </c>
      <c r="Q140" s="6">
        <f>VLOOKUP(G140,全部!C:Z,24,FALSE)</f>
        <v>0</v>
      </c>
      <c r="R140" s="7">
        <f>VLOOKUP(G140,全部!C:AA,25,FALSE)</f>
        <v>0</v>
      </c>
      <c r="S140" s="7">
        <f>VLOOKUP(G140,全部!C:AB,26,FALSE)</f>
        <v>0</v>
      </c>
      <c r="T140" s="4">
        <f>VLOOKUP(计算!G140,全部!C:AC,27,FALSE)</f>
        <v>370600</v>
      </c>
      <c r="U140" s="4">
        <f>VLOOKUP(G140,全部!C:AD,28,FALSE)</f>
        <v>370600</v>
      </c>
      <c r="V140" s="6">
        <f>VLOOKUP(G140,全部!C:AE,29,FALSE)</f>
        <v>0.82389976256747266</v>
      </c>
      <c r="W140" s="4">
        <f>VLOOKUP(G140,全部!C:AF,30,FALSE)</f>
        <v>0</v>
      </c>
      <c r="X140" s="4">
        <f>VLOOKUP(G140,全部!C:AG,31,FALSE)</f>
        <v>0</v>
      </c>
      <c r="Y140" s="4">
        <f>VLOOKUP(计算!G140,全部!C:AH,32,FALSE)</f>
        <v>365664.6</v>
      </c>
      <c r="Z140" s="4">
        <f>VLOOKUP(G140,全部!C:AL,36,FALSE)</f>
        <v>365664.6</v>
      </c>
      <c r="AA140" s="4">
        <f>VLOOKUP(G140,全部!C:AM,37,FALSE)</f>
        <v>3.4000000000000002E-2</v>
      </c>
      <c r="AB140" s="6">
        <f>VLOOKUP(G140,全部!C:AN,38,FALSE)</f>
        <v>15293.608000000002</v>
      </c>
      <c r="AC140" s="4">
        <f>VLOOKUP(G140,全部!C:AO,39,FALSE)</f>
        <v>12580</v>
      </c>
      <c r="AD140" s="4">
        <f>VLOOKUP(G140,全部!C:AP,40,FALSE)</f>
        <v>12580</v>
      </c>
      <c r="AE140" s="6">
        <f>VLOOKUP(G140,全部!C:AQ,41,FALSE)</f>
        <v>2713.608000000002</v>
      </c>
      <c r="AF140" s="4">
        <f>VLOOKUP(G140,全部!C:AR,42,FALSE)</f>
        <v>0</v>
      </c>
      <c r="AG140" s="7">
        <f>VLOOKUP(G140,全部!C:AS,43,FALSE)</f>
        <v>0</v>
      </c>
      <c r="AH140" s="64" t="str">
        <f>IF(VLOOKUP(G140,全部!C:AT,44,FALSE)=0,"",VLOOKUP(G140,全部!C:AT,44,FALSE))</f>
        <v/>
      </c>
      <c r="AI140">
        <v>0</v>
      </c>
      <c r="AJ140" s="3">
        <v>41912.6862384259</v>
      </c>
      <c r="AK140" s="2" t="s">
        <v>1909</v>
      </c>
    </row>
    <row r="141" spans="1:37" x14ac:dyDescent="0.15">
      <c r="A141" s="2" t="s">
        <v>1908</v>
      </c>
      <c r="B141">
        <v>187</v>
      </c>
      <c r="C141" s="3">
        <v>41609</v>
      </c>
      <c r="D141" s="2" t="s">
        <v>37</v>
      </c>
      <c r="E141" s="2" t="s">
        <v>1907</v>
      </c>
      <c r="F141" s="2" t="s">
        <v>41</v>
      </c>
      <c r="G141" s="2" t="s">
        <v>334</v>
      </c>
      <c r="H141" s="2" t="s">
        <v>335</v>
      </c>
      <c r="I141" s="4">
        <f>VLOOKUP(G141,全部!C:M,11,FALSE)</f>
        <v>260000</v>
      </c>
      <c r="J141" s="4">
        <f t="shared" si="2"/>
        <v>0</v>
      </c>
      <c r="K141" s="4">
        <f>VLOOKUP(计算!G141,全部!C:N,12,FALSE)</f>
        <v>0</v>
      </c>
      <c r="L141" s="5">
        <f>VLOOKUP(G141,全部!C:P,14,FALSE)</f>
        <v>0</v>
      </c>
      <c r="M141" s="5">
        <f>VLOOKUP(G141,全部!C:V,20,FALSE)*100</f>
        <v>8.6</v>
      </c>
      <c r="N141" s="6">
        <f>VLOOKUP(G141,全部!C:W,21,FALSE)</f>
        <v>22360</v>
      </c>
      <c r="O141" s="4">
        <f>VLOOKUP(G141,全部!C:X,22,FALSE)</f>
        <v>22360</v>
      </c>
      <c r="P141" s="4">
        <f>VLOOKUP(G141,全部!C:Y,23,FALSE)</f>
        <v>22360</v>
      </c>
      <c r="Q141" s="6">
        <f>VLOOKUP(G141,全部!C:Z,24,FALSE)</f>
        <v>0</v>
      </c>
      <c r="R141" s="7">
        <f>VLOOKUP(G141,全部!C:AA,25,FALSE)</f>
        <v>0</v>
      </c>
      <c r="S141" s="7">
        <f>VLOOKUP(G141,全部!C:AB,26,FALSE)</f>
        <v>0</v>
      </c>
      <c r="T141" s="4">
        <f>VLOOKUP(计算!G141,全部!C:AC,27,FALSE)</f>
        <v>182000</v>
      </c>
      <c r="U141" s="4">
        <f>VLOOKUP(G141,全部!C:AD,28,FALSE)</f>
        <v>182000</v>
      </c>
      <c r="V141" s="6">
        <f>VLOOKUP(G141,全部!C:AE,29,FALSE)</f>
        <v>0.7</v>
      </c>
      <c r="W141" s="4">
        <f>VLOOKUP(G141,全部!C:AF,30,FALSE)</f>
        <v>0</v>
      </c>
      <c r="X141" s="4">
        <f>VLOOKUP(G141,全部!C:AG,31,FALSE)</f>
        <v>0</v>
      </c>
      <c r="Y141" s="4">
        <f>VLOOKUP(计算!G141,全部!C:AH,32,FALSE)</f>
        <v>182000</v>
      </c>
      <c r="Z141" s="4">
        <f>VLOOKUP(G141,全部!C:AL,36,FALSE)</f>
        <v>182000</v>
      </c>
      <c r="AA141" s="4">
        <f>VLOOKUP(G141,全部!C:AM,37,FALSE)</f>
        <v>3.4000000000000002E-2</v>
      </c>
      <c r="AB141" s="6">
        <f>VLOOKUP(G141,全部!C:AN,38,FALSE)</f>
        <v>8840</v>
      </c>
      <c r="AC141" s="4">
        <f>VLOOKUP(G141,全部!C:AO,39,FALSE)</f>
        <v>0</v>
      </c>
      <c r="AD141" s="4">
        <f>VLOOKUP(G141,全部!C:AP,40,FALSE)</f>
        <v>0</v>
      </c>
      <c r="AE141" s="6">
        <f>VLOOKUP(G141,全部!C:AQ,41,FALSE)</f>
        <v>8840</v>
      </c>
      <c r="AF141" s="4">
        <f>VLOOKUP(G141,全部!C:AR,42,FALSE)</f>
        <v>0</v>
      </c>
      <c r="AG141" s="7">
        <f>VLOOKUP(G141,全部!C:AS,43,FALSE)</f>
        <v>0</v>
      </c>
      <c r="AH141" s="64" t="str">
        <f>IF(VLOOKUP(G141,全部!C:AT,44,FALSE)=0,"",VLOOKUP(G141,全部!C:AT,44,FALSE))</f>
        <v/>
      </c>
      <c r="AI141">
        <v>0</v>
      </c>
      <c r="AJ141" s="3">
        <v>41912.6862384259</v>
      </c>
      <c r="AK141" s="2" t="s">
        <v>1906</v>
      </c>
    </row>
    <row r="142" spans="1:37" x14ac:dyDescent="0.15">
      <c r="A142" s="2" t="s">
        <v>1905</v>
      </c>
      <c r="B142">
        <v>202</v>
      </c>
      <c r="C142" s="3">
        <v>41609</v>
      </c>
      <c r="D142" s="2" t="s">
        <v>37</v>
      </c>
      <c r="E142" s="2" t="s">
        <v>1904</v>
      </c>
      <c r="F142" s="2" t="s">
        <v>41</v>
      </c>
      <c r="G142" s="2" t="s">
        <v>332</v>
      </c>
      <c r="H142" s="2" t="s">
        <v>333</v>
      </c>
      <c r="I142" s="4">
        <f>VLOOKUP(G142,全部!C:M,11,FALSE)</f>
        <v>50000</v>
      </c>
      <c r="J142" s="4">
        <f t="shared" si="2"/>
        <v>0</v>
      </c>
      <c r="K142" s="4">
        <f>VLOOKUP(计算!G142,全部!C:N,12,FALSE)</f>
        <v>0</v>
      </c>
      <c r="L142" s="5">
        <f>VLOOKUP(G142,全部!C:P,14,FALSE)</f>
        <v>0</v>
      </c>
      <c r="M142" s="5">
        <f>VLOOKUP(G142,全部!C:V,20,FALSE)*100</f>
        <v>8.6</v>
      </c>
      <c r="N142" s="6">
        <f>VLOOKUP(G142,全部!C:W,21,FALSE)</f>
        <v>4300</v>
      </c>
      <c r="O142" s="4">
        <f>VLOOKUP(G142,全部!C:X,22,FALSE)</f>
        <v>4300</v>
      </c>
      <c r="P142" s="4">
        <f>VLOOKUP(G142,全部!C:Y,23,FALSE)</f>
        <v>4300</v>
      </c>
      <c r="Q142" s="6">
        <f>VLOOKUP(G142,全部!C:Z,24,FALSE)</f>
        <v>0</v>
      </c>
      <c r="R142" s="7">
        <f>VLOOKUP(G142,全部!C:AA,25,FALSE)</f>
        <v>0</v>
      </c>
      <c r="S142" s="7">
        <f>VLOOKUP(G142,全部!C:AB,26,FALSE)</f>
        <v>0</v>
      </c>
      <c r="T142" s="4">
        <f>VLOOKUP(计算!G142,全部!C:AC,27,FALSE)</f>
        <v>40000</v>
      </c>
      <c r="U142" s="4">
        <f>VLOOKUP(G142,全部!C:AD,28,FALSE)</f>
        <v>40000</v>
      </c>
      <c r="V142" s="6">
        <f>VLOOKUP(G142,全部!C:AE,29,FALSE)</f>
        <v>0.8</v>
      </c>
      <c r="W142" s="4">
        <f>VLOOKUP(G142,全部!C:AF,30,FALSE)</f>
        <v>0</v>
      </c>
      <c r="X142" s="4">
        <f>VLOOKUP(G142,全部!C:AG,31,FALSE)</f>
        <v>0</v>
      </c>
      <c r="Y142" s="4">
        <f>VLOOKUP(计算!G142,全部!C:AH,32,FALSE)</f>
        <v>40000</v>
      </c>
      <c r="Z142" s="4">
        <f>VLOOKUP(G142,全部!C:AL,36,FALSE)</f>
        <v>40000</v>
      </c>
      <c r="AA142" s="4">
        <f>VLOOKUP(G142,全部!C:AM,37,FALSE)</f>
        <v>3.4000000000000002E-2</v>
      </c>
      <c r="AB142" s="6">
        <f>VLOOKUP(G142,全部!C:AN,38,FALSE)</f>
        <v>1700.0000000000002</v>
      </c>
      <c r="AC142" s="4">
        <f>VLOOKUP(G142,全部!C:AO,39,FALSE)</f>
        <v>1360</v>
      </c>
      <c r="AD142" s="4">
        <f>VLOOKUP(G142,全部!C:AP,40,FALSE)</f>
        <v>1360</v>
      </c>
      <c r="AE142" s="6">
        <f>VLOOKUP(G142,全部!C:AQ,41,FALSE)</f>
        <v>340.00000000000023</v>
      </c>
      <c r="AF142" s="4">
        <f>VLOOKUP(G142,全部!C:AR,42,FALSE)</f>
        <v>0</v>
      </c>
      <c r="AG142" s="7">
        <f>VLOOKUP(G142,全部!C:AS,43,FALSE)</f>
        <v>0</v>
      </c>
      <c r="AH142" s="64" t="str">
        <f>IF(VLOOKUP(G142,全部!C:AT,44,FALSE)=0,"",VLOOKUP(G142,全部!C:AT,44,FALSE))</f>
        <v/>
      </c>
      <c r="AI142">
        <v>0</v>
      </c>
      <c r="AJ142" s="3">
        <v>41912.6862384259</v>
      </c>
      <c r="AK142" s="2" t="s">
        <v>1903</v>
      </c>
    </row>
    <row r="143" spans="1:37" x14ac:dyDescent="0.15">
      <c r="A143" s="2" t="s">
        <v>1902</v>
      </c>
      <c r="B143">
        <v>1052</v>
      </c>
      <c r="C143" s="3">
        <v>41609</v>
      </c>
      <c r="D143" s="2" t="s">
        <v>37</v>
      </c>
      <c r="E143" s="2" t="s">
        <v>1901</v>
      </c>
      <c r="F143" s="2" t="s">
        <v>38</v>
      </c>
      <c r="G143" s="2" t="s">
        <v>324</v>
      </c>
      <c r="H143" s="2" t="s">
        <v>325</v>
      </c>
      <c r="I143" s="4">
        <f>VLOOKUP(G143,全部!C:M,11,FALSE)</f>
        <v>924545</v>
      </c>
      <c r="J143" s="4">
        <f t="shared" si="2"/>
        <v>0</v>
      </c>
      <c r="K143" s="4">
        <f>VLOOKUP(计算!G143,全部!C:N,12,FALSE)</f>
        <v>0</v>
      </c>
      <c r="L143" s="5">
        <f>VLOOKUP(G143,全部!C:P,14,FALSE)</f>
        <v>0</v>
      </c>
      <c r="M143" s="5">
        <f>VLOOKUP(G143,全部!C:V,20,FALSE)*100</f>
        <v>3</v>
      </c>
      <c r="N143" s="6">
        <f>VLOOKUP(G143,全部!C:W,21,FALSE)</f>
        <v>27736.35</v>
      </c>
      <c r="O143" s="4">
        <f>VLOOKUP(G143,全部!C:X,22,FALSE)</f>
        <v>2200</v>
      </c>
      <c r="P143" s="4">
        <f>VLOOKUP(G143,全部!C:Y,23,FALSE)</f>
        <v>2200</v>
      </c>
      <c r="Q143" s="6">
        <f>VLOOKUP(G143,全部!C:Z,24,FALSE)</f>
        <v>25536.35</v>
      </c>
      <c r="R143" s="7">
        <f>VLOOKUP(G143,全部!C:AA,25,FALSE)</f>
        <v>300000</v>
      </c>
      <c r="S143" s="7">
        <f>VLOOKUP(G143,全部!C:AB,26,FALSE)</f>
        <v>300000</v>
      </c>
      <c r="T143" s="4">
        <f>VLOOKUP(计算!G143,全部!C:AC,27,FALSE)</f>
        <v>300000</v>
      </c>
      <c r="U143" s="4">
        <f>VLOOKUP(G143,全部!C:AD,28,FALSE)</f>
        <v>300000</v>
      </c>
      <c r="V143" s="6">
        <f>VLOOKUP(G143,全部!C:AE,29,FALSE)</f>
        <v>0.32448393534116782</v>
      </c>
      <c r="W143" s="4">
        <f>VLOOKUP(G143,全部!C:AF,30,FALSE)</f>
        <v>202490</v>
      </c>
      <c r="X143" s="4">
        <f>VLOOKUP(G143,全部!C:AG,31,FALSE)</f>
        <v>202490</v>
      </c>
      <c r="Y143" s="4">
        <f>VLOOKUP(计算!G143,全部!C:AH,32,FALSE)</f>
        <v>219322.49</v>
      </c>
      <c r="Z143" s="4">
        <f>VLOOKUP(G143,全部!C:AL,36,FALSE)</f>
        <v>221812.49</v>
      </c>
      <c r="AA143" s="4">
        <f>VLOOKUP(G143,全部!C:AM,37,FALSE)</f>
        <v>3.4000000000000002E-2</v>
      </c>
      <c r="AB143" s="6">
        <f>VLOOKUP(G143,全部!C:AN,38,FALSE)</f>
        <v>10200</v>
      </c>
      <c r="AC143" s="4">
        <f>VLOOKUP(G143,全部!C:AO,39,FALSE)</f>
        <v>10200</v>
      </c>
      <c r="AD143" s="4">
        <f>VLOOKUP(G143,全部!C:AP,40,FALSE)</f>
        <v>10200</v>
      </c>
      <c r="AE143" s="6">
        <f>VLOOKUP(G143,全部!C:AQ,41,FALSE)</f>
        <v>0</v>
      </c>
      <c r="AF143" s="4">
        <f>VLOOKUP(G143,全部!C:AR,42,FALSE)</f>
        <v>0</v>
      </c>
      <c r="AG143" s="7">
        <f>VLOOKUP(G143,全部!C:AS,43,FALSE)</f>
        <v>7</v>
      </c>
      <c r="AH143" s="64" t="str">
        <f>IF(VLOOKUP(G143,全部!C:AT,44,FALSE)=0,"",VLOOKUP(G143,全部!C:AT,44,FALSE))</f>
        <v>亦庄</v>
      </c>
      <c r="AI143">
        <v>0</v>
      </c>
      <c r="AJ143" s="3">
        <v>41912.6862847222</v>
      </c>
      <c r="AK143" s="2" t="s">
        <v>1900</v>
      </c>
    </row>
    <row r="144" spans="1:37" x14ac:dyDescent="0.15">
      <c r="A144" s="2" t="s">
        <v>1899</v>
      </c>
      <c r="B144">
        <v>166</v>
      </c>
      <c r="C144" s="3">
        <v>41609</v>
      </c>
      <c r="D144" s="2" t="s">
        <v>37</v>
      </c>
      <c r="E144" s="2" t="s">
        <v>1898</v>
      </c>
      <c r="F144" s="2" t="s">
        <v>41</v>
      </c>
      <c r="G144" s="2" t="s">
        <v>306</v>
      </c>
      <c r="H144" s="2" t="s">
        <v>307</v>
      </c>
      <c r="I144" s="4">
        <f>VLOOKUP(G144,全部!C:M,11,FALSE)</f>
        <v>1440423.32</v>
      </c>
      <c r="J144" s="4">
        <f t="shared" si="2"/>
        <v>0</v>
      </c>
      <c r="K144" s="4">
        <f>VLOOKUP(计算!G144,全部!C:N,12,FALSE)</f>
        <v>0</v>
      </c>
      <c r="L144" s="5">
        <f>VLOOKUP(G144,全部!C:P,14,FALSE)</f>
        <v>0</v>
      </c>
      <c r="M144" s="5">
        <f>VLOOKUP(G144,全部!C:V,20,FALSE)*100</f>
        <v>4</v>
      </c>
      <c r="N144" s="6">
        <f>VLOOKUP(G144,全部!C:W,21,FALSE)</f>
        <v>57616.932800000002</v>
      </c>
      <c r="O144" s="4">
        <f>VLOOKUP(G144,全部!C:X,22,FALSE)</f>
        <v>57617</v>
      </c>
      <c r="P144" s="4">
        <f>VLOOKUP(G144,全部!C:Y,23,FALSE)</f>
        <v>57617</v>
      </c>
      <c r="Q144" s="6">
        <f>VLOOKUP(G144,全部!C:Z,24,FALSE)</f>
        <v>-6.7199999997683335E-2</v>
      </c>
      <c r="R144" s="7">
        <f>VLOOKUP(G144,全部!C:AA,25,FALSE)</f>
        <v>0</v>
      </c>
      <c r="S144" s="7">
        <f>VLOOKUP(G144,全部!C:AB,26,FALSE)</f>
        <v>0</v>
      </c>
      <c r="T144" s="4">
        <f>VLOOKUP(计算!G144,全部!C:AC,27,FALSE)</f>
        <v>1200000</v>
      </c>
      <c r="U144" s="4">
        <f>VLOOKUP(G144,全部!C:AD,28,FALSE)</f>
        <v>1200000</v>
      </c>
      <c r="V144" s="6">
        <f>VLOOKUP(G144,全部!C:AE,29,FALSE)</f>
        <v>0.83308842847670639</v>
      </c>
      <c r="W144" s="4">
        <f>VLOOKUP(G144,全部!C:AF,30,FALSE)</f>
        <v>0</v>
      </c>
      <c r="X144" s="4">
        <f>VLOOKUP(G144,全部!C:AG,31,FALSE)</f>
        <v>0</v>
      </c>
      <c r="Y144" s="4">
        <f>VLOOKUP(计算!G144,全部!C:AH,32,FALSE)</f>
        <v>1145710</v>
      </c>
      <c r="Z144" s="4">
        <f>VLOOKUP(G144,全部!C:AL,36,FALSE)</f>
        <v>1145710</v>
      </c>
      <c r="AA144" s="4">
        <f>VLOOKUP(G144,全部!C:AM,37,FALSE)</f>
        <v>0</v>
      </c>
      <c r="AB144" s="6">
        <f>VLOOKUP(G144,全部!C:AN,38,FALSE)</f>
        <v>52719.49</v>
      </c>
      <c r="AC144" s="4">
        <f>VLOOKUP(G144,全部!C:AO,39,FALSE)</f>
        <v>52719.49</v>
      </c>
      <c r="AD144" s="4">
        <f>VLOOKUP(G144,全部!C:AP,40,FALSE)</f>
        <v>52719.49</v>
      </c>
      <c r="AE144" s="6">
        <f>VLOOKUP(G144,全部!C:AQ,41,FALSE)</f>
        <v>0</v>
      </c>
      <c r="AF144" s="4">
        <f>VLOOKUP(G144,全部!C:AR,42,FALSE)</f>
        <v>0</v>
      </c>
      <c r="AG144" s="7">
        <f>VLOOKUP(G144,全部!C:AS,43,FALSE)</f>
        <v>0</v>
      </c>
      <c r="AH144" s="64" t="str">
        <f>IF(VLOOKUP(G144,全部!C:AT,44,FALSE)=0,"",VLOOKUP(G144,全部!C:AT,44,FALSE))</f>
        <v/>
      </c>
      <c r="AI144">
        <v>0</v>
      </c>
      <c r="AJ144" s="3">
        <v>41912.6862384259</v>
      </c>
      <c r="AK144" s="2" t="s">
        <v>1897</v>
      </c>
    </row>
    <row r="145" spans="1:37" x14ac:dyDescent="0.15">
      <c r="A145" s="2" t="s">
        <v>1896</v>
      </c>
      <c r="B145">
        <v>178</v>
      </c>
      <c r="C145" s="3">
        <v>41609</v>
      </c>
      <c r="D145" s="2" t="s">
        <v>37</v>
      </c>
      <c r="E145" s="2" t="s">
        <v>1895</v>
      </c>
      <c r="F145" s="2" t="s">
        <v>41</v>
      </c>
      <c r="G145" s="2" t="s">
        <v>308</v>
      </c>
      <c r="H145" s="2" t="s">
        <v>309</v>
      </c>
      <c r="I145" s="4">
        <f>VLOOKUP(G145,全部!C:M,11,FALSE)</f>
        <v>1236415</v>
      </c>
      <c r="J145" s="4">
        <f t="shared" si="2"/>
        <v>0</v>
      </c>
      <c r="K145" s="4">
        <f>VLOOKUP(计算!G145,全部!C:N,12,FALSE)</f>
        <v>0</v>
      </c>
      <c r="L145" s="5">
        <f>VLOOKUP(G145,全部!C:P,14,FALSE)</f>
        <v>0</v>
      </c>
      <c r="M145" s="5">
        <f>VLOOKUP(G145,全部!C:V,20,FALSE)*100</f>
        <v>4</v>
      </c>
      <c r="N145" s="6">
        <f>VLOOKUP(G145,全部!C:W,21,FALSE)</f>
        <v>49456.6</v>
      </c>
      <c r="O145" s="4">
        <f>VLOOKUP(G145,全部!C:X,22,FALSE)</f>
        <v>47920</v>
      </c>
      <c r="P145" s="4">
        <f>VLOOKUP(G145,全部!C:Y,23,FALSE)</f>
        <v>47920</v>
      </c>
      <c r="Q145" s="6">
        <f>VLOOKUP(G145,全部!C:Z,24,FALSE)</f>
        <v>1536.5999999999985</v>
      </c>
      <c r="R145" s="7">
        <f>VLOOKUP(G145,全部!C:AA,25,FALSE)</f>
        <v>0</v>
      </c>
      <c r="S145" s="7">
        <f>VLOOKUP(G145,全部!C:AB,26,FALSE)</f>
        <v>0</v>
      </c>
      <c r="T145" s="4">
        <f>VLOOKUP(计算!G145,全部!C:AC,27,FALSE)</f>
        <v>936915</v>
      </c>
      <c r="U145" s="4">
        <f>VLOOKUP(G145,全部!C:AD,28,FALSE)</f>
        <v>936915</v>
      </c>
      <c r="V145" s="6">
        <f>VLOOKUP(G145,全部!C:AE,29,FALSE)</f>
        <v>0.75776741628013244</v>
      </c>
      <c r="W145" s="4">
        <f>VLOOKUP(G145,全部!C:AF,30,FALSE)</f>
        <v>0</v>
      </c>
      <c r="X145" s="4">
        <f>VLOOKUP(G145,全部!C:AG,31,FALSE)</f>
        <v>0</v>
      </c>
      <c r="Y145" s="4">
        <f>VLOOKUP(计算!G145,全部!C:AH,32,FALSE)</f>
        <v>859342.86</v>
      </c>
      <c r="Z145" s="4">
        <f>VLOOKUP(G145,全部!C:AL,36,FALSE)</f>
        <v>859342.86</v>
      </c>
      <c r="AA145" s="4">
        <f>VLOOKUP(G145,全部!C:AM,37,FALSE)</f>
        <v>3.4000000000000002E-2</v>
      </c>
      <c r="AB145" s="6">
        <f>VLOOKUP(G145,全部!C:AN,38,FALSE)</f>
        <v>42038.11</v>
      </c>
      <c r="AC145" s="4">
        <f>VLOOKUP(G145,全部!C:AO,39,FALSE)</f>
        <v>31855.31</v>
      </c>
      <c r="AD145" s="4">
        <f>VLOOKUP(G145,全部!C:AP,40,FALSE)</f>
        <v>31855.31</v>
      </c>
      <c r="AE145" s="6">
        <f>VLOOKUP(G145,全部!C:AQ,41,FALSE)</f>
        <v>10182.799999999999</v>
      </c>
      <c r="AF145" s="4">
        <f>VLOOKUP(G145,全部!C:AR,42,FALSE)</f>
        <v>0</v>
      </c>
      <c r="AG145" s="7">
        <f>VLOOKUP(G145,全部!C:AS,43,FALSE)</f>
        <v>0</v>
      </c>
      <c r="AH145" s="64" t="str">
        <f>IF(VLOOKUP(G145,全部!C:AT,44,FALSE)=0,"",VLOOKUP(G145,全部!C:AT,44,FALSE))</f>
        <v/>
      </c>
      <c r="AI145">
        <v>0</v>
      </c>
      <c r="AJ145" s="3">
        <v>41912.6862384259</v>
      </c>
      <c r="AK145" s="2" t="s">
        <v>1894</v>
      </c>
    </row>
    <row r="146" spans="1:37" x14ac:dyDescent="0.15">
      <c r="A146" s="2" t="s">
        <v>1893</v>
      </c>
      <c r="B146">
        <v>192</v>
      </c>
      <c r="C146" s="3">
        <v>41609</v>
      </c>
      <c r="D146" s="2" t="s">
        <v>37</v>
      </c>
      <c r="E146" s="2" t="s">
        <v>1892</v>
      </c>
      <c r="F146" s="2" t="s">
        <v>41</v>
      </c>
      <c r="G146" s="2" t="s">
        <v>310</v>
      </c>
      <c r="H146" s="2" t="s">
        <v>311</v>
      </c>
      <c r="I146" s="4">
        <f>VLOOKUP(G146,全部!C:M,11,FALSE)</f>
        <v>1042588.3</v>
      </c>
      <c r="J146" s="4">
        <f t="shared" si="2"/>
        <v>0</v>
      </c>
      <c r="K146" s="4">
        <f>VLOOKUP(计算!G146,全部!C:N,12,FALSE)</f>
        <v>0</v>
      </c>
      <c r="L146" s="5">
        <f>VLOOKUP(G146,全部!C:P,14,FALSE)</f>
        <v>0</v>
      </c>
      <c r="M146" s="5">
        <f>VLOOKUP(G146,全部!C:V,20,FALSE)*100</f>
        <v>3.5999999999999996</v>
      </c>
      <c r="N146" s="6">
        <f>VLOOKUP(G146,全部!C:W,21,FALSE)</f>
        <v>37533.178800000002</v>
      </c>
      <c r="O146" s="4">
        <f>VLOOKUP(G146,全部!C:X,22,FALSE)</f>
        <v>2892.48</v>
      </c>
      <c r="P146" s="4">
        <f>VLOOKUP(G146,全部!C:Y,23,FALSE)</f>
        <v>2892.48</v>
      </c>
      <c r="Q146" s="6">
        <f>VLOOKUP(G146,全部!C:Z,24,FALSE)</f>
        <v>34640.698799999998</v>
      </c>
      <c r="R146" s="7">
        <f>VLOOKUP(G146,全部!C:AA,25,FALSE)</f>
        <v>0</v>
      </c>
      <c r="S146" s="7">
        <f>VLOOKUP(G146,全部!C:AB,26,FALSE)</f>
        <v>0</v>
      </c>
      <c r="T146" s="4">
        <f>VLOOKUP(计算!G146,全部!C:AC,27,FALSE)</f>
        <v>300000</v>
      </c>
      <c r="U146" s="4">
        <f>VLOOKUP(G146,全部!C:AD,28,FALSE)</f>
        <v>300000</v>
      </c>
      <c r="V146" s="6">
        <f>VLOOKUP(G146,全部!C:AE,29,FALSE)</f>
        <v>0.28774541206725607</v>
      </c>
      <c r="W146" s="4">
        <f>VLOOKUP(G146,全部!C:AF,30,FALSE)</f>
        <v>0</v>
      </c>
      <c r="X146" s="4">
        <f>VLOOKUP(G146,全部!C:AG,31,FALSE)</f>
        <v>0</v>
      </c>
      <c r="Y146" s="4">
        <f>VLOOKUP(计算!G146,全部!C:AH,32,FALSE)</f>
        <v>289800</v>
      </c>
      <c r="Z146" s="4">
        <f>VLOOKUP(G146,全部!C:AL,36,FALSE)</f>
        <v>289800</v>
      </c>
      <c r="AA146" s="4">
        <f>VLOOKUP(G146,全部!C:AM,37,FALSE)</f>
        <v>3.4000000000000002E-2</v>
      </c>
      <c r="AB146" s="6">
        <f>VLOOKUP(G146,全部!C:AN,38,FALSE)</f>
        <v>35448.002200000003</v>
      </c>
      <c r="AC146" s="4">
        <f>VLOOKUP(G146,全部!C:AO,39,FALSE)</f>
        <v>10200</v>
      </c>
      <c r="AD146" s="4">
        <f>VLOOKUP(G146,全部!C:AP,40,FALSE)</f>
        <v>10200</v>
      </c>
      <c r="AE146" s="6">
        <f>VLOOKUP(G146,全部!C:AQ,41,FALSE)</f>
        <v>25248.002200000003</v>
      </c>
      <c r="AF146" s="4">
        <f>VLOOKUP(G146,全部!C:AR,42,FALSE)</f>
        <v>0</v>
      </c>
      <c r="AG146" s="7">
        <f>VLOOKUP(G146,全部!C:AS,43,FALSE)</f>
        <v>0</v>
      </c>
      <c r="AH146" s="64" t="str">
        <f>IF(VLOOKUP(G146,全部!C:AT,44,FALSE)=0,"",VLOOKUP(G146,全部!C:AT,44,FALSE))</f>
        <v/>
      </c>
      <c r="AI146">
        <v>0</v>
      </c>
      <c r="AJ146" s="3">
        <v>41912.6862384259</v>
      </c>
      <c r="AK146" s="2" t="s">
        <v>1891</v>
      </c>
    </row>
    <row r="147" spans="1:37" x14ac:dyDescent="0.15">
      <c r="A147" s="2" t="s">
        <v>1890</v>
      </c>
      <c r="B147">
        <v>206</v>
      </c>
      <c r="C147" s="3">
        <v>41609</v>
      </c>
      <c r="D147" s="2" t="s">
        <v>37</v>
      </c>
      <c r="E147" s="2" t="s">
        <v>1889</v>
      </c>
      <c r="F147" s="2" t="s">
        <v>41</v>
      </c>
      <c r="G147" s="2" t="s">
        <v>314</v>
      </c>
      <c r="H147" s="2" t="s">
        <v>315</v>
      </c>
      <c r="I147" s="4">
        <f>VLOOKUP(G147,全部!C:M,11,FALSE)</f>
        <v>1976165.98</v>
      </c>
      <c r="J147" s="4">
        <f t="shared" si="2"/>
        <v>0</v>
      </c>
      <c r="K147" s="4">
        <f>VLOOKUP(计算!G147,全部!C:N,12,FALSE)</f>
        <v>0</v>
      </c>
      <c r="L147" s="5">
        <f>VLOOKUP(G147,全部!C:P,14,FALSE)</f>
        <v>0</v>
      </c>
      <c r="M147" s="5">
        <f>VLOOKUP(G147,全部!C:V,20,FALSE)*100</f>
        <v>3.5999999999999996</v>
      </c>
      <c r="N147" s="6">
        <f>VLOOKUP(G147,全部!C:W,21,FALSE)</f>
        <v>71141.975279999999</v>
      </c>
      <c r="O147" s="4">
        <f>VLOOKUP(G147,全部!C:X,22,FALSE)</f>
        <v>0</v>
      </c>
      <c r="P147" s="4">
        <f>VLOOKUP(G147,全部!C:Y,23,FALSE)</f>
        <v>0</v>
      </c>
      <c r="Q147" s="6">
        <f>VLOOKUP(G147,全部!C:Z,24,FALSE)</f>
        <v>71141.975279999999</v>
      </c>
      <c r="R147" s="7">
        <f>VLOOKUP(G147,全部!C:AA,25,FALSE)</f>
        <v>0</v>
      </c>
      <c r="S147" s="7">
        <f>VLOOKUP(G147,全部!C:AB,26,FALSE)</f>
        <v>0</v>
      </c>
      <c r="T147" s="4">
        <f>VLOOKUP(计算!G147,全部!C:AC,27,FALSE)</f>
        <v>1585970</v>
      </c>
      <c r="U147" s="4">
        <f>VLOOKUP(G147,全部!C:AD,28,FALSE)</f>
        <v>1585970</v>
      </c>
      <c r="V147" s="6">
        <f>VLOOKUP(G147,全部!C:AE,29,FALSE)</f>
        <v>0.80254898427104793</v>
      </c>
      <c r="W147" s="4">
        <f>VLOOKUP(G147,全部!C:AF,30,FALSE)</f>
        <v>0</v>
      </c>
      <c r="X147" s="4">
        <f>VLOOKUP(G147,全部!C:AG,31,FALSE)</f>
        <v>0</v>
      </c>
      <c r="Y147" s="4">
        <f>VLOOKUP(计算!G147,全部!C:AH,32,FALSE)</f>
        <v>1529184.12</v>
      </c>
      <c r="Z147" s="4">
        <f>VLOOKUP(G147,全部!C:AL,36,FALSE)</f>
        <v>1529184.12</v>
      </c>
      <c r="AA147" s="4">
        <f>VLOOKUP(G147,全部!C:AM,37,FALSE)</f>
        <v>3.4000000000000002E-2</v>
      </c>
      <c r="AB147" s="6">
        <f>VLOOKUP(G147,全部!C:AN,38,FALSE)</f>
        <v>67189.643320000003</v>
      </c>
      <c r="AC147" s="4">
        <f>VLOOKUP(G147,全部!C:AO,39,FALSE)</f>
        <v>33594.800000000003</v>
      </c>
      <c r="AD147" s="4">
        <f>VLOOKUP(G147,全部!C:AP,40,FALSE)</f>
        <v>33594.800000000003</v>
      </c>
      <c r="AE147" s="6">
        <f>VLOOKUP(G147,全部!C:AQ,41,FALSE)</f>
        <v>33594.84332</v>
      </c>
      <c r="AF147" s="4">
        <f>VLOOKUP(G147,全部!C:AR,42,FALSE)</f>
        <v>0</v>
      </c>
      <c r="AG147" s="7">
        <f>VLOOKUP(G147,全部!C:AS,43,FALSE)</f>
        <v>0</v>
      </c>
      <c r="AH147" s="64" t="str">
        <f>IF(VLOOKUP(G147,全部!C:AT,44,FALSE)=0,"",VLOOKUP(G147,全部!C:AT,44,FALSE))</f>
        <v/>
      </c>
      <c r="AI147">
        <v>0</v>
      </c>
      <c r="AJ147" s="3">
        <v>41912.6862384259</v>
      </c>
      <c r="AK147" s="2" t="s">
        <v>1888</v>
      </c>
    </row>
    <row r="148" spans="1:37" x14ac:dyDescent="0.15">
      <c r="A148" s="2" t="s">
        <v>1887</v>
      </c>
      <c r="B148">
        <v>1058</v>
      </c>
      <c r="C148" s="3">
        <v>41618</v>
      </c>
      <c r="D148" s="2" t="s">
        <v>37</v>
      </c>
      <c r="E148" s="2" t="s">
        <v>1886</v>
      </c>
      <c r="F148" s="2" t="s">
        <v>38</v>
      </c>
      <c r="G148" s="2" t="s">
        <v>336</v>
      </c>
      <c r="H148" s="2" t="s">
        <v>337</v>
      </c>
      <c r="I148" s="4">
        <f>VLOOKUP(G148,全部!C:M,11,FALSE)</f>
        <v>19413696.16</v>
      </c>
      <c r="J148" s="4">
        <f t="shared" si="2"/>
        <v>0</v>
      </c>
      <c r="K148" s="4">
        <f>VLOOKUP(计算!G148,全部!C:N,12,FALSE)</f>
        <v>0</v>
      </c>
      <c r="L148" s="5">
        <f>VLOOKUP(G148,全部!C:P,14,FALSE)</f>
        <v>0</v>
      </c>
      <c r="M148" s="5">
        <f>VLOOKUP(G148,全部!C:V,20,FALSE)*100</f>
        <v>3</v>
      </c>
      <c r="N148" s="6">
        <f>VLOOKUP(G148,全部!C:W,21,FALSE)</f>
        <v>582410.8848</v>
      </c>
      <c r="O148" s="4">
        <f>VLOOKUP(G148,全部!C:X,22,FALSE)</f>
        <v>582411</v>
      </c>
      <c r="P148" s="4">
        <f>VLOOKUP(G148,全部!C:Y,23,FALSE)</f>
        <v>582411</v>
      </c>
      <c r="Q148" s="6">
        <f>VLOOKUP(G148,全部!C:Z,24,FALSE)</f>
        <v>0</v>
      </c>
      <c r="R148" s="7">
        <f>VLOOKUP(G148,全部!C:AA,25,FALSE)</f>
        <v>11410745</v>
      </c>
      <c r="S148" s="7">
        <f>VLOOKUP(G148,全部!C:AB,26,FALSE)</f>
        <v>11410745</v>
      </c>
      <c r="T148" s="4">
        <f>VLOOKUP(计算!G148,全部!C:AC,27,FALSE)</f>
        <v>12320000</v>
      </c>
      <c r="U148" s="4">
        <f>VLOOKUP(G148,全部!C:AD,28,FALSE)</f>
        <v>12320000</v>
      </c>
      <c r="V148" s="6">
        <f>VLOOKUP(G148,全部!C:AE,29,FALSE)</f>
        <v>0.63460352415446475</v>
      </c>
      <c r="W148" s="4">
        <f>VLOOKUP(G148,全部!C:AF,30,FALSE)</f>
        <v>11478428.550000001</v>
      </c>
      <c r="X148" s="4">
        <f>VLOOKUP(G148,全部!C:AG,31,FALSE)</f>
        <v>11478428.550000001</v>
      </c>
      <c r="Y148" s="4">
        <f>VLOOKUP(计算!G148,全部!C:AH,32,FALSE)</f>
        <v>11478428.550000001</v>
      </c>
      <c r="Z148" s="4">
        <f>VLOOKUP(G148,全部!C:AL,36,FALSE)</f>
        <v>11478428.550000001</v>
      </c>
      <c r="AA148" s="4">
        <f>VLOOKUP(G148,全部!C:AM,37,FALSE)</f>
        <v>0</v>
      </c>
      <c r="AB148" s="6">
        <f>VLOOKUP(G148,全部!C:AN,38,FALSE)</f>
        <v>0</v>
      </c>
      <c r="AC148" s="4">
        <f>VLOOKUP(G148,全部!C:AO,39,FALSE)</f>
        <v>0</v>
      </c>
      <c r="AD148" s="4">
        <f>VLOOKUP(G148,全部!C:AP,40,FALSE)</f>
        <v>0</v>
      </c>
      <c r="AE148" s="6">
        <f>VLOOKUP(G148,全部!C:AQ,41,FALSE)</f>
        <v>0</v>
      </c>
      <c r="AF148" s="4">
        <f>VLOOKUP(G148,全部!C:AR,42,FALSE)</f>
        <v>0</v>
      </c>
      <c r="AG148" s="7">
        <f>VLOOKUP(G148,全部!C:AS,43,FALSE)</f>
        <v>0</v>
      </c>
      <c r="AH148" s="64" t="str">
        <f>IF(VLOOKUP(G148,全部!C:AT,44,FALSE)=0,"",VLOOKUP(G148,全部!C:AT,44,FALSE))</f>
        <v/>
      </c>
      <c r="AI148">
        <v>0</v>
      </c>
      <c r="AJ148" s="3">
        <v>41912.6862847222</v>
      </c>
      <c r="AK148" s="2" t="s">
        <v>1885</v>
      </c>
    </row>
    <row r="149" spans="1:37" x14ac:dyDescent="0.15">
      <c r="A149" s="2" t="s">
        <v>1884</v>
      </c>
      <c r="B149">
        <v>1064</v>
      </c>
      <c r="C149" s="3">
        <v>41626</v>
      </c>
      <c r="D149" s="2" t="s">
        <v>37</v>
      </c>
      <c r="E149" s="2" t="s">
        <v>1883</v>
      </c>
      <c r="F149" s="2" t="s">
        <v>38</v>
      </c>
      <c r="G149" s="2" t="s">
        <v>338</v>
      </c>
      <c r="H149" s="2" t="s">
        <v>339</v>
      </c>
      <c r="I149" s="4">
        <f>VLOOKUP(G149,全部!C:M,11,FALSE)</f>
        <v>8060000</v>
      </c>
      <c r="J149" s="4">
        <f t="shared" si="2"/>
        <v>0</v>
      </c>
      <c r="K149" s="4">
        <f>VLOOKUP(计算!G149,全部!C:N,12,FALSE)</f>
        <v>0</v>
      </c>
      <c r="L149" s="5">
        <f>VLOOKUP(G149,全部!C:P,14,FALSE)</f>
        <v>0</v>
      </c>
      <c r="M149" s="5">
        <f>VLOOKUP(G149,全部!C:V,20,FALSE)*100</f>
        <v>3</v>
      </c>
      <c r="N149" s="6">
        <f>VLOOKUP(G149,全部!C:W,21,FALSE)</f>
        <v>241800</v>
      </c>
      <c r="O149" s="4">
        <f>VLOOKUP(G149,全部!C:X,22,FALSE)</f>
        <v>241800</v>
      </c>
      <c r="P149" s="4">
        <f>VLOOKUP(G149,全部!C:Y,23,FALSE)</f>
        <v>241800</v>
      </c>
      <c r="Q149" s="6">
        <f>VLOOKUP(G149,全部!C:Z,24,FALSE)</f>
        <v>0</v>
      </c>
      <c r="R149" s="7">
        <f>VLOOKUP(G149,全部!C:AA,25,FALSE)</f>
        <v>0</v>
      </c>
      <c r="S149" s="7">
        <f>VLOOKUP(G149,全部!C:AB,26,FALSE)</f>
        <v>0</v>
      </c>
      <c r="T149" s="4">
        <f>VLOOKUP(计算!G149,全部!C:AC,27,FALSE)</f>
        <v>3057158</v>
      </c>
      <c r="U149" s="4">
        <f>VLOOKUP(G149,全部!C:AD,28,FALSE)</f>
        <v>3057158</v>
      </c>
      <c r="V149" s="6">
        <f>VLOOKUP(G149,全部!C:AE,29,FALSE)</f>
        <v>0.37930000000000003</v>
      </c>
      <c r="W149" s="4">
        <f>VLOOKUP(G149,全部!C:AF,30,FALSE)</f>
        <v>2765096.52</v>
      </c>
      <c r="X149" s="4">
        <f>VLOOKUP(G149,全部!C:AG,31,FALSE)</f>
        <v>2765096.52</v>
      </c>
      <c r="Y149" s="4">
        <f>VLOOKUP(计算!G149,全部!C:AH,32,FALSE)</f>
        <v>2765096.52</v>
      </c>
      <c r="Z149" s="4">
        <f>VLOOKUP(G149,全部!C:AL,36,FALSE)</f>
        <v>2765096.52</v>
      </c>
      <c r="AA149" s="4">
        <f>VLOOKUP(G149,全部!C:AM,37,FALSE)</f>
        <v>0</v>
      </c>
      <c r="AB149" s="6">
        <f>VLOOKUP(G149,全部!C:AN,38,FALSE)</f>
        <v>0</v>
      </c>
      <c r="AC149" s="4">
        <f>VLOOKUP(G149,全部!C:AO,39,FALSE)</f>
        <v>0</v>
      </c>
      <c r="AD149" s="4">
        <f>VLOOKUP(G149,全部!C:AP,40,FALSE)</f>
        <v>0</v>
      </c>
      <c r="AE149" s="6">
        <f>VLOOKUP(G149,全部!C:AQ,41,FALSE)</f>
        <v>0</v>
      </c>
      <c r="AF149" s="4">
        <f>VLOOKUP(G149,全部!C:AR,42,FALSE)</f>
        <v>0</v>
      </c>
      <c r="AG149" s="7">
        <f>VLOOKUP(G149,全部!C:AS,43,FALSE)</f>
        <v>104</v>
      </c>
      <c r="AH149" s="64" t="str">
        <f>IF(VLOOKUP(G149,全部!C:AT,44,FALSE)=0,"",VLOOKUP(G149,全部!C:AT,44,FALSE))</f>
        <v>三河</v>
      </c>
      <c r="AI149">
        <v>0</v>
      </c>
      <c r="AJ149" s="3">
        <v>41912.6862847222</v>
      </c>
      <c r="AK149" s="2" t="s">
        <v>1882</v>
      </c>
    </row>
    <row r="150" spans="1:37" x14ac:dyDescent="0.15">
      <c r="A150" s="2" t="s">
        <v>1881</v>
      </c>
      <c r="B150">
        <v>1071</v>
      </c>
      <c r="C150" s="3">
        <v>41626</v>
      </c>
      <c r="D150" s="2" t="s">
        <v>37</v>
      </c>
      <c r="E150" s="2" t="s">
        <v>1880</v>
      </c>
      <c r="F150" s="2" t="s">
        <v>38</v>
      </c>
      <c r="G150" s="2" t="s">
        <v>340</v>
      </c>
      <c r="H150" s="2" t="s">
        <v>341</v>
      </c>
      <c r="I150" s="4">
        <f>VLOOKUP(G150,全部!C:M,11,FALSE)</f>
        <v>229276</v>
      </c>
      <c r="J150" s="4">
        <f t="shared" si="2"/>
        <v>0</v>
      </c>
      <c r="K150" s="4">
        <f>VLOOKUP(计算!G150,全部!C:N,12,FALSE)</f>
        <v>0</v>
      </c>
      <c r="L150" s="5">
        <f>VLOOKUP(G150,全部!C:P,14,FALSE)</f>
        <v>0</v>
      </c>
      <c r="M150" s="5">
        <f>VLOOKUP(G150,全部!C:V,20,FALSE)*100</f>
        <v>3</v>
      </c>
      <c r="N150" s="6">
        <f>VLOOKUP(G150,全部!C:W,21,FALSE)</f>
        <v>6878.28</v>
      </c>
      <c r="O150" s="4">
        <f>VLOOKUP(G150,全部!C:X,22,FALSE)</f>
        <v>0</v>
      </c>
      <c r="P150" s="4">
        <f>VLOOKUP(G150,全部!C:Y,23,FALSE)</f>
        <v>0</v>
      </c>
      <c r="Q150" s="6">
        <f>VLOOKUP(G150,全部!C:Z,24,FALSE)</f>
        <v>6878.28</v>
      </c>
      <c r="R150" s="7">
        <f>VLOOKUP(G150,全部!C:AA,25,FALSE)</f>
        <v>91710.76</v>
      </c>
      <c r="S150" s="7">
        <f>VLOOKUP(G150,全部!C:AB,26,FALSE)</f>
        <v>91710.76</v>
      </c>
      <c r="T150" s="4">
        <f>VLOOKUP(计算!G150,全部!C:AC,27,FALSE)</f>
        <v>91710.76</v>
      </c>
      <c r="U150" s="4">
        <f>VLOOKUP(G150,全部!C:AD,28,FALSE)</f>
        <v>91710.76</v>
      </c>
      <c r="V150" s="6">
        <f>VLOOKUP(G150,全部!C:AE,29,FALSE)</f>
        <v>0.40000157015998183</v>
      </c>
      <c r="W150" s="4">
        <f>VLOOKUP(G150,全部!C:AF,30,FALSE)</f>
        <v>60349</v>
      </c>
      <c r="X150" s="4">
        <f>VLOOKUP(G150,全部!C:AG,31,FALSE)</f>
        <v>60349</v>
      </c>
      <c r="Y150" s="4">
        <f>VLOOKUP(计算!G150,全部!C:AH,32,FALSE)</f>
        <v>66158</v>
      </c>
      <c r="Z150" s="4">
        <f>VLOOKUP(G150,全部!C:AL,36,FALSE)</f>
        <v>66158</v>
      </c>
      <c r="AA150" s="4">
        <f>VLOOKUP(G150,全部!C:AM,37,FALSE)</f>
        <v>3.4000000000000002E-2</v>
      </c>
      <c r="AB150" s="6">
        <f>VLOOKUP(G150,全部!C:AN,38,FALSE)</f>
        <v>3118.1658400000001</v>
      </c>
      <c r="AC150" s="4">
        <f>VLOOKUP(G150,全部!C:AO,39,FALSE)</f>
        <v>3118</v>
      </c>
      <c r="AD150" s="4">
        <f>VLOOKUP(G150,全部!C:AP,40,FALSE)</f>
        <v>3118</v>
      </c>
      <c r="AE150" s="6">
        <f>VLOOKUP(G150,全部!C:AQ,41,FALSE)</f>
        <v>0</v>
      </c>
      <c r="AF150" s="4">
        <f>VLOOKUP(G150,全部!C:AR,42,FALSE)</f>
        <v>0</v>
      </c>
      <c r="AG150" s="7">
        <f>VLOOKUP(G150,全部!C:AS,43,FALSE)</f>
        <v>2</v>
      </c>
      <c r="AH150" s="64" t="str">
        <f>IF(VLOOKUP(G150,全部!C:AT,44,FALSE)=0,"",VLOOKUP(G150,全部!C:AT,44,FALSE))</f>
        <v>管庄</v>
      </c>
      <c r="AI150">
        <v>0</v>
      </c>
      <c r="AJ150" s="3">
        <v>41912.6862847222</v>
      </c>
      <c r="AK150" s="2" t="s">
        <v>1879</v>
      </c>
    </row>
    <row r="151" spans="1:37" x14ac:dyDescent="0.15">
      <c r="A151" s="2" t="s">
        <v>1878</v>
      </c>
      <c r="B151">
        <v>1080</v>
      </c>
      <c r="C151" s="3">
        <v>41628</v>
      </c>
      <c r="D151" s="2" t="s">
        <v>37</v>
      </c>
      <c r="E151" s="2" t="s">
        <v>1877</v>
      </c>
      <c r="F151" s="2" t="s">
        <v>38</v>
      </c>
      <c r="G151" s="2" t="s">
        <v>342</v>
      </c>
      <c r="H151" s="2" t="s">
        <v>343</v>
      </c>
      <c r="I151" s="4">
        <f>VLOOKUP(G151,全部!C:M,11,FALSE)</f>
        <v>330000</v>
      </c>
      <c r="J151" s="4">
        <f t="shared" si="2"/>
        <v>0</v>
      </c>
      <c r="K151" s="4">
        <f>VLOOKUP(计算!G151,全部!C:N,12,FALSE)</f>
        <v>0</v>
      </c>
      <c r="L151" s="5">
        <f>VLOOKUP(G151,全部!C:P,14,FALSE)</f>
        <v>0</v>
      </c>
      <c r="M151" s="5">
        <f>VLOOKUP(G151,全部!C:V,20,FALSE)*100</f>
        <v>3.5999999999999996</v>
      </c>
      <c r="N151" s="6">
        <f>VLOOKUP(G151,全部!C:W,21,FALSE)</f>
        <v>11880</v>
      </c>
      <c r="O151" s="4">
        <f>VLOOKUP(G151,全部!C:X,22,FALSE)</f>
        <v>3405.5</v>
      </c>
      <c r="P151" s="4">
        <f>VLOOKUP(G151,全部!C:Y,23,FALSE)</f>
        <v>3405.5</v>
      </c>
      <c r="Q151" s="6">
        <f>VLOOKUP(G151,全部!C:Z,24,FALSE)</f>
        <v>8474.5</v>
      </c>
      <c r="R151" s="7">
        <f>VLOOKUP(G151,全部!C:AA,25,FALSE)</f>
        <v>180000</v>
      </c>
      <c r="S151" s="7">
        <f>VLOOKUP(G151,全部!C:AB,26,FALSE)</f>
        <v>180000</v>
      </c>
      <c r="T151" s="4">
        <f>VLOOKUP(计算!G151,全部!C:AC,27,FALSE)</f>
        <v>180000</v>
      </c>
      <c r="U151" s="4">
        <f>VLOOKUP(G151,全部!C:AD,28,FALSE)</f>
        <v>180000</v>
      </c>
      <c r="V151" s="6">
        <f>VLOOKUP(G151,全部!C:AE,29,FALSE)</f>
        <v>0.54545454545454541</v>
      </c>
      <c r="W151" s="4">
        <f>VLOOKUP(G151,全部!C:AF,30,FALSE)</f>
        <v>170720</v>
      </c>
      <c r="X151" s="4">
        <f>VLOOKUP(G151,全部!C:AG,31,FALSE)</f>
        <v>170720</v>
      </c>
      <c r="Y151" s="4">
        <f>VLOOKUP(计算!G151,全部!C:AH,32,FALSE)</f>
        <v>176120</v>
      </c>
      <c r="Z151" s="4">
        <f>VLOOKUP(G151,全部!C:AL,36,FALSE)</f>
        <v>176840</v>
      </c>
      <c r="AA151" s="4">
        <f>VLOOKUP(G151,全部!C:AM,37,FALSE)</f>
        <v>3.4000000000000002E-2</v>
      </c>
      <c r="AB151" s="6">
        <f>VLOOKUP(G151,全部!C:AN,38,FALSE)</f>
        <v>6120</v>
      </c>
      <c r="AC151" s="4">
        <f>VLOOKUP(G151,全部!C:AO,39,FALSE)</f>
        <v>6120</v>
      </c>
      <c r="AD151" s="4">
        <f>VLOOKUP(G151,全部!C:AP,40,FALSE)</f>
        <v>6120</v>
      </c>
      <c r="AE151" s="6">
        <f>VLOOKUP(G151,全部!C:AQ,41,FALSE)</f>
        <v>0</v>
      </c>
      <c r="AF151" s="4">
        <f>VLOOKUP(G151,全部!C:AR,42,FALSE)</f>
        <v>0</v>
      </c>
      <c r="AG151" s="7">
        <f>VLOOKUP(G151,全部!C:AS,43,FALSE)</f>
        <v>5</v>
      </c>
      <c r="AH151" s="64" t="str">
        <f>IF(VLOOKUP(G151,全部!C:AT,44,FALSE)=0,"",VLOOKUP(G151,全部!C:AT,44,FALSE))</f>
        <v>昌平</v>
      </c>
      <c r="AI151">
        <v>0</v>
      </c>
      <c r="AJ151" s="3">
        <v>41912.6862847222</v>
      </c>
      <c r="AK151" s="2" t="s">
        <v>1876</v>
      </c>
    </row>
    <row r="152" spans="1:37" x14ac:dyDescent="0.15">
      <c r="A152" s="2" t="s">
        <v>1875</v>
      </c>
      <c r="B152">
        <v>1086</v>
      </c>
      <c r="C152" s="3">
        <v>41640</v>
      </c>
      <c r="D152" s="2" t="s">
        <v>37</v>
      </c>
      <c r="E152" s="2" t="s">
        <v>1874</v>
      </c>
      <c r="F152" s="2" t="s">
        <v>38</v>
      </c>
      <c r="G152" s="2" t="s">
        <v>344</v>
      </c>
      <c r="H152" s="2" t="s">
        <v>345</v>
      </c>
      <c r="I152" s="4">
        <f>VLOOKUP(G152,全部!C:M,11,FALSE)</f>
        <v>61225227</v>
      </c>
      <c r="J152" s="4">
        <f t="shared" si="2"/>
        <v>0</v>
      </c>
      <c r="K152" s="4">
        <f>VLOOKUP(计算!G152,全部!C:N,12,FALSE)</f>
        <v>0</v>
      </c>
      <c r="L152" s="5">
        <f>VLOOKUP(G152,全部!C:P,14,FALSE)</f>
        <v>0</v>
      </c>
      <c r="M152" s="5">
        <f>VLOOKUP(G152,全部!C:V,20,FALSE)*100</f>
        <v>2.5</v>
      </c>
      <c r="N152" s="6">
        <f>VLOOKUP(G152,全部!C:W,21,FALSE)</f>
        <v>1530630.675</v>
      </c>
      <c r="O152" s="4">
        <f>VLOOKUP(G152,全部!C:X,22,FALSE)</f>
        <v>790000</v>
      </c>
      <c r="P152" s="4">
        <f>VLOOKUP(G152,全部!C:Y,23,FALSE)</f>
        <v>790000</v>
      </c>
      <c r="Q152" s="6">
        <f>VLOOKUP(G152,全部!C:Z,24,FALSE)</f>
        <v>740630.67500000005</v>
      </c>
      <c r="R152" s="7">
        <f>VLOOKUP(G152,全部!C:AA,25,FALSE)</f>
        <v>28124956.18</v>
      </c>
      <c r="S152" s="7">
        <f>VLOOKUP(G152,全部!C:AB,26,FALSE)</f>
        <v>28124956.18</v>
      </c>
      <c r="T152" s="4">
        <f>VLOOKUP(计算!G152,全部!C:AC,27,FALSE)</f>
        <v>19687469.329999998</v>
      </c>
      <c r="U152" s="4">
        <f>VLOOKUP(G152,全部!C:AD,28,FALSE)</f>
        <v>19687469.329999998</v>
      </c>
      <c r="V152" s="6">
        <f>VLOOKUP(G152,全部!C:AE,29,FALSE)</f>
        <v>0.32155812717525734</v>
      </c>
      <c r="W152" s="4">
        <f>VLOOKUP(G152,全部!C:AF,30,FALSE)</f>
        <v>14697501.280000001</v>
      </c>
      <c r="X152" s="4">
        <f>VLOOKUP(G152,全部!C:AG,31,FALSE)</f>
        <v>14697501.280000001</v>
      </c>
      <c r="Y152" s="4">
        <f>VLOOKUP(计算!G152,全部!C:AH,32,FALSE)</f>
        <v>17777554.560000002</v>
      </c>
      <c r="Z152" s="4">
        <f>VLOOKUP(G152,全部!C:AL,36,FALSE)</f>
        <v>17777554.559999999</v>
      </c>
      <c r="AA152" s="4">
        <f>VLOOKUP(G152,全部!C:AM,37,FALSE)</f>
        <v>3.56E-2</v>
      </c>
      <c r="AB152" s="6">
        <f>VLOOKUP(G152,全部!C:AN,38,FALSE)</f>
        <v>1001248.440008</v>
      </c>
      <c r="AC152" s="4">
        <f>VLOOKUP(G152,全部!C:AO,39,FALSE)</f>
        <v>0</v>
      </c>
      <c r="AD152" s="4">
        <f>VLOOKUP(G152,全部!C:AP,40,FALSE)</f>
        <v>0</v>
      </c>
      <c r="AE152" s="6">
        <f>VLOOKUP(G152,全部!C:AQ,41,FALSE)</f>
        <v>0</v>
      </c>
      <c r="AF152" s="4">
        <f>VLOOKUP(G152,全部!C:AR,42,FALSE)</f>
        <v>0</v>
      </c>
      <c r="AG152" s="7">
        <f>VLOOKUP(G152,全部!C:AS,43,FALSE)</f>
        <v>0</v>
      </c>
      <c r="AH152" s="66" t="str">
        <f>IF(VLOOKUP(G152,全部!C:AT,44,FALSE)=0,"",VLOOKUP(G152,全部!C:AT,44,FALSE))</f>
        <v>亦庄</v>
      </c>
      <c r="AI152">
        <v>0</v>
      </c>
      <c r="AJ152" s="3">
        <v>41912.6862847222</v>
      </c>
      <c r="AK152" s="2" t="s">
        <v>1873</v>
      </c>
    </row>
    <row r="153" spans="1:37" x14ac:dyDescent="0.15">
      <c r="A153" s="2" t="s">
        <v>1872</v>
      </c>
      <c r="B153">
        <v>1102</v>
      </c>
      <c r="C153" s="3">
        <v>41640</v>
      </c>
      <c r="D153" s="2" t="s">
        <v>37</v>
      </c>
      <c r="E153" s="2" t="s">
        <v>1871</v>
      </c>
      <c r="F153" s="2" t="s">
        <v>38</v>
      </c>
      <c r="G153" s="2" t="s">
        <v>350</v>
      </c>
      <c r="H153" s="2" t="s">
        <v>351</v>
      </c>
      <c r="I153" s="4">
        <f>VLOOKUP(G153,全部!C:M,11,FALSE)</f>
        <v>42615176.350000001</v>
      </c>
      <c r="J153" s="4">
        <f t="shared" si="2"/>
        <v>0</v>
      </c>
      <c r="K153" s="4">
        <f>VLOOKUP(计算!G153,全部!C:N,12,FALSE)</f>
        <v>0</v>
      </c>
      <c r="L153" s="5">
        <f>VLOOKUP(G153,全部!C:P,14,FALSE)</f>
        <v>0</v>
      </c>
      <c r="M153" s="5">
        <f>VLOOKUP(G153,全部!C:V,20,FALSE)*100</f>
        <v>3</v>
      </c>
      <c r="N153" s="6">
        <f>VLOOKUP(G153,全部!C:W,21,FALSE)</f>
        <v>1278455.2904999999</v>
      </c>
      <c r="O153" s="4">
        <f>VLOOKUP(G153,全部!C:X,22,FALSE)</f>
        <v>800000</v>
      </c>
      <c r="P153" s="4">
        <f>VLOOKUP(G153,全部!C:Y,23,FALSE)</f>
        <v>800000</v>
      </c>
      <c r="Q153" s="6">
        <f>VLOOKUP(G153,全部!C:Z,24,FALSE)</f>
        <v>478455.29049999989</v>
      </c>
      <c r="R153" s="7">
        <f>VLOOKUP(G153,全部!C:AA,25,FALSE)</f>
        <v>17886113.5</v>
      </c>
      <c r="S153" s="7">
        <f>VLOOKUP(G153,全部!C:AB,26,FALSE)</f>
        <v>17886113.5</v>
      </c>
      <c r="T153" s="4">
        <f>VLOOKUP(计算!G153,全部!C:AC,27,FALSE)</f>
        <v>17886113.5</v>
      </c>
      <c r="U153" s="4">
        <f>VLOOKUP(G153,全部!C:AD,28,FALSE)</f>
        <v>17886113.5</v>
      </c>
      <c r="V153" s="6">
        <f>VLOOKUP(G153,全部!C:AE,29,FALSE)</f>
        <v>0.41971229575822228</v>
      </c>
      <c r="W153" s="4">
        <f>VLOOKUP(G153,全部!C:AF,30,FALSE)</f>
        <v>16222938.100000001</v>
      </c>
      <c r="X153" s="4">
        <f>VLOOKUP(G153,全部!C:AG,31,FALSE)</f>
        <v>16222938.1</v>
      </c>
      <c r="Y153" s="4">
        <f>VLOOKUP(计算!G153,全部!C:AH,32,FALSE)</f>
        <v>17003848.52</v>
      </c>
      <c r="Z153" s="4">
        <f>VLOOKUP(G153,全部!C:AL,36,FALSE)</f>
        <v>17003848.52</v>
      </c>
      <c r="AA153" s="4">
        <f>VLOOKUP(G153,全部!C:AM,37,FALSE)</f>
        <v>3.4000000000000002E-2</v>
      </c>
      <c r="AB153" s="6">
        <f>VLOOKUP(G153,全部!C:AN,38,FALSE)</f>
        <v>608127.85900000005</v>
      </c>
      <c r="AC153" s="4">
        <f>VLOOKUP(G153,全部!C:AO,39,FALSE)</f>
        <v>608128</v>
      </c>
      <c r="AD153" s="4">
        <f>VLOOKUP(G153,全部!C:AP,40,FALSE)</f>
        <v>608128</v>
      </c>
      <c r="AE153" s="6">
        <f>VLOOKUP(G153,全部!C:AQ,41,FALSE)</f>
        <v>0</v>
      </c>
      <c r="AF153" s="4">
        <f>VLOOKUP(G153,全部!C:AR,42,FALSE)</f>
        <v>0</v>
      </c>
      <c r="AG153" s="7">
        <f>VLOOKUP(G153,全部!C:AS,43,FALSE)</f>
        <v>150</v>
      </c>
      <c r="AH153" s="64" t="str">
        <f>IF(VLOOKUP(G153,全部!C:AT,44,FALSE)=0,"",VLOOKUP(G153,全部!C:AT,44,FALSE))</f>
        <v>亦庄</v>
      </c>
      <c r="AI153">
        <v>0</v>
      </c>
      <c r="AJ153" s="3">
        <v>41912.6862847222</v>
      </c>
      <c r="AK153" s="2" t="s">
        <v>1870</v>
      </c>
    </row>
    <row r="154" spans="1:37" x14ac:dyDescent="0.15">
      <c r="A154" s="2" t="s">
        <v>1869</v>
      </c>
      <c r="B154">
        <v>216</v>
      </c>
      <c r="C154" s="3">
        <v>41640</v>
      </c>
      <c r="D154" s="2" t="s">
        <v>37</v>
      </c>
      <c r="E154" s="2" t="s">
        <v>1868</v>
      </c>
      <c r="F154" s="2" t="s">
        <v>41</v>
      </c>
      <c r="G154" s="2" t="s">
        <v>348</v>
      </c>
      <c r="H154" s="2" t="s">
        <v>349</v>
      </c>
      <c r="I154" s="4">
        <f>VLOOKUP(G154,全部!C:M,11,FALSE)</f>
        <v>8084018.7400000002</v>
      </c>
      <c r="J154" s="4">
        <f t="shared" si="2"/>
        <v>0</v>
      </c>
      <c r="K154" s="4">
        <f>VLOOKUP(计算!G154,全部!C:N,12,FALSE)</f>
        <v>0</v>
      </c>
      <c r="L154" s="5">
        <f>VLOOKUP(G154,全部!C:P,14,FALSE)</f>
        <v>0</v>
      </c>
      <c r="M154" s="5">
        <f>VLOOKUP(G154,全部!C:V,20,FALSE)*100</f>
        <v>3</v>
      </c>
      <c r="N154" s="6">
        <f>VLOOKUP(G154,全部!C:W,21,FALSE)</f>
        <v>242520.56219999999</v>
      </c>
      <c r="O154" s="4">
        <f>VLOOKUP(G154,全部!C:X,22,FALSE)</f>
        <v>121260</v>
      </c>
      <c r="P154" s="4">
        <f>VLOOKUP(G154,全部!C:Y,23,FALSE)</f>
        <v>121260</v>
      </c>
      <c r="Q154" s="6">
        <f>VLOOKUP(G154,全部!C:Z,24,FALSE)</f>
        <v>121260.56219999999</v>
      </c>
      <c r="R154" s="7">
        <f>VLOOKUP(G154,全部!C:AA,25,FALSE)</f>
        <v>0</v>
      </c>
      <c r="S154" s="7">
        <f>VLOOKUP(G154,全部!C:AB,26,FALSE)</f>
        <v>0</v>
      </c>
      <c r="T154" s="4">
        <f>VLOOKUP(计算!G154,全部!C:AC,27,FALSE)</f>
        <v>1578401</v>
      </c>
      <c r="U154" s="4">
        <f>VLOOKUP(G154,全部!C:AD,28,FALSE)</f>
        <v>1578401</v>
      </c>
      <c r="V154" s="6">
        <f>VLOOKUP(G154,全部!C:AE,29,FALSE)</f>
        <v>0.19524954738044062</v>
      </c>
      <c r="W154" s="4">
        <f>VLOOKUP(G154,全部!C:AF,30,FALSE)</f>
        <v>0</v>
      </c>
      <c r="X154" s="4">
        <f>VLOOKUP(G154,全部!C:AG,31,FALSE)</f>
        <v>0</v>
      </c>
      <c r="Y154" s="4">
        <f>VLOOKUP(计算!G154,全部!C:AH,32,FALSE)</f>
        <v>1516729</v>
      </c>
      <c r="Z154" s="4">
        <f>VLOOKUP(G154,全部!C:AL,36,FALSE)</f>
        <v>1516729</v>
      </c>
      <c r="AA154" s="4">
        <f>VLOOKUP(G154,全部!C:AM,37,FALSE)</f>
        <v>3.4000000000000002E-2</v>
      </c>
      <c r="AB154" s="6">
        <f>VLOOKUP(G154,全部!C:AN,38,FALSE)</f>
        <v>274856.63716000004</v>
      </c>
      <c r="AC154" s="4">
        <f>VLOOKUP(G154,全部!C:AO,39,FALSE)</f>
        <v>53665.63</v>
      </c>
      <c r="AD154" s="4">
        <f>VLOOKUP(G154,全部!C:AP,40,FALSE)</f>
        <v>53665.63</v>
      </c>
      <c r="AE154" s="6">
        <f>VLOOKUP(G154,全部!C:AQ,41,FALSE)</f>
        <v>221191.00716000004</v>
      </c>
      <c r="AF154" s="4">
        <f>VLOOKUP(G154,全部!C:AR,42,FALSE)</f>
        <v>0</v>
      </c>
      <c r="AG154" s="7">
        <f>VLOOKUP(G154,全部!C:AS,43,FALSE)</f>
        <v>0</v>
      </c>
      <c r="AH154" s="64" t="str">
        <f>IF(VLOOKUP(G154,全部!C:AT,44,FALSE)=0,"",VLOOKUP(G154,全部!C:AT,44,FALSE))</f>
        <v/>
      </c>
      <c r="AI154">
        <v>0</v>
      </c>
      <c r="AJ154" s="3">
        <v>41912.6862384259</v>
      </c>
      <c r="AK154" s="2" t="s">
        <v>1867</v>
      </c>
    </row>
    <row r="155" spans="1:37" x14ac:dyDescent="0.15">
      <c r="A155" s="2" t="s">
        <v>1866</v>
      </c>
      <c r="B155">
        <v>1093</v>
      </c>
      <c r="C155" s="3">
        <v>41640</v>
      </c>
      <c r="D155" s="2" t="s">
        <v>37</v>
      </c>
      <c r="E155" s="2" t="s">
        <v>1865</v>
      </c>
      <c r="F155" s="2" t="s">
        <v>38</v>
      </c>
      <c r="G155" s="2" t="s">
        <v>346</v>
      </c>
      <c r="H155" s="2" t="s">
        <v>347</v>
      </c>
      <c r="I155" s="4">
        <f>VLOOKUP(G155,全部!C:M,11,FALSE)</f>
        <v>14355608.07</v>
      </c>
      <c r="J155" s="4">
        <f t="shared" si="2"/>
        <v>0</v>
      </c>
      <c r="K155" s="4">
        <f>VLOOKUP(计算!G155,全部!C:N,12,FALSE)</f>
        <v>0</v>
      </c>
      <c r="L155" s="5">
        <f>VLOOKUP(G155,全部!C:P,14,FALSE)</f>
        <v>0</v>
      </c>
      <c r="M155" s="5">
        <f>VLOOKUP(G155,全部!C:V,20,FALSE)*100</f>
        <v>3.2</v>
      </c>
      <c r="N155" s="6">
        <f>VLOOKUP(G155,全部!C:W,21,FALSE)</f>
        <v>459379.45824000001</v>
      </c>
      <c r="O155" s="4">
        <f>VLOOKUP(G155,全部!C:X,22,FALSE)</f>
        <v>459379</v>
      </c>
      <c r="P155" s="4">
        <f>VLOOKUP(G155,全部!C:Y,23,FALSE)</f>
        <v>459379</v>
      </c>
      <c r="Q155" s="6">
        <f>VLOOKUP(G155,全部!C:Z,24,FALSE)</f>
        <v>0</v>
      </c>
      <c r="R155" s="7">
        <f>VLOOKUP(G155,全部!C:AA,25,FALSE)</f>
        <v>10766705.58</v>
      </c>
      <c r="S155" s="7">
        <f>VLOOKUP(G155,全部!C:AB,26,FALSE)</f>
        <v>10766705.58</v>
      </c>
      <c r="T155" s="4">
        <f>VLOOKUP(计算!G155,全部!C:AC,27,FALSE)</f>
        <v>10766705.58</v>
      </c>
      <c r="U155" s="4">
        <f>VLOOKUP(G155,全部!C:AD,28,FALSE)</f>
        <v>10766705.58</v>
      </c>
      <c r="V155" s="6">
        <f>VLOOKUP(G155,全部!C:AE,29,FALSE)</f>
        <v>0.74999996708603367</v>
      </c>
      <c r="W155" s="4">
        <f>VLOOKUP(G155,全部!C:AF,30,FALSE)</f>
        <v>8237236.8899999997</v>
      </c>
      <c r="X155" s="4">
        <f>VLOOKUP(G155,全部!C:AG,31,FALSE)</f>
        <v>8237236.8899999997</v>
      </c>
      <c r="Y155" s="4">
        <f>VLOOKUP(计算!G155,全部!C:AH,32,FALSE)</f>
        <v>10005119.239999998</v>
      </c>
      <c r="Z155" s="4">
        <f>VLOOKUP(G155,全部!C:AL,36,FALSE)</f>
        <v>10005119.239999998</v>
      </c>
      <c r="AA155" s="4">
        <f>VLOOKUP(G155,全部!C:AM,37,FALSE)</f>
        <v>3.4000000000000002E-2</v>
      </c>
      <c r="AB155" s="6">
        <f>VLOOKUP(G155,全部!C:AN,38,FALSE)</f>
        <v>366067.98972000001</v>
      </c>
      <c r="AC155" s="4">
        <f>VLOOKUP(G155,全部!C:AO,39,FALSE)</f>
        <v>366068</v>
      </c>
      <c r="AD155" s="4">
        <f>VLOOKUP(G155,全部!C:AP,40,FALSE)</f>
        <v>366068</v>
      </c>
      <c r="AE155" s="6">
        <f>VLOOKUP(G155,全部!C:AQ,41,FALSE)</f>
        <v>0</v>
      </c>
      <c r="AF155" s="4">
        <f>VLOOKUP(G155,全部!C:AR,42,FALSE)</f>
        <v>0</v>
      </c>
      <c r="AG155" s="7">
        <f>VLOOKUP(G155,全部!C:AS,43,FALSE)</f>
        <v>0</v>
      </c>
      <c r="AH155" s="64" t="str">
        <f>IF(VLOOKUP(G155,全部!C:AT,44,FALSE)=0,"",VLOOKUP(G155,全部!C:AT,44,FALSE))</f>
        <v/>
      </c>
      <c r="AI155">
        <v>0</v>
      </c>
      <c r="AJ155" s="3">
        <v>41912.6862847222</v>
      </c>
      <c r="AK155" s="2" t="s">
        <v>1864</v>
      </c>
    </row>
    <row r="156" spans="1:37" x14ac:dyDescent="0.15">
      <c r="A156" s="2" t="s">
        <v>1863</v>
      </c>
      <c r="B156">
        <v>1094</v>
      </c>
      <c r="C156" s="3">
        <v>41640</v>
      </c>
      <c r="D156" s="2" t="s">
        <v>37</v>
      </c>
      <c r="E156" s="2" t="s">
        <v>1862</v>
      </c>
      <c r="F156" s="2" t="s">
        <v>38</v>
      </c>
      <c r="G156" s="2" t="s">
        <v>1547</v>
      </c>
      <c r="H156" s="2" t="s">
        <v>1681</v>
      </c>
      <c r="I156" s="4">
        <f>VLOOKUP(G156,全部!C:M,11,FALSE)</f>
        <v>0</v>
      </c>
      <c r="J156" s="4">
        <f t="shared" si="2"/>
        <v>0</v>
      </c>
      <c r="K156" s="4">
        <f>VLOOKUP(计算!G156,全部!C:N,12,FALSE)</f>
        <v>0</v>
      </c>
      <c r="L156" s="5">
        <f>VLOOKUP(G156,全部!C:P,14,FALSE)</f>
        <v>0</v>
      </c>
      <c r="M156" s="5">
        <f>VLOOKUP(G156,全部!C:V,20,FALSE)*100</f>
        <v>0</v>
      </c>
      <c r="N156" s="6">
        <f>VLOOKUP(G156,全部!C:W,21,FALSE)</f>
        <v>0</v>
      </c>
      <c r="O156" s="4">
        <f>VLOOKUP(G156,全部!C:X,22,FALSE)</f>
        <v>0</v>
      </c>
      <c r="P156" s="4">
        <f>VLOOKUP(G156,全部!C:Y,23,FALSE)</f>
        <v>0</v>
      </c>
      <c r="Q156" s="6">
        <f>VLOOKUP(G156,全部!C:Z,24,FALSE)</f>
        <v>0</v>
      </c>
      <c r="R156" s="7">
        <f>VLOOKUP(G156,全部!C:AA,25,FALSE)</f>
        <v>0</v>
      </c>
      <c r="S156" s="7">
        <f>VLOOKUP(G156,全部!C:AB,26,FALSE)</f>
        <v>0</v>
      </c>
      <c r="T156" s="4">
        <f>VLOOKUP(计算!G156,全部!C:AC,27,FALSE)</f>
        <v>0</v>
      </c>
      <c r="U156" s="4">
        <f>VLOOKUP(G156,全部!C:AD,28,FALSE)</f>
        <v>0</v>
      </c>
      <c r="V156" s="6">
        <f>VLOOKUP(G156,全部!C:AE,29,FALSE)</f>
        <v>0</v>
      </c>
      <c r="W156" s="4">
        <f>VLOOKUP(G156,全部!C:AF,30,FALSE)</f>
        <v>0</v>
      </c>
      <c r="X156" s="4">
        <f>VLOOKUP(G156,全部!C:AG,31,FALSE)</f>
        <v>0</v>
      </c>
      <c r="Y156" s="4">
        <f>VLOOKUP(计算!G156,全部!C:AH,32,FALSE)</f>
        <v>0</v>
      </c>
      <c r="Z156" s="4">
        <f>VLOOKUP(G156,全部!C:AL,36,FALSE)</f>
        <v>0</v>
      </c>
      <c r="AA156" s="4">
        <f>VLOOKUP(G156,全部!C:AM,37,FALSE)</f>
        <v>0</v>
      </c>
      <c r="AB156" s="6">
        <f>VLOOKUP(G156,全部!C:AN,38,FALSE)</f>
        <v>0</v>
      </c>
      <c r="AC156" s="4">
        <f>VLOOKUP(G156,全部!C:AO,39,FALSE)</f>
        <v>0</v>
      </c>
      <c r="AD156" s="4">
        <f>VLOOKUP(G156,全部!C:AP,40,FALSE)</f>
        <v>0</v>
      </c>
      <c r="AE156" s="6">
        <f>VLOOKUP(G156,全部!C:AQ,41,FALSE)</f>
        <v>0</v>
      </c>
      <c r="AF156" s="4">
        <f>VLOOKUP(G156,全部!C:AR,42,FALSE)</f>
        <v>0</v>
      </c>
      <c r="AG156" s="7">
        <f>VLOOKUP(G156,全部!C:AS,43,FALSE)</f>
        <v>0</v>
      </c>
      <c r="AH156" s="64" t="str">
        <f>IF(VLOOKUP(G156,全部!C:AT,44,FALSE)=0,"",VLOOKUP(G156,全部!C:AT,44,FALSE))</f>
        <v/>
      </c>
      <c r="AI156">
        <v>0</v>
      </c>
      <c r="AJ156" s="3">
        <v>41912.6862847222</v>
      </c>
      <c r="AK156" s="2" t="s">
        <v>1861</v>
      </c>
    </row>
    <row r="157" spans="1:37" x14ac:dyDescent="0.15">
      <c r="A157" s="2" t="s">
        <v>1860</v>
      </c>
      <c r="B157">
        <v>221</v>
      </c>
      <c r="C157" s="3">
        <v>41671</v>
      </c>
      <c r="D157" s="2" t="s">
        <v>37</v>
      </c>
      <c r="E157" s="2" t="s">
        <v>1859</v>
      </c>
      <c r="F157" s="2" t="s">
        <v>41</v>
      </c>
      <c r="G157" s="2" t="s">
        <v>352</v>
      </c>
      <c r="H157" s="2" t="s">
        <v>353</v>
      </c>
      <c r="I157" s="4">
        <f>VLOOKUP(G157,全部!C:M,11,FALSE)</f>
        <v>2915737.56</v>
      </c>
      <c r="J157" s="4">
        <f t="shared" si="2"/>
        <v>0</v>
      </c>
      <c r="K157" s="4">
        <f>VLOOKUP(计算!G157,全部!C:N,12,FALSE)</f>
        <v>0</v>
      </c>
      <c r="L157" s="5">
        <f>VLOOKUP(G157,全部!C:P,14,FALSE)</f>
        <v>0</v>
      </c>
      <c r="M157" s="5">
        <f>VLOOKUP(G157,全部!C:V,20,FALSE)*100</f>
        <v>3.5999999999999996</v>
      </c>
      <c r="N157" s="6">
        <f>VLOOKUP(G157,全部!C:W,21,FALSE)</f>
        <v>104966.55215999999</v>
      </c>
      <c r="O157" s="4">
        <f>VLOOKUP(G157,全部!C:X,22,FALSE)</f>
        <v>97955.71</v>
      </c>
      <c r="P157" s="4">
        <f>VLOOKUP(G157,全部!C:Y,23,FALSE)</f>
        <v>97955.71</v>
      </c>
      <c r="Q157" s="6">
        <f>VLOOKUP(G157,全部!C:Z,24,FALSE)</f>
        <v>7010.8421599999856</v>
      </c>
      <c r="R157" s="7">
        <f>VLOOKUP(G157,全部!C:AA,25,FALSE)</f>
        <v>0</v>
      </c>
      <c r="S157" s="7">
        <f>VLOOKUP(G157,全部!C:AB,26,FALSE)</f>
        <v>0</v>
      </c>
      <c r="T157" s="4">
        <f>VLOOKUP(计算!G157,全部!C:AC,27,FALSE)</f>
        <v>1360496</v>
      </c>
      <c r="U157" s="4">
        <f>VLOOKUP(G157,全部!C:AD,28,FALSE)</f>
        <v>1360496</v>
      </c>
      <c r="V157" s="6">
        <f>VLOOKUP(G157,全部!C:AE,29,FALSE)</f>
        <v>0.4666044086628976</v>
      </c>
      <c r="W157" s="4">
        <f>VLOOKUP(G157,全部!C:AF,30,FALSE)</f>
        <v>0</v>
      </c>
      <c r="X157" s="4">
        <f>VLOOKUP(G157,全部!C:AG,31,FALSE)</f>
        <v>0</v>
      </c>
      <c r="Y157" s="4">
        <f>VLOOKUP(计算!G157,全部!C:AH,32,FALSE)</f>
        <v>1145067.95</v>
      </c>
      <c r="Z157" s="4">
        <f>VLOOKUP(G157,全部!C:AL,36,FALSE)</f>
        <v>1145067.95</v>
      </c>
      <c r="AA157" s="4">
        <f>VLOOKUP(G157,全部!C:AM,37,FALSE)</f>
        <v>3.4000000000000002E-2</v>
      </c>
      <c r="AB157" s="6">
        <f>VLOOKUP(G157,全部!C:AN,38,FALSE)</f>
        <v>99135.077040000004</v>
      </c>
      <c r="AC157" s="4">
        <f>VLOOKUP(G157,全部!C:AO,39,FALSE)</f>
        <v>74010.98</v>
      </c>
      <c r="AD157" s="4">
        <f>VLOOKUP(G157,全部!C:AP,40,FALSE)</f>
        <v>74010.98</v>
      </c>
      <c r="AE157" s="6">
        <f>VLOOKUP(G157,全部!C:AQ,41,FALSE)</f>
        <v>25124.097040000008</v>
      </c>
      <c r="AF157" s="4">
        <f>VLOOKUP(G157,全部!C:AR,42,FALSE)</f>
        <v>0</v>
      </c>
      <c r="AG157" s="7">
        <f>VLOOKUP(G157,全部!C:AS,43,FALSE)</f>
        <v>0</v>
      </c>
      <c r="AH157" s="64" t="str">
        <f>IF(VLOOKUP(G157,全部!C:AT,44,FALSE)=0,"",VLOOKUP(G157,全部!C:AT,44,FALSE))</f>
        <v/>
      </c>
      <c r="AI157">
        <v>0</v>
      </c>
      <c r="AJ157" s="3">
        <v>41912.6862384259</v>
      </c>
      <c r="AK157" s="2" t="s">
        <v>1858</v>
      </c>
    </row>
    <row r="158" spans="1:37" x14ac:dyDescent="0.15">
      <c r="A158" s="2" t="s">
        <v>1857</v>
      </c>
      <c r="B158">
        <v>1117</v>
      </c>
      <c r="C158" s="3">
        <v>41699</v>
      </c>
      <c r="D158" s="2" t="s">
        <v>37</v>
      </c>
      <c r="E158" s="2" t="s">
        <v>1856</v>
      </c>
      <c r="F158" s="2" t="s">
        <v>38</v>
      </c>
      <c r="G158" s="2" t="s">
        <v>358</v>
      </c>
      <c r="H158" s="2" t="s">
        <v>359</v>
      </c>
      <c r="I158" s="4">
        <f>VLOOKUP(G158,全部!C:M,11,FALSE)</f>
        <v>1054353.53</v>
      </c>
      <c r="J158" s="4">
        <f t="shared" si="2"/>
        <v>0</v>
      </c>
      <c r="K158" s="4">
        <f>VLOOKUP(计算!G158,全部!C:N,12,FALSE)</f>
        <v>0</v>
      </c>
      <c r="L158" s="5">
        <f>VLOOKUP(G158,全部!C:P,14,FALSE)</f>
        <v>0</v>
      </c>
      <c r="M158" s="5">
        <f>VLOOKUP(G158,全部!C:V,20,FALSE)*100</f>
        <v>3</v>
      </c>
      <c r="N158" s="6">
        <f>VLOOKUP(G158,全部!C:W,21,FALSE)</f>
        <v>31630.605899999999</v>
      </c>
      <c r="O158" s="4">
        <f>VLOOKUP(G158,全部!C:X,22,FALSE)</f>
        <v>31631</v>
      </c>
      <c r="P158" s="4">
        <f>VLOOKUP(G158,全部!C:Y,23,FALSE)</f>
        <v>31631</v>
      </c>
      <c r="Q158" s="6">
        <f>VLOOKUP(G158,全部!C:Z,24,FALSE)</f>
        <v>0</v>
      </c>
      <c r="R158" s="7">
        <f>VLOOKUP(G158,全部!C:AA,25,FALSE)</f>
        <v>200000</v>
      </c>
      <c r="S158" s="7">
        <f>VLOOKUP(G158,全部!C:AB,26,FALSE)</f>
        <v>200000</v>
      </c>
      <c r="T158" s="4">
        <f>VLOOKUP(计算!G158,全部!C:AC,27,FALSE)</f>
        <v>200000</v>
      </c>
      <c r="U158" s="4">
        <f>VLOOKUP(G158,全部!C:AD,28,FALSE)</f>
        <v>200000</v>
      </c>
      <c r="V158" s="6">
        <f>VLOOKUP(G158,全部!C:AE,29,FALSE)</f>
        <v>0.1896896954477878</v>
      </c>
      <c r="W158" s="4">
        <f>VLOOKUP(G158,全部!C:AF,30,FALSE)</f>
        <v>80000</v>
      </c>
      <c r="X158" s="4">
        <f>VLOOKUP(G158,全部!C:AG,31,FALSE)</f>
        <v>80000</v>
      </c>
      <c r="Y158" s="4">
        <f>VLOOKUP(计算!G158,全部!C:AH,32,FALSE)</f>
        <v>86800</v>
      </c>
      <c r="Z158" s="4">
        <f>VLOOKUP(G158,全部!C:AL,36,FALSE)</f>
        <v>86800</v>
      </c>
      <c r="AA158" s="4">
        <f>VLOOKUP(G158,全部!C:AM,37,FALSE)</f>
        <v>3.4000000000000002E-2</v>
      </c>
      <c r="AB158" s="6">
        <f>VLOOKUP(G158,全部!C:AN,38,FALSE)</f>
        <v>6800.0000000000009</v>
      </c>
      <c r="AC158" s="4">
        <f>VLOOKUP(G158,全部!C:AO,39,FALSE)</f>
        <v>6800</v>
      </c>
      <c r="AD158" s="4">
        <f>VLOOKUP(G158,全部!C:AP,40,FALSE)</f>
        <v>6800</v>
      </c>
      <c r="AE158" s="6">
        <f>VLOOKUP(G158,全部!C:AQ,41,FALSE)</f>
        <v>0</v>
      </c>
      <c r="AF158" s="4">
        <f>VLOOKUP(G158,全部!C:AR,42,FALSE)</f>
        <v>0</v>
      </c>
      <c r="AG158" s="7">
        <f>VLOOKUP(G158,全部!C:AS,43,FALSE)</f>
        <v>15</v>
      </c>
      <c r="AH158" s="64" t="str">
        <f>IF(VLOOKUP(G158,全部!C:AT,44,FALSE)=0,"",VLOOKUP(G158,全部!C:AT,44,FALSE))</f>
        <v>昌平</v>
      </c>
      <c r="AI158">
        <v>0</v>
      </c>
      <c r="AJ158" s="3">
        <v>41912.6862847222</v>
      </c>
      <c r="AK158" s="2" t="s">
        <v>1855</v>
      </c>
    </row>
    <row r="159" spans="1:37" x14ac:dyDescent="0.15">
      <c r="A159" s="2" t="s">
        <v>1854</v>
      </c>
      <c r="B159">
        <v>226</v>
      </c>
      <c r="C159" s="3">
        <v>41699</v>
      </c>
      <c r="D159" s="2" t="s">
        <v>37</v>
      </c>
      <c r="E159" s="2" t="s">
        <v>1853</v>
      </c>
      <c r="F159" s="2" t="s">
        <v>41</v>
      </c>
      <c r="G159" s="2" t="s">
        <v>356</v>
      </c>
      <c r="H159" s="2" t="s">
        <v>357</v>
      </c>
      <c r="I159" s="4">
        <f>VLOOKUP(G159,全部!C:M,11,FALSE)</f>
        <v>12750000</v>
      </c>
      <c r="J159" s="4">
        <f t="shared" si="2"/>
        <v>0</v>
      </c>
      <c r="K159" s="4">
        <f>VLOOKUP(计算!G159,全部!C:N,12,FALSE)</f>
        <v>0</v>
      </c>
      <c r="L159" s="5">
        <f>VLOOKUP(G159,全部!C:P,14,FALSE)</f>
        <v>0</v>
      </c>
      <c r="M159" s="5">
        <f>VLOOKUP(G159,全部!C:V,20,FALSE)*100</f>
        <v>3</v>
      </c>
      <c r="N159" s="6">
        <f>VLOOKUP(G159,全部!C:W,21,FALSE)</f>
        <v>382500</v>
      </c>
      <c r="O159" s="4">
        <f>VLOOKUP(G159,全部!C:X,22,FALSE)</f>
        <v>382500</v>
      </c>
      <c r="P159" s="4">
        <f>VLOOKUP(G159,全部!C:Y,23,FALSE)</f>
        <v>382500</v>
      </c>
      <c r="Q159" s="6">
        <f>VLOOKUP(G159,全部!C:Z,24,FALSE)</f>
        <v>0</v>
      </c>
      <c r="R159" s="7">
        <f>VLOOKUP(G159,全部!C:AA,25,FALSE)</f>
        <v>0</v>
      </c>
      <c r="S159" s="7">
        <f>VLOOKUP(G159,全部!C:AB,26,FALSE)</f>
        <v>0</v>
      </c>
      <c r="T159" s="4">
        <f>VLOOKUP(计算!G159,全部!C:AC,27,FALSE)</f>
        <v>7596524.4199999999</v>
      </c>
      <c r="U159" s="4">
        <f>VLOOKUP(G159,全部!C:AD,28,FALSE)</f>
        <v>7596524.4199999999</v>
      </c>
      <c r="V159" s="6">
        <f>VLOOKUP(G159,全部!C:AE,29,FALSE)</f>
        <v>0.59580583686274513</v>
      </c>
      <c r="W159" s="4">
        <f>VLOOKUP(G159,全部!C:AF,30,FALSE)</f>
        <v>0</v>
      </c>
      <c r="X159" s="4">
        <f>VLOOKUP(G159,全部!C:AG,31,FALSE)</f>
        <v>0</v>
      </c>
      <c r="Y159" s="4">
        <f>VLOOKUP(计算!G159,全部!C:AH,32,FALSE)</f>
        <v>6030422.2000000002</v>
      </c>
      <c r="Z159" s="4">
        <f>VLOOKUP(G159,全部!C:AL,36,FALSE)</f>
        <v>6030422.2000000002</v>
      </c>
      <c r="AA159" s="4">
        <f>VLOOKUP(G159,全部!C:AM,37,FALSE)</f>
        <v>0</v>
      </c>
      <c r="AB159" s="6">
        <f>VLOOKUP(G159,全部!C:AN,38,FALSE)</f>
        <v>297937.5</v>
      </c>
      <c r="AC159" s="4">
        <f>VLOOKUP(G159,全部!C:AO,39,FALSE)</f>
        <v>297937.5</v>
      </c>
      <c r="AD159" s="4">
        <f>VLOOKUP(G159,全部!C:AP,40,FALSE)</f>
        <v>297937.5</v>
      </c>
      <c r="AE159" s="6">
        <f>VLOOKUP(G159,全部!C:AQ,41,FALSE)</f>
        <v>0</v>
      </c>
      <c r="AF159" s="4">
        <f>VLOOKUP(G159,全部!C:AR,42,FALSE)</f>
        <v>0</v>
      </c>
      <c r="AG159" s="7">
        <f>VLOOKUP(G159,全部!C:AS,43,FALSE)</f>
        <v>0</v>
      </c>
      <c r="AH159" s="64" t="str">
        <f>IF(VLOOKUP(G159,全部!C:AT,44,FALSE)=0,"",VLOOKUP(G159,全部!C:AT,44,FALSE))</f>
        <v/>
      </c>
      <c r="AI159">
        <v>0</v>
      </c>
      <c r="AJ159" s="3">
        <v>41912.6862384259</v>
      </c>
      <c r="AK159" s="2" t="s">
        <v>1852</v>
      </c>
    </row>
    <row r="160" spans="1:37" x14ac:dyDescent="0.15">
      <c r="A160" s="2" t="s">
        <v>1851</v>
      </c>
      <c r="B160">
        <v>1109</v>
      </c>
      <c r="C160" s="3">
        <v>41699</v>
      </c>
      <c r="D160" s="2" t="s">
        <v>37</v>
      </c>
      <c r="E160" s="2" t="s">
        <v>1850</v>
      </c>
      <c r="F160" s="2" t="s">
        <v>38</v>
      </c>
      <c r="G160" s="2" t="s">
        <v>354</v>
      </c>
      <c r="H160" s="2" t="s">
        <v>355</v>
      </c>
      <c r="I160" s="4">
        <f>VLOOKUP(G160,全部!C:M,11,FALSE)</f>
        <v>261648.41</v>
      </c>
      <c r="J160" s="4">
        <f t="shared" si="2"/>
        <v>0</v>
      </c>
      <c r="K160" s="4">
        <f>VLOOKUP(计算!G160,全部!C:N,12,FALSE)</f>
        <v>0</v>
      </c>
      <c r="L160" s="5">
        <f>VLOOKUP(G160,全部!C:P,14,FALSE)</f>
        <v>0</v>
      </c>
      <c r="M160" s="5">
        <f>VLOOKUP(G160,全部!C:V,20,FALSE)*100</f>
        <v>3.5999999999999996</v>
      </c>
      <c r="N160" s="6">
        <f>VLOOKUP(G160,全部!C:W,21,FALSE)</f>
        <v>9419.3427599999995</v>
      </c>
      <c r="O160" s="4">
        <f>VLOOKUP(G160,全部!C:X,22,FALSE)</f>
        <v>9419</v>
      </c>
      <c r="P160" s="4">
        <f>VLOOKUP(G160,全部!C:Y,23,FALSE)</f>
        <v>9419</v>
      </c>
      <c r="Q160" s="6">
        <f>VLOOKUP(G160,全部!C:Z,24,FALSE)</f>
        <v>0</v>
      </c>
      <c r="R160" s="7">
        <f>VLOOKUP(G160,全部!C:AA,25,FALSE)</f>
        <v>248565.99</v>
      </c>
      <c r="S160" s="7">
        <f>VLOOKUP(G160,全部!C:AB,26,FALSE)</f>
        <v>248565.99</v>
      </c>
      <c r="T160" s="4">
        <f>VLOOKUP(计算!G160,全部!C:AC,27,FALSE)</f>
        <v>248565.99</v>
      </c>
      <c r="U160" s="4">
        <f>VLOOKUP(G160,全部!C:AD,28,FALSE)</f>
        <v>248565.99</v>
      </c>
      <c r="V160" s="6">
        <f>VLOOKUP(G160,全部!C:AE,29,FALSE)</f>
        <v>0.95000000191096134</v>
      </c>
      <c r="W160" s="4">
        <f>VLOOKUP(G160,全部!C:AF,30,FALSE)</f>
        <v>109977</v>
      </c>
      <c r="X160" s="4">
        <f>VLOOKUP(G160,全部!C:AG,31,FALSE)</f>
        <v>109977</v>
      </c>
      <c r="Y160" s="4">
        <f>VLOOKUP(计算!G160,全部!C:AH,32,FALSE)</f>
        <v>248518</v>
      </c>
      <c r="Z160" s="4">
        <f>VLOOKUP(G160,全部!C:AL,36,FALSE)</f>
        <v>248518</v>
      </c>
      <c r="AA160" s="4">
        <f>VLOOKUP(G160,全部!C:AM,37,FALSE)</f>
        <v>3.4000000000000002E-2</v>
      </c>
      <c r="AB160" s="6">
        <f>VLOOKUP(G160,全部!C:AN,38,FALSE)</f>
        <v>8451.2436600000001</v>
      </c>
      <c r="AC160" s="4">
        <f>VLOOKUP(G160,全部!C:AO,39,FALSE)</f>
        <v>8541</v>
      </c>
      <c r="AD160" s="4">
        <f>VLOOKUP(G160,全部!C:AP,40,FALSE)</f>
        <v>8541</v>
      </c>
      <c r="AE160" s="6">
        <f>VLOOKUP(G160,全部!C:AQ,41,FALSE)</f>
        <v>0</v>
      </c>
      <c r="AF160" s="4">
        <f>VLOOKUP(G160,全部!C:AR,42,FALSE)</f>
        <v>0</v>
      </c>
      <c r="AG160" s="7">
        <f>VLOOKUP(G160,全部!C:AS,43,FALSE)</f>
        <v>0</v>
      </c>
      <c r="AH160" s="64" t="str">
        <f>IF(VLOOKUP(G160,全部!C:AT,44,FALSE)=0,"",VLOOKUP(G160,全部!C:AT,44,FALSE))</f>
        <v/>
      </c>
      <c r="AI160">
        <v>0</v>
      </c>
      <c r="AJ160" s="3">
        <v>41912.6862847222</v>
      </c>
      <c r="AK160" s="2" t="s">
        <v>1849</v>
      </c>
    </row>
    <row r="161" spans="1:37" x14ac:dyDescent="0.15">
      <c r="A161" s="2" t="s">
        <v>1848</v>
      </c>
      <c r="B161">
        <v>1126</v>
      </c>
      <c r="C161" s="3">
        <v>41730</v>
      </c>
      <c r="D161" s="2" t="s">
        <v>37</v>
      </c>
      <c r="E161" s="2" t="s">
        <v>1847</v>
      </c>
      <c r="F161" s="2" t="s">
        <v>38</v>
      </c>
      <c r="G161" s="2" t="s">
        <v>364</v>
      </c>
      <c r="H161" s="2" t="s">
        <v>365</v>
      </c>
      <c r="I161" s="4">
        <f>VLOOKUP(G161,全部!C:M,11,FALSE)</f>
        <v>1393840</v>
      </c>
      <c r="J161" s="4">
        <f t="shared" si="2"/>
        <v>853433.70000000007</v>
      </c>
      <c r="K161" s="4">
        <f>VLOOKUP(计算!G161,全部!C:N,12,FALSE)</f>
        <v>853433.70000000007</v>
      </c>
      <c r="L161" s="5">
        <f>VLOOKUP(G161,全部!C:P,14,FALSE)</f>
        <v>0</v>
      </c>
      <c r="M161" s="5">
        <f>VLOOKUP(G161,全部!C:V,20,FALSE)*100</f>
        <v>3.5999999999999996</v>
      </c>
      <c r="N161" s="6">
        <f>VLOOKUP(G161,全部!C:W,21,FALSE)</f>
        <v>50178.239999999998</v>
      </c>
      <c r="O161" s="4">
        <f>VLOOKUP(G161,全部!C:X,22,FALSE)</f>
        <v>50613</v>
      </c>
      <c r="P161" s="4">
        <f>VLOOKUP(G161,全部!C:Y,23,FALSE)</f>
        <v>50613</v>
      </c>
      <c r="Q161" s="6">
        <f>VLOOKUP(G161,全部!C:Z,24,FALSE)</f>
        <v>-434.76000000000204</v>
      </c>
      <c r="R161" s="7">
        <f>VLOOKUP(G161,全部!C:AA,25,FALSE)</f>
        <v>1142434.7100000002</v>
      </c>
      <c r="S161" s="7">
        <f>VLOOKUP(G161,全部!C:AB,26,FALSE)</f>
        <v>1142434.71</v>
      </c>
      <c r="T161" s="4">
        <f>VLOOKUP(计算!G161,全部!C:AC,27,FALSE)</f>
        <v>1142434.71</v>
      </c>
      <c r="U161" s="4">
        <f>VLOOKUP(G161,全部!C:AD,28,FALSE)</f>
        <v>1142434.71</v>
      </c>
      <c r="V161" s="6">
        <f>VLOOKUP(G161,全部!C:AE,29,FALSE)</f>
        <v>0.50836473990684794</v>
      </c>
      <c r="W161" s="4">
        <f>VLOOKUP(G161,全部!C:AF,30,FALSE)</f>
        <v>932058.05</v>
      </c>
      <c r="X161" s="4">
        <f>VLOOKUP(G161,全部!C:AG,31,FALSE)</f>
        <v>932058.05</v>
      </c>
      <c r="Y161" s="4">
        <f>VLOOKUP(计算!G161,全部!C:AH,32,FALSE)</f>
        <v>972572.05</v>
      </c>
      <c r="Z161" s="4">
        <f>VLOOKUP(G161,全部!C:AL,36,FALSE)</f>
        <v>972572.05</v>
      </c>
      <c r="AA161" s="4">
        <f>VLOOKUP(G161,全部!C:AM,37,FALSE)</f>
        <v>3.4000000000000002E-2</v>
      </c>
      <c r="AB161" s="6">
        <f>VLOOKUP(G161,全部!C:AN,38,FALSE)</f>
        <v>38842.780140000003</v>
      </c>
      <c r="AC161" s="4">
        <f>VLOOKUP(G161,全部!C:AO,39,FALSE)</f>
        <v>38842</v>
      </c>
      <c r="AD161" s="4">
        <f>VLOOKUP(G161,全部!C:AP,40,FALSE)</f>
        <v>38842</v>
      </c>
      <c r="AE161" s="6">
        <f>VLOOKUP(G161,全部!C:AQ,41,FALSE)</f>
        <v>0</v>
      </c>
      <c r="AF161" s="4">
        <f>VLOOKUP(G161,全部!C:AR,42,FALSE)</f>
        <v>0</v>
      </c>
      <c r="AG161" s="7">
        <f>VLOOKUP(G161,全部!C:AS,43,FALSE)</f>
        <v>20</v>
      </c>
      <c r="AH161" s="64" t="str">
        <f>IF(VLOOKUP(G161,全部!C:AT,44,FALSE)=0,"",VLOOKUP(G161,全部!C:AT,44,FALSE))</f>
        <v>三河</v>
      </c>
      <c r="AI161">
        <v>0</v>
      </c>
      <c r="AJ161" s="3">
        <v>41912.6862847222</v>
      </c>
      <c r="AK161" s="2" t="s">
        <v>1846</v>
      </c>
    </row>
    <row r="162" spans="1:37" x14ac:dyDescent="0.15">
      <c r="A162" s="2" t="s">
        <v>1845</v>
      </c>
      <c r="B162">
        <v>231</v>
      </c>
      <c r="C162" s="3">
        <v>41730</v>
      </c>
      <c r="D162" s="2" t="s">
        <v>37</v>
      </c>
      <c r="E162" s="2" t="s">
        <v>1844</v>
      </c>
      <c r="F162" s="2" t="s">
        <v>41</v>
      </c>
      <c r="G162" s="2" t="s">
        <v>362</v>
      </c>
      <c r="H162" s="2" t="s">
        <v>363</v>
      </c>
      <c r="I162" s="4">
        <f>VLOOKUP(G162,全部!C:M,11,FALSE)</f>
        <v>50000</v>
      </c>
      <c r="J162" s="4">
        <f t="shared" si="2"/>
        <v>0</v>
      </c>
      <c r="K162" s="4">
        <f>VLOOKUP(计算!G162,全部!C:N,12,FALSE)</f>
        <v>0</v>
      </c>
      <c r="L162" s="5">
        <f>VLOOKUP(G162,全部!C:P,14,FALSE)</f>
        <v>0</v>
      </c>
      <c r="M162" s="5">
        <f>VLOOKUP(G162,全部!C:V,20,FALSE)*100</f>
        <v>8.6</v>
      </c>
      <c r="N162" s="6">
        <f>VLOOKUP(G162,全部!C:W,21,FALSE)</f>
        <v>4300</v>
      </c>
      <c r="O162" s="4">
        <f>VLOOKUP(G162,全部!C:X,22,FALSE)</f>
        <v>4300</v>
      </c>
      <c r="P162" s="4">
        <f>VLOOKUP(G162,全部!C:Y,23,FALSE)</f>
        <v>4300</v>
      </c>
      <c r="Q162" s="6">
        <f>VLOOKUP(G162,全部!C:Z,24,FALSE)</f>
        <v>0</v>
      </c>
      <c r="R162" s="7">
        <f>VLOOKUP(G162,全部!C:AA,25,FALSE)</f>
        <v>0</v>
      </c>
      <c r="S162" s="7">
        <f>VLOOKUP(G162,全部!C:AB,26,FALSE)</f>
        <v>0</v>
      </c>
      <c r="T162" s="4">
        <f>VLOOKUP(计算!G162,全部!C:AC,27,FALSE)</f>
        <v>40000</v>
      </c>
      <c r="U162" s="4">
        <f>VLOOKUP(G162,全部!C:AD,28,FALSE)</f>
        <v>40000</v>
      </c>
      <c r="V162" s="6">
        <f>VLOOKUP(G162,全部!C:AE,29,FALSE)</f>
        <v>0.8</v>
      </c>
      <c r="W162" s="4">
        <f>VLOOKUP(G162,全部!C:AF,30,FALSE)</f>
        <v>0</v>
      </c>
      <c r="X162" s="4">
        <f>VLOOKUP(G162,全部!C:AG,31,FALSE)</f>
        <v>0</v>
      </c>
      <c r="Y162" s="4">
        <f>VLOOKUP(计算!G162,全部!C:AH,32,FALSE)</f>
        <v>40000</v>
      </c>
      <c r="Z162" s="4">
        <f>VLOOKUP(G162,全部!C:AL,36,FALSE)</f>
        <v>40000</v>
      </c>
      <c r="AA162" s="4">
        <f>VLOOKUP(G162,全部!C:AM,37,FALSE)</f>
        <v>3.4000000000000002E-2</v>
      </c>
      <c r="AB162" s="6">
        <f>VLOOKUP(G162,全部!C:AN,38,FALSE)</f>
        <v>1700.0000000000002</v>
      </c>
      <c r="AC162" s="4">
        <f>VLOOKUP(G162,全部!C:AO,39,FALSE)</f>
        <v>1700</v>
      </c>
      <c r="AD162" s="4">
        <f>VLOOKUP(G162,全部!C:AP,40,FALSE)</f>
        <v>1700</v>
      </c>
      <c r="AE162" s="6">
        <f>VLOOKUP(G162,全部!C:AQ,41,FALSE)</f>
        <v>0</v>
      </c>
      <c r="AF162" s="4">
        <f>VLOOKUP(G162,全部!C:AR,42,FALSE)</f>
        <v>0</v>
      </c>
      <c r="AG162" s="7">
        <f>VLOOKUP(G162,全部!C:AS,43,FALSE)</f>
        <v>0</v>
      </c>
      <c r="AH162" s="64" t="str">
        <f>IF(VLOOKUP(G162,全部!C:AT,44,FALSE)=0,"",VLOOKUP(G162,全部!C:AT,44,FALSE))</f>
        <v/>
      </c>
      <c r="AI162">
        <v>0</v>
      </c>
      <c r="AJ162" s="3">
        <v>41912.6862384259</v>
      </c>
      <c r="AK162" s="2" t="s">
        <v>1843</v>
      </c>
    </row>
    <row r="163" spans="1:37" x14ac:dyDescent="0.15">
      <c r="A163" s="2" t="s">
        <v>1842</v>
      </c>
      <c r="B163">
        <v>1133</v>
      </c>
      <c r="C163" s="3">
        <v>41730</v>
      </c>
      <c r="D163" s="2" t="s">
        <v>37</v>
      </c>
      <c r="E163" s="2" t="s">
        <v>1841</v>
      </c>
      <c r="F163" s="2" t="s">
        <v>38</v>
      </c>
      <c r="G163" s="2" t="s">
        <v>360</v>
      </c>
      <c r="H163" s="2" t="s">
        <v>361</v>
      </c>
      <c r="I163" s="4">
        <f>VLOOKUP(G163,全部!C:M,11,FALSE)</f>
        <v>1470000</v>
      </c>
      <c r="J163" s="4">
        <f t="shared" si="2"/>
        <v>0</v>
      </c>
      <c r="K163" s="4">
        <f>VLOOKUP(计算!G163,全部!C:N,12,FALSE)</f>
        <v>0</v>
      </c>
      <c r="L163" s="5">
        <f>VLOOKUP(G163,全部!C:P,14,FALSE)</f>
        <v>0</v>
      </c>
      <c r="M163" s="5">
        <f>VLOOKUP(G163,全部!C:V,20,FALSE)*100</f>
        <v>3.5999999999999996</v>
      </c>
      <c r="N163" s="6">
        <f>VLOOKUP(G163,全部!C:W,21,FALSE)</f>
        <v>52919.999999999993</v>
      </c>
      <c r="O163" s="4">
        <f>VLOOKUP(G163,全部!C:X,22,FALSE)</f>
        <v>0</v>
      </c>
      <c r="P163" s="4">
        <f>VLOOKUP(G163,全部!C:Y,23,FALSE)</f>
        <v>0</v>
      </c>
      <c r="Q163" s="6">
        <f>VLOOKUP(G163,全部!C:Z,24,FALSE)</f>
        <v>52919.999999999993</v>
      </c>
      <c r="R163" s="7">
        <f>VLOOKUP(G163,全部!C:AA,25,FALSE)</f>
        <v>1176000.01</v>
      </c>
      <c r="S163" s="7">
        <f>VLOOKUP(G163,全部!C:AB,26,FALSE)</f>
        <v>1176000</v>
      </c>
      <c r="T163" s="4">
        <f>VLOOKUP(计算!G163,全部!C:AC,27,FALSE)</f>
        <v>664033.28000000003</v>
      </c>
      <c r="U163" s="4">
        <f>VLOOKUP(G163,全部!C:AD,28,FALSE)</f>
        <v>664033.28000000003</v>
      </c>
      <c r="V163" s="6">
        <f>VLOOKUP(G163,全部!C:AE,29,FALSE)</f>
        <v>0.45172331972789115</v>
      </c>
      <c r="W163" s="4">
        <f>VLOOKUP(G163,全部!C:AF,30,FALSE)</f>
        <v>243938.24</v>
      </c>
      <c r="X163" s="4">
        <f>VLOOKUP(G163,全部!C:AG,31,FALSE)</f>
        <v>243938.24</v>
      </c>
      <c r="Y163" s="4">
        <f>VLOOKUP(计算!G163,全部!C:AH,32,FALSE)</f>
        <v>283922.24</v>
      </c>
      <c r="Z163" s="4">
        <f>VLOOKUP(G163,全部!C:AL,36,FALSE)</f>
        <v>283922.24</v>
      </c>
      <c r="AA163" s="4">
        <f>VLOOKUP(G163,全部!C:AM,37,FALSE)</f>
        <v>3.4000000000000002E-2</v>
      </c>
      <c r="AB163" s="6">
        <f>VLOOKUP(G163,全部!C:AN,38,FALSE)</f>
        <v>39984</v>
      </c>
      <c r="AC163" s="4">
        <f>VLOOKUP(G163,全部!C:AO,39,FALSE)</f>
        <v>39984</v>
      </c>
      <c r="AD163" s="4">
        <f>VLOOKUP(G163,全部!C:AP,40,FALSE)</f>
        <v>39984</v>
      </c>
      <c r="AE163" s="6">
        <f>VLOOKUP(G163,全部!C:AQ,41,FALSE)</f>
        <v>0</v>
      </c>
      <c r="AF163" s="4">
        <f>VLOOKUP(G163,全部!C:AR,42,FALSE)</f>
        <v>0</v>
      </c>
      <c r="AG163" s="7">
        <f>VLOOKUP(G163,全部!C:AS,43,FALSE)</f>
        <v>1</v>
      </c>
      <c r="AH163" s="64" t="str">
        <f>IF(VLOOKUP(G163,全部!C:AT,44,FALSE)=0,"",VLOOKUP(G163,全部!C:AT,44,FALSE))</f>
        <v>三河</v>
      </c>
      <c r="AI163">
        <v>0</v>
      </c>
      <c r="AJ163" s="3">
        <v>41912.6862847222</v>
      </c>
      <c r="AK163" s="2" t="s">
        <v>1840</v>
      </c>
    </row>
    <row r="164" spans="1:37" x14ac:dyDescent="0.15">
      <c r="A164" s="2" t="s">
        <v>1839</v>
      </c>
      <c r="B164">
        <v>1151</v>
      </c>
      <c r="C164" s="3">
        <v>41744</v>
      </c>
      <c r="D164" s="2" t="s">
        <v>37</v>
      </c>
      <c r="E164" s="2" t="s">
        <v>1838</v>
      </c>
      <c r="F164" s="2" t="s">
        <v>38</v>
      </c>
      <c r="G164" s="2" t="s">
        <v>366</v>
      </c>
      <c r="H164" s="2" t="s">
        <v>367</v>
      </c>
      <c r="I164" s="4">
        <f>VLOOKUP(G164,全部!C:M,11,FALSE)</f>
        <v>1414102.49</v>
      </c>
      <c r="J164" s="4">
        <f t="shared" si="2"/>
        <v>0</v>
      </c>
      <c r="K164" s="4">
        <f>VLOOKUP(计算!G164,全部!C:N,12,FALSE)</f>
        <v>0</v>
      </c>
      <c r="L164" s="5">
        <f>VLOOKUP(G164,全部!C:P,14,FALSE)</f>
        <v>0</v>
      </c>
      <c r="M164" s="5">
        <f>VLOOKUP(G164,全部!C:V,20,FALSE)*100</f>
        <v>3.5999999999999996</v>
      </c>
      <c r="N164" s="6">
        <f>VLOOKUP(G164,全部!C:W,21,FALSE)</f>
        <v>50907.689639999997</v>
      </c>
      <c r="O164" s="4">
        <f>VLOOKUP(G164,全部!C:X,22,FALSE)</f>
        <v>50908</v>
      </c>
      <c r="P164" s="4">
        <f>VLOOKUP(G164,全部!C:Y,23,FALSE)</f>
        <v>50908</v>
      </c>
      <c r="Q164" s="6">
        <f>VLOOKUP(G164,全部!C:Z,24,FALSE)</f>
        <v>0</v>
      </c>
      <c r="R164" s="7">
        <f>VLOOKUP(G164,全部!C:AA,25,FALSE)</f>
        <v>0</v>
      </c>
      <c r="S164" s="7">
        <f>VLOOKUP(G164,全部!C:AB,26,FALSE)</f>
        <v>0</v>
      </c>
      <c r="T164" s="4">
        <f>VLOOKUP(计算!G164,全部!C:AC,27,FALSE)</f>
        <v>0</v>
      </c>
      <c r="U164" s="4">
        <f>VLOOKUP(G164,全部!C:AD,28,FALSE)</f>
        <v>0</v>
      </c>
      <c r="V164" s="6">
        <f>VLOOKUP(G164,全部!C:AE,29,FALSE)</f>
        <v>0</v>
      </c>
      <c r="W164" s="4">
        <f>VLOOKUP(G164,全部!C:AF,30,FALSE)</f>
        <v>0</v>
      </c>
      <c r="X164" s="4">
        <f>VLOOKUP(G164,全部!C:AG,31,FALSE)</f>
        <v>0</v>
      </c>
      <c r="Y164" s="4">
        <f>VLOOKUP(计算!G164,全部!C:AH,32,FALSE)</f>
        <v>0</v>
      </c>
      <c r="Z164" s="4">
        <f>VLOOKUP(G164,全部!C:AL,36,FALSE)</f>
        <v>0</v>
      </c>
      <c r="AA164" s="4">
        <f>VLOOKUP(G164,全部!C:AM,37,FALSE)</f>
        <v>0</v>
      </c>
      <c r="AB164" s="6">
        <f>VLOOKUP(G164,全部!C:AN,38,FALSE)</f>
        <v>0</v>
      </c>
      <c r="AC164" s="4">
        <f>VLOOKUP(G164,全部!C:AO,39,FALSE)</f>
        <v>0</v>
      </c>
      <c r="AD164" s="4">
        <f>VLOOKUP(G164,全部!C:AP,40,FALSE)</f>
        <v>0</v>
      </c>
      <c r="AE164" s="6">
        <f>VLOOKUP(G164,全部!C:AQ,41,FALSE)</f>
        <v>0</v>
      </c>
      <c r="AF164" s="4">
        <f>VLOOKUP(G164,全部!C:AR,42,FALSE)</f>
        <v>0</v>
      </c>
      <c r="AG164" s="7">
        <f>VLOOKUP(G164,全部!C:AS,43,FALSE)</f>
        <v>15</v>
      </c>
      <c r="AH164" s="64" t="str">
        <f>IF(VLOOKUP(G164,全部!C:AT,44,FALSE)=0,"",VLOOKUP(G164,全部!C:AT,44,FALSE))</f>
        <v>管庄</v>
      </c>
      <c r="AI164">
        <v>0</v>
      </c>
      <c r="AJ164" s="3">
        <v>41912.6862847222</v>
      </c>
      <c r="AK164" s="2" t="s">
        <v>1837</v>
      </c>
    </row>
    <row r="165" spans="1:37" x14ac:dyDescent="0.15">
      <c r="A165" s="2" t="s">
        <v>1836</v>
      </c>
      <c r="B165">
        <v>1141</v>
      </c>
      <c r="C165" s="3">
        <v>41745</v>
      </c>
      <c r="D165" s="2" t="s">
        <v>37</v>
      </c>
      <c r="E165" s="2" t="s">
        <v>1835</v>
      </c>
      <c r="F165" s="2" t="s">
        <v>38</v>
      </c>
      <c r="G165" s="2" t="s">
        <v>368</v>
      </c>
      <c r="H165" s="2" t="s">
        <v>369</v>
      </c>
      <c r="I165" s="4">
        <f>VLOOKUP(G165,全部!C:M,11,FALSE)</f>
        <v>1287679</v>
      </c>
      <c r="J165" s="4">
        <f t="shared" si="2"/>
        <v>0</v>
      </c>
      <c r="K165" s="4">
        <f>VLOOKUP(计算!G165,全部!C:N,12,FALSE)</f>
        <v>0</v>
      </c>
      <c r="L165" s="5">
        <f>VLOOKUP(G165,全部!C:P,14,FALSE)</f>
        <v>0</v>
      </c>
      <c r="M165" s="5">
        <f>VLOOKUP(G165,全部!C:V,20,FALSE)*100</f>
        <v>3.5999999999999996</v>
      </c>
      <c r="N165" s="6">
        <f>VLOOKUP(G165,全部!C:W,21,FALSE)</f>
        <v>46356.443999999996</v>
      </c>
      <c r="O165" s="4">
        <f>VLOOKUP(G165,全部!C:X,22,FALSE)</f>
        <v>46356</v>
      </c>
      <c r="P165" s="4">
        <f>VLOOKUP(G165,全部!C:Y,23,FALSE)</f>
        <v>46356</v>
      </c>
      <c r="Q165" s="6">
        <f>VLOOKUP(G165,全部!C:Z,24,FALSE)</f>
        <v>0</v>
      </c>
      <c r="R165" s="7">
        <f>VLOOKUP(G165,全部!C:AA,25,FALSE)</f>
        <v>400000</v>
      </c>
      <c r="S165" s="7">
        <f>VLOOKUP(G165,全部!C:AB,26,FALSE)</f>
        <v>400000</v>
      </c>
      <c r="T165" s="4">
        <f>VLOOKUP(计算!G165,全部!C:AC,27,FALSE)</f>
        <v>400000</v>
      </c>
      <c r="U165" s="4">
        <f>VLOOKUP(G165,全部!C:AD,28,FALSE)</f>
        <v>400000</v>
      </c>
      <c r="V165" s="6">
        <f>VLOOKUP(G165,全部!C:AE,29,FALSE)</f>
        <v>0.31063642413986714</v>
      </c>
      <c r="W165" s="4">
        <f>VLOOKUP(G165,全部!C:AF,30,FALSE)</f>
        <v>353418.72</v>
      </c>
      <c r="X165" s="4">
        <f>VLOOKUP(G165,全部!C:AG,31,FALSE)</f>
        <v>353418.72</v>
      </c>
      <c r="Y165" s="4">
        <f>VLOOKUP(计算!G165,全部!C:AH,32,FALSE)</f>
        <v>367018.72</v>
      </c>
      <c r="Z165" s="4">
        <f>VLOOKUP(G165,全部!C:AL,36,FALSE)</f>
        <v>367018.72</v>
      </c>
      <c r="AA165" s="4">
        <f>VLOOKUP(G165,全部!C:AM,37,FALSE)</f>
        <v>3.4000000000000002E-2</v>
      </c>
      <c r="AB165" s="6">
        <f>VLOOKUP(G165,全部!C:AN,38,FALSE)</f>
        <v>13600.000000000002</v>
      </c>
      <c r="AC165" s="4">
        <f>VLOOKUP(G165,全部!C:AO,39,FALSE)</f>
        <v>13600</v>
      </c>
      <c r="AD165" s="4">
        <f>VLOOKUP(G165,全部!C:AP,40,FALSE)</f>
        <v>13600</v>
      </c>
      <c r="AE165" s="6">
        <f>VLOOKUP(G165,全部!C:AQ,41,FALSE)</f>
        <v>0</v>
      </c>
      <c r="AF165" s="4">
        <f>VLOOKUP(G165,全部!C:AR,42,FALSE)</f>
        <v>0</v>
      </c>
      <c r="AG165" s="7">
        <f>VLOOKUP(G165,全部!C:AS,43,FALSE)</f>
        <v>20</v>
      </c>
      <c r="AH165" s="64" t="str">
        <f>IF(VLOOKUP(G165,全部!C:AT,44,FALSE)=0,"",VLOOKUP(G165,全部!C:AT,44,FALSE))</f>
        <v>三河</v>
      </c>
      <c r="AI165">
        <v>0</v>
      </c>
      <c r="AJ165" s="3">
        <v>41912.6862847222</v>
      </c>
      <c r="AK165" s="2" t="s">
        <v>1834</v>
      </c>
    </row>
    <row r="166" spans="1:37" x14ac:dyDescent="0.15">
      <c r="A166" s="2" t="s">
        <v>1833</v>
      </c>
      <c r="B166">
        <v>1148</v>
      </c>
      <c r="C166" s="3">
        <v>41747</v>
      </c>
      <c r="D166" s="2" t="s">
        <v>37</v>
      </c>
      <c r="E166" s="2" t="s">
        <v>1832</v>
      </c>
      <c r="F166" s="2" t="s">
        <v>38</v>
      </c>
      <c r="G166" s="2" t="s">
        <v>370</v>
      </c>
      <c r="H166" s="2" t="s">
        <v>371</v>
      </c>
      <c r="I166" s="4">
        <f>VLOOKUP(G166,全部!C:M,11,FALSE)</f>
        <v>420488.3</v>
      </c>
      <c r="J166" s="4">
        <f t="shared" si="2"/>
        <v>0</v>
      </c>
      <c r="K166" s="4">
        <f>VLOOKUP(计算!G166,全部!C:N,12,FALSE)</f>
        <v>0</v>
      </c>
      <c r="L166" s="5">
        <f>VLOOKUP(G166,全部!C:P,14,FALSE)</f>
        <v>0</v>
      </c>
      <c r="M166" s="5">
        <f>VLOOKUP(G166,全部!C:V,20,FALSE)*100</f>
        <v>3.5999999999999996</v>
      </c>
      <c r="N166" s="6">
        <f>VLOOKUP(G166,全部!C:W,21,FALSE)</f>
        <v>15137.578799999999</v>
      </c>
      <c r="O166" s="4">
        <f>VLOOKUP(G166,全部!C:X,22,FALSE)</f>
        <v>0</v>
      </c>
      <c r="P166" s="4">
        <f>VLOOKUP(G166,全部!C:Y,23,FALSE)</f>
        <v>0</v>
      </c>
      <c r="Q166" s="6">
        <f>VLOOKUP(G166,全部!C:Z,24,FALSE)</f>
        <v>15137.578799999999</v>
      </c>
      <c r="R166" s="7">
        <f>VLOOKUP(G166,全部!C:AA,25,FALSE)</f>
        <v>378000</v>
      </c>
      <c r="S166" s="7">
        <f>VLOOKUP(G166,全部!C:AB,26,FALSE)</f>
        <v>378000</v>
      </c>
      <c r="T166" s="4">
        <f>VLOOKUP(计算!G166,全部!C:AC,27,FALSE)</f>
        <v>378000</v>
      </c>
      <c r="U166" s="4">
        <f>VLOOKUP(G166,全部!C:AD,28,FALSE)</f>
        <v>378000</v>
      </c>
      <c r="V166" s="6">
        <f>VLOOKUP(G166,全部!C:AE,29,FALSE)</f>
        <v>0.89895485795918695</v>
      </c>
      <c r="W166" s="4">
        <f>VLOOKUP(G166,全部!C:AF,30,FALSE)</f>
        <v>318684.49</v>
      </c>
      <c r="X166" s="4">
        <f>VLOOKUP(G166,全部!C:AG,31,FALSE)</f>
        <v>318684.49</v>
      </c>
      <c r="Y166" s="4">
        <f>VLOOKUP(计算!G166,全部!C:AH,32,FALSE)</f>
        <v>351536.49</v>
      </c>
      <c r="Z166" s="4">
        <f>VLOOKUP(G166,全部!C:AL,36,FALSE)</f>
        <v>351536.49</v>
      </c>
      <c r="AA166" s="4">
        <f>VLOOKUP(G166,全部!C:AM,37,FALSE)</f>
        <v>3.4000000000000002E-2</v>
      </c>
      <c r="AB166" s="6">
        <f>VLOOKUP(G166,全部!C:AN,38,FALSE)</f>
        <v>12852.000000000002</v>
      </c>
      <c r="AC166" s="4">
        <f>VLOOKUP(G166,全部!C:AO,39,FALSE)</f>
        <v>12852</v>
      </c>
      <c r="AD166" s="4">
        <f>VLOOKUP(G166,全部!C:AP,40,FALSE)</f>
        <v>12852</v>
      </c>
      <c r="AE166" s="6">
        <f>VLOOKUP(G166,全部!C:AQ,41,FALSE)</f>
        <v>0</v>
      </c>
      <c r="AF166" s="4">
        <f>VLOOKUP(G166,全部!C:AR,42,FALSE)</f>
        <v>0</v>
      </c>
      <c r="AG166" s="7">
        <f>VLOOKUP(G166,全部!C:AS,43,FALSE)</f>
        <v>5</v>
      </c>
      <c r="AH166" s="64" t="str">
        <f>IF(VLOOKUP(G166,全部!C:AT,44,FALSE)=0,"",VLOOKUP(G166,全部!C:AT,44,FALSE))</f>
        <v>三河</v>
      </c>
      <c r="AI166">
        <v>0</v>
      </c>
      <c r="AJ166" s="3">
        <v>41912.6862847222</v>
      </c>
      <c r="AK166" s="2" t="s">
        <v>1831</v>
      </c>
    </row>
    <row r="167" spans="1:37" x14ac:dyDescent="0.15">
      <c r="A167" s="2" t="s">
        <v>1830</v>
      </c>
      <c r="B167">
        <v>1159</v>
      </c>
      <c r="C167" s="3">
        <v>41760</v>
      </c>
      <c r="D167" s="2" t="s">
        <v>37</v>
      </c>
      <c r="E167" s="2" t="s">
        <v>1829</v>
      </c>
      <c r="F167" s="2" t="s">
        <v>38</v>
      </c>
      <c r="G167" s="2" t="s">
        <v>376</v>
      </c>
      <c r="H167" s="2" t="s">
        <v>260</v>
      </c>
      <c r="I167" s="4">
        <f>VLOOKUP(G167,全部!C:M,11,FALSE)</f>
        <v>10118443</v>
      </c>
      <c r="J167" s="4">
        <f t="shared" si="2"/>
        <v>0</v>
      </c>
      <c r="K167" s="4">
        <f>VLOOKUP(计算!G167,全部!C:N,12,FALSE)</f>
        <v>0</v>
      </c>
      <c r="L167" s="5">
        <f>VLOOKUP(G167,全部!C:P,14,FALSE)</f>
        <v>0</v>
      </c>
      <c r="M167" s="5">
        <f>VLOOKUP(G167,全部!C:V,20,FALSE)*100</f>
        <v>3</v>
      </c>
      <c r="N167" s="6">
        <f>VLOOKUP(G167,全部!C:W,21,FALSE)</f>
        <v>303553.28999999998</v>
      </c>
      <c r="O167" s="4">
        <f>VLOOKUP(G167,全部!C:X,22,FALSE)</f>
        <v>100000</v>
      </c>
      <c r="P167" s="4">
        <f>VLOOKUP(G167,全部!C:Y,23,FALSE)</f>
        <v>100000</v>
      </c>
      <c r="Q167" s="6">
        <f>VLOOKUP(G167,全部!C:Z,24,FALSE)</f>
        <v>203553.28999999998</v>
      </c>
      <c r="R167" s="7">
        <f>VLOOKUP(G167,全部!C:AA,25,FALSE)</f>
        <v>4800000</v>
      </c>
      <c r="S167" s="7">
        <f>VLOOKUP(G167,全部!C:AB,26,FALSE)</f>
        <v>4800000</v>
      </c>
      <c r="T167" s="4">
        <f>VLOOKUP(计算!G167,全部!C:AC,27,FALSE)</f>
        <v>1800000</v>
      </c>
      <c r="U167" s="4">
        <f>VLOOKUP(G167,全部!C:AD,28,FALSE)</f>
        <v>1800000</v>
      </c>
      <c r="V167" s="6">
        <f>VLOOKUP(G167,全部!C:AE,29,FALSE)</f>
        <v>0.17789298215150295</v>
      </c>
      <c r="W167" s="4">
        <f>VLOOKUP(G167,全部!C:AF,30,FALSE)</f>
        <v>1739791</v>
      </c>
      <c r="X167" s="4">
        <f>VLOOKUP(G167,全部!C:AG,31,FALSE)</f>
        <v>1739791</v>
      </c>
      <c r="Y167" s="4">
        <f>VLOOKUP(计算!G167,全部!C:AH,32,FALSE)</f>
        <v>1800811</v>
      </c>
      <c r="Z167" s="4">
        <f>VLOOKUP(G167,全部!C:AL,36,FALSE)</f>
        <v>1800811</v>
      </c>
      <c r="AA167" s="4">
        <f>VLOOKUP(G167,全部!C:AM,37,FALSE)</f>
        <v>3.7400000000000003E-2</v>
      </c>
      <c r="AB167" s="6">
        <f>VLOOKUP(G167,全部!C:AN,38,FALSE)</f>
        <v>179520</v>
      </c>
      <c r="AC167" s="4">
        <f>VLOOKUP(G167,全部!C:AO,39,FALSE)</f>
        <v>179520</v>
      </c>
      <c r="AD167" s="4">
        <f>VLOOKUP(G167,全部!C:AP,40,FALSE)</f>
        <v>179520</v>
      </c>
      <c r="AE167" s="6">
        <f>VLOOKUP(G167,全部!C:AQ,41,FALSE)</f>
        <v>0</v>
      </c>
      <c r="AF167" s="4">
        <f>VLOOKUP(G167,全部!C:AR,42,FALSE)</f>
        <v>0</v>
      </c>
      <c r="AG167" s="7">
        <f>VLOOKUP(G167,全部!C:AS,43,FALSE)</f>
        <v>132</v>
      </c>
      <c r="AH167" s="64" t="str">
        <f>IF(VLOOKUP(G167,全部!C:AT,44,FALSE)=0,"",VLOOKUP(G167,全部!C:AT,44,FALSE))</f>
        <v>管庄</v>
      </c>
      <c r="AI167">
        <v>0</v>
      </c>
      <c r="AJ167" s="3">
        <v>41912.6862847222</v>
      </c>
      <c r="AK167" s="2" t="s">
        <v>1828</v>
      </c>
    </row>
    <row r="168" spans="1:37" x14ac:dyDescent="0.15">
      <c r="A168" s="2" t="s">
        <v>1827</v>
      </c>
      <c r="B168">
        <v>1170</v>
      </c>
      <c r="C168" s="3">
        <v>41760</v>
      </c>
      <c r="D168" s="2" t="s">
        <v>37</v>
      </c>
      <c r="E168" s="2" t="s">
        <v>1826</v>
      </c>
      <c r="F168" s="2" t="s">
        <v>38</v>
      </c>
      <c r="G168" s="2" t="s">
        <v>1610</v>
      </c>
      <c r="H168" s="2" t="s">
        <v>1680</v>
      </c>
      <c r="I168" s="4">
        <f>VLOOKUP(G168,全部!C:M,11,FALSE)</f>
        <v>0</v>
      </c>
      <c r="J168" s="4">
        <f t="shared" si="2"/>
        <v>0</v>
      </c>
      <c r="K168" s="4">
        <f>VLOOKUP(计算!G168,全部!C:N,12,FALSE)</f>
        <v>0</v>
      </c>
      <c r="L168" s="5">
        <f>VLOOKUP(G168,全部!C:P,14,FALSE)</f>
        <v>0</v>
      </c>
      <c r="M168" s="5">
        <f>VLOOKUP(G168,全部!C:V,20,FALSE)*100</f>
        <v>0</v>
      </c>
      <c r="N168" s="6">
        <f>VLOOKUP(G168,全部!C:W,21,FALSE)</f>
        <v>0</v>
      </c>
      <c r="O168" s="4">
        <f>VLOOKUP(G168,全部!C:X,22,FALSE)</f>
        <v>0</v>
      </c>
      <c r="P168" s="4">
        <f>VLOOKUP(G168,全部!C:Y,23,FALSE)</f>
        <v>0</v>
      </c>
      <c r="Q168" s="6">
        <f>VLOOKUP(G168,全部!C:Z,24,FALSE)</f>
        <v>0</v>
      </c>
      <c r="R168" s="7">
        <f>VLOOKUP(G168,全部!C:AA,25,FALSE)</f>
        <v>0</v>
      </c>
      <c r="S168" s="7">
        <f>VLOOKUP(G168,全部!C:AB,26,FALSE)</f>
        <v>0</v>
      </c>
      <c r="T168" s="4">
        <f>VLOOKUP(计算!G168,全部!C:AC,27,FALSE)</f>
        <v>0</v>
      </c>
      <c r="U168" s="4">
        <f>VLOOKUP(G168,全部!C:AD,28,FALSE)</f>
        <v>0</v>
      </c>
      <c r="V168" s="6">
        <f>VLOOKUP(G168,全部!C:AE,29,FALSE)</f>
        <v>0</v>
      </c>
      <c r="W168" s="4">
        <f>VLOOKUP(G168,全部!C:AF,30,FALSE)</f>
        <v>0</v>
      </c>
      <c r="X168" s="4">
        <f>VLOOKUP(G168,全部!C:AG,31,FALSE)</f>
        <v>0</v>
      </c>
      <c r="Y168" s="4">
        <f>VLOOKUP(计算!G168,全部!C:AH,32,FALSE)</f>
        <v>0</v>
      </c>
      <c r="Z168" s="4">
        <f>VLOOKUP(G168,全部!C:AL,36,FALSE)</f>
        <v>0</v>
      </c>
      <c r="AA168" s="4">
        <f>VLOOKUP(G168,全部!C:AM,37,FALSE)</f>
        <v>0</v>
      </c>
      <c r="AB168" s="6">
        <f>VLOOKUP(G168,全部!C:AN,38,FALSE)</f>
        <v>0</v>
      </c>
      <c r="AC168" s="4">
        <f>VLOOKUP(G168,全部!C:AO,39,FALSE)</f>
        <v>0</v>
      </c>
      <c r="AD168" s="4">
        <f>VLOOKUP(G168,全部!C:AP,40,FALSE)</f>
        <v>0</v>
      </c>
      <c r="AE168" s="6">
        <f>VLOOKUP(G168,全部!C:AQ,41,FALSE)</f>
        <v>0</v>
      </c>
      <c r="AF168" s="4">
        <f>VLOOKUP(G168,全部!C:AR,42,FALSE)</f>
        <v>0</v>
      </c>
      <c r="AG168" s="7">
        <f>VLOOKUP(G168,全部!C:AS,43,FALSE)</f>
        <v>0</v>
      </c>
      <c r="AH168" s="64" t="str">
        <f>IF(VLOOKUP(G168,全部!C:AT,44,FALSE)=0,"",VLOOKUP(G168,全部!C:AT,44,FALSE))</f>
        <v/>
      </c>
      <c r="AI168">
        <v>0</v>
      </c>
      <c r="AJ168" s="3">
        <v>41912.6862847222</v>
      </c>
      <c r="AK168" s="2" t="s">
        <v>1825</v>
      </c>
    </row>
    <row r="169" spans="1:37" x14ac:dyDescent="0.15">
      <c r="A169" s="2" t="s">
        <v>1824</v>
      </c>
      <c r="B169">
        <v>1173</v>
      </c>
      <c r="C169" s="3">
        <v>41760</v>
      </c>
      <c r="D169" s="2" t="s">
        <v>37</v>
      </c>
      <c r="E169" s="2" t="s">
        <v>1823</v>
      </c>
      <c r="F169" s="2" t="s">
        <v>38</v>
      </c>
      <c r="G169" s="2" t="s">
        <v>377</v>
      </c>
      <c r="H169" s="2" t="s">
        <v>378</v>
      </c>
      <c r="I169" s="4">
        <f>VLOOKUP(G169,全部!C:M,11,FALSE)</f>
        <v>769500</v>
      </c>
      <c r="J169" s="4">
        <f t="shared" si="2"/>
        <v>0</v>
      </c>
      <c r="K169" s="4">
        <f>VLOOKUP(计算!G169,全部!C:N,12,FALSE)</f>
        <v>0</v>
      </c>
      <c r="L169" s="5">
        <f>VLOOKUP(G169,全部!C:P,14,FALSE)</f>
        <v>0</v>
      </c>
      <c r="M169" s="5">
        <f>VLOOKUP(G169,全部!C:V,20,FALSE)*100</f>
        <v>4.5999999999999996</v>
      </c>
      <c r="N169" s="6">
        <f>VLOOKUP(G169,全部!C:W,21,FALSE)</f>
        <v>35397</v>
      </c>
      <c r="O169" s="4">
        <f>VLOOKUP(G169,全部!C:X,22,FALSE)</f>
        <v>35397</v>
      </c>
      <c r="P169" s="4">
        <f>VLOOKUP(G169,全部!C:Y,23,FALSE)</f>
        <v>35397</v>
      </c>
      <c r="Q169" s="6">
        <f>VLOOKUP(G169,全部!C:Z,24,FALSE)</f>
        <v>0</v>
      </c>
      <c r="R169" s="7">
        <f>VLOOKUP(G169,全部!C:AA,25,FALSE)</f>
        <v>0</v>
      </c>
      <c r="S169" s="7">
        <f>VLOOKUP(G169,全部!C:AB,26,FALSE)</f>
        <v>0</v>
      </c>
      <c r="T169" s="4">
        <f>VLOOKUP(计算!G169,全部!C:AC,27,FALSE)</f>
        <v>0</v>
      </c>
      <c r="U169" s="4">
        <f>VLOOKUP(G169,全部!C:AD,28,FALSE)</f>
        <v>0</v>
      </c>
      <c r="V169" s="6">
        <f>VLOOKUP(G169,全部!C:AE,29,FALSE)</f>
        <v>0</v>
      </c>
      <c r="W169" s="4">
        <f>VLOOKUP(G169,全部!C:AF,30,FALSE)</f>
        <v>0</v>
      </c>
      <c r="X169" s="4">
        <f>VLOOKUP(G169,全部!C:AG,31,FALSE)</f>
        <v>0</v>
      </c>
      <c r="Y169" s="4">
        <f>VLOOKUP(计算!G169,全部!C:AH,32,FALSE)</f>
        <v>0</v>
      </c>
      <c r="Z169" s="4">
        <f>VLOOKUP(G169,全部!C:AL,36,FALSE)</f>
        <v>0</v>
      </c>
      <c r="AA169" s="4">
        <f>VLOOKUP(G169,全部!C:AM,37,FALSE)</f>
        <v>0</v>
      </c>
      <c r="AB169" s="6">
        <f>VLOOKUP(G169,全部!C:AN,38,FALSE)</f>
        <v>0</v>
      </c>
      <c r="AC169" s="4">
        <f>VLOOKUP(G169,全部!C:AO,39,FALSE)</f>
        <v>0</v>
      </c>
      <c r="AD169" s="4">
        <f>VLOOKUP(G169,全部!C:AP,40,FALSE)</f>
        <v>0</v>
      </c>
      <c r="AE169" s="6">
        <f>VLOOKUP(G169,全部!C:AQ,41,FALSE)</f>
        <v>0</v>
      </c>
      <c r="AF169" s="4">
        <f>VLOOKUP(G169,全部!C:AR,42,FALSE)</f>
        <v>0</v>
      </c>
      <c r="AG169" s="7">
        <f>VLOOKUP(G169,全部!C:AS,43,FALSE)</f>
        <v>6</v>
      </c>
      <c r="AH169" s="64" t="str">
        <f>IF(VLOOKUP(G169,全部!C:AT,44,FALSE)=0,"",VLOOKUP(G169,全部!C:AT,44,FALSE))</f>
        <v>亦庄</v>
      </c>
      <c r="AI169">
        <v>0</v>
      </c>
      <c r="AJ169" s="3">
        <v>41912.6862847222</v>
      </c>
      <c r="AK169" s="2" t="s">
        <v>1822</v>
      </c>
    </row>
    <row r="170" spans="1:37" x14ac:dyDescent="0.15">
      <c r="A170" s="2" t="s">
        <v>1821</v>
      </c>
      <c r="B170">
        <v>1169</v>
      </c>
      <c r="C170" s="3">
        <v>41760</v>
      </c>
      <c r="D170" s="2" t="s">
        <v>37</v>
      </c>
      <c r="E170" s="2" t="s">
        <v>1820</v>
      </c>
      <c r="F170" s="2" t="s">
        <v>38</v>
      </c>
      <c r="G170" s="2" t="s">
        <v>374</v>
      </c>
      <c r="H170" s="2" t="s">
        <v>375</v>
      </c>
      <c r="I170" s="4">
        <f>VLOOKUP(G170,全部!C:M,11,FALSE)</f>
        <v>14986416.529999999</v>
      </c>
      <c r="J170" s="4">
        <f t="shared" si="2"/>
        <v>0</v>
      </c>
      <c r="K170" s="4">
        <f>VLOOKUP(计算!G170,全部!C:N,12,FALSE)</f>
        <v>0</v>
      </c>
      <c r="L170" s="5">
        <f>VLOOKUP(G170,全部!C:P,14,FALSE)</f>
        <v>0</v>
      </c>
      <c r="M170" s="5">
        <f>VLOOKUP(G170,全部!C:V,20,FALSE)*100</f>
        <v>3</v>
      </c>
      <c r="N170" s="6">
        <f>VLOOKUP(G170,全部!C:W,21,FALSE)</f>
        <v>449592.49589999998</v>
      </c>
      <c r="O170" s="4">
        <f>VLOOKUP(G170,全部!C:X,22,FALSE)</f>
        <v>0</v>
      </c>
      <c r="P170" s="4">
        <f>VLOOKUP(G170,全部!C:Y,23,FALSE)</f>
        <v>0</v>
      </c>
      <c r="Q170" s="6">
        <f>VLOOKUP(G170,全部!C:Z,24,FALSE)</f>
        <v>449592.49589999998</v>
      </c>
      <c r="R170" s="7">
        <f>VLOOKUP(G170,全部!C:AA,25,FALSE)</f>
        <v>0</v>
      </c>
      <c r="S170" s="7">
        <f>VLOOKUP(G170,全部!C:AB,26,FALSE)</f>
        <v>0</v>
      </c>
      <c r="T170" s="4">
        <f>VLOOKUP(计算!G170,全部!C:AC,27,FALSE)</f>
        <v>0</v>
      </c>
      <c r="U170" s="4">
        <f>VLOOKUP(G170,全部!C:AD,28,FALSE)</f>
        <v>0</v>
      </c>
      <c r="V170" s="6">
        <f>VLOOKUP(G170,全部!C:AE,29,FALSE)</f>
        <v>0</v>
      </c>
      <c r="W170" s="4">
        <f>VLOOKUP(G170,全部!C:AF,30,FALSE)</f>
        <v>0</v>
      </c>
      <c r="X170" s="4">
        <f>VLOOKUP(G170,全部!C:AG,31,FALSE)</f>
        <v>0</v>
      </c>
      <c r="Y170" s="4">
        <f>VLOOKUP(计算!G170,全部!C:AH,32,FALSE)</f>
        <v>0</v>
      </c>
      <c r="Z170" s="4">
        <f>VLOOKUP(G170,全部!C:AL,36,FALSE)</f>
        <v>0</v>
      </c>
      <c r="AA170" s="4">
        <f>VLOOKUP(G170,全部!C:AM,37,FALSE)</f>
        <v>0</v>
      </c>
      <c r="AB170" s="6">
        <f>VLOOKUP(G170,全部!C:AN,38,FALSE)</f>
        <v>0</v>
      </c>
      <c r="AC170" s="4">
        <f>VLOOKUP(G170,全部!C:AO,39,FALSE)</f>
        <v>0</v>
      </c>
      <c r="AD170" s="4">
        <f>VLOOKUP(G170,全部!C:AP,40,FALSE)</f>
        <v>0</v>
      </c>
      <c r="AE170" s="6">
        <f>VLOOKUP(G170,全部!C:AQ,41,FALSE)</f>
        <v>0</v>
      </c>
      <c r="AF170" s="4">
        <f>VLOOKUP(G170,全部!C:AR,42,FALSE)</f>
        <v>0</v>
      </c>
      <c r="AG170" s="7">
        <f>VLOOKUP(G170,全部!C:AS,43,FALSE)</f>
        <v>110</v>
      </c>
      <c r="AH170" s="64" t="str">
        <f>IF(VLOOKUP(G170,全部!C:AT,44,FALSE)=0,"",VLOOKUP(G170,全部!C:AT,44,FALSE))</f>
        <v>三河</v>
      </c>
      <c r="AI170">
        <v>0</v>
      </c>
      <c r="AJ170" s="3">
        <v>41912.6862847222</v>
      </c>
      <c r="AK170" s="2" t="s">
        <v>1819</v>
      </c>
    </row>
    <row r="171" spans="1:37" x14ac:dyDescent="0.15">
      <c r="A171" s="2" t="s">
        <v>1818</v>
      </c>
      <c r="B171">
        <v>235</v>
      </c>
      <c r="C171" s="3">
        <v>41760</v>
      </c>
      <c r="D171" s="2" t="s">
        <v>37</v>
      </c>
      <c r="E171" s="2" t="s">
        <v>1817</v>
      </c>
      <c r="F171" s="2" t="s">
        <v>41</v>
      </c>
      <c r="G171" s="2" t="s">
        <v>372</v>
      </c>
      <c r="H171" s="2" t="s">
        <v>373</v>
      </c>
      <c r="I171" s="4">
        <f>VLOOKUP(G171,全部!C:M,11,FALSE)</f>
        <v>50000</v>
      </c>
      <c r="J171" s="4">
        <f t="shared" si="2"/>
        <v>0</v>
      </c>
      <c r="K171" s="4">
        <f>VLOOKUP(计算!G171,全部!C:N,12,FALSE)</f>
        <v>0</v>
      </c>
      <c r="L171" s="5">
        <f>VLOOKUP(G171,全部!C:P,14,FALSE)</f>
        <v>0</v>
      </c>
      <c r="M171" s="5">
        <f>VLOOKUP(G171,全部!C:V,20,FALSE)*100</f>
        <v>8.6</v>
      </c>
      <c r="N171" s="6">
        <f>VLOOKUP(G171,全部!C:W,21,FALSE)</f>
        <v>4300</v>
      </c>
      <c r="O171" s="4">
        <f>VLOOKUP(G171,全部!C:X,22,FALSE)</f>
        <v>4300</v>
      </c>
      <c r="P171" s="4">
        <f>VLOOKUP(G171,全部!C:Y,23,FALSE)</f>
        <v>4300</v>
      </c>
      <c r="Q171" s="6">
        <f>VLOOKUP(G171,全部!C:Z,24,FALSE)</f>
        <v>0</v>
      </c>
      <c r="R171" s="7">
        <f>VLOOKUP(G171,全部!C:AA,25,FALSE)</f>
        <v>0</v>
      </c>
      <c r="S171" s="7">
        <f>VLOOKUP(G171,全部!C:AB,26,FALSE)</f>
        <v>0</v>
      </c>
      <c r="T171" s="4">
        <f>VLOOKUP(计算!G171,全部!C:AC,27,FALSE)</f>
        <v>40000</v>
      </c>
      <c r="U171" s="4">
        <f>VLOOKUP(G171,全部!C:AD,28,FALSE)</f>
        <v>40000</v>
      </c>
      <c r="V171" s="6">
        <f>VLOOKUP(G171,全部!C:AE,29,FALSE)</f>
        <v>0.8</v>
      </c>
      <c r="W171" s="4">
        <f>VLOOKUP(G171,全部!C:AF,30,FALSE)</f>
        <v>0</v>
      </c>
      <c r="X171" s="4">
        <f>VLOOKUP(G171,全部!C:AG,31,FALSE)</f>
        <v>0</v>
      </c>
      <c r="Y171" s="4">
        <f>VLOOKUP(计算!G171,全部!C:AH,32,FALSE)</f>
        <v>40000</v>
      </c>
      <c r="Z171" s="4">
        <f>VLOOKUP(G171,全部!C:AL,36,FALSE)</f>
        <v>40000</v>
      </c>
      <c r="AA171" s="4">
        <f>VLOOKUP(G171,全部!C:AM,37,FALSE)</f>
        <v>3.4000000000000002E-2</v>
      </c>
      <c r="AB171" s="6">
        <f>VLOOKUP(G171,全部!C:AN,38,FALSE)</f>
        <v>1700.0000000000002</v>
      </c>
      <c r="AC171" s="4">
        <f>VLOOKUP(G171,全部!C:AO,39,FALSE)</f>
        <v>0</v>
      </c>
      <c r="AD171" s="4">
        <f>VLOOKUP(G171,全部!C:AP,40,FALSE)</f>
        <v>0</v>
      </c>
      <c r="AE171" s="6">
        <f>VLOOKUP(G171,全部!C:AQ,41,FALSE)</f>
        <v>1700.0000000000002</v>
      </c>
      <c r="AF171" s="4">
        <f>VLOOKUP(G171,全部!C:AR,42,FALSE)</f>
        <v>0</v>
      </c>
      <c r="AG171" s="7">
        <f>VLOOKUP(G171,全部!C:AS,43,FALSE)</f>
        <v>0</v>
      </c>
      <c r="AH171" s="64" t="str">
        <f>IF(VLOOKUP(G171,全部!C:AT,44,FALSE)=0,"",VLOOKUP(G171,全部!C:AT,44,FALSE))</f>
        <v/>
      </c>
      <c r="AI171">
        <v>0</v>
      </c>
      <c r="AJ171" s="3">
        <v>41912.6862384259</v>
      </c>
      <c r="AK171" s="2" t="s">
        <v>1816</v>
      </c>
    </row>
    <row r="172" spans="1:37" x14ac:dyDescent="0.15">
      <c r="A172" s="2" t="s">
        <v>1815</v>
      </c>
      <c r="B172">
        <v>1167</v>
      </c>
      <c r="C172" s="3">
        <v>41767</v>
      </c>
      <c r="D172" s="2" t="s">
        <v>37</v>
      </c>
      <c r="E172" s="2" t="s">
        <v>1814</v>
      </c>
      <c r="F172" s="2" t="s">
        <v>38</v>
      </c>
      <c r="G172" s="2" t="s">
        <v>379</v>
      </c>
      <c r="H172" s="2" t="s">
        <v>380</v>
      </c>
      <c r="I172" s="4">
        <f>VLOOKUP(G172,全部!C:M,11,FALSE)</f>
        <v>944953.41</v>
      </c>
      <c r="J172" s="4">
        <f t="shared" si="2"/>
        <v>0</v>
      </c>
      <c r="K172" s="4">
        <f>VLOOKUP(计算!G172,全部!C:N,12,FALSE)</f>
        <v>0</v>
      </c>
      <c r="L172" s="5">
        <f>VLOOKUP(G172,全部!C:P,14,FALSE)</f>
        <v>0</v>
      </c>
      <c r="M172" s="5">
        <f>VLOOKUP(G172,全部!C:V,20,FALSE)*100</f>
        <v>3.5999999999999996</v>
      </c>
      <c r="N172" s="6">
        <f>VLOOKUP(G172,全部!C:W,21,FALSE)</f>
        <v>34018.322759999995</v>
      </c>
      <c r="O172" s="4">
        <f>VLOOKUP(G172,全部!C:X,22,FALSE)</f>
        <v>19298.8</v>
      </c>
      <c r="P172" s="4">
        <f>VLOOKUP(G172,全部!C:Y,23,FALSE)</f>
        <v>19298.8</v>
      </c>
      <c r="Q172" s="6">
        <f>VLOOKUP(G172,全部!C:Z,24,FALSE)</f>
        <v>14719.522759999996</v>
      </c>
      <c r="R172" s="7">
        <f>VLOOKUP(G172,全部!C:AA,25,FALSE)</f>
        <v>500000</v>
      </c>
      <c r="S172" s="7">
        <f>VLOOKUP(G172,全部!C:AB,26,FALSE)</f>
        <v>500000</v>
      </c>
      <c r="T172" s="4">
        <f>VLOOKUP(计算!G172,全部!C:AC,27,FALSE)</f>
        <v>500000</v>
      </c>
      <c r="U172" s="4">
        <f>VLOOKUP(G172,全部!C:AD,28,FALSE)</f>
        <v>500000</v>
      </c>
      <c r="V172" s="6">
        <f>VLOOKUP(G172,全部!C:AE,29,FALSE)</f>
        <v>0.52912661588257559</v>
      </c>
      <c r="W172" s="4">
        <f>VLOOKUP(G172,全部!C:AF,30,FALSE)</f>
        <v>358429.08999999997</v>
      </c>
      <c r="X172" s="4">
        <f>VLOOKUP(G172,全部!C:AG,31,FALSE)</f>
        <v>358429.08999999997</v>
      </c>
      <c r="Y172" s="4">
        <f>VLOOKUP(计算!G172,全部!C:AH,32,FALSE)</f>
        <v>404563.08999999997</v>
      </c>
      <c r="Z172" s="4">
        <f>VLOOKUP(G172,全部!C:AL,36,FALSE)</f>
        <v>404563.09</v>
      </c>
      <c r="AA172" s="4">
        <f>VLOOKUP(G172,全部!C:AM,37,FALSE)</f>
        <v>3.4000000000000002E-2</v>
      </c>
      <c r="AB172" s="6">
        <f>VLOOKUP(G172,全部!C:AN,38,FALSE)</f>
        <v>17000</v>
      </c>
      <c r="AC172" s="4">
        <f>VLOOKUP(G172,全部!C:AO,39,FALSE)</f>
        <v>10200</v>
      </c>
      <c r="AD172" s="4">
        <f>VLOOKUP(G172,全部!C:AP,40,FALSE)</f>
        <v>10200</v>
      </c>
      <c r="AE172" s="6">
        <f>VLOOKUP(G172,全部!C:AQ,41,FALSE)</f>
        <v>6800</v>
      </c>
      <c r="AF172" s="4">
        <f>VLOOKUP(G172,全部!C:AR,42,FALSE)</f>
        <v>0</v>
      </c>
      <c r="AG172" s="7">
        <f>VLOOKUP(G172,全部!C:AS,43,FALSE)</f>
        <v>4</v>
      </c>
      <c r="AH172" s="64" t="str">
        <f>IF(VLOOKUP(G172,全部!C:AT,44,FALSE)=0,"",VLOOKUP(G172,全部!C:AT,44,FALSE))</f>
        <v>大兴</v>
      </c>
      <c r="AI172">
        <v>0</v>
      </c>
      <c r="AJ172" s="3">
        <v>41912.6862847222</v>
      </c>
      <c r="AK172" s="2" t="s">
        <v>1813</v>
      </c>
    </row>
    <row r="173" spans="1:37" x14ac:dyDescent="0.15">
      <c r="A173" s="2" t="s">
        <v>1812</v>
      </c>
      <c r="B173">
        <v>1180</v>
      </c>
      <c r="C173" s="3">
        <v>41779</v>
      </c>
      <c r="D173" s="2" t="s">
        <v>37</v>
      </c>
      <c r="E173" s="2" t="s">
        <v>1811</v>
      </c>
      <c r="F173" s="2" t="s">
        <v>38</v>
      </c>
      <c r="G173" s="2" t="s">
        <v>381</v>
      </c>
      <c r="H173" s="2" t="s">
        <v>382</v>
      </c>
      <c r="I173" s="4">
        <f>VLOOKUP(G173,全部!C:M,11,FALSE)</f>
        <v>520000</v>
      </c>
      <c r="J173" s="4">
        <f t="shared" si="2"/>
        <v>0</v>
      </c>
      <c r="K173" s="4">
        <f>VLOOKUP(计算!G173,全部!C:N,12,FALSE)</f>
        <v>0</v>
      </c>
      <c r="L173" s="5">
        <f>VLOOKUP(G173,全部!C:P,14,FALSE)</f>
        <v>0</v>
      </c>
      <c r="M173" s="5">
        <f>VLOOKUP(G173,全部!C:V,20,FALSE)*100</f>
        <v>3.5999999999999996</v>
      </c>
      <c r="N173" s="6">
        <f>VLOOKUP(G173,全部!C:W,21,FALSE)</f>
        <v>18720</v>
      </c>
      <c r="O173" s="4">
        <f>VLOOKUP(G173,全部!C:X,22,FALSE)</f>
        <v>18720</v>
      </c>
      <c r="P173" s="4">
        <f>VLOOKUP(G173,全部!C:Y,23,FALSE)</f>
        <v>18720</v>
      </c>
      <c r="Q173" s="6">
        <f>VLOOKUP(G173,全部!C:Z,24,FALSE)</f>
        <v>0</v>
      </c>
      <c r="R173" s="7">
        <f>VLOOKUP(G173,全部!C:AA,25,FALSE)</f>
        <v>156000</v>
      </c>
      <c r="S173" s="7">
        <f>VLOOKUP(G173,全部!C:AB,26,FALSE)</f>
        <v>156000</v>
      </c>
      <c r="T173" s="4">
        <f>VLOOKUP(计算!G173,全部!C:AC,27,FALSE)</f>
        <v>156000</v>
      </c>
      <c r="U173" s="4">
        <f>VLOOKUP(G173,全部!C:AD,28,FALSE)</f>
        <v>156000</v>
      </c>
      <c r="V173" s="6">
        <f>VLOOKUP(G173,全部!C:AE,29,FALSE)</f>
        <v>0.3</v>
      </c>
      <c r="W173" s="4">
        <f>VLOOKUP(G173,全部!C:AF,30,FALSE)</f>
        <v>140000</v>
      </c>
      <c r="X173" s="4">
        <f>VLOOKUP(G173,全部!C:AG,31,FALSE)</f>
        <v>140000</v>
      </c>
      <c r="Y173" s="4">
        <f>VLOOKUP(计算!G173,全部!C:AH,32,FALSE)</f>
        <v>145304</v>
      </c>
      <c r="Z173" s="4">
        <f>VLOOKUP(G173,全部!C:AL,36,FALSE)</f>
        <v>145304</v>
      </c>
      <c r="AA173" s="4">
        <f>VLOOKUP(G173,全部!C:AM,37,FALSE)</f>
        <v>3.4000000000000002E-2</v>
      </c>
      <c r="AB173" s="6">
        <f>VLOOKUP(G173,全部!C:AN,38,FALSE)</f>
        <v>5304</v>
      </c>
      <c r="AC173" s="4">
        <f>VLOOKUP(G173,全部!C:AO,39,FALSE)</f>
        <v>5304</v>
      </c>
      <c r="AD173" s="4">
        <f>VLOOKUP(G173,全部!C:AP,40,FALSE)</f>
        <v>5304</v>
      </c>
      <c r="AE173" s="6">
        <f>VLOOKUP(G173,全部!C:AQ,41,FALSE)</f>
        <v>0</v>
      </c>
      <c r="AF173" s="4">
        <f>VLOOKUP(G173,全部!C:AR,42,FALSE)</f>
        <v>0</v>
      </c>
      <c r="AG173" s="7">
        <f>VLOOKUP(G173,全部!C:AS,43,FALSE)</f>
        <v>0</v>
      </c>
      <c r="AH173" s="64" t="str">
        <f>IF(VLOOKUP(G173,全部!C:AT,44,FALSE)=0,"",VLOOKUP(G173,全部!C:AT,44,FALSE))</f>
        <v/>
      </c>
      <c r="AI173">
        <v>0</v>
      </c>
      <c r="AJ173" s="3">
        <v>41912.6862847222</v>
      </c>
      <c r="AK173" s="2" t="s">
        <v>1810</v>
      </c>
    </row>
    <row r="174" spans="1:37" x14ac:dyDescent="0.15">
      <c r="A174" s="2" t="s">
        <v>1809</v>
      </c>
      <c r="B174">
        <v>1185</v>
      </c>
      <c r="C174" s="3">
        <v>41791</v>
      </c>
      <c r="D174" s="2" t="s">
        <v>37</v>
      </c>
      <c r="E174" s="2" t="s">
        <v>1808</v>
      </c>
      <c r="F174" s="2" t="s">
        <v>38</v>
      </c>
      <c r="G174" s="2" t="s">
        <v>383</v>
      </c>
      <c r="H174" s="2" t="s">
        <v>384</v>
      </c>
      <c r="I174" s="4">
        <f>VLOOKUP(G174,全部!C:M,11,FALSE)</f>
        <v>14800000</v>
      </c>
      <c r="J174" s="4">
        <f t="shared" si="2"/>
        <v>0</v>
      </c>
      <c r="K174" s="4">
        <f>VLOOKUP(计算!G174,全部!C:N,12,FALSE)</f>
        <v>0</v>
      </c>
      <c r="L174" s="5">
        <f>VLOOKUP(G174,全部!C:P,14,FALSE)</f>
        <v>0</v>
      </c>
      <c r="M174" s="5">
        <f>VLOOKUP(G174,全部!C:V,20,FALSE)*100</f>
        <v>0</v>
      </c>
      <c r="N174" s="6">
        <f>VLOOKUP(G174,全部!C:W,21,FALSE)</f>
        <v>0</v>
      </c>
      <c r="O174" s="4">
        <f>VLOOKUP(G174,全部!C:X,22,FALSE)</f>
        <v>0</v>
      </c>
      <c r="P174" s="4">
        <f>VLOOKUP(G174,全部!C:Y,23,FALSE)</f>
        <v>0</v>
      </c>
      <c r="Q174" s="6">
        <f>VLOOKUP(G174,全部!C:Z,24,FALSE)</f>
        <v>0</v>
      </c>
      <c r="R174" s="7">
        <f>VLOOKUP(G174,全部!C:AA,25,FALSE)</f>
        <v>0</v>
      </c>
      <c r="S174" s="7">
        <f>VLOOKUP(G174,全部!C:AB,26,FALSE)</f>
        <v>0</v>
      </c>
      <c r="T174" s="4">
        <f>VLOOKUP(计算!G174,全部!C:AC,27,FALSE)</f>
        <v>3300000</v>
      </c>
      <c r="U174" s="4">
        <f>VLOOKUP(G174,全部!C:AD,28,FALSE)</f>
        <v>3300000</v>
      </c>
      <c r="V174" s="6">
        <f>VLOOKUP(G174,全部!C:AE,29,FALSE)</f>
        <v>0.22297297297297297</v>
      </c>
      <c r="W174" s="4">
        <f>VLOOKUP(G174,全部!C:AF,30,FALSE)</f>
        <v>1261050</v>
      </c>
      <c r="X174" s="4">
        <f>VLOOKUP(G174,全部!C:AG,31,FALSE)</f>
        <v>1261050</v>
      </c>
      <c r="Y174" s="4">
        <f>VLOOKUP(计算!G174,全部!C:AH,32,FALSE)</f>
        <v>1261050</v>
      </c>
      <c r="Z174" s="4">
        <f>VLOOKUP(G174,全部!C:AL,36,FALSE)</f>
        <v>1261050</v>
      </c>
      <c r="AA174" s="4">
        <f>VLOOKUP(G174,全部!C:AM,37,FALSE)</f>
        <v>3.4000000000000002E-2</v>
      </c>
      <c r="AB174" s="6">
        <f>VLOOKUP(G174,全部!C:AN,38,FALSE)</f>
        <v>0</v>
      </c>
      <c r="AC174" s="4">
        <f>VLOOKUP(G174,全部!C:AO,39,FALSE)</f>
        <v>0</v>
      </c>
      <c r="AD174" s="4">
        <f>VLOOKUP(G174,全部!C:AP,40,FALSE)</f>
        <v>0</v>
      </c>
      <c r="AE174" s="6">
        <f>VLOOKUP(G174,全部!C:AQ,41,FALSE)</f>
        <v>0</v>
      </c>
      <c r="AF174" s="4">
        <f>VLOOKUP(G174,全部!C:AR,42,FALSE)</f>
        <v>0</v>
      </c>
      <c r="AG174" s="7">
        <f>VLOOKUP(G174,全部!C:AS,43,FALSE)</f>
        <v>44</v>
      </c>
      <c r="AH174" s="64" t="str">
        <f>IF(VLOOKUP(G174,全部!C:AT,44,FALSE)=0,"",VLOOKUP(G174,全部!C:AT,44,FALSE))</f>
        <v>昌平</v>
      </c>
      <c r="AI174">
        <v>0</v>
      </c>
      <c r="AJ174" s="3">
        <v>41912.6862847222</v>
      </c>
      <c r="AK174" s="2" t="s">
        <v>1807</v>
      </c>
    </row>
    <row r="175" spans="1:37" x14ac:dyDescent="0.15">
      <c r="A175" s="2" t="s">
        <v>1806</v>
      </c>
      <c r="B175">
        <v>236</v>
      </c>
      <c r="C175" s="3">
        <v>41791</v>
      </c>
      <c r="D175" s="2" t="s">
        <v>37</v>
      </c>
      <c r="E175" s="2" t="s">
        <v>1805</v>
      </c>
      <c r="F175" s="2" t="s">
        <v>41</v>
      </c>
      <c r="G175" s="2" t="s">
        <v>385</v>
      </c>
      <c r="H175" s="2" t="s">
        <v>386</v>
      </c>
      <c r="I175" s="4">
        <f>VLOOKUP(G175,全部!C:M,11,FALSE)</f>
        <v>50000</v>
      </c>
      <c r="J175" s="4">
        <f t="shared" si="2"/>
        <v>0</v>
      </c>
      <c r="K175" s="4">
        <f>VLOOKUP(计算!G175,全部!C:N,12,FALSE)</f>
        <v>0</v>
      </c>
      <c r="L175" s="5">
        <f>VLOOKUP(G175,全部!C:P,14,FALSE)</f>
        <v>0</v>
      </c>
      <c r="M175" s="5">
        <f>VLOOKUP(G175,全部!C:V,20,FALSE)*100</f>
        <v>8.6</v>
      </c>
      <c r="N175" s="6">
        <f>VLOOKUP(G175,全部!C:W,21,FALSE)</f>
        <v>4300</v>
      </c>
      <c r="O175" s="4">
        <f>VLOOKUP(G175,全部!C:X,22,FALSE)</f>
        <v>0</v>
      </c>
      <c r="P175" s="4">
        <f>VLOOKUP(G175,全部!C:Y,23,FALSE)</f>
        <v>0</v>
      </c>
      <c r="Q175" s="6">
        <f>VLOOKUP(G175,全部!C:Z,24,FALSE)</f>
        <v>4300</v>
      </c>
      <c r="R175" s="7">
        <f>VLOOKUP(G175,全部!C:AA,25,FALSE)</f>
        <v>0</v>
      </c>
      <c r="S175" s="7">
        <f>VLOOKUP(G175,全部!C:AB,26,FALSE)</f>
        <v>0</v>
      </c>
      <c r="T175" s="4">
        <f>VLOOKUP(计算!G175,全部!C:AC,27,FALSE)</f>
        <v>0</v>
      </c>
      <c r="U175" s="4">
        <f>VLOOKUP(G175,全部!C:AD,28,FALSE)</f>
        <v>0</v>
      </c>
      <c r="V175" s="6">
        <f>VLOOKUP(G175,全部!C:AE,29,FALSE)</f>
        <v>0</v>
      </c>
      <c r="W175" s="4">
        <f>VLOOKUP(G175,全部!C:AF,30,FALSE)</f>
        <v>0</v>
      </c>
      <c r="X175" s="4">
        <f>VLOOKUP(G175,全部!C:AG,31,FALSE)</f>
        <v>0</v>
      </c>
      <c r="Y175" s="4">
        <f>VLOOKUP(计算!G175,全部!C:AH,32,FALSE)</f>
        <v>0</v>
      </c>
      <c r="Z175" s="4">
        <f>VLOOKUP(G175,全部!C:AL,36,FALSE)</f>
        <v>0</v>
      </c>
      <c r="AA175" s="4">
        <f>VLOOKUP(G175,全部!C:AM,37,FALSE)</f>
        <v>3.4000000000000002E-2</v>
      </c>
      <c r="AB175" s="6">
        <f>VLOOKUP(G175,全部!C:AN,38,FALSE)</f>
        <v>1700.0000000000002</v>
      </c>
      <c r="AC175" s="4">
        <f>VLOOKUP(G175,全部!C:AO,39,FALSE)</f>
        <v>0</v>
      </c>
      <c r="AD175" s="4">
        <f>VLOOKUP(G175,全部!C:AP,40,FALSE)</f>
        <v>0</v>
      </c>
      <c r="AE175" s="6">
        <f>VLOOKUP(G175,全部!C:AQ,41,FALSE)</f>
        <v>1700.0000000000002</v>
      </c>
      <c r="AF175" s="4">
        <f>VLOOKUP(G175,全部!C:AR,42,FALSE)</f>
        <v>0</v>
      </c>
      <c r="AG175" s="7">
        <f>VLOOKUP(G175,全部!C:AS,43,FALSE)</f>
        <v>0</v>
      </c>
      <c r="AH175" s="64" t="str">
        <f>IF(VLOOKUP(G175,全部!C:AT,44,FALSE)=0,"",VLOOKUP(G175,全部!C:AT,44,FALSE))</f>
        <v/>
      </c>
      <c r="AI175">
        <v>0</v>
      </c>
      <c r="AJ175" s="3">
        <v>41912.6862384259</v>
      </c>
      <c r="AK175" s="2" t="s">
        <v>1804</v>
      </c>
    </row>
    <row r="176" spans="1:37" x14ac:dyDescent="0.15">
      <c r="A176" s="2" t="s">
        <v>1803</v>
      </c>
      <c r="B176">
        <v>1188</v>
      </c>
      <c r="C176" s="3">
        <v>41791</v>
      </c>
      <c r="D176" s="2" t="s">
        <v>37</v>
      </c>
      <c r="E176" s="2" t="s">
        <v>1802</v>
      </c>
      <c r="F176" s="2" t="s">
        <v>38</v>
      </c>
      <c r="G176" s="2" t="s">
        <v>387</v>
      </c>
      <c r="H176" s="2" t="s">
        <v>388</v>
      </c>
      <c r="I176" s="4">
        <f>VLOOKUP(G176,全部!C:M,11,FALSE)</f>
        <v>3326070</v>
      </c>
      <c r="J176" s="4">
        <f t="shared" si="2"/>
        <v>0</v>
      </c>
      <c r="K176" s="4">
        <f>VLOOKUP(计算!G176,全部!C:N,12,FALSE)</f>
        <v>0</v>
      </c>
      <c r="L176" s="5">
        <f>VLOOKUP(G176,全部!C:P,14,FALSE)</f>
        <v>0</v>
      </c>
      <c r="M176" s="5">
        <f>VLOOKUP(G176,全部!C:V,20,FALSE)*100</f>
        <v>3.5999999999999996</v>
      </c>
      <c r="N176" s="6">
        <f>VLOOKUP(G176,全部!C:W,21,FALSE)</f>
        <v>119738.51999999999</v>
      </c>
      <c r="O176" s="4">
        <f>VLOOKUP(G176,全部!C:X,22,FALSE)</f>
        <v>0</v>
      </c>
      <c r="P176" s="4">
        <f>VLOOKUP(G176,全部!C:Y,23,FALSE)</f>
        <v>0</v>
      </c>
      <c r="Q176" s="6">
        <f>VLOOKUP(G176,全部!C:Z,24,FALSE)</f>
        <v>119738.51999999999</v>
      </c>
      <c r="R176" s="7">
        <f>VLOOKUP(G176,全部!C:AA,25,FALSE)</f>
        <v>300000</v>
      </c>
      <c r="S176" s="7">
        <f>VLOOKUP(G176,全部!C:AB,26,FALSE)</f>
        <v>300000</v>
      </c>
      <c r="T176" s="4">
        <f>VLOOKUP(计算!G176,全部!C:AC,27,FALSE)</f>
        <v>0</v>
      </c>
      <c r="U176" s="4">
        <f>VLOOKUP(G176,全部!C:AD,28,FALSE)</f>
        <v>0</v>
      </c>
      <c r="V176" s="6">
        <f>VLOOKUP(G176,全部!C:AE,29,FALSE)</f>
        <v>0</v>
      </c>
      <c r="W176" s="4">
        <f>VLOOKUP(G176,全部!C:AF,30,FALSE)</f>
        <v>0</v>
      </c>
      <c r="X176" s="4">
        <f>VLOOKUP(G176,全部!C:AG,31,FALSE)</f>
        <v>0</v>
      </c>
      <c r="Y176" s="4">
        <f>VLOOKUP(计算!G176,全部!C:AH,32,FALSE)</f>
        <v>0</v>
      </c>
      <c r="Z176" s="4">
        <f>VLOOKUP(G176,全部!C:AL,36,FALSE)</f>
        <v>0</v>
      </c>
      <c r="AA176" s="4">
        <f>VLOOKUP(G176,全部!C:AM,37,FALSE)</f>
        <v>3.4000000000000002E-2</v>
      </c>
      <c r="AB176" s="6">
        <f>VLOOKUP(G176,全部!C:AN,38,FALSE)</f>
        <v>10200</v>
      </c>
      <c r="AC176" s="4">
        <f>VLOOKUP(G176,全部!C:AO,39,FALSE)</f>
        <v>0</v>
      </c>
      <c r="AD176" s="4">
        <f>VLOOKUP(G176,全部!C:AP,40,FALSE)</f>
        <v>0</v>
      </c>
      <c r="AE176" s="6">
        <f>VLOOKUP(G176,全部!C:AQ,41,FALSE)</f>
        <v>10200</v>
      </c>
      <c r="AF176" s="4">
        <f>VLOOKUP(G176,全部!C:AR,42,FALSE)</f>
        <v>0</v>
      </c>
      <c r="AG176" s="7">
        <f>VLOOKUP(G176,全部!C:AS,43,FALSE)</f>
        <v>35</v>
      </c>
      <c r="AH176" s="64" t="str">
        <f>IF(VLOOKUP(G176,全部!C:AT,44,FALSE)=0,"",VLOOKUP(G176,全部!C:AT,44,FALSE))</f>
        <v>亦庄</v>
      </c>
      <c r="AI176">
        <v>0</v>
      </c>
      <c r="AJ176" s="3">
        <v>41912.6862847222</v>
      </c>
      <c r="AK176" s="2" t="s">
        <v>1801</v>
      </c>
    </row>
    <row r="177" spans="1:37" x14ac:dyDescent="0.15">
      <c r="A177" s="2" t="s">
        <v>1800</v>
      </c>
      <c r="B177">
        <v>1196</v>
      </c>
      <c r="C177" s="3">
        <v>41820</v>
      </c>
      <c r="D177" s="2" t="s">
        <v>37</v>
      </c>
      <c r="E177" s="2" t="s">
        <v>1799</v>
      </c>
      <c r="F177" s="2" t="s">
        <v>38</v>
      </c>
      <c r="G177" s="2" t="s">
        <v>389</v>
      </c>
      <c r="H177" s="2" t="s">
        <v>390</v>
      </c>
      <c r="I177" s="4">
        <f>VLOOKUP(G177,全部!C:M,11,FALSE)</f>
        <v>5305357.5999999996</v>
      </c>
      <c r="J177" s="4">
        <f t="shared" si="2"/>
        <v>0</v>
      </c>
      <c r="K177" s="4">
        <f>VLOOKUP(计算!G177,全部!C:N,12,FALSE)</f>
        <v>0</v>
      </c>
      <c r="L177" s="5">
        <f>VLOOKUP(G177,全部!C:P,14,FALSE)</f>
        <v>0</v>
      </c>
      <c r="M177" s="5">
        <f>VLOOKUP(G177,全部!C:V,20,FALSE)*100</f>
        <v>3</v>
      </c>
      <c r="N177" s="6">
        <f>VLOOKUP(G177,全部!C:W,21,FALSE)</f>
        <v>159160.72799999997</v>
      </c>
      <c r="O177" s="4">
        <f>VLOOKUP(G177,全部!C:X,22,FALSE)</f>
        <v>100000</v>
      </c>
      <c r="P177" s="4">
        <f>VLOOKUP(G177,全部!C:Y,23,FALSE)</f>
        <v>100000</v>
      </c>
      <c r="Q177" s="6">
        <f>VLOOKUP(G177,全部!C:Z,24,FALSE)</f>
        <v>59160.727999999974</v>
      </c>
      <c r="R177" s="7">
        <f>VLOOKUP(G177,全部!C:AA,25,FALSE)</f>
        <v>1060000</v>
      </c>
      <c r="S177" s="7">
        <f>VLOOKUP(G177,全部!C:AB,26,FALSE)</f>
        <v>1060000</v>
      </c>
      <c r="T177" s="4">
        <f>VLOOKUP(计算!G177,全部!C:AC,27,FALSE)</f>
        <v>1060000</v>
      </c>
      <c r="U177" s="4">
        <f>VLOOKUP(G177,全部!C:AD,28,FALSE)</f>
        <v>1060000</v>
      </c>
      <c r="V177" s="6">
        <f>VLOOKUP(G177,全部!C:AE,29,FALSE)</f>
        <v>0.19979803057950327</v>
      </c>
      <c r="W177" s="4">
        <f>VLOOKUP(G177,全部!C:AF,30,FALSE)</f>
        <v>356366.43</v>
      </c>
      <c r="X177" s="4">
        <f>VLOOKUP(G177,全部!C:AG,31,FALSE)</f>
        <v>356366.43</v>
      </c>
      <c r="Y177" s="4">
        <f>VLOOKUP(计算!G177,全部!C:AH,32,FALSE)</f>
        <v>428446.43</v>
      </c>
      <c r="Z177" s="4">
        <f>VLOOKUP(G177,全部!C:AL,36,FALSE)</f>
        <v>428446.43</v>
      </c>
      <c r="AA177" s="4">
        <f>VLOOKUP(G177,全部!C:AM,37,FALSE)</f>
        <v>3.4000000000000002E-2</v>
      </c>
      <c r="AB177" s="6">
        <f>VLOOKUP(G177,全部!C:AN,38,FALSE)</f>
        <v>36040</v>
      </c>
      <c r="AC177" s="4">
        <f>VLOOKUP(G177,全部!C:AO,39,FALSE)</f>
        <v>36040</v>
      </c>
      <c r="AD177" s="4">
        <f>VLOOKUP(G177,全部!C:AP,40,FALSE)</f>
        <v>36040</v>
      </c>
      <c r="AE177" s="6">
        <f>VLOOKUP(G177,全部!C:AQ,41,FALSE)</f>
        <v>0</v>
      </c>
      <c r="AF177" s="4">
        <f>VLOOKUP(G177,全部!C:AR,42,FALSE)</f>
        <v>0</v>
      </c>
      <c r="AG177" s="7">
        <f>VLOOKUP(G177,全部!C:AS,43,FALSE)</f>
        <v>72</v>
      </c>
      <c r="AH177" s="64" t="str">
        <f>IF(VLOOKUP(G177,全部!C:AT,44,FALSE)=0,"",VLOOKUP(G177,全部!C:AT,44,FALSE))</f>
        <v>三河</v>
      </c>
      <c r="AI177">
        <v>0</v>
      </c>
      <c r="AJ177" s="3">
        <v>41912.6862847222</v>
      </c>
      <c r="AK177" s="2" t="s">
        <v>1798</v>
      </c>
    </row>
    <row r="178" spans="1:37" x14ac:dyDescent="0.15">
      <c r="A178" s="2" t="s">
        <v>1797</v>
      </c>
      <c r="B178">
        <v>252</v>
      </c>
      <c r="C178" s="3">
        <v>41821</v>
      </c>
      <c r="D178" s="2" t="s">
        <v>37</v>
      </c>
      <c r="E178" s="2" t="s">
        <v>1796</v>
      </c>
      <c r="F178" s="2" t="s">
        <v>41</v>
      </c>
      <c r="G178" s="2" t="s">
        <v>403</v>
      </c>
      <c r="H178" s="2" t="s">
        <v>404</v>
      </c>
      <c r="I178" s="4">
        <f>VLOOKUP(G178,全部!C:M,11,FALSE)</f>
        <v>1826701.83</v>
      </c>
      <c r="J178" s="4">
        <f t="shared" si="2"/>
        <v>0</v>
      </c>
      <c r="K178" s="4">
        <f>VLOOKUP(计算!G178,全部!C:N,12,FALSE)</f>
        <v>0</v>
      </c>
      <c r="L178" s="5">
        <f>VLOOKUP(G178,全部!C:P,14,FALSE)</f>
        <v>0</v>
      </c>
      <c r="M178" s="5">
        <f>VLOOKUP(G178,全部!C:V,20,FALSE)*100</f>
        <v>8.6</v>
      </c>
      <c r="N178" s="6">
        <f>VLOOKUP(G178,全部!C:W,21,FALSE)</f>
        <v>157096.35738</v>
      </c>
      <c r="O178" s="4">
        <f>VLOOKUP(G178,全部!C:X,22,FALSE)</f>
        <v>78548.179999999993</v>
      </c>
      <c r="P178" s="4">
        <f>VLOOKUP(G178,全部!C:Y,23,FALSE)</f>
        <v>78548.179999999993</v>
      </c>
      <c r="Q178" s="6">
        <f>VLOOKUP(G178,全部!C:Z,24,FALSE)</f>
        <v>78548.177380000008</v>
      </c>
      <c r="R178" s="7">
        <f>VLOOKUP(G178,全部!C:AA,25,FALSE)</f>
        <v>0</v>
      </c>
      <c r="S178" s="7">
        <f>VLOOKUP(G178,全部!C:AB,26,FALSE)</f>
        <v>0</v>
      </c>
      <c r="T178" s="4">
        <f>VLOOKUP(计算!G178,全部!C:AC,27,FALSE)</f>
        <v>365340.36</v>
      </c>
      <c r="U178" s="4">
        <f>VLOOKUP(G178,全部!C:AD,28,FALSE)</f>
        <v>365340.36</v>
      </c>
      <c r="V178" s="6">
        <f>VLOOKUP(G178,全部!C:AE,29,FALSE)</f>
        <v>0.19999999671539168</v>
      </c>
      <c r="W178" s="4">
        <f>VLOOKUP(G178,全部!C:AF,30,FALSE)</f>
        <v>0</v>
      </c>
      <c r="X178" s="4">
        <f>VLOOKUP(G178,全部!C:AG,31,FALSE)</f>
        <v>0</v>
      </c>
      <c r="Y178" s="4">
        <f>VLOOKUP(计算!G178,全部!C:AH,32,FALSE)</f>
        <v>365340.36</v>
      </c>
      <c r="Z178" s="4">
        <f>VLOOKUP(G178,全部!C:AL,36,FALSE)</f>
        <v>365340.36</v>
      </c>
      <c r="AA178" s="4">
        <f>VLOOKUP(G178,全部!C:AM,37,FALSE)</f>
        <v>3.4000000000000002E-2</v>
      </c>
      <c r="AB178" s="6">
        <f>VLOOKUP(G178,全部!C:AN,38,FALSE)</f>
        <v>62107.86222000001</v>
      </c>
      <c r="AC178" s="4">
        <f>VLOOKUP(G178,全部!C:AO,39,FALSE)</f>
        <v>0</v>
      </c>
      <c r="AD178" s="4">
        <f>VLOOKUP(G178,全部!C:AP,40,FALSE)</f>
        <v>0</v>
      </c>
      <c r="AE178" s="6">
        <f>VLOOKUP(G178,全部!C:AQ,41,FALSE)</f>
        <v>62107.86222000001</v>
      </c>
      <c r="AF178" s="4">
        <f>VLOOKUP(G178,全部!C:AR,42,FALSE)</f>
        <v>0</v>
      </c>
      <c r="AG178" s="7">
        <f>VLOOKUP(G178,全部!C:AS,43,FALSE)</f>
        <v>0</v>
      </c>
      <c r="AH178" s="64" t="str">
        <f>IF(VLOOKUP(G178,全部!C:AT,44,FALSE)=0,"",VLOOKUP(G178,全部!C:AT,44,FALSE))</f>
        <v/>
      </c>
      <c r="AI178">
        <v>0</v>
      </c>
      <c r="AJ178" s="3">
        <v>41912.6862384259</v>
      </c>
      <c r="AK178" s="2" t="s">
        <v>1795</v>
      </c>
    </row>
    <row r="179" spans="1:37" x14ac:dyDescent="0.15">
      <c r="A179" s="2" t="s">
        <v>1794</v>
      </c>
      <c r="B179">
        <v>262</v>
      </c>
      <c r="C179" s="3">
        <v>41821</v>
      </c>
      <c r="D179" s="2" t="s">
        <v>37</v>
      </c>
      <c r="E179" s="2" t="s">
        <v>1793</v>
      </c>
      <c r="F179" s="2" t="s">
        <v>41</v>
      </c>
      <c r="G179" s="2" t="s">
        <v>405</v>
      </c>
      <c r="H179" s="2" t="s">
        <v>406</v>
      </c>
      <c r="I179" s="4">
        <f>VLOOKUP(G179,全部!C:M,11,FALSE)</f>
        <v>882200</v>
      </c>
      <c r="J179" s="4">
        <f t="shared" si="2"/>
        <v>0</v>
      </c>
      <c r="K179" s="4">
        <f>VLOOKUP(计算!G179,全部!C:N,12,FALSE)</f>
        <v>0</v>
      </c>
      <c r="L179" s="5">
        <f>VLOOKUP(G179,全部!C:P,14,FALSE)</f>
        <v>0</v>
      </c>
      <c r="M179" s="5">
        <f>VLOOKUP(G179,全部!C:V,20,FALSE)*100</f>
        <v>8.6</v>
      </c>
      <c r="N179" s="6">
        <f>VLOOKUP(G179,全部!C:W,21,FALSE)</f>
        <v>75869.2</v>
      </c>
      <c r="O179" s="4">
        <f>VLOOKUP(G179,全部!C:X,22,FALSE)</f>
        <v>37934.6</v>
      </c>
      <c r="P179" s="4">
        <f>VLOOKUP(G179,全部!C:Y,23,FALSE)</f>
        <v>37934.6</v>
      </c>
      <c r="Q179" s="6">
        <f>VLOOKUP(G179,全部!C:Z,24,FALSE)</f>
        <v>37934.6</v>
      </c>
      <c r="R179" s="7">
        <f>VLOOKUP(G179,全部!C:AA,25,FALSE)</f>
        <v>0</v>
      </c>
      <c r="S179" s="7">
        <f>VLOOKUP(G179,全部!C:AB,26,FALSE)</f>
        <v>0</v>
      </c>
      <c r="T179" s="4">
        <f>VLOOKUP(计算!G179,全部!C:AC,27,FALSE)</f>
        <v>176440</v>
      </c>
      <c r="U179" s="4">
        <f>VLOOKUP(G179,全部!C:AD,28,FALSE)</f>
        <v>176440</v>
      </c>
      <c r="V179" s="6">
        <f>VLOOKUP(G179,全部!C:AE,29,FALSE)</f>
        <v>0.2</v>
      </c>
      <c r="W179" s="4">
        <f>VLOOKUP(G179,全部!C:AF,30,FALSE)</f>
        <v>0</v>
      </c>
      <c r="X179" s="4">
        <f>VLOOKUP(G179,全部!C:AG,31,FALSE)</f>
        <v>0</v>
      </c>
      <c r="Y179" s="4">
        <f>VLOOKUP(计算!G179,全部!C:AH,32,FALSE)</f>
        <v>176440</v>
      </c>
      <c r="Z179" s="4">
        <f>VLOOKUP(G179,全部!C:AL,36,FALSE)</f>
        <v>176440</v>
      </c>
      <c r="AA179" s="4">
        <f>VLOOKUP(G179,全部!C:AM,37,FALSE)</f>
        <v>3.4000000000000002E-2</v>
      </c>
      <c r="AB179" s="6">
        <f>VLOOKUP(G179,全部!C:AN,38,FALSE)</f>
        <v>29994.800000000003</v>
      </c>
      <c r="AC179" s="4">
        <f>VLOOKUP(G179,全部!C:AO,39,FALSE)</f>
        <v>0</v>
      </c>
      <c r="AD179" s="4">
        <f>VLOOKUP(G179,全部!C:AP,40,FALSE)</f>
        <v>0</v>
      </c>
      <c r="AE179" s="6">
        <f>VLOOKUP(G179,全部!C:AQ,41,FALSE)</f>
        <v>29994.800000000003</v>
      </c>
      <c r="AF179" s="4">
        <f>VLOOKUP(G179,全部!C:AR,42,FALSE)</f>
        <v>0</v>
      </c>
      <c r="AG179" s="7">
        <f>VLOOKUP(G179,全部!C:AS,43,FALSE)</f>
        <v>0</v>
      </c>
      <c r="AH179" s="64" t="str">
        <f>IF(VLOOKUP(G179,全部!C:AT,44,FALSE)=0,"",VLOOKUP(G179,全部!C:AT,44,FALSE))</f>
        <v/>
      </c>
      <c r="AI179">
        <v>0</v>
      </c>
      <c r="AJ179" s="3">
        <v>41912.6862384259</v>
      </c>
      <c r="AK179" s="2" t="s">
        <v>1792</v>
      </c>
    </row>
    <row r="180" spans="1:37" x14ac:dyDescent="0.15">
      <c r="A180" s="2" t="s">
        <v>1791</v>
      </c>
      <c r="B180">
        <v>271</v>
      </c>
      <c r="C180" s="3">
        <v>41821</v>
      </c>
      <c r="D180" s="2" t="s">
        <v>37</v>
      </c>
      <c r="E180" s="2" t="s">
        <v>1790</v>
      </c>
      <c r="F180" s="2" t="s">
        <v>41</v>
      </c>
      <c r="G180" s="2" t="s">
        <v>407</v>
      </c>
      <c r="H180" s="2" t="s">
        <v>408</v>
      </c>
      <c r="I180" s="4">
        <f>VLOOKUP(G180,全部!C:M,11,FALSE)</f>
        <v>1800000</v>
      </c>
      <c r="J180" s="4">
        <f t="shared" si="2"/>
        <v>0</v>
      </c>
      <c r="K180" s="4">
        <f>VLOOKUP(计算!G180,全部!C:N,12,FALSE)</f>
        <v>0</v>
      </c>
      <c r="L180" s="5">
        <f>VLOOKUP(G180,全部!C:P,14,FALSE)</f>
        <v>0</v>
      </c>
      <c r="M180" s="5">
        <f>VLOOKUP(G180,全部!C:V,20,FALSE)*100</f>
        <v>8.6</v>
      </c>
      <c r="N180" s="6">
        <f>VLOOKUP(G180,全部!C:W,21,FALSE)</f>
        <v>154800</v>
      </c>
      <c r="O180" s="4">
        <f>VLOOKUP(G180,全部!C:X,22,FALSE)</f>
        <v>77400</v>
      </c>
      <c r="P180" s="4">
        <f>VLOOKUP(G180,全部!C:Y,23,FALSE)</f>
        <v>77400</v>
      </c>
      <c r="Q180" s="6">
        <f>VLOOKUP(G180,全部!C:Z,24,FALSE)</f>
        <v>77400</v>
      </c>
      <c r="R180" s="7">
        <f>VLOOKUP(G180,全部!C:AA,25,FALSE)</f>
        <v>0</v>
      </c>
      <c r="S180" s="7">
        <f>VLOOKUP(G180,全部!C:AB,26,FALSE)</f>
        <v>0</v>
      </c>
      <c r="T180" s="4">
        <f>VLOOKUP(计算!G180,全部!C:AC,27,FALSE)</f>
        <v>360000</v>
      </c>
      <c r="U180" s="4">
        <f>VLOOKUP(G180,全部!C:AD,28,FALSE)</f>
        <v>360000</v>
      </c>
      <c r="V180" s="6">
        <f>VLOOKUP(G180,全部!C:AE,29,FALSE)</f>
        <v>0.2</v>
      </c>
      <c r="W180" s="4">
        <f>VLOOKUP(G180,全部!C:AF,30,FALSE)</f>
        <v>0</v>
      </c>
      <c r="X180" s="4">
        <f>VLOOKUP(G180,全部!C:AG,31,FALSE)</f>
        <v>0</v>
      </c>
      <c r="Y180" s="4">
        <f>VLOOKUP(计算!G180,全部!C:AH,32,FALSE)</f>
        <v>360000</v>
      </c>
      <c r="Z180" s="4">
        <f>VLOOKUP(G180,全部!C:AL,36,FALSE)</f>
        <v>360000</v>
      </c>
      <c r="AA180" s="4">
        <f>VLOOKUP(G180,全部!C:AM,37,FALSE)</f>
        <v>3.4000000000000002E-2</v>
      </c>
      <c r="AB180" s="6">
        <f>VLOOKUP(G180,全部!C:AN,38,FALSE)</f>
        <v>61200.000000000007</v>
      </c>
      <c r="AC180" s="4">
        <f>VLOOKUP(G180,全部!C:AO,39,FALSE)</f>
        <v>0</v>
      </c>
      <c r="AD180" s="4">
        <f>VLOOKUP(G180,全部!C:AP,40,FALSE)</f>
        <v>0</v>
      </c>
      <c r="AE180" s="6">
        <f>VLOOKUP(G180,全部!C:AQ,41,FALSE)</f>
        <v>61200.000000000007</v>
      </c>
      <c r="AF180" s="4">
        <f>VLOOKUP(G180,全部!C:AR,42,FALSE)</f>
        <v>0</v>
      </c>
      <c r="AG180" s="7">
        <f>VLOOKUP(G180,全部!C:AS,43,FALSE)</f>
        <v>0</v>
      </c>
      <c r="AH180" s="64" t="str">
        <f>IF(VLOOKUP(G180,全部!C:AT,44,FALSE)=0,"",VLOOKUP(G180,全部!C:AT,44,FALSE))</f>
        <v/>
      </c>
      <c r="AI180">
        <v>0</v>
      </c>
      <c r="AJ180" s="3">
        <v>41912.686249999999</v>
      </c>
      <c r="AK180" s="2" t="s">
        <v>1789</v>
      </c>
    </row>
    <row r="181" spans="1:37" x14ac:dyDescent="0.15">
      <c r="A181" s="2" t="s">
        <v>1788</v>
      </c>
      <c r="B181">
        <v>282</v>
      </c>
      <c r="C181" s="3">
        <v>41821</v>
      </c>
      <c r="D181" s="2" t="s">
        <v>37</v>
      </c>
      <c r="E181" s="2" t="s">
        <v>1787</v>
      </c>
      <c r="F181" s="2" t="s">
        <v>41</v>
      </c>
      <c r="G181" s="2" t="s">
        <v>413</v>
      </c>
      <c r="H181" s="2" t="s">
        <v>414</v>
      </c>
      <c r="I181" s="4">
        <f>VLOOKUP(G181,全部!C:M,11,FALSE)</f>
        <v>80000</v>
      </c>
      <c r="J181" s="4">
        <f t="shared" si="2"/>
        <v>0</v>
      </c>
      <c r="K181" s="4">
        <f>VLOOKUP(计算!G181,全部!C:N,12,FALSE)</f>
        <v>0</v>
      </c>
      <c r="L181" s="5">
        <f>VLOOKUP(G181,全部!C:P,14,FALSE)</f>
        <v>0</v>
      </c>
      <c r="M181" s="5">
        <f>VLOOKUP(G181,全部!C:V,20,FALSE)*100</f>
        <v>8.6</v>
      </c>
      <c r="N181" s="6">
        <f>VLOOKUP(G181,全部!C:W,21,FALSE)</f>
        <v>6879.9999999999991</v>
      </c>
      <c r="O181" s="4">
        <f>VLOOKUP(G181,全部!C:X,22,FALSE)</f>
        <v>0</v>
      </c>
      <c r="P181" s="4">
        <f>VLOOKUP(G181,全部!C:Y,23,FALSE)</f>
        <v>0</v>
      </c>
      <c r="Q181" s="6">
        <f>VLOOKUP(G181,全部!C:Z,24,FALSE)</f>
        <v>6879.9999999999991</v>
      </c>
      <c r="R181" s="7">
        <f>VLOOKUP(G181,全部!C:AA,25,FALSE)</f>
        <v>0</v>
      </c>
      <c r="S181" s="7">
        <f>VLOOKUP(G181,全部!C:AB,26,FALSE)</f>
        <v>0</v>
      </c>
      <c r="T181" s="4">
        <f>VLOOKUP(计算!G181,全部!C:AC,27,FALSE)</f>
        <v>0</v>
      </c>
      <c r="U181" s="4">
        <f>VLOOKUP(G181,全部!C:AD,28,FALSE)</f>
        <v>0</v>
      </c>
      <c r="V181" s="6">
        <f>VLOOKUP(G181,全部!C:AE,29,FALSE)</f>
        <v>0</v>
      </c>
      <c r="W181" s="4">
        <f>VLOOKUP(G181,全部!C:AF,30,FALSE)</f>
        <v>0</v>
      </c>
      <c r="X181" s="4">
        <f>VLOOKUP(G181,全部!C:AG,31,FALSE)</f>
        <v>0</v>
      </c>
      <c r="Y181" s="4">
        <f>VLOOKUP(计算!G181,全部!C:AH,32,FALSE)</f>
        <v>0</v>
      </c>
      <c r="Z181" s="4">
        <f>VLOOKUP(G181,全部!C:AL,36,FALSE)</f>
        <v>0</v>
      </c>
      <c r="AA181" s="4">
        <f>VLOOKUP(G181,全部!C:AM,37,FALSE)</f>
        <v>3.4000000000000002E-2</v>
      </c>
      <c r="AB181" s="6">
        <f>VLOOKUP(G181,全部!C:AN,38,FALSE)</f>
        <v>2720</v>
      </c>
      <c r="AC181" s="4">
        <f>VLOOKUP(G181,全部!C:AO,39,FALSE)</f>
        <v>0</v>
      </c>
      <c r="AD181" s="4">
        <f>VLOOKUP(G181,全部!C:AP,40,FALSE)</f>
        <v>0</v>
      </c>
      <c r="AE181" s="6">
        <f>VLOOKUP(G181,全部!C:AQ,41,FALSE)</f>
        <v>2720</v>
      </c>
      <c r="AF181" s="4">
        <f>VLOOKUP(G181,全部!C:AR,42,FALSE)</f>
        <v>0</v>
      </c>
      <c r="AG181" s="7">
        <f>VLOOKUP(G181,全部!C:AS,43,FALSE)</f>
        <v>0</v>
      </c>
      <c r="AH181" s="64" t="str">
        <f>IF(VLOOKUP(G181,全部!C:AT,44,FALSE)=0,"",VLOOKUP(G181,全部!C:AT,44,FALSE))</f>
        <v/>
      </c>
      <c r="AI181">
        <v>0</v>
      </c>
      <c r="AJ181" s="3">
        <v>41912.686249999999</v>
      </c>
      <c r="AK181" s="2" t="s">
        <v>1786</v>
      </c>
    </row>
    <row r="182" spans="1:37" x14ac:dyDescent="0.15">
      <c r="A182" s="2" t="s">
        <v>1785</v>
      </c>
      <c r="B182">
        <v>277</v>
      </c>
      <c r="C182" s="3">
        <v>41821</v>
      </c>
      <c r="D182" s="2" t="s">
        <v>37</v>
      </c>
      <c r="E182" s="2" t="s">
        <v>1784</v>
      </c>
      <c r="F182" s="2" t="s">
        <v>41</v>
      </c>
      <c r="G182" s="2" t="s">
        <v>409</v>
      </c>
      <c r="H182" s="2" t="s">
        <v>410</v>
      </c>
      <c r="I182" s="4">
        <f>VLOOKUP(G182,全部!C:M,11,FALSE)</f>
        <v>9298739</v>
      </c>
      <c r="J182" s="4">
        <f t="shared" si="2"/>
        <v>0</v>
      </c>
      <c r="K182" s="4">
        <f>VLOOKUP(计算!G182,全部!C:N,12,FALSE)</f>
        <v>0</v>
      </c>
      <c r="L182" s="5">
        <f>VLOOKUP(G182,全部!C:P,14,FALSE)</f>
        <v>0</v>
      </c>
      <c r="M182" s="5">
        <f>VLOOKUP(G182,全部!C:V,20,FALSE)*100</f>
        <v>3</v>
      </c>
      <c r="N182" s="6">
        <f>VLOOKUP(G182,全部!C:W,21,FALSE)</f>
        <v>278962.17</v>
      </c>
      <c r="O182" s="4">
        <f>VLOOKUP(G182,全部!C:X,22,FALSE)</f>
        <v>0</v>
      </c>
      <c r="P182" s="4">
        <f>VLOOKUP(G182,全部!C:Y,23,FALSE)</f>
        <v>0</v>
      </c>
      <c r="Q182" s="6">
        <f>VLOOKUP(G182,全部!C:Z,24,FALSE)</f>
        <v>278962.17</v>
      </c>
      <c r="R182" s="7">
        <f>VLOOKUP(G182,全部!C:AA,25,FALSE)</f>
        <v>0</v>
      </c>
      <c r="S182" s="7">
        <f>VLOOKUP(G182,全部!C:AB,26,FALSE)</f>
        <v>0</v>
      </c>
      <c r="T182" s="4">
        <f>VLOOKUP(计算!G182,全部!C:AC,27,FALSE)</f>
        <v>0</v>
      </c>
      <c r="U182" s="4">
        <f>VLOOKUP(G182,全部!C:AD,28,FALSE)</f>
        <v>0</v>
      </c>
      <c r="V182" s="6">
        <f>VLOOKUP(G182,全部!C:AE,29,FALSE)</f>
        <v>0</v>
      </c>
      <c r="W182" s="4">
        <f>VLOOKUP(G182,全部!C:AF,30,FALSE)</f>
        <v>0</v>
      </c>
      <c r="X182" s="4">
        <f>VLOOKUP(G182,全部!C:AG,31,FALSE)</f>
        <v>0</v>
      </c>
      <c r="Y182" s="4">
        <f>VLOOKUP(计算!G182,全部!C:AH,32,FALSE)</f>
        <v>0</v>
      </c>
      <c r="Z182" s="4">
        <f>VLOOKUP(G182,全部!C:AL,36,FALSE)</f>
        <v>0</v>
      </c>
      <c r="AA182" s="4">
        <f>VLOOKUP(G182,全部!C:AM,37,FALSE)</f>
        <v>0</v>
      </c>
      <c r="AB182" s="6">
        <f>VLOOKUP(G182,全部!C:AN,38,FALSE)</f>
        <v>0</v>
      </c>
      <c r="AC182" s="4">
        <f>VLOOKUP(G182,全部!C:AO,39,FALSE)</f>
        <v>0</v>
      </c>
      <c r="AD182" s="4">
        <f>VLOOKUP(G182,全部!C:AP,40,FALSE)</f>
        <v>0</v>
      </c>
      <c r="AE182" s="6">
        <f>VLOOKUP(G182,全部!C:AQ,41,FALSE)</f>
        <v>0</v>
      </c>
      <c r="AF182" s="4">
        <f>VLOOKUP(G182,全部!C:AR,42,FALSE)</f>
        <v>0</v>
      </c>
      <c r="AG182" s="7">
        <f>VLOOKUP(G182,全部!C:AS,43,FALSE)</f>
        <v>0</v>
      </c>
      <c r="AH182" s="64" t="str">
        <f>IF(VLOOKUP(G182,全部!C:AT,44,FALSE)=0,"",VLOOKUP(G182,全部!C:AT,44,FALSE))</f>
        <v/>
      </c>
      <c r="AI182">
        <v>0</v>
      </c>
      <c r="AJ182" s="3">
        <v>41912.686249999999</v>
      </c>
      <c r="AK182" s="2" t="s">
        <v>1783</v>
      </c>
    </row>
    <row r="183" spans="1:37" x14ac:dyDescent="0.15">
      <c r="A183" s="2" t="s">
        <v>1782</v>
      </c>
      <c r="B183">
        <v>288</v>
      </c>
      <c r="C183" s="3">
        <v>41821</v>
      </c>
      <c r="D183" s="2" t="s">
        <v>37</v>
      </c>
      <c r="E183" s="2" t="s">
        <v>1781</v>
      </c>
      <c r="F183" s="2" t="s">
        <v>41</v>
      </c>
      <c r="G183" s="2" t="s">
        <v>415</v>
      </c>
      <c r="H183" s="2" t="s">
        <v>416</v>
      </c>
      <c r="I183" s="4">
        <f>VLOOKUP(G183,全部!C:M,11,FALSE)</f>
        <v>45000</v>
      </c>
      <c r="J183" s="4">
        <f t="shared" si="2"/>
        <v>0</v>
      </c>
      <c r="K183" s="4">
        <f>VLOOKUP(计算!G183,全部!C:N,12,FALSE)</f>
        <v>0</v>
      </c>
      <c r="L183" s="5">
        <f>VLOOKUP(G183,全部!C:P,14,FALSE)</f>
        <v>0</v>
      </c>
      <c r="M183" s="5">
        <f>VLOOKUP(G183,全部!C:V,20,FALSE)*100</f>
        <v>8.6</v>
      </c>
      <c r="N183" s="6">
        <f>VLOOKUP(G183,全部!C:W,21,FALSE)</f>
        <v>3869.9999999999995</v>
      </c>
      <c r="O183" s="4">
        <f>VLOOKUP(G183,全部!C:X,22,FALSE)</f>
        <v>0</v>
      </c>
      <c r="P183" s="4">
        <f>VLOOKUP(G183,全部!C:Y,23,FALSE)</f>
        <v>0</v>
      </c>
      <c r="Q183" s="6">
        <f>VLOOKUP(G183,全部!C:Z,24,FALSE)</f>
        <v>3869.9999999999995</v>
      </c>
      <c r="R183" s="7">
        <f>VLOOKUP(G183,全部!C:AA,25,FALSE)</f>
        <v>0</v>
      </c>
      <c r="S183" s="7">
        <f>VLOOKUP(G183,全部!C:AB,26,FALSE)</f>
        <v>0</v>
      </c>
      <c r="T183" s="4">
        <f>VLOOKUP(计算!G183,全部!C:AC,27,FALSE)</f>
        <v>0</v>
      </c>
      <c r="U183" s="4">
        <f>VLOOKUP(G183,全部!C:AD,28,FALSE)</f>
        <v>0</v>
      </c>
      <c r="V183" s="6">
        <f>VLOOKUP(G183,全部!C:AE,29,FALSE)</f>
        <v>0</v>
      </c>
      <c r="W183" s="4">
        <f>VLOOKUP(G183,全部!C:AF,30,FALSE)</f>
        <v>0</v>
      </c>
      <c r="X183" s="4">
        <f>VLOOKUP(G183,全部!C:AG,31,FALSE)</f>
        <v>0</v>
      </c>
      <c r="Y183" s="4">
        <f>VLOOKUP(计算!G183,全部!C:AH,32,FALSE)</f>
        <v>0</v>
      </c>
      <c r="Z183" s="4">
        <f>VLOOKUP(G183,全部!C:AL,36,FALSE)</f>
        <v>0</v>
      </c>
      <c r="AA183" s="4">
        <f>VLOOKUP(G183,全部!C:AM,37,FALSE)</f>
        <v>3.4000000000000002E-2</v>
      </c>
      <c r="AB183" s="6">
        <f>VLOOKUP(G183,全部!C:AN,38,FALSE)</f>
        <v>1530</v>
      </c>
      <c r="AC183" s="4">
        <f>VLOOKUP(G183,全部!C:AO,39,FALSE)</f>
        <v>0</v>
      </c>
      <c r="AD183" s="4">
        <f>VLOOKUP(G183,全部!C:AP,40,FALSE)</f>
        <v>0</v>
      </c>
      <c r="AE183" s="6">
        <f>VLOOKUP(G183,全部!C:AQ,41,FALSE)</f>
        <v>1530</v>
      </c>
      <c r="AF183" s="4">
        <f>VLOOKUP(G183,全部!C:AR,42,FALSE)</f>
        <v>0</v>
      </c>
      <c r="AG183" s="7">
        <f>VLOOKUP(G183,全部!C:AS,43,FALSE)</f>
        <v>0</v>
      </c>
      <c r="AH183" s="64" t="str">
        <f>IF(VLOOKUP(G183,全部!C:AT,44,FALSE)=0,"",VLOOKUP(G183,全部!C:AT,44,FALSE))</f>
        <v/>
      </c>
      <c r="AI183">
        <v>0</v>
      </c>
      <c r="AJ183" s="3">
        <v>41912.686249999999</v>
      </c>
      <c r="AK183" s="2" t="s">
        <v>1780</v>
      </c>
    </row>
    <row r="184" spans="1:37" x14ac:dyDescent="0.15">
      <c r="A184" s="2" t="s">
        <v>1779</v>
      </c>
      <c r="B184">
        <v>1199</v>
      </c>
      <c r="C184" s="3">
        <v>41821</v>
      </c>
      <c r="D184" s="2" t="s">
        <v>37</v>
      </c>
      <c r="E184" s="2" t="s">
        <v>1778</v>
      </c>
      <c r="F184" s="2" t="s">
        <v>38</v>
      </c>
      <c r="G184" s="2" t="s">
        <v>411</v>
      </c>
      <c r="H184" s="2" t="s">
        <v>412</v>
      </c>
      <c r="I184" s="4">
        <f>VLOOKUP(G184,全部!C:M,11,FALSE)</f>
        <v>743283</v>
      </c>
      <c r="J184" s="4">
        <f t="shared" si="2"/>
        <v>0</v>
      </c>
      <c r="K184" s="4">
        <f>VLOOKUP(计算!G184,全部!C:N,12,FALSE)</f>
        <v>0</v>
      </c>
      <c r="L184" s="5">
        <f>VLOOKUP(G184,全部!C:P,14,FALSE)</f>
        <v>0</v>
      </c>
      <c r="M184" s="5">
        <f>VLOOKUP(G184,全部!C:V,20,FALSE)*100</f>
        <v>3.5999999999999996</v>
      </c>
      <c r="N184" s="6">
        <f>VLOOKUP(G184,全部!C:W,21,FALSE)</f>
        <v>26758.187999999998</v>
      </c>
      <c r="O184" s="4">
        <f>VLOOKUP(G184,全部!C:X,22,FALSE)</f>
        <v>0</v>
      </c>
      <c r="P184" s="4">
        <f>VLOOKUP(G184,全部!C:Y,23,FALSE)</f>
        <v>0</v>
      </c>
      <c r="Q184" s="6">
        <f>VLOOKUP(G184,全部!C:Z,24,FALSE)</f>
        <v>26758.187999999998</v>
      </c>
      <c r="R184" s="7">
        <f>VLOOKUP(G184,全部!C:AA,25,FALSE)</f>
        <v>631790.55000000005</v>
      </c>
      <c r="S184" s="7">
        <f>VLOOKUP(G184,全部!C:AB,26,FALSE)</f>
        <v>631790.55000000005</v>
      </c>
      <c r="T184" s="4">
        <f>VLOOKUP(计算!G184,全部!C:AC,27,FALSE)</f>
        <v>0</v>
      </c>
      <c r="U184" s="4">
        <f>VLOOKUP(G184,全部!C:AD,28,FALSE)</f>
        <v>0</v>
      </c>
      <c r="V184" s="6">
        <f>VLOOKUP(G184,全部!C:AE,29,FALSE)</f>
        <v>0</v>
      </c>
      <c r="W184" s="4">
        <f>VLOOKUP(G184,全部!C:AF,30,FALSE)</f>
        <v>0</v>
      </c>
      <c r="X184" s="4">
        <f>VLOOKUP(G184,全部!C:AG,31,FALSE)</f>
        <v>0</v>
      </c>
      <c r="Y184" s="4">
        <f>VLOOKUP(计算!G184,全部!C:AH,32,FALSE)</f>
        <v>0</v>
      </c>
      <c r="Z184" s="4">
        <f>VLOOKUP(G184,全部!C:AL,36,FALSE)</f>
        <v>0</v>
      </c>
      <c r="AA184" s="4">
        <f>VLOOKUP(G184,全部!C:AM,37,FALSE)</f>
        <v>0</v>
      </c>
      <c r="AB184" s="6">
        <f>VLOOKUP(G184,全部!C:AN,38,FALSE)</f>
        <v>0</v>
      </c>
      <c r="AC184" s="4">
        <f>VLOOKUP(G184,全部!C:AO,39,FALSE)</f>
        <v>0</v>
      </c>
      <c r="AD184" s="4">
        <f>VLOOKUP(G184,全部!C:AP,40,FALSE)</f>
        <v>0</v>
      </c>
      <c r="AE184" s="6">
        <f>VLOOKUP(G184,全部!C:AQ,41,FALSE)</f>
        <v>0</v>
      </c>
      <c r="AF184" s="4">
        <f>VLOOKUP(G184,全部!C:AR,42,FALSE)</f>
        <v>0</v>
      </c>
      <c r="AG184" s="7">
        <f>VLOOKUP(G184,全部!C:AS,43,FALSE)</f>
        <v>10</v>
      </c>
      <c r="AH184" s="64" t="str">
        <f>IF(VLOOKUP(G184,全部!C:AT,44,FALSE)=0,"",VLOOKUP(G184,全部!C:AT,44,FALSE))</f>
        <v>三河</v>
      </c>
      <c r="AI184">
        <v>0</v>
      </c>
      <c r="AJ184" s="3">
        <v>41912.6862847222</v>
      </c>
      <c r="AK184" s="2" t="s">
        <v>1777</v>
      </c>
    </row>
    <row r="185" spans="1:37" x14ac:dyDescent="0.15">
      <c r="A185" s="2" t="s">
        <v>1776</v>
      </c>
      <c r="B185">
        <v>295</v>
      </c>
      <c r="C185" s="3">
        <v>41821</v>
      </c>
      <c r="D185" s="2" t="s">
        <v>37</v>
      </c>
      <c r="E185" s="2" t="s">
        <v>1775</v>
      </c>
      <c r="F185" s="2" t="s">
        <v>41</v>
      </c>
      <c r="G185" s="2" t="s">
        <v>421</v>
      </c>
      <c r="H185" s="2" t="s">
        <v>422</v>
      </c>
      <c r="I185" s="4">
        <f>VLOOKUP(G185,全部!C:M,11,FALSE)</f>
        <v>737750</v>
      </c>
      <c r="J185" s="4">
        <f t="shared" si="2"/>
        <v>0</v>
      </c>
      <c r="K185" s="4">
        <f>VLOOKUP(计算!G185,全部!C:N,12,FALSE)</f>
        <v>0</v>
      </c>
      <c r="L185" s="5">
        <f>VLOOKUP(G185,全部!C:P,14,FALSE)</f>
        <v>0</v>
      </c>
      <c r="M185" s="5">
        <f>VLOOKUP(G185,全部!C:V,20,FALSE)*100</f>
        <v>8.6</v>
      </c>
      <c r="N185" s="6">
        <f>VLOOKUP(G185,全部!C:W,21,FALSE)</f>
        <v>63446.499999999993</v>
      </c>
      <c r="O185" s="4">
        <f>VLOOKUP(G185,全部!C:X,22,FALSE)</f>
        <v>0</v>
      </c>
      <c r="P185" s="4">
        <f>VLOOKUP(G185,全部!C:Y,23,FALSE)</f>
        <v>0</v>
      </c>
      <c r="Q185" s="6">
        <f>VLOOKUP(G185,全部!C:Z,24,FALSE)</f>
        <v>63446.499999999993</v>
      </c>
      <c r="R185" s="7">
        <f>VLOOKUP(G185,全部!C:AA,25,FALSE)</f>
        <v>0</v>
      </c>
      <c r="S185" s="7">
        <f>VLOOKUP(G185,全部!C:AB,26,FALSE)</f>
        <v>0</v>
      </c>
      <c r="T185" s="4">
        <f>VLOOKUP(计算!G185,全部!C:AC,27,FALSE)</f>
        <v>0</v>
      </c>
      <c r="U185" s="4">
        <f>VLOOKUP(G185,全部!C:AD,28,FALSE)</f>
        <v>0</v>
      </c>
      <c r="V185" s="6">
        <f>VLOOKUP(G185,全部!C:AE,29,FALSE)</f>
        <v>0</v>
      </c>
      <c r="W185" s="4">
        <f>VLOOKUP(G185,全部!C:AF,30,FALSE)</f>
        <v>0</v>
      </c>
      <c r="X185" s="4">
        <f>VLOOKUP(G185,全部!C:AG,31,FALSE)</f>
        <v>0</v>
      </c>
      <c r="Y185" s="4">
        <f>VLOOKUP(计算!G185,全部!C:AH,32,FALSE)</f>
        <v>0</v>
      </c>
      <c r="Z185" s="4">
        <f>VLOOKUP(G185,全部!C:AL,36,FALSE)</f>
        <v>0</v>
      </c>
      <c r="AA185" s="4">
        <f>VLOOKUP(G185,全部!C:AM,37,FALSE)</f>
        <v>3.4000000000000002E-2</v>
      </c>
      <c r="AB185" s="6">
        <f>VLOOKUP(G185,全部!C:AN,38,FALSE)</f>
        <v>25083.5</v>
      </c>
      <c r="AC185" s="4">
        <f>VLOOKUP(G185,全部!C:AO,39,FALSE)</f>
        <v>0</v>
      </c>
      <c r="AD185" s="4">
        <f>VLOOKUP(G185,全部!C:AP,40,FALSE)</f>
        <v>0</v>
      </c>
      <c r="AE185" s="6">
        <f>VLOOKUP(G185,全部!C:AQ,41,FALSE)</f>
        <v>25083.5</v>
      </c>
      <c r="AF185" s="4">
        <f>VLOOKUP(G185,全部!C:AR,42,FALSE)</f>
        <v>0</v>
      </c>
      <c r="AG185" s="7">
        <f>VLOOKUP(G185,全部!C:AS,43,FALSE)</f>
        <v>0</v>
      </c>
      <c r="AH185" s="64" t="str">
        <f>IF(VLOOKUP(G185,全部!C:AT,44,FALSE)=0,"",VLOOKUP(G185,全部!C:AT,44,FALSE))</f>
        <v/>
      </c>
      <c r="AI185">
        <v>0</v>
      </c>
      <c r="AJ185" s="3">
        <v>41912.686249999999</v>
      </c>
      <c r="AK185" s="2" t="s">
        <v>1774</v>
      </c>
    </row>
    <row r="186" spans="1:37" x14ac:dyDescent="0.15">
      <c r="A186" s="2" t="s">
        <v>1773</v>
      </c>
      <c r="B186">
        <v>303</v>
      </c>
      <c r="C186" s="3">
        <v>41821</v>
      </c>
      <c r="D186" s="2" t="s">
        <v>37</v>
      </c>
      <c r="E186" s="2" t="s">
        <v>1772</v>
      </c>
      <c r="F186" s="2" t="s">
        <v>41</v>
      </c>
      <c r="G186" s="2" t="s">
        <v>419</v>
      </c>
      <c r="H186" s="2" t="s">
        <v>420</v>
      </c>
      <c r="I186" s="4">
        <f>VLOOKUP(G186,全部!C:M,11,FALSE)</f>
        <v>660000</v>
      </c>
      <c r="J186" s="4">
        <f t="shared" si="2"/>
        <v>0</v>
      </c>
      <c r="K186" s="4">
        <f>VLOOKUP(计算!G186,全部!C:N,12,FALSE)</f>
        <v>0</v>
      </c>
      <c r="L186" s="5">
        <f>VLOOKUP(G186,全部!C:P,14,FALSE)</f>
        <v>0</v>
      </c>
      <c r="M186" s="5">
        <f>VLOOKUP(G186,全部!C:V,20,FALSE)*100</f>
        <v>3.5999999999999996</v>
      </c>
      <c r="N186" s="6">
        <f>VLOOKUP(G186,全部!C:W,21,FALSE)</f>
        <v>23760</v>
      </c>
      <c r="O186" s="4">
        <f>VLOOKUP(G186,全部!C:X,22,FALSE)</f>
        <v>0</v>
      </c>
      <c r="P186" s="4">
        <f>VLOOKUP(G186,全部!C:Y,23,FALSE)</f>
        <v>0</v>
      </c>
      <c r="Q186" s="6">
        <f>VLOOKUP(G186,全部!C:Z,24,FALSE)</f>
        <v>23760</v>
      </c>
      <c r="R186" s="7">
        <f>VLOOKUP(G186,全部!C:AA,25,FALSE)</f>
        <v>0</v>
      </c>
      <c r="S186" s="7">
        <f>VLOOKUP(G186,全部!C:AB,26,FALSE)</f>
        <v>0</v>
      </c>
      <c r="T186" s="4">
        <f>VLOOKUP(计算!G186,全部!C:AC,27,FALSE)</f>
        <v>198000</v>
      </c>
      <c r="U186" s="4">
        <f>VLOOKUP(G186,全部!C:AD,28,FALSE)</f>
        <v>198000</v>
      </c>
      <c r="V186" s="6">
        <f>VLOOKUP(G186,全部!C:AE,29,FALSE)</f>
        <v>0.3</v>
      </c>
      <c r="W186" s="4">
        <f>VLOOKUP(G186,全部!C:AF,30,FALSE)</f>
        <v>0</v>
      </c>
      <c r="X186" s="4">
        <f>VLOOKUP(G186,全部!C:AG,31,FALSE)</f>
        <v>0</v>
      </c>
      <c r="Y186" s="4">
        <f>VLOOKUP(计算!G186,全部!C:AH,32,FALSE)</f>
        <v>151800</v>
      </c>
      <c r="Z186" s="4">
        <f>VLOOKUP(G186,全部!C:AL,36,FALSE)</f>
        <v>151800</v>
      </c>
      <c r="AA186" s="4">
        <f>VLOOKUP(G186,全部!C:AM,37,FALSE)</f>
        <v>3.4000000000000002E-2</v>
      </c>
      <c r="AB186" s="6">
        <f>VLOOKUP(G186,全部!C:AN,38,FALSE)</f>
        <v>22440</v>
      </c>
      <c r="AC186" s="4">
        <f>VLOOKUP(G186,全部!C:AO,39,FALSE)</f>
        <v>6732</v>
      </c>
      <c r="AD186" s="4">
        <f>VLOOKUP(G186,全部!C:AP,40,FALSE)</f>
        <v>6732</v>
      </c>
      <c r="AE186" s="6">
        <f>VLOOKUP(G186,全部!C:AQ,41,FALSE)</f>
        <v>15708</v>
      </c>
      <c r="AF186" s="4">
        <f>VLOOKUP(G186,全部!C:AR,42,FALSE)</f>
        <v>0</v>
      </c>
      <c r="AG186" s="7">
        <f>VLOOKUP(G186,全部!C:AS,43,FALSE)</f>
        <v>0</v>
      </c>
      <c r="AH186" s="64" t="str">
        <f>IF(VLOOKUP(G186,全部!C:AT,44,FALSE)=0,"",VLOOKUP(G186,全部!C:AT,44,FALSE))</f>
        <v/>
      </c>
      <c r="AI186">
        <v>0</v>
      </c>
      <c r="AJ186" s="3">
        <v>41912.686249999999</v>
      </c>
      <c r="AK186" s="2" t="s">
        <v>1771</v>
      </c>
    </row>
    <row r="187" spans="1:37" x14ac:dyDescent="0.15">
      <c r="A187" s="2" t="s">
        <v>1770</v>
      </c>
      <c r="B187">
        <v>1216</v>
      </c>
      <c r="C187" s="3">
        <v>41821</v>
      </c>
      <c r="D187" s="2" t="s">
        <v>37</v>
      </c>
      <c r="E187" s="2" t="s">
        <v>1769</v>
      </c>
      <c r="F187" s="2" t="s">
        <v>38</v>
      </c>
      <c r="G187" s="2" t="s">
        <v>397</v>
      </c>
      <c r="H187" s="2" t="s">
        <v>398</v>
      </c>
      <c r="I187" s="4">
        <f>VLOOKUP(G187,全部!C:M,11,FALSE)</f>
        <v>1758061</v>
      </c>
      <c r="J187" s="4">
        <f t="shared" si="2"/>
        <v>0</v>
      </c>
      <c r="K187" s="4">
        <f>VLOOKUP(计算!G187,全部!C:N,12,FALSE)</f>
        <v>0</v>
      </c>
      <c r="L187" s="5">
        <f>VLOOKUP(G187,全部!C:P,14,FALSE)</f>
        <v>0</v>
      </c>
      <c r="M187" s="5">
        <f>VLOOKUP(G187,全部!C:V,20,FALSE)*100</f>
        <v>3.5999999999999996</v>
      </c>
      <c r="N187" s="6">
        <f>VLOOKUP(G187,全部!C:W,21,FALSE)</f>
        <v>63290.195999999996</v>
      </c>
      <c r="O187" s="4">
        <f>VLOOKUP(G187,全部!C:X,22,FALSE)</f>
        <v>0</v>
      </c>
      <c r="P187" s="4">
        <f>VLOOKUP(G187,全部!C:Y,23,FALSE)</f>
        <v>0</v>
      </c>
      <c r="Q187" s="6">
        <f>VLOOKUP(G187,全部!C:Z,24,FALSE)</f>
        <v>63290.195999999996</v>
      </c>
      <c r="R187" s="7">
        <f>VLOOKUP(G187,全部!C:AA,25,FALSE)</f>
        <v>527418.30000000005</v>
      </c>
      <c r="S187" s="7">
        <f>VLOOKUP(G187,全部!C:AB,26,FALSE)</f>
        <v>527418.30000000005</v>
      </c>
      <c r="T187" s="4">
        <f>VLOOKUP(计算!G187,全部!C:AC,27,FALSE)</f>
        <v>0</v>
      </c>
      <c r="U187" s="4">
        <f>VLOOKUP(G187,全部!C:AD,28,FALSE)</f>
        <v>0</v>
      </c>
      <c r="V187" s="6">
        <f>VLOOKUP(G187,全部!C:AE,29,FALSE)</f>
        <v>0</v>
      </c>
      <c r="W187" s="4">
        <f>VLOOKUP(G187,全部!C:AF,30,FALSE)</f>
        <v>0</v>
      </c>
      <c r="X187" s="4">
        <f>VLOOKUP(G187,全部!C:AG,31,FALSE)</f>
        <v>0</v>
      </c>
      <c r="Y187" s="4">
        <f>VLOOKUP(计算!G187,全部!C:AH,32,FALSE)</f>
        <v>0</v>
      </c>
      <c r="Z187" s="4">
        <f>VLOOKUP(G187,全部!C:AL,36,FALSE)</f>
        <v>0</v>
      </c>
      <c r="AA187" s="4">
        <f>VLOOKUP(G187,全部!C:AM,37,FALSE)</f>
        <v>3.4000000000000002E-2</v>
      </c>
      <c r="AB187" s="6">
        <f>VLOOKUP(G187,全部!C:AN,38,FALSE)</f>
        <v>17932.222200000004</v>
      </c>
      <c r="AC187" s="4">
        <f>VLOOKUP(G187,全部!C:AO,39,FALSE)</f>
        <v>0</v>
      </c>
      <c r="AD187" s="4">
        <f>VLOOKUP(G187,全部!C:AP,40,FALSE)</f>
        <v>0</v>
      </c>
      <c r="AE187" s="6">
        <f>VLOOKUP(G187,全部!C:AQ,41,FALSE)</f>
        <v>17932.222200000004</v>
      </c>
      <c r="AF187" s="4">
        <f>VLOOKUP(G187,全部!C:AR,42,FALSE)</f>
        <v>0</v>
      </c>
      <c r="AG187" s="7">
        <f>VLOOKUP(G187,全部!C:AS,43,FALSE)</f>
        <v>0</v>
      </c>
      <c r="AH187" s="64" t="str">
        <f>IF(VLOOKUP(G187,全部!C:AT,44,FALSE)=0,"",VLOOKUP(G187,全部!C:AT,44,FALSE))</f>
        <v/>
      </c>
      <c r="AI187">
        <v>0</v>
      </c>
      <c r="AJ187" s="3">
        <v>41912.6862847222</v>
      </c>
      <c r="AK187" s="2" t="s">
        <v>1768</v>
      </c>
    </row>
    <row r="188" spans="1:37" x14ac:dyDescent="0.15">
      <c r="A188" s="2" t="s">
        <v>1767</v>
      </c>
      <c r="B188">
        <v>308</v>
      </c>
      <c r="C188" s="3">
        <v>41821</v>
      </c>
      <c r="D188" s="2" t="s">
        <v>37</v>
      </c>
      <c r="E188" s="2" t="s">
        <v>1766</v>
      </c>
      <c r="F188" s="2" t="s">
        <v>41</v>
      </c>
      <c r="G188" s="2" t="s">
        <v>423</v>
      </c>
      <c r="H188" s="2" t="s">
        <v>424</v>
      </c>
      <c r="I188" s="4">
        <f>VLOOKUP(G188,全部!C:M,11,FALSE)</f>
        <v>65000</v>
      </c>
      <c r="J188" s="4">
        <f t="shared" si="2"/>
        <v>0</v>
      </c>
      <c r="K188" s="4">
        <f>VLOOKUP(计算!G188,全部!C:N,12,FALSE)</f>
        <v>0</v>
      </c>
      <c r="L188" s="5">
        <f>VLOOKUP(G188,全部!C:P,14,FALSE)</f>
        <v>0</v>
      </c>
      <c r="M188" s="5">
        <f>VLOOKUP(G188,全部!C:V,20,FALSE)*100</f>
        <v>8.6</v>
      </c>
      <c r="N188" s="6">
        <f>VLOOKUP(G188,全部!C:W,21,FALSE)</f>
        <v>5590</v>
      </c>
      <c r="O188" s="4">
        <f>VLOOKUP(G188,全部!C:X,22,FALSE)</f>
        <v>0</v>
      </c>
      <c r="P188" s="4">
        <f>VLOOKUP(G188,全部!C:Y,23,FALSE)</f>
        <v>0</v>
      </c>
      <c r="Q188" s="6">
        <f>VLOOKUP(G188,全部!C:Z,24,FALSE)</f>
        <v>5590</v>
      </c>
      <c r="R188" s="7">
        <f>VLOOKUP(G188,全部!C:AA,25,FALSE)</f>
        <v>0</v>
      </c>
      <c r="S188" s="7">
        <f>VLOOKUP(G188,全部!C:AB,26,FALSE)</f>
        <v>0</v>
      </c>
      <c r="T188" s="4">
        <f>VLOOKUP(计算!G188,全部!C:AC,27,FALSE)</f>
        <v>0</v>
      </c>
      <c r="U188" s="4">
        <f>VLOOKUP(G188,全部!C:AD,28,FALSE)</f>
        <v>0</v>
      </c>
      <c r="V188" s="6">
        <f>VLOOKUP(G188,全部!C:AE,29,FALSE)</f>
        <v>0</v>
      </c>
      <c r="W188" s="4">
        <f>VLOOKUP(G188,全部!C:AF,30,FALSE)</f>
        <v>0</v>
      </c>
      <c r="X188" s="4">
        <f>VLOOKUP(G188,全部!C:AG,31,FALSE)</f>
        <v>0</v>
      </c>
      <c r="Y188" s="4">
        <f>VLOOKUP(计算!G188,全部!C:AH,32,FALSE)</f>
        <v>0</v>
      </c>
      <c r="Z188" s="4">
        <f>VLOOKUP(G188,全部!C:AL,36,FALSE)</f>
        <v>0</v>
      </c>
      <c r="AA188" s="4">
        <f>VLOOKUP(G188,全部!C:AM,37,FALSE)</f>
        <v>3.4000000000000002E-2</v>
      </c>
      <c r="AB188" s="6">
        <f>VLOOKUP(G188,全部!C:AN,38,FALSE)</f>
        <v>2210</v>
      </c>
      <c r="AC188" s="4">
        <f>VLOOKUP(G188,全部!C:AO,39,FALSE)</f>
        <v>0</v>
      </c>
      <c r="AD188" s="4">
        <f>VLOOKUP(G188,全部!C:AP,40,FALSE)</f>
        <v>0</v>
      </c>
      <c r="AE188" s="6">
        <f>VLOOKUP(G188,全部!C:AQ,41,FALSE)</f>
        <v>2210</v>
      </c>
      <c r="AF188" s="4">
        <f>VLOOKUP(G188,全部!C:AR,42,FALSE)</f>
        <v>0</v>
      </c>
      <c r="AG188" s="7">
        <f>VLOOKUP(G188,全部!C:AS,43,FALSE)</f>
        <v>0</v>
      </c>
      <c r="AH188" s="64" t="str">
        <f>IF(VLOOKUP(G188,全部!C:AT,44,FALSE)=0,"",VLOOKUP(G188,全部!C:AT,44,FALSE))</f>
        <v/>
      </c>
      <c r="AI188">
        <v>0</v>
      </c>
      <c r="AJ188" s="3">
        <v>41912.686249999999</v>
      </c>
      <c r="AK188" s="2" t="s">
        <v>1765</v>
      </c>
    </row>
    <row r="189" spans="1:37" x14ac:dyDescent="0.15">
      <c r="A189" s="2" t="s">
        <v>1764</v>
      </c>
      <c r="B189">
        <v>253</v>
      </c>
      <c r="C189" s="3">
        <v>41821</v>
      </c>
      <c r="D189" s="2" t="s">
        <v>37</v>
      </c>
      <c r="E189" s="2" t="s">
        <v>1763</v>
      </c>
      <c r="F189" s="2" t="s">
        <v>41</v>
      </c>
      <c r="G189" s="2" t="s">
        <v>427</v>
      </c>
      <c r="H189" s="2" t="s">
        <v>428</v>
      </c>
      <c r="I189" s="4">
        <f>VLOOKUP(G189,全部!C:M,11,FALSE)</f>
        <v>23840000</v>
      </c>
      <c r="J189" s="4">
        <f t="shared" si="2"/>
        <v>0</v>
      </c>
      <c r="K189" s="4">
        <f>VLOOKUP(计算!G189,全部!C:N,12,FALSE)</f>
        <v>0</v>
      </c>
      <c r="L189" s="5">
        <f>VLOOKUP(G189,全部!C:P,14,FALSE)</f>
        <v>0</v>
      </c>
      <c r="M189" s="5">
        <f>VLOOKUP(G189,全部!C:V,20,FALSE)*100</f>
        <v>3</v>
      </c>
      <c r="N189" s="6">
        <f>VLOOKUP(G189,全部!C:W,21,FALSE)</f>
        <v>715200</v>
      </c>
      <c r="O189" s="4">
        <f>VLOOKUP(G189,全部!C:X,22,FALSE)</f>
        <v>0</v>
      </c>
      <c r="P189" s="4">
        <f>VLOOKUP(G189,全部!C:Y,23,FALSE)</f>
        <v>0</v>
      </c>
      <c r="Q189" s="6">
        <f>VLOOKUP(G189,全部!C:Z,24,FALSE)</f>
        <v>715200</v>
      </c>
      <c r="R189" s="7">
        <f>VLOOKUP(G189,全部!C:AA,25,FALSE)</f>
        <v>0</v>
      </c>
      <c r="S189" s="7">
        <f>VLOOKUP(G189,全部!C:AB,26,FALSE)</f>
        <v>0</v>
      </c>
      <c r="T189" s="4">
        <f>VLOOKUP(计算!G189,全部!C:AC,27,FALSE)</f>
        <v>0</v>
      </c>
      <c r="U189" s="4">
        <f>VLOOKUP(G189,全部!C:AD,28,FALSE)</f>
        <v>0</v>
      </c>
      <c r="V189" s="6">
        <f>VLOOKUP(G189,全部!C:AE,29,FALSE)</f>
        <v>0</v>
      </c>
      <c r="W189" s="4">
        <f>VLOOKUP(G189,全部!C:AF,30,FALSE)</f>
        <v>0</v>
      </c>
      <c r="X189" s="4">
        <f>VLOOKUP(G189,全部!C:AG,31,FALSE)</f>
        <v>0</v>
      </c>
      <c r="Y189" s="4">
        <f>VLOOKUP(计算!G189,全部!C:AH,32,FALSE)</f>
        <v>0</v>
      </c>
      <c r="Z189" s="4">
        <f>VLOOKUP(G189,全部!C:AL,36,FALSE)</f>
        <v>0</v>
      </c>
      <c r="AA189" s="4">
        <f>VLOOKUP(G189,全部!C:AM,37,FALSE)</f>
        <v>3.4000000000000002E-2</v>
      </c>
      <c r="AB189" s="6">
        <f>VLOOKUP(G189,全部!C:AN,38,FALSE)</f>
        <v>810560</v>
      </c>
      <c r="AC189" s="4">
        <f>VLOOKUP(G189,全部!C:AO,39,FALSE)</f>
        <v>0</v>
      </c>
      <c r="AD189" s="4">
        <f>VLOOKUP(G189,全部!C:AP,40,FALSE)</f>
        <v>0</v>
      </c>
      <c r="AE189" s="6">
        <f>VLOOKUP(G189,全部!C:AQ,41,FALSE)</f>
        <v>810560</v>
      </c>
      <c r="AF189" s="4">
        <f>VLOOKUP(G189,全部!C:AR,42,FALSE)</f>
        <v>0</v>
      </c>
      <c r="AG189" s="7">
        <f>VLOOKUP(G189,全部!C:AS,43,FALSE)</f>
        <v>0</v>
      </c>
      <c r="AH189" s="64" t="str">
        <f>IF(VLOOKUP(G189,全部!C:AT,44,FALSE)=0,"",VLOOKUP(G189,全部!C:AT,44,FALSE))</f>
        <v/>
      </c>
      <c r="AI189">
        <v>0</v>
      </c>
      <c r="AJ189" s="3">
        <v>41912.6862384259</v>
      </c>
      <c r="AK189" s="2" t="s">
        <v>1762</v>
      </c>
    </row>
    <row r="190" spans="1:37" x14ac:dyDescent="0.15">
      <c r="A190" s="2" t="s">
        <v>1761</v>
      </c>
      <c r="B190">
        <v>244</v>
      </c>
      <c r="C190" s="3">
        <v>41821</v>
      </c>
      <c r="D190" s="2" t="s">
        <v>37</v>
      </c>
      <c r="E190" s="2" t="s">
        <v>1760</v>
      </c>
      <c r="F190" s="2" t="s">
        <v>41</v>
      </c>
      <c r="G190" s="2" t="s">
        <v>425</v>
      </c>
      <c r="H190" s="2" t="s">
        <v>426</v>
      </c>
      <c r="I190" s="4">
        <f>VLOOKUP(G190,全部!C:M,11,FALSE)</f>
        <v>630000</v>
      </c>
      <c r="J190" s="4">
        <f t="shared" si="2"/>
        <v>0</v>
      </c>
      <c r="K190" s="4">
        <f>VLOOKUP(计算!G190,全部!C:N,12,FALSE)</f>
        <v>0</v>
      </c>
      <c r="L190" s="5">
        <f>VLOOKUP(G190,全部!C:P,14,FALSE)</f>
        <v>0</v>
      </c>
      <c r="M190" s="5">
        <f>VLOOKUP(G190,全部!C:V,20,FALSE)*100</f>
        <v>8.6</v>
      </c>
      <c r="N190" s="6">
        <f>VLOOKUP(G190,全部!C:W,21,FALSE)</f>
        <v>54179.999999999993</v>
      </c>
      <c r="O190" s="4">
        <f>VLOOKUP(G190,全部!C:X,22,FALSE)</f>
        <v>54180</v>
      </c>
      <c r="P190" s="4">
        <f>VLOOKUP(G190,全部!C:Y,23,FALSE)</f>
        <v>54180</v>
      </c>
      <c r="Q190" s="6">
        <f>VLOOKUP(G190,全部!C:Z,24,FALSE)</f>
        <v>0</v>
      </c>
      <c r="R190" s="7">
        <f>VLOOKUP(G190,全部!C:AA,25,FALSE)</f>
        <v>0</v>
      </c>
      <c r="S190" s="7">
        <f>VLOOKUP(G190,全部!C:AB,26,FALSE)</f>
        <v>0</v>
      </c>
      <c r="T190" s="4">
        <f>VLOOKUP(计算!G190,全部!C:AC,27,FALSE)</f>
        <v>441000</v>
      </c>
      <c r="U190" s="4">
        <f>VLOOKUP(G190,全部!C:AD,28,FALSE)</f>
        <v>441000</v>
      </c>
      <c r="V190" s="6">
        <f>VLOOKUP(G190,全部!C:AE,29,FALSE)</f>
        <v>0.7</v>
      </c>
      <c r="W190" s="4">
        <f>VLOOKUP(G190,全部!C:AF,30,FALSE)</f>
        <v>0</v>
      </c>
      <c r="X190" s="4">
        <f>VLOOKUP(G190,全部!C:AG,31,FALSE)</f>
        <v>0</v>
      </c>
      <c r="Y190" s="4">
        <f>VLOOKUP(计算!G190,全部!C:AH,32,FALSE)</f>
        <v>400000</v>
      </c>
      <c r="Z190" s="4">
        <f>VLOOKUP(G190,全部!C:AL,36,FALSE)</f>
        <v>400000</v>
      </c>
      <c r="AA190" s="4">
        <f>VLOOKUP(G190,全部!C:AM,37,FALSE)</f>
        <v>3.4000000000000002E-2</v>
      </c>
      <c r="AB190" s="6">
        <f>VLOOKUP(G190,全部!C:AN,38,FALSE)</f>
        <v>21420</v>
      </c>
      <c r="AC190" s="4">
        <f>VLOOKUP(G190,全部!C:AO,39,FALSE)</f>
        <v>14994</v>
      </c>
      <c r="AD190" s="4">
        <f>VLOOKUP(G190,全部!C:AP,40,FALSE)</f>
        <v>14994</v>
      </c>
      <c r="AE190" s="6">
        <f>VLOOKUP(G190,全部!C:AQ,41,FALSE)</f>
        <v>6426</v>
      </c>
      <c r="AF190" s="4">
        <f>VLOOKUP(G190,全部!C:AR,42,FALSE)</f>
        <v>0</v>
      </c>
      <c r="AG190" s="7">
        <f>VLOOKUP(G190,全部!C:AS,43,FALSE)</f>
        <v>0</v>
      </c>
      <c r="AH190" s="64" t="str">
        <f>IF(VLOOKUP(G190,全部!C:AT,44,FALSE)=0,"",VLOOKUP(G190,全部!C:AT,44,FALSE))</f>
        <v/>
      </c>
      <c r="AI190">
        <v>0</v>
      </c>
      <c r="AJ190" s="3">
        <v>41912.6862384259</v>
      </c>
      <c r="AK190" s="2" t="s">
        <v>1759</v>
      </c>
    </row>
    <row r="191" spans="1:37" x14ac:dyDescent="0.15">
      <c r="A191" s="2" t="s">
        <v>1758</v>
      </c>
      <c r="B191">
        <v>266</v>
      </c>
      <c r="C191" s="3">
        <v>41821</v>
      </c>
      <c r="D191" s="2" t="s">
        <v>37</v>
      </c>
      <c r="E191" s="2" t="s">
        <v>1757</v>
      </c>
      <c r="F191" s="2" t="s">
        <v>41</v>
      </c>
      <c r="G191" s="2" t="s">
        <v>429</v>
      </c>
      <c r="H191" s="2" t="s">
        <v>430</v>
      </c>
      <c r="I191" s="4">
        <f>VLOOKUP(G191,全部!C:M,11,FALSE)</f>
        <v>4215575</v>
      </c>
      <c r="J191" s="4">
        <f t="shared" si="2"/>
        <v>0</v>
      </c>
      <c r="K191" s="4">
        <f>VLOOKUP(计算!G191,全部!C:N,12,FALSE)</f>
        <v>0</v>
      </c>
      <c r="L191" s="5">
        <f>VLOOKUP(G191,全部!C:P,14,FALSE)</f>
        <v>0</v>
      </c>
      <c r="M191" s="5">
        <f>VLOOKUP(G191,全部!C:V,20,FALSE)*100</f>
        <v>3.5999999999999996</v>
      </c>
      <c r="N191" s="6">
        <f>VLOOKUP(G191,全部!C:W,21,FALSE)</f>
        <v>151760.69999999998</v>
      </c>
      <c r="O191" s="4">
        <f>VLOOKUP(G191,全部!C:X,22,FALSE)</f>
        <v>0</v>
      </c>
      <c r="P191" s="4">
        <f>VLOOKUP(G191,全部!C:Y,23,FALSE)</f>
        <v>0</v>
      </c>
      <c r="Q191" s="6">
        <f>VLOOKUP(G191,全部!C:Z,24,FALSE)</f>
        <v>151760.69999999998</v>
      </c>
      <c r="R191" s="7">
        <f>VLOOKUP(G191,全部!C:AA,25,FALSE)</f>
        <v>0</v>
      </c>
      <c r="S191" s="7">
        <f>VLOOKUP(G191,全部!C:AB,26,FALSE)</f>
        <v>0</v>
      </c>
      <c r="T191" s="4">
        <f>VLOOKUP(计算!G191,全部!C:AC,27,FALSE)</f>
        <v>500000</v>
      </c>
      <c r="U191" s="4">
        <f>VLOOKUP(G191,全部!C:AD,28,FALSE)</f>
        <v>500000</v>
      </c>
      <c r="V191" s="6">
        <f>VLOOKUP(G191,全部!C:AE,29,FALSE)</f>
        <v>0.1186077818565676</v>
      </c>
      <c r="W191" s="4">
        <f>VLOOKUP(G191,全部!C:AF,30,FALSE)</f>
        <v>0</v>
      </c>
      <c r="X191" s="4">
        <f>VLOOKUP(G191,全部!C:AG,31,FALSE)</f>
        <v>0</v>
      </c>
      <c r="Y191" s="4">
        <f>VLOOKUP(计算!G191,全部!C:AH,32,FALSE)</f>
        <v>502460.92</v>
      </c>
      <c r="Z191" s="4">
        <f>VLOOKUP(G191,全部!C:AL,36,FALSE)</f>
        <v>502460.92</v>
      </c>
      <c r="AA191" s="4">
        <f>VLOOKUP(G191,全部!C:AM,37,FALSE)</f>
        <v>3.4000000000000002E-2</v>
      </c>
      <c r="AB191" s="6">
        <f>VLOOKUP(G191,全部!C:AN,38,FALSE)</f>
        <v>143329.55000000002</v>
      </c>
      <c r="AC191" s="4">
        <f>VLOOKUP(G191,全部!C:AO,39,FALSE)</f>
        <v>0</v>
      </c>
      <c r="AD191" s="4">
        <f>VLOOKUP(G191,全部!C:AP,40,FALSE)</f>
        <v>0</v>
      </c>
      <c r="AE191" s="6">
        <f>VLOOKUP(G191,全部!C:AQ,41,FALSE)</f>
        <v>143329.55000000002</v>
      </c>
      <c r="AF191" s="4">
        <f>VLOOKUP(G191,全部!C:AR,42,FALSE)</f>
        <v>700000</v>
      </c>
      <c r="AG191" s="7">
        <f>VLOOKUP(G191,全部!C:AS,43,FALSE)</f>
        <v>0</v>
      </c>
      <c r="AH191" s="64" t="str">
        <f>IF(VLOOKUP(G191,全部!C:AT,44,FALSE)=0,"",VLOOKUP(G191,全部!C:AT,44,FALSE))</f>
        <v/>
      </c>
      <c r="AI191">
        <v>0</v>
      </c>
      <c r="AJ191" s="3">
        <v>41912.686249999999</v>
      </c>
      <c r="AK191" s="2" t="s">
        <v>1756</v>
      </c>
    </row>
    <row r="192" spans="1:37" x14ac:dyDescent="0.15">
      <c r="A192" s="2" t="s">
        <v>1755</v>
      </c>
      <c r="B192">
        <v>275</v>
      </c>
      <c r="C192" s="3">
        <v>41821</v>
      </c>
      <c r="D192" s="2" t="s">
        <v>37</v>
      </c>
      <c r="E192" s="2" t="s">
        <v>1754</v>
      </c>
      <c r="F192" s="2" t="s">
        <v>41</v>
      </c>
      <c r="G192" s="2" t="s">
        <v>431</v>
      </c>
      <c r="H192" s="2" t="s">
        <v>432</v>
      </c>
      <c r="I192" s="4">
        <f>VLOOKUP(G192,全部!C:M,11,FALSE)</f>
        <v>60000</v>
      </c>
      <c r="J192" s="4">
        <f t="shared" si="2"/>
        <v>0</v>
      </c>
      <c r="K192" s="4">
        <f>VLOOKUP(计算!G192,全部!C:N,12,FALSE)</f>
        <v>0</v>
      </c>
      <c r="L192" s="5">
        <f>VLOOKUP(G192,全部!C:P,14,FALSE)</f>
        <v>0</v>
      </c>
      <c r="M192" s="5">
        <f>VLOOKUP(G192,全部!C:V,20,FALSE)*100</f>
        <v>8.6</v>
      </c>
      <c r="N192" s="6">
        <f>VLOOKUP(G192,全部!C:W,21,FALSE)</f>
        <v>5160</v>
      </c>
      <c r="O192" s="4">
        <f>VLOOKUP(G192,全部!C:X,22,FALSE)</f>
        <v>5160</v>
      </c>
      <c r="P192" s="4">
        <f>VLOOKUP(G192,全部!C:Y,23,FALSE)</f>
        <v>5160</v>
      </c>
      <c r="Q192" s="6">
        <f>VLOOKUP(G192,全部!C:Z,24,FALSE)</f>
        <v>0</v>
      </c>
      <c r="R192" s="7">
        <f>VLOOKUP(G192,全部!C:AA,25,FALSE)</f>
        <v>0</v>
      </c>
      <c r="S192" s="7">
        <f>VLOOKUP(G192,全部!C:AB,26,FALSE)</f>
        <v>0</v>
      </c>
      <c r="T192" s="4">
        <f>VLOOKUP(计算!G192,全部!C:AC,27,FALSE)</f>
        <v>48000</v>
      </c>
      <c r="U192" s="4">
        <f>VLOOKUP(G192,全部!C:AD,28,FALSE)</f>
        <v>48000</v>
      </c>
      <c r="V192" s="6">
        <f>VLOOKUP(G192,全部!C:AE,29,FALSE)</f>
        <v>0.8</v>
      </c>
      <c r="W192" s="4">
        <f>VLOOKUP(G192,全部!C:AF,30,FALSE)</f>
        <v>0</v>
      </c>
      <c r="X192" s="4">
        <f>VLOOKUP(G192,全部!C:AG,31,FALSE)</f>
        <v>0</v>
      </c>
      <c r="Y192" s="4">
        <f>VLOOKUP(计算!G192,全部!C:AH,32,FALSE)</f>
        <v>48000</v>
      </c>
      <c r="Z192" s="4">
        <f>VLOOKUP(G192,全部!C:AL,36,FALSE)</f>
        <v>48000</v>
      </c>
      <c r="AA192" s="4">
        <f>VLOOKUP(G192,全部!C:AM,37,FALSE)</f>
        <v>3.4000000000000002E-2</v>
      </c>
      <c r="AB192" s="6">
        <f>VLOOKUP(G192,全部!C:AN,38,FALSE)</f>
        <v>2040.0000000000002</v>
      </c>
      <c r="AC192" s="4">
        <f>VLOOKUP(G192,全部!C:AO,39,FALSE)</f>
        <v>0</v>
      </c>
      <c r="AD192" s="4">
        <f>VLOOKUP(G192,全部!C:AP,40,FALSE)</f>
        <v>0</v>
      </c>
      <c r="AE192" s="6">
        <f>VLOOKUP(G192,全部!C:AQ,41,FALSE)</f>
        <v>2040.0000000000002</v>
      </c>
      <c r="AF192" s="4">
        <f>VLOOKUP(G192,全部!C:AR,42,FALSE)</f>
        <v>0</v>
      </c>
      <c r="AG192" s="7">
        <f>VLOOKUP(G192,全部!C:AS,43,FALSE)</f>
        <v>0</v>
      </c>
      <c r="AH192" s="64" t="str">
        <f>IF(VLOOKUP(G192,全部!C:AT,44,FALSE)=0,"",VLOOKUP(G192,全部!C:AT,44,FALSE))</f>
        <v/>
      </c>
      <c r="AI192">
        <v>0</v>
      </c>
      <c r="AJ192" s="3">
        <v>41912.686249999999</v>
      </c>
      <c r="AK192" s="2" t="s">
        <v>1753</v>
      </c>
    </row>
    <row r="193" spans="1:37" x14ac:dyDescent="0.15">
      <c r="A193" s="2" t="s">
        <v>1752</v>
      </c>
      <c r="B193">
        <v>286</v>
      </c>
      <c r="C193" s="3">
        <v>41821</v>
      </c>
      <c r="D193" s="2" t="s">
        <v>37</v>
      </c>
      <c r="E193" s="2" t="s">
        <v>1751</v>
      </c>
      <c r="F193" s="2" t="s">
        <v>41</v>
      </c>
      <c r="G193" s="2" t="s">
        <v>435</v>
      </c>
      <c r="H193" s="2" t="s">
        <v>436</v>
      </c>
      <c r="I193" s="4">
        <f>VLOOKUP(G193,全部!C:M,11,FALSE)</f>
        <v>1108000</v>
      </c>
      <c r="J193" s="4">
        <f t="shared" si="2"/>
        <v>0</v>
      </c>
      <c r="K193" s="4">
        <f>VLOOKUP(计算!G193,全部!C:N,12,FALSE)</f>
        <v>0</v>
      </c>
      <c r="L193" s="5">
        <f>VLOOKUP(G193,全部!C:P,14,FALSE)</f>
        <v>0</v>
      </c>
      <c r="M193" s="5">
        <f>VLOOKUP(G193,全部!C:V,20,FALSE)*100</f>
        <v>3.5999999999999996</v>
      </c>
      <c r="N193" s="6">
        <f>VLOOKUP(G193,全部!C:W,21,FALSE)</f>
        <v>39888</v>
      </c>
      <c r="O193" s="4">
        <f>VLOOKUP(G193,全部!C:X,22,FALSE)</f>
        <v>0</v>
      </c>
      <c r="P193" s="4">
        <f>VLOOKUP(G193,全部!C:Y,23,FALSE)</f>
        <v>0</v>
      </c>
      <c r="Q193" s="6">
        <f>VLOOKUP(G193,全部!C:Z,24,FALSE)</f>
        <v>39888</v>
      </c>
      <c r="R193" s="7">
        <f>VLOOKUP(G193,全部!C:AA,25,FALSE)</f>
        <v>0</v>
      </c>
      <c r="S193" s="7">
        <f>VLOOKUP(G193,全部!C:AB,26,FALSE)</f>
        <v>0</v>
      </c>
      <c r="T193" s="4">
        <f>VLOOKUP(计算!G193,全部!C:AC,27,FALSE)</f>
        <v>150000</v>
      </c>
      <c r="U193" s="4">
        <f>VLOOKUP(G193,全部!C:AD,28,FALSE)</f>
        <v>150000</v>
      </c>
      <c r="V193" s="6">
        <f>VLOOKUP(G193,全部!C:AE,29,FALSE)</f>
        <v>0.13537906137184116</v>
      </c>
      <c r="W193" s="4">
        <f>VLOOKUP(G193,全部!C:AF,30,FALSE)</f>
        <v>0</v>
      </c>
      <c r="X193" s="4">
        <f>VLOOKUP(G193,全部!C:AG,31,FALSE)</f>
        <v>0</v>
      </c>
      <c r="Y193" s="4">
        <f>VLOOKUP(计算!G193,全部!C:AH,32,FALSE)</f>
        <v>137713</v>
      </c>
      <c r="Z193" s="4">
        <f>VLOOKUP(G193,全部!C:AL,36,FALSE)</f>
        <v>137713</v>
      </c>
      <c r="AA193" s="4">
        <f>VLOOKUP(G193,全部!C:AM,37,FALSE)</f>
        <v>3.4000000000000002E-2</v>
      </c>
      <c r="AB193" s="6">
        <f>VLOOKUP(G193,全部!C:AN,38,FALSE)</f>
        <v>37672</v>
      </c>
      <c r="AC193" s="4">
        <f>VLOOKUP(G193,全部!C:AO,39,FALSE)</f>
        <v>30600</v>
      </c>
      <c r="AD193" s="4">
        <f>VLOOKUP(G193,全部!C:AP,40,FALSE)</f>
        <v>30600</v>
      </c>
      <c r="AE193" s="6">
        <f>VLOOKUP(G193,全部!C:AQ,41,FALSE)</f>
        <v>7072</v>
      </c>
      <c r="AF193" s="4">
        <f>VLOOKUP(G193,全部!C:AR,42,FALSE)</f>
        <v>0</v>
      </c>
      <c r="AG193" s="7">
        <f>VLOOKUP(G193,全部!C:AS,43,FALSE)</f>
        <v>0</v>
      </c>
      <c r="AH193" s="64" t="str">
        <f>IF(VLOOKUP(G193,全部!C:AT,44,FALSE)=0,"",VLOOKUP(G193,全部!C:AT,44,FALSE))</f>
        <v/>
      </c>
      <c r="AI193">
        <v>0</v>
      </c>
      <c r="AJ193" s="3">
        <v>41912.686249999999</v>
      </c>
      <c r="AK193" s="2" t="s">
        <v>1750</v>
      </c>
    </row>
    <row r="194" spans="1:37" x14ac:dyDescent="0.15">
      <c r="A194" s="2" t="s">
        <v>1749</v>
      </c>
      <c r="B194">
        <v>280</v>
      </c>
      <c r="C194" s="3">
        <v>41821</v>
      </c>
      <c r="D194" s="2" t="s">
        <v>37</v>
      </c>
      <c r="E194" s="2" t="s">
        <v>1748</v>
      </c>
      <c r="F194" s="2" t="s">
        <v>41</v>
      </c>
      <c r="G194" s="2" t="s">
        <v>433</v>
      </c>
      <c r="H194" s="2" t="s">
        <v>434</v>
      </c>
      <c r="I194" s="4">
        <f>VLOOKUP(G194,全部!C:M,11,FALSE)</f>
        <v>507387</v>
      </c>
      <c r="J194" s="4">
        <f t="shared" si="2"/>
        <v>0</v>
      </c>
      <c r="K194" s="4">
        <f>VLOOKUP(计算!G194,全部!C:N,12,FALSE)</f>
        <v>0</v>
      </c>
      <c r="L194" s="5">
        <f>VLOOKUP(G194,全部!C:P,14,FALSE)</f>
        <v>0</v>
      </c>
      <c r="M194" s="5">
        <f>VLOOKUP(G194,全部!C:V,20,FALSE)*100</f>
        <v>3.5999999999999996</v>
      </c>
      <c r="N194" s="6">
        <f>VLOOKUP(G194,全部!C:W,21,FALSE)</f>
        <v>18265.931999999997</v>
      </c>
      <c r="O194" s="4">
        <f>VLOOKUP(G194,全部!C:X,22,FALSE)</f>
        <v>0</v>
      </c>
      <c r="P194" s="4">
        <f>VLOOKUP(G194,全部!C:Y,23,FALSE)</f>
        <v>0</v>
      </c>
      <c r="Q194" s="6">
        <f>VLOOKUP(G194,全部!C:Z,24,FALSE)</f>
        <v>18265.931999999997</v>
      </c>
      <c r="R194" s="7">
        <f>VLOOKUP(G194,全部!C:AA,25,FALSE)</f>
        <v>0</v>
      </c>
      <c r="S194" s="7">
        <f>VLOOKUP(G194,全部!C:AB,26,FALSE)</f>
        <v>0</v>
      </c>
      <c r="T194" s="4">
        <f>VLOOKUP(计算!G194,全部!C:AC,27,FALSE)</f>
        <v>279062.84999999998</v>
      </c>
      <c r="U194" s="4">
        <f>VLOOKUP(G194,全部!C:AD,28,FALSE)</f>
        <v>279062.84999999998</v>
      </c>
      <c r="V194" s="6">
        <f>VLOOKUP(G194,全部!C:AE,29,FALSE)</f>
        <v>0.54999999999999993</v>
      </c>
      <c r="W194" s="4">
        <f>VLOOKUP(G194,全部!C:AF,30,FALSE)</f>
        <v>0</v>
      </c>
      <c r="X194" s="4">
        <f>VLOOKUP(G194,全部!C:AG,31,FALSE)</f>
        <v>0</v>
      </c>
      <c r="Y194" s="4">
        <f>VLOOKUP(计算!G194,全部!C:AH,32,FALSE)</f>
        <v>154000</v>
      </c>
      <c r="Z194" s="4">
        <f>VLOOKUP(G194,全部!C:AL,36,FALSE)</f>
        <v>154000</v>
      </c>
      <c r="AA194" s="4">
        <f>VLOOKUP(G194,全部!C:AM,37,FALSE)</f>
        <v>3.4000000000000002E-2</v>
      </c>
      <c r="AB194" s="6">
        <f>VLOOKUP(G194,全部!C:AN,38,FALSE)</f>
        <v>17251.157999999999</v>
      </c>
      <c r="AC194" s="4">
        <f>VLOOKUP(G194,全部!C:AO,39,FALSE)</f>
        <v>0</v>
      </c>
      <c r="AD194" s="4">
        <f>VLOOKUP(G194,全部!C:AP,40,FALSE)</f>
        <v>0</v>
      </c>
      <c r="AE194" s="6">
        <f>VLOOKUP(G194,全部!C:AQ,41,FALSE)</f>
        <v>17251.157999999999</v>
      </c>
      <c r="AF194" s="4">
        <f>VLOOKUP(G194,全部!C:AR,42,FALSE)</f>
        <v>0</v>
      </c>
      <c r="AG194" s="7">
        <f>VLOOKUP(G194,全部!C:AS,43,FALSE)</f>
        <v>0</v>
      </c>
      <c r="AH194" s="64" t="str">
        <f>IF(VLOOKUP(G194,全部!C:AT,44,FALSE)=0,"",VLOOKUP(G194,全部!C:AT,44,FALSE))</f>
        <v/>
      </c>
      <c r="AI194">
        <v>0</v>
      </c>
      <c r="AJ194" s="3">
        <v>41912.686249999999</v>
      </c>
      <c r="AK194" s="2" t="s">
        <v>1747</v>
      </c>
    </row>
    <row r="195" spans="1:37" x14ac:dyDescent="0.15">
      <c r="A195" s="2" t="s">
        <v>1746</v>
      </c>
      <c r="B195">
        <v>291</v>
      </c>
      <c r="C195" s="3">
        <v>41821</v>
      </c>
      <c r="D195" s="2" t="s">
        <v>37</v>
      </c>
      <c r="E195" s="2" t="s">
        <v>1745</v>
      </c>
      <c r="F195" s="2" t="s">
        <v>41</v>
      </c>
      <c r="G195" s="2" t="s">
        <v>439</v>
      </c>
      <c r="H195" s="2" t="s">
        <v>440</v>
      </c>
      <c r="I195" s="4">
        <f>VLOOKUP(G195,全部!C:M,11,FALSE)</f>
        <v>2063932</v>
      </c>
      <c r="J195" s="4">
        <f t="shared" ref="J195:J215" si="3">K195</f>
        <v>0</v>
      </c>
      <c r="K195" s="4">
        <f>VLOOKUP(计算!G195,全部!C:N,12,FALSE)</f>
        <v>0</v>
      </c>
      <c r="L195" s="5">
        <f>VLOOKUP(G195,全部!C:P,14,FALSE)</f>
        <v>0</v>
      </c>
      <c r="M195" s="5">
        <f>VLOOKUP(G195,全部!C:V,20,FALSE)*100</f>
        <v>8.6</v>
      </c>
      <c r="N195" s="6">
        <f>VLOOKUP(G195,全部!C:W,21,FALSE)</f>
        <v>177498.15199999997</v>
      </c>
      <c r="O195" s="4">
        <f>VLOOKUP(G195,全部!C:X,22,FALSE)</f>
        <v>0</v>
      </c>
      <c r="P195" s="4">
        <f>VLOOKUP(G195,全部!C:Y,23,FALSE)</f>
        <v>0</v>
      </c>
      <c r="Q195" s="6">
        <f>VLOOKUP(G195,全部!C:Z,24,FALSE)</f>
        <v>177498.15199999997</v>
      </c>
      <c r="R195" s="7">
        <f>VLOOKUP(G195,全部!C:AA,25,FALSE)</f>
        <v>0</v>
      </c>
      <c r="S195" s="7">
        <f>VLOOKUP(G195,全部!C:AB,26,FALSE)</f>
        <v>0</v>
      </c>
      <c r="T195" s="4">
        <f>VLOOKUP(计算!G195,全部!C:AC,27,FALSE)</f>
        <v>309589.8</v>
      </c>
      <c r="U195" s="4">
        <f>VLOOKUP(G195,全部!C:AD,28,FALSE)</f>
        <v>309589.8</v>
      </c>
      <c r="V195" s="6">
        <f>VLOOKUP(G195,全部!C:AE,29,FALSE)</f>
        <v>0.15</v>
      </c>
      <c r="W195" s="4">
        <f>VLOOKUP(G195,全部!C:AF,30,FALSE)</f>
        <v>0</v>
      </c>
      <c r="X195" s="4">
        <f>VLOOKUP(G195,全部!C:AG,31,FALSE)</f>
        <v>0</v>
      </c>
      <c r="Y195" s="4">
        <f>VLOOKUP(计算!G195,全部!C:AH,32,FALSE)</f>
        <v>309589.8</v>
      </c>
      <c r="Z195" s="4">
        <f>VLOOKUP(G195,全部!C:AL,36,FALSE)</f>
        <v>309589.8</v>
      </c>
      <c r="AA195" s="4">
        <f>VLOOKUP(G195,全部!C:AM,37,FALSE)</f>
        <v>3.4000000000000002E-2</v>
      </c>
      <c r="AB195" s="6">
        <f>VLOOKUP(G195,全部!C:AN,38,FALSE)</f>
        <v>70173.688000000009</v>
      </c>
      <c r="AC195" s="4">
        <f>VLOOKUP(G195,全部!C:AO,39,FALSE)</f>
        <v>0</v>
      </c>
      <c r="AD195" s="4">
        <f>VLOOKUP(G195,全部!C:AP,40,FALSE)</f>
        <v>0</v>
      </c>
      <c r="AE195" s="6">
        <f>VLOOKUP(G195,全部!C:AQ,41,FALSE)</f>
        <v>70173.688000000009</v>
      </c>
      <c r="AF195" s="4">
        <f>VLOOKUP(G195,全部!C:AR,42,FALSE)</f>
        <v>0</v>
      </c>
      <c r="AG195" s="7">
        <f>VLOOKUP(G195,全部!C:AS,43,FALSE)</f>
        <v>0</v>
      </c>
      <c r="AH195" s="64" t="str">
        <f>IF(VLOOKUP(G195,全部!C:AT,44,FALSE)=0,"",VLOOKUP(G195,全部!C:AT,44,FALSE))</f>
        <v/>
      </c>
      <c r="AI195">
        <v>0</v>
      </c>
      <c r="AJ195" s="3">
        <v>41912.686249999999</v>
      </c>
      <c r="AK195" s="2" t="s">
        <v>1744</v>
      </c>
    </row>
    <row r="196" spans="1:37" x14ac:dyDescent="0.15">
      <c r="A196" s="2" t="s">
        <v>1743</v>
      </c>
      <c r="B196">
        <v>296</v>
      </c>
      <c r="C196" s="3">
        <v>41821</v>
      </c>
      <c r="D196" s="2" t="s">
        <v>37</v>
      </c>
      <c r="E196" s="2" t="s">
        <v>1742</v>
      </c>
      <c r="F196" s="2" t="s">
        <v>41</v>
      </c>
      <c r="G196" s="2" t="s">
        <v>437</v>
      </c>
      <c r="H196" s="2" t="s">
        <v>438</v>
      </c>
      <c r="I196" s="4">
        <f>VLOOKUP(G196,全部!C:M,11,FALSE)</f>
        <v>50000</v>
      </c>
      <c r="J196" s="4">
        <f t="shared" si="3"/>
        <v>0</v>
      </c>
      <c r="K196" s="4">
        <f>VLOOKUP(计算!G196,全部!C:N,12,FALSE)</f>
        <v>0</v>
      </c>
      <c r="L196" s="5">
        <f>VLOOKUP(G196,全部!C:P,14,FALSE)</f>
        <v>0</v>
      </c>
      <c r="M196" s="5">
        <f>VLOOKUP(G196,全部!C:V,20,FALSE)*100</f>
        <v>8.6</v>
      </c>
      <c r="N196" s="6">
        <f>VLOOKUP(G196,全部!C:W,21,FALSE)</f>
        <v>4300</v>
      </c>
      <c r="O196" s="4">
        <f>VLOOKUP(G196,全部!C:X,22,FALSE)</f>
        <v>0</v>
      </c>
      <c r="P196" s="4">
        <f>VLOOKUP(G196,全部!C:Y,23,FALSE)</f>
        <v>0</v>
      </c>
      <c r="Q196" s="6">
        <f>VLOOKUP(G196,全部!C:Z,24,FALSE)</f>
        <v>4300</v>
      </c>
      <c r="R196" s="7">
        <f>VLOOKUP(G196,全部!C:AA,25,FALSE)</f>
        <v>0</v>
      </c>
      <c r="S196" s="7">
        <f>VLOOKUP(G196,全部!C:AB,26,FALSE)</f>
        <v>0</v>
      </c>
      <c r="T196" s="4">
        <f>VLOOKUP(计算!G196,全部!C:AC,27,FALSE)</f>
        <v>0</v>
      </c>
      <c r="U196" s="4">
        <f>VLOOKUP(G196,全部!C:AD,28,FALSE)</f>
        <v>0</v>
      </c>
      <c r="V196" s="6">
        <f>VLOOKUP(G196,全部!C:AE,29,FALSE)</f>
        <v>0</v>
      </c>
      <c r="W196" s="4">
        <f>VLOOKUP(G196,全部!C:AF,30,FALSE)</f>
        <v>0</v>
      </c>
      <c r="X196" s="4">
        <f>VLOOKUP(G196,全部!C:AG,31,FALSE)</f>
        <v>0</v>
      </c>
      <c r="Y196" s="4">
        <f>VLOOKUP(计算!G196,全部!C:AH,32,FALSE)</f>
        <v>0</v>
      </c>
      <c r="Z196" s="4">
        <f>VLOOKUP(G196,全部!C:AL,36,FALSE)</f>
        <v>0</v>
      </c>
      <c r="AA196" s="4">
        <f>VLOOKUP(G196,全部!C:AM,37,FALSE)</f>
        <v>3.4000000000000002E-2</v>
      </c>
      <c r="AB196" s="6">
        <f>VLOOKUP(G196,全部!C:AN,38,FALSE)</f>
        <v>1700.0000000000002</v>
      </c>
      <c r="AC196" s="4">
        <f>VLOOKUP(G196,全部!C:AO,39,FALSE)</f>
        <v>0</v>
      </c>
      <c r="AD196" s="4">
        <f>VLOOKUP(G196,全部!C:AP,40,FALSE)</f>
        <v>0</v>
      </c>
      <c r="AE196" s="6">
        <f>VLOOKUP(G196,全部!C:AQ,41,FALSE)</f>
        <v>1700.0000000000002</v>
      </c>
      <c r="AF196" s="4">
        <f>VLOOKUP(G196,全部!C:AR,42,FALSE)</f>
        <v>0</v>
      </c>
      <c r="AG196" s="7">
        <f>VLOOKUP(G196,全部!C:AS,43,FALSE)</f>
        <v>0</v>
      </c>
      <c r="AH196" s="64" t="str">
        <f>IF(VLOOKUP(G196,全部!C:AT,44,FALSE)=0,"",VLOOKUP(G196,全部!C:AT,44,FALSE))</f>
        <v/>
      </c>
      <c r="AI196">
        <v>0</v>
      </c>
      <c r="AJ196" s="3">
        <v>41912.686249999999</v>
      </c>
      <c r="AK196" s="2" t="s">
        <v>1741</v>
      </c>
    </row>
    <row r="197" spans="1:37" x14ac:dyDescent="0.15">
      <c r="A197" s="2" t="s">
        <v>1740</v>
      </c>
      <c r="B197">
        <v>1212</v>
      </c>
      <c r="C197" s="3">
        <v>41821</v>
      </c>
      <c r="D197" s="2" t="s">
        <v>37</v>
      </c>
      <c r="E197" s="2" t="s">
        <v>1739</v>
      </c>
      <c r="F197" s="2" t="s">
        <v>38</v>
      </c>
      <c r="G197" s="2" t="s">
        <v>417</v>
      </c>
      <c r="H197" s="2" t="s">
        <v>418</v>
      </c>
      <c r="I197" s="4">
        <f>VLOOKUP(G197,全部!C:M,11,FALSE)</f>
        <v>1885067.2</v>
      </c>
      <c r="J197" s="4">
        <f t="shared" si="3"/>
        <v>0</v>
      </c>
      <c r="K197" s="4">
        <f>VLOOKUP(计算!G197,全部!C:N,12,FALSE)</f>
        <v>0</v>
      </c>
      <c r="L197" s="5">
        <f>VLOOKUP(G197,全部!C:P,14,FALSE)</f>
        <v>0</v>
      </c>
      <c r="M197" s="5">
        <f>VLOOKUP(G197,全部!C:V,20,FALSE)*100</f>
        <v>3.5999999999999996</v>
      </c>
      <c r="N197" s="6">
        <f>VLOOKUP(G197,全部!C:W,21,FALSE)</f>
        <v>67862.419199999989</v>
      </c>
      <c r="O197" s="4">
        <f>VLOOKUP(G197,全部!C:X,22,FALSE)</f>
        <v>0</v>
      </c>
      <c r="P197" s="4">
        <f>VLOOKUP(G197,全部!C:Y,23,FALSE)</f>
        <v>0</v>
      </c>
      <c r="Q197" s="6">
        <f>VLOOKUP(G197,全部!C:Z,24,FALSE)</f>
        <v>67862.419199999989</v>
      </c>
      <c r="R197" s="7">
        <f>VLOOKUP(G197,全部!C:AA,25,FALSE)</f>
        <v>565520</v>
      </c>
      <c r="S197" s="7">
        <f>VLOOKUP(G197,全部!C:AB,26,FALSE)</f>
        <v>565520</v>
      </c>
      <c r="T197" s="4">
        <f>VLOOKUP(计算!G197,全部!C:AC,27,FALSE)</f>
        <v>0</v>
      </c>
      <c r="U197" s="4">
        <f>VLOOKUP(G197,全部!C:AD,28,FALSE)</f>
        <v>0</v>
      </c>
      <c r="V197" s="6">
        <f>VLOOKUP(G197,全部!C:AE,29,FALSE)</f>
        <v>0</v>
      </c>
      <c r="W197" s="4">
        <f>VLOOKUP(G197,全部!C:AF,30,FALSE)</f>
        <v>0</v>
      </c>
      <c r="X197" s="4">
        <f>VLOOKUP(G197,全部!C:AG,31,FALSE)</f>
        <v>0</v>
      </c>
      <c r="Y197" s="4">
        <f>VLOOKUP(计算!G197,全部!C:AH,32,FALSE)</f>
        <v>0</v>
      </c>
      <c r="Z197" s="4">
        <f>VLOOKUP(G197,全部!C:AL,36,FALSE)</f>
        <v>0</v>
      </c>
      <c r="AA197" s="4">
        <f>VLOOKUP(G197,全部!C:AM,37,FALSE)</f>
        <v>3.4000000000000002E-2</v>
      </c>
      <c r="AB197" s="6">
        <f>VLOOKUP(G197,全部!C:AN,38,FALSE)</f>
        <v>19227.68</v>
      </c>
      <c r="AC197" s="4">
        <f>VLOOKUP(G197,全部!C:AO,39,FALSE)</f>
        <v>0</v>
      </c>
      <c r="AD197" s="4">
        <f>VLOOKUP(G197,全部!C:AP,40,FALSE)</f>
        <v>0</v>
      </c>
      <c r="AE197" s="6">
        <f>VLOOKUP(G197,全部!C:AQ,41,FALSE)</f>
        <v>19227.68</v>
      </c>
      <c r="AF197" s="4">
        <f>VLOOKUP(G197,全部!C:AR,42,FALSE)</f>
        <v>0</v>
      </c>
      <c r="AG197" s="7">
        <f>VLOOKUP(G197,全部!C:AS,43,FALSE)</f>
        <v>21</v>
      </c>
      <c r="AH197" s="64" t="str">
        <f>IF(VLOOKUP(G197,全部!C:AT,44,FALSE)=0,"",VLOOKUP(G197,全部!C:AT,44,FALSE))</f>
        <v>亦庄</v>
      </c>
      <c r="AI197">
        <v>0</v>
      </c>
      <c r="AJ197" s="3">
        <v>41912.6862847222</v>
      </c>
      <c r="AK197" s="2" t="s">
        <v>1738</v>
      </c>
    </row>
    <row r="198" spans="1:37" x14ac:dyDescent="0.15">
      <c r="A198" s="2" t="s">
        <v>1737</v>
      </c>
      <c r="B198">
        <v>304</v>
      </c>
      <c r="C198" s="3">
        <v>41821</v>
      </c>
      <c r="D198" s="2" t="s">
        <v>37</v>
      </c>
      <c r="E198" s="2" t="s">
        <v>1736</v>
      </c>
      <c r="F198" s="2" t="s">
        <v>41</v>
      </c>
      <c r="G198" s="2" t="s">
        <v>443</v>
      </c>
      <c r="H198" s="2" t="s">
        <v>444</v>
      </c>
      <c r="I198" s="4">
        <f>VLOOKUP(G198,全部!C:M,11,FALSE)</f>
        <v>248000</v>
      </c>
      <c r="J198" s="4">
        <f t="shared" si="3"/>
        <v>0</v>
      </c>
      <c r="K198" s="4">
        <f>VLOOKUP(计算!G198,全部!C:N,12,FALSE)</f>
        <v>0</v>
      </c>
      <c r="L198" s="5">
        <f>VLOOKUP(G198,全部!C:P,14,FALSE)</f>
        <v>0</v>
      </c>
      <c r="M198" s="5">
        <f>VLOOKUP(G198,全部!C:V,20,FALSE)*100</f>
        <v>8.6</v>
      </c>
      <c r="N198" s="6">
        <f>VLOOKUP(G198,全部!C:W,21,FALSE)</f>
        <v>21328</v>
      </c>
      <c r="O198" s="4">
        <f>VLOOKUP(G198,全部!C:X,22,FALSE)</f>
        <v>0</v>
      </c>
      <c r="P198" s="4">
        <f>VLOOKUP(G198,全部!C:Y,23,FALSE)</f>
        <v>0</v>
      </c>
      <c r="Q198" s="6">
        <f>VLOOKUP(G198,全部!C:Z,24,FALSE)</f>
        <v>21328</v>
      </c>
      <c r="R198" s="7">
        <f>VLOOKUP(G198,全部!C:AA,25,FALSE)</f>
        <v>0</v>
      </c>
      <c r="S198" s="7">
        <f>VLOOKUP(G198,全部!C:AB,26,FALSE)</f>
        <v>0</v>
      </c>
      <c r="T198" s="4">
        <f>VLOOKUP(计算!G198,全部!C:AC,27,FALSE)</f>
        <v>0</v>
      </c>
      <c r="U198" s="4">
        <f>VLOOKUP(G198,全部!C:AD,28,FALSE)</f>
        <v>0</v>
      </c>
      <c r="V198" s="6">
        <f>VLOOKUP(G198,全部!C:AE,29,FALSE)</f>
        <v>0</v>
      </c>
      <c r="W198" s="4">
        <f>VLOOKUP(G198,全部!C:AF,30,FALSE)</f>
        <v>0</v>
      </c>
      <c r="X198" s="4">
        <f>VLOOKUP(G198,全部!C:AG,31,FALSE)</f>
        <v>0</v>
      </c>
      <c r="Y198" s="4">
        <f>VLOOKUP(计算!G198,全部!C:AH,32,FALSE)</f>
        <v>0</v>
      </c>
      <c r="Z198" s="4">
        <f>VLOOKUP(G198,全部!C:AL,36,FALSE)</f>
        <v>0</v>
      </c>
      <c r="AA198" s="4">
        <f>VLOOKUP(G198,全部!C:AM,37,FALSE)</f>
        <v>3.4000000000000002E-2</v>
      </c>
      <c r="AB198" s="6">
        <f>VLOOKUP(G198,全部!C:AN,38,FALSE)</f>
        <v>8432</v>
      </c>
      <c r="AC198" s="4">
        <f>VLOOKUP(G198,全部!C:AO,39,FALSE)</f>
        <v>0</v>
      </c>
      <c r="AD198" s="4">
        <f>VLOOKUP(G198,全部!C:AP,40,FALSE)</f>
        <v>0</v>
      </c>
      <c r="AE198" s="6">
        <f>VLOOKUP(G198,全部!C:AQ,41,FALSE)</f>
        <v>8432</v>
      </c>
      <c r="AF198" s="4">
        <f>VLOOKUP(G198,全部!C:AR,42,FALSE)</f>
        <v>0</v>
      </c>
      <c r="AG198" s="7">
        <f>VLOOKUP(G198,全部!C:AS,43,FALSE)</f>
        <v>0</v>
      </c>
      <c r="AH198" s="64" t="str">
        <f>IF(VLOOKUP(G198,全部!C:AT,44,FALSE)=0,"",VLOOKUP(G198,全部!C:AT,44,FALSE))</f>
        <v/>
      </c>
      <c r="AI198">
        <v>0</v>
      </c>
      <c r="AJ198" s="3">
        <v>41912.686249999999</v>
      </c>
      <c r="AK198" s="2" t="s">
        <v>1735</v>
      </c>
    </row>
    <row r="199" spans="1:37" x14ac:dyDescent="0.15">
      <c r="A199" s="2" t="s">
        <v>1734</v>
      </c>
      <c r="B199">
        <v>309</v>
      </c>
      <c r="C199" s="3">
        <v>41821</v>
      </c>
      <c r="D199" s="2" t="s">
        <v>37</v>
      </c>
      <c r="E199" s="2" t="s">
        <v>1733</v>
      </c>
      <c r="F199" s="2" t="s">
        <v>41</v>
      </c>
      <c r="G199" s="2" t="s">
        <v>445</v>
      </c>
      <c r="H199" s="2" t="s">
        <v>446</v>
      </c>
      <c r="I199" s="4">
        <f>VLOOKUP(G199,全部!C:M,11,FALSE)</f>
        <v>967901.04</v>
      </c>
      <c r="J199" s="4">
        <f t="shared" si="3"/>
        <v>0</v>
      </c>
      <c r="K199" s="4">
        <f>VLOOKUP(计算!G199,全部!C:N,12,FALSE)</f>
        <v>0</v>
      </c>
      <c r="L199" s="5">
        <f>VLOOKUP(G199,全部!C:P,14,FALSE)</f>
        <v>0</v>
      </c>
      <c r="M199" s="5">
        <f>VLOOKUP(G199,全部!C:V,20,FALSE)*100</f>
        <v>3.5999999999999996</v>
      </c>
      <c r="N199" s="6">
        <f>VLOOKUP(G199,全部!C:W,21,FALSE)</f>
        <v>34844.437440000002</v>
      </c>
      <c r="O199" s="4">
        <f>VLOOKUP(G199,全部!C:X,22,FALSE)</f>
        <v>0</v>
      </c>
      <c r="P199" s="4">
        <f>VLOOKUP(G199,全部!C:Y,23,FALSE)</f>
        <v>0</v>
      </c>
      <c r="Q199" s="6">
        <f>VLOOKUP(G199,全部!C:Z,24,FALSE)</f>
        <v>34844.437440000002</v>
      </c>
      <c r="R199" s="7">
        <f>VLOOKUP(G199,全部!C:AA,25,FALSE)</f>
        <v>0</v>
      </c>
      <c r="S199" s="7">
        <f>VLOOKUP(G199,全部!C:AB,26,FALSE)</f>
        <v>0</v>
      </c>
      <c r="T199" s="4">
        <f>VLOOKUP(计算!G199,全部!C:AC,27,FALSE)</f>
        <v>0</v>
      </c>
      <c r="U199" s="4">
        <f>VLOOKUP(G199,全部!C:AD,28,FALSE)</f>
        <v>0</v>
      </c>
      <c r="V199" s="6">
        <f>VLOOKUP(G199,全部!C:AE,29,FALSE)</f>
        <v>0</v>
      </c>
      <c r="W199" s="4">
        <f>VLOOKUP(G199,全部!C:AF,30,FALSE)</f>
        <v>0</v>
      </c>
      <c r="X199" s="4">
        <f>VLOOKUP(G199,全部!C:AG,31,FALSE)</f>
        <v>0</v>
      </c>
      <c r="Y199" s="4">
        <f>VLOOKUP(计算!G199,全部!C:AH,32,FALSE)</f>
        <v>0</v>
      </c>
      <c r="Z199" s="4">
        <f>VLOOKUP(G199,全部!C:AL,36,FALSE)</f>
        <v>0</v>
      </c>
      <c r="AA199" s="4">
        <f>VLOOKUP(G199,全部!C:AM,37,FALSE)</f>
        <v>0</v>
      </c>
      <c r="AB199" s="6">
        <f>VLOOKUP(G199,全部!C:AN,38,FALSE)</f>
        <v>0</v>
      </c>
      <c r="AC199" s="4">
        <f>VLOOKUP(G199,全部!C:AO,39,FALSE)</f>
        <v>0</v>
      </c>
      <c r="AD199" s="4">
        <f>VLOOKUP(G199,全部!C:AP,40,FALSE)</f>
        <v>0</v>
      </c>
      <c r="AE199" s="6">
        <f>VLOOKUP(G199,全部!C:AQ,41,FALSE)</f>
        <v>0</v>
      </c>
      <c r="AF199" s="4">
        <f>VLOOKUP(G199,全部!C:AR,42,FALSE)</f>
        <v>0</v>
      </c>
      <c r="AG199" s="7">
        <f>VLOOKUP(G199,全部!C:AS,43,FALSE)</f>
        <v>0</v>
      </c>
      <c r="AH199" s="64" t="str">
        <f>IF(VLOOKUP(G199,全部!C:AT,44,FALSE)=0,"",VLOOKUP(G199,全部!C:AT,44,FALSE))</f>
        <v/>
      </c>
      <c r="AI199">
        <v>0</v>
      </c>
      <c r="AJ199" s="3">
        <v>41912.686249999999</v>
      </c>
      <c r="AK199" s="2" t="s">
        <v>1732</v>
      </c>
    </row>
    <row r="200" spans="1:37" x14ac:dyDescent="0.15">
      <c r="A200" s="2" t="s">
        <v>1731</v>
      </c>
      <c r="B200">
        <v>237</v>
      </c>
      <c r="C200" s="3">
        <v>41821</v>
      </c>
      <c r="D200" s="2" t="s">
        <v>37</v>
      </c>
      <c r="E200" s="2" t="s">
        <v>1730</v>
      </c>
      <c r="F200" s="2" t="s">
        <v>41</v>
      </c>
      <c r="G200" s="2" t="s">
        <v>449</v>
      </c>
      <c r="H200" s="2" t="s">
        <v>450</v>
      </c>
      <c r="I200" s="4">
        <f>VLOOKUP(G200,全部!C:M,11,FALSE)</f>
        <v>50000</v>
      </c>
      <c r="J200" s="4">
        <f t="shared" si="3"/>
        <v>0</v>
      </c>
      <c r="K200" s="4">
        <f>VLOOKUP(计算!G200,全部!C:N,12,FALSE)</f>
        <v>0</v>
      </c>
      <c r="L200" s="5">
        <f>VLOOKUP(G200,全部!C:P,14,FALSE)</f>
        <v>0</v>
      </c>
      <c r="M200" s="5">
        <f>VLOOKUP(G200,全部!C:V,20,FALSE)*100</f>
        <v>8.6</v>
      </c>
      <c r="N200" s="6">
        <f>VLOOKUP(G200,全部!C:W,21,FALSE)</f>
        <v>4300</v>
      </c>
      <c r="O200" s="4">
        <f>VLOOKUP(G200,全部!C:X,22,FALSE)</f>
        <v>0</v>
      </c>
      <c r="P200" s="4">
        <f>VLOOKUP(G200,全部!C:Y,23,FALSE)</f>
        <v>0</v>
      </c>
      <c r="Q200" s="6">
        <f>VLOOKUP(G200,全部!C:Z,24,FALSE)</f>
        <v>4300</v>
      </c>
      <c r="R200" s="7">
        <f>VLOOKUP(G200,全部!C:AA,25,FALSE)</f>
        <v>0</v>
      </c>
      <c r="S200" s="7">
        <f>VLOOKUP(G200,全部!C:AB,26,FALSE)</f>
        <v>0</v>
      </c>
      <c r="T200" s="4">
        <f>VLOOKUP(计算!G200,全部!C:AC,27,FALSE)</f>
        <v>0</v>
      </c>
      <c r="U200" s="4">
        <f>VLOOKUP(G200,全部!C:AD,28,FALSE)</f>
        <v>0</v>
      </c>
      <c r="V200" s="6">
        <f>VLOOKUP(G200,全部!C:AE,29,FALSE)</f>
        <v>0</v>
      </c>
      <c r="W200" s="4">
        <f>VLOOKUP(G200,全部!C:AF,30,FALSE)</f>
        <v>0</v>
      </c>
      <c r="X200" s="4">
        <f>VLOOKUP(G200,全部!C:AG,31,FALSE)</f>
        <v>0</v>
      </c>
      <c r="Y200" s="4">
        <f>VLOOKUP(计算!G200,全部!C:AH,32,FALSE)</f>
        <v>0</v>
      </c>
      <c r="Z200" s="4">
        <f>VLOOKUP(G200,全部!C:AL,36,FALSE)</f>
        <v>0</v>
      </c>
      <c r="AA200" s="4">
        <f>VLOOKUP(G200,全部!C:AM,37,FALSE)</f>
        <v>3.4000000000000002E-2</v>
      </c>
      <c r="AB200" s="6">
        <f>VLOOKUP(G200,全部!C:AN,38,FALSE)</f>
        <v>1700.0000000000002</v>
      </c>
      <c r="AC200" s="4">
        <f>VLOOKUP(G200,全部!C:AO,39,FALSE)</f>
        <v>0</v>
      </c>
      <c r="AD200" s="4">
        <f>VLOOKUP(G200,全部!C:AP,40,FALSE)</f>
        <v>0</v>
      </c>
      <c r="AE200" s="6">
        <f>VLOOKUP(G200,全部!C:AQ,41,FALSE)</f>
        <v>1700.0000000000002</v>
      </c>
      <c r="AF200" s="4">
        <f>VLOOKUP(G200,全部!C:AR,42,FALSE)</f>
        <v>0</v>
      </c>
      <c r="AG200" s="7">
        <f>VLOOKUP(G200,全部!C:AS,43,FALSE)</f>
        <v>0</v>
      </c>
      <c r="AH200" s="64" t="str">
        <f>IF(VLOOKUP(G200,全部!C:AT,44,FALSE)=0,"",VLOOKUP(G200,全部!C:AT,44,FALSE))</f>
        <v/>
      </c>
      <c r="AI200">
        <v>0</v>
      </c>
      <c r="AJ200" s="3">
        <v>41912.6862384259</v>
      </c>
      <c r="AK200" s="2" t="s">
        <v>1729</v>
      </c>
    </row>
    <row r="201" spans="1:37" x14ac:dyDescent="0.15">
      <c r="A201" s="2" t="s">
        <v>1728</v>
      </c>
      <c r="B201">
        <v>258</v>
      </c>
      <c r="C201" s="3">
        <v>41821</v>
      </c>
      <c r="D201" s="2" t="s">
        <v>37</v>
      </c>
      <c r="E201" s="2" t="s">
        <v>1727</v>
      </c>
      <c r="F201" s="2" t="s">
        <v>41</v>
      </c>
      <c r="G201" s="2" t="s">
        <v>451</v>
      </c>
      <c r="H201" s="2" t="s">
        <v>452</v>
      </c>
      <c r="I201" s="4">
        <f>VLOOKUP(G201,全部!C:M,11,FALSE)</f>
        <v>9995935.1099999994</v>
      </c>
      <c r="J201" s="4">
        <f t="shared" si="3"/>
        <v>0</v>
      </c>
      <c r="K201" s="4">
        <f>VLOOKUP(计算!G201,全部!C:N,12,FALSE)</f>
        <v>0</v>
      </c>
      <c r="L201" s="5">
        <f>VLOOKUP(G201,全部!C:P,14,FALSE)</f>
        <v>0</v>
      </c>
      <c r="M201" s="5">
        <f>VLOOKUP(G201,全部!C:V,20,FALSE)*100</f>
        <v>3</v>
      </c>
      <c r="N201" s="6">
        <f>VLOOKUP(G201,全部!C:W,21,FALSE)</f>
        <v>299878.05329999997</v>
      </c>
      <c r="O201" s="4">
        <f>VLOOKUP(G201,全部!C:X,22,FALSE)</f>
        <v>11900</v>
      </c>
      <c r="P201" s="4">
        <f>VLOOKUP(G201,全部!C:Y,23,FALSE)</f>
        <v>11900</v>
      </c>
      <c r="Q201" s="6">
        <f>VLOOKUP(G201,全部!C:Z,24,FALSE)</f>
        <v>287978.05329999997</v>
      </c>
      <c r="R201" s="7">
        <f>VLOOKUP(G201,全部!C:AA,25,FALSE)</f>
        <v>0</v>
      </c>
      <c r="S201" s="7">
        <f>VLOOKUP(G201,全部!C:AB,26,FALSE)</f>
        <v>0</v>
      </c>
      <c r="T201" s="4">
        <f>VLOOKUP(计算!G201,全部!C:AC,27,FALSE)</f>
        <v>2798861.83</v>
      </c>
      <c r="U201" s="4">
        <f>VLOOKUP(G201,全部!C:AD,28,FALSE)</f>
        <v>2798861.83</v>
      </c>
      <c r="V201" s="6">
        <f>VLOOKUP(G201,全部!C:AE,29,FALSE)</f>
        <v>0.27999999991996749</v>
      </c>
      <c r="W201" s="4">
        <f>VLOOKUP(G201,全部!C:AF,30,FALSE)</f>
        <v>0</v>
      </c>
      <c r="X201" s="4">
        <f>VLOOKUP(G201,全部!C:AG,31,FALSE)</f>
        <v>0</v>
      </c>
      <c r="Y201" s="4">
        <f>VLOOKUP(计算!G201,全部!C:AH,32,FALSE)</f>
        <v>1627060.22</v>
      </c>
      <c r="Z201" s="4">
        <f>VLOOKUP(G201,全部!C:AL,36,FALSE)</f>
        <v>1627060.22</v>
      </c>
      <c r="AA201" s="4">
        <f>VLOOKUP(G201,全部!C:AM,37,FALSE)</f>
        <v>0</v>
      </c>
      <c r="AB201" s="6">
        <f>VLOOKUP(G201,全部!C:AN,38,FALSE)</f>
        <v>0</v>
      </c>
      <c r="AC201" s="4">
        <f>VLOOKUP(G201,全部!C:AO,39,FALSE)</f>
        <v>273808.63</v>
      </c>
      <c r="AD201" s="4">
        <f>VLOOKUP(G201,全部!C:AP,40,FALSE)</f>
        <v>273808.63</v>
      </c>
      <c r="AE201" s="6">
        <f>VLOOKUP(G201,全部!C:AQ,41,FALSE)</f>
        <v>0</v>
      </c>
      <c r="AF201" s="4">
        <f>VLOOKUP(G201,全部!C:AR,42,FALSE)</f>
        <v>0</v>
      </c>
      <c r="AG201" s="7">
        <f>VLOOKUP(G201,全部!C:AS,43,FALSE)</f>
        <v>0</v>
      </c>
      <c r="AH201" s="64" t="str">
        <f>IF(VLOOKUP(G201,全部!C:AT,44,FALSE)=0,"",VLOOKUP(G201,全部!C:AT,44,FALSE))</f>
        <v/>
      </c>
      <c r="AI201">
        <v>0</v>
      </c>
      <c r="AJ201" s="3">
        <v>41912.6862384259</v>
      </c>
      <c r="AK201" s="2" t="s">
        <v>1726</v>
      </c>
    </row>
    <row r="202" spans="1:37" x14ac:dyDescent="0.15">
      <c r="A202" s="2" t="s">
        <v>1725</v>
      </c>
      <c r="B202">
        <v>248</v>
      </c>
      <c r="C202" s="3">
        <v>41821</v>
      </c>
      <c r="D202" s="2" t="s">
        <v>37</v>
      </c>
      <c r="E202" s="2" t="s">
        <v>1724</v>
      </c>
      <c r="F202" s="2" t="s">
        <v>41</v>
      </c>
      <c r="G202" s="2" t="s">
        <v>447</v>
      </c>
      <c r="H202" s="2" t="s">
        <v>448</v>
      </c>
      <c r="I202" s="4">
        <f>VLOOKUP(G202,全部!C:M,11,FALSE)</f>
        <v>1250000</v>
      </c>
      <c r="J202" s="4">
        <f t="shared" si="3"/>
        <v>0</v>
      </c>
      <c r="K202" s="4">
        <f>VLOOKUP(计算!G202,全部!C:N,12,FALSE)</f>
        <v>0</v>
      </c>
      <c r="L202" s="5">
        <f>VLOOKUP(G202,全部!C:P,14,FALSE)</f>
        <v>0</v>
      </c>
      <c r="M202" s="5">
        <f>VLOOKUP(G202,全部!C:V,20,FALSE)*100</f>
        <v>8.6</v>
      </c>
      <c r="N202" s="6">
        <f>VLOOKUP(G202,全部!C:W,21,FALSE)</f>
        <v>107499.99999999999</v>
      </c>
      <c r="O202" s="4">
        <f>VLOOKUP(G202,全部!C:X,22,FALSE)</f>
        <v>51600</v>
      </c>
      <c r="P202" s="4">
        <f>VLOOKUP(G202,全部!C:Y,23,FALSE)</f>
        <v>51600</v>
      </c>
      <c r="Q202" s="6">
        <f>VLOOKUP(G202,全部!C:Z,24,FALSE)</f>
        <v>55899.999999999985</v>
      </c>
      <c r="R202" s="7">
        <f>VLOOKUP(G202,全部!C:AA,25,FALSE)</f>
        <v>0</v>
      </c>
      <c r="S202" s="7">
        <f>VLOOKUP(G202,全部!C:AB,26,FALSE)</f>
        <v>0</v>
      </c>
      <c r="T202" s="4">
        <f>VLOOKUP(计算!G202,全部!C:AC,27,FALSE)</f>
        <v>600000</v>
      </c>
      <c r="U202" s="4">
        <f>VLOOKUP(G202,全部!C:AD,28,FALSE)</f>
        <v>600000</v>
      </c>
      <c r="V202" s="6">
        <f>VLOOKUP(G202,全部!C:AE,29,FALSE)</f>
        <v>0.48</v>
      </c>
      <c r="W202" s="4">
        <f>VLOOKUP(G202,全部!C:AF,30,FALSE)</f>
        <v>0</v>
      </c>
      <c r="X202" s="4">
        <f>VLOOKUP(G202,全部!C:AG,31,FALSE)</f>
        <v>0</v>
      </c>
      <c r="Y202" s="4">
        <f>VLOOKUP(计算!G202,全部!C:AH,32,FALSE)</f>
        <v>600000</v>
      </c>
      <c r="Z202" s="4">
        <f>VLOOKUP(G202,全部!C:AL,36,FALSE)</f>
        <v>600000</v>
      </c>
      <c r="AA202" s="4">
        <f>VLOOKUP(G202,全部!C:AM,37,FALSE)</f>
        <v>3.4000000000000002E-2</v>
      </c>
      <c r="AB202" s="6">
        <f>VLOOKUP(G202,全部!C:AN,38,FALSE)</f>
        <v>42500</v>
      </c>
      <c r="AC202" s="4">
        <f>VLOOKUP(G202,全部!C:AO,39,FALSE)</f>
        <v>0</v>
      </c>
      <c r="AD202" s="4">
        <f>VLOOKUP(G202,全部!C:AP,40,FALSE)</f>
        <v>0</v>
      </c>
      <c r="AE202" s="6">
        <f>VLOOKUP(G202,全部!C:AQ,41,FALSE)</f>
        <v>42500</v>
      </c>
      <c r="AF202" s="4">
        <f>VLOOKUP(G202,全部!C:AR,42,FALSE)</f>
        <v>0</v>
      </c>
      <c r="AG202" s="7">
        <f>VLOOKUP(G202,全部!C:AS,43,FALSE)</f>
        <v>0</v>
      </c>
      <c r="AH202" s="64" t="str">
        <f>IF(VLOOKUP(G202,全部!C:AT,44,FALSE)=0,"",VLOOKUP(G202,全部!C:AT,44,FALSE))</f>
        <v/>
      </c>
      <c r="AI202">
        <v>0</v>
      </c>
      <c r="AJ202" s="3">
        <v>41912.6862384259</v>
      </c>
      <c r="AK202" s="2" t="s">
        <v>1723</v>
      </c>
    </row>
    <row r="203" spans="1:37" x14ac:dyDescent="0.15">
      <c r="A203" s="2" t="s">
        <v>1722</v>
      </c>
      <c r="B203">
        <v>267</v>
      </c>
      <c r="C203" s="3">
        <v>41821</v>
      </c>
      <c r="D203" s="2" t="s">
        <v>37</v>
      </c>
      <c r="E203" s="2" t="s">
        <v>1721</v>
      </c>
      <c r="F203" s="2" t="s">
        <v>41</v>
      </c>
      <c r="G203" s="2" t="s">
        <v>453</v>
      </c>
      <c r="H203" s="2" t="s">
        <v>454</v>
      </c>
      <c r="I203" s="4">
        <f>VLOOKUP(G203,全部!C:M,11,FALSE)</f>
        <v>50000</v>
      </c>
      <c r="J203" s="4">
        <f t="shared" si="3"/>
        <v>0</v>
      </c>
      <c r="K203" s="4">
        <f>VLOOKUP(计算!G203,全部!C:N,12,FALSE)</f>
        <v>0</v>
      </c>
      <c r="L203" s="5">
        <f>VLOOKUP(G203,全部!C:P,14,FALSE)</f>
        <v>0</v>
      </c>
      <c r="M203" s="5">
        <f>VLOOKUP(G203,全部!C:V,20,FALSE)*100</f>
        <v>8.6</v>
      </c>
      <c r="N203" s="6">
        <f>VLOOKUP(G203,全部!C:W,21,FALSE)</f>
        <v>4300</v>
      </c>
      <c r="O203" s="4">
        <f>VLOOKUP(G203,全部!C:X,22,FALSE)</f>
        <v>0</v>
      </c>
      <c r="P203" s="4">
        <f>VLOOKUP(G203,全部!C:Y,23,FALSE)</f>
        <v>0</v>
      </c>
      <c r="Q203" s="6">
        <f>VLOOKUP(G203,全部!C:Z,24,FALSE)</f>
        <v>4300</v>
      </c>
      <c r="R203" s="7">
        <f>VLOOKUP(G203,全部!C:AA,25,FALSE)</f>
        <v>0</v>
      </c>
      <c r="S203" s="7">
        <f>VLOOKUP(G203,全部!C:AB,26,FALSE)</f>
        <v>0</v>
      </c>
      <c r="T203" s="4">
        <f>VLOOKUP(计算!G203,全部!C:AC,27,FALSE)</f>
        <v>0</v>
      </c>
      <c r="U203" s="4">
        <f>VLOOKUP(G203,全部!C:AD,28,FALSE)</f>
        <v>0</v>
      </c>
      <c r="V203" s="6">
        <f>VLOOKUP(G203,全部!C:AE,29,FALSE)</f>
        <v>0</v>
      </c>
      <c r="W203" s="4">
        <f>VLOOKUP(G203,全部!C:AF,30,FALSE)</f>
        <v>0</v>
      </c>
      <c r="X203" s="4">
        <f>VLOOKUP(G203,全部!C:AG,31,FALSE)</f>
        <v>0</v>
      </c>
      <c r="Y203" s="4">
        <f>VLOOKUP(计算!G203,全部!C:AH,32,FALSE)</f>
        <v>0</v>
      </c>
      <c r="Z203" s="4">
        <f>VLOOKUP(G203,全部!C:AL,36,FALSE)</f>
        <v>0</v>
      </c>
      <c r="AA203" s="4">
        <f>VLOOKUP(G203,全部!C:AM,37,FALSE)</f>
        <v>3.4000000000000002E-2</v>
      </c>
      <c r="AB203" s="6">
        <f>VLOOKUP(G203,全部!C:AN,38,FALSE)</f>
        <v>1700.0000000000002</v>
      </c>
      <c r="AC203" s="4">
        <f>VLOOKUP(G203,全部!C:AO,39,FALSE)</f>
        <v>0</v>
      </c>
      <c r="AD203" s="4">
        <f>VLOOKUP(G203,全部!C:AP,40,FALSE)</f>
        <v>0</v>
      </c>
      <c r="AE203" s="6">
        <f>VLOOKUP(G203,全部!C:AQ,41,FALSE)</f>
        <v>1700.0000000000002</v>
      </c>
      <c r="AF203" s="4">
        <f>VLOOKUP(G203,全部!C:AR,42,FALSE)</f>
        <v>0</v>
      </c>
      <c r="AG203" s="7">
        <f>VLOOKUP(G203,全部!C:AS,43,FALSE)</f>
        <v>0</v>
      </c>
      <c r="AH203" s="64" t="str">
        <f>IF(VLOOKUP(G203,全部!C:AT,44,FALSE)=0,"",VLOOKUP(G203,全部!C:AT,44,FALSE))</f>
        <v/>
      </c>
      <c r="AI203">
        <v>0</v>
      </c>
      <c r="AJ203" s="3">
        <v>41912.686249999999</v>
      </c>
      <c r="AK203" s="2" t="s">
        <v>1720</v>
      </c>
    </row>
    <row r="204" spans="1:37" x14ac:dyDescent="0.15">
      <c r="A204" s="2" t="s">
        <v>1719</v>
      </c>
      <c r="B204">
        <v>276</v>
      </c>
      <c r="C204" s="3">
        <v>41821</v>
      </c>
      <c r="D204" s="2" t="s">
        <v>37</v>
      </c>
      <c r="E204" s="2" t="s">
        <v>1718</v>
      </c>
      <c r="F204" s="2" t="s">
        <v>41</v>
      </c>
      <c r="G204" s="2" t="s">
        <v>455</v>
      </c>
      <c r="H204" s="2" t="s">
        <v>456</v>
      </c>
      <c r="I204" s="4">
        <f>VLOOKUP(G204,全部!C:M,11,FALSE)</f>
        <v>48000</v>
      </c>
      <c r="J204" s="4">
        <f t="shared" si="3"/>
        <v>0</v>
      </c>
      <c r="K204" s="4">
        <f>VLOOKUP(计算!G204,全部!C:N,12,FALSE)</f>
        <v>0</v>
      </c>
      <c r="L204" s="5">
        <f>VLOOKUP(G204,全部!C:P,14,FALSE)</f>
        <v>0</v>
      </c>
      <c r="M204" s="5">
        <f>VLOOKUP(G204,全部!C:V,20,FALSE)*100</f>
        <v>8.6</v>
      </c>
      <c r="N204" s="6">
        <f>VLOOKUP(G204,全部!C:W,21,FALSE)</f>
        <v>4128</v>
      </c>
      <c r="O204" s="4">
        <f>VLOOKUP(G204,全部!C:X,22,FALSE)</f>
        <v>0</v>
      </c>
      <c r="P204" s="4">
        <f>VLOOKUP(G204,全部!C:Y,23,FALSE)</f>
        <v>0</v>
      </c>
      <c r="Q204" s="6">
        <f>VLOOKUP(G204,全部!C:Z,24,FALSE)</f>
        <v>4128</v>
      </c>
      <c r="R204" s="7">
        <f>VLOOKUP(G204,全部!C:AA,25,FALSE)</f>
        <v>0</v>
      </c>
      <c r="S204" s="7">
        <f>VLOOKUP(G204,全部!C:AB,26,FALSE)</f>
        <v>0</v>
      </c>
      <c r="T204" s="4">
        <f>VLOOKUP(计算!G204,全部!C:AC,27,FALSE)</f>
        <v>0</v>
      </c>
      <c r="U204" s="4">
        <f>VLOOKUP(G204,全部!C:AD,28,FALSE)</f>
        <v>0</v>
      </c>
      <c r="V204" s="6">
        <f>VLOOKUP(G204,全部!C:AE,29,FALSE)</f>
        <v>0</v>
      </c>
      <c r="W204" s="4">
        <f>VLOOKUP(G204,全部!C:AF,30,FALSE)</f>
        <v>0</v>
      </c>
      <c r="X204" s="4">
        <f>VLOOKUP(G204,全部!C:AG,31,FALSE)</f>
        <v>0</v>
      </c>
      <c r="Y204" s="4">
        <f>VLOOKUP(计算!G204,全部!C:AH,32,FALSE)</f>
        <v>0</v>
      </c>
      <c r="Z204" s="4">
        <f>VLOOKUP(G204,全部!C:AL,36,FALSE)</f>
        <v>0</v>
      </c>
      <c r="AA204" s="4">
        <f>VLOOKUP(G204,全部!C:AM,37,FALSE)</f>
        <v>3.4000000000000002E-2</v>
      </c>
      <c r="AB204" s="6">
        <f>VLOOKUP(G204,全部!C:AN,38,FALSE)</f>
        <v>1632.0000000000002</v>
      </c>
      <c r="AC204" s="4">
        <f>VLOOKUP(G204,全部!C:AO,39,FALSE)</f>
        <v>0</v>
      </c>
      <c r="AD204" s="4">
        <f>VLOOKUP(G204,全部!C:AP,40,FALSE)</f>
        <v>0</v>
      </c>
      <c r="AE204" s="6">
        <f>VLOOKUP(G204,全部!C:AQ,41,FALSE)</f>
        <v>1632.0000000000002</v>
      </c>
      <c r="AF204" s="4">
        <f>VLOOKUP(G204,全部!C:AR,42,FALSE)</f>
        <v>0</v>
      </c>
      <c r="AG204" s="7">
        <f>VLOOKUP(G204,全部!C:AS,43,FALSE)</f>
        <v>0</v>
      </c>
      <c r="AH204" s="64" t="str">
        <f>IF(VLOOKUP(G204,全部!C:AT,44,FALSE)=0,"",VLOOKUP(G204,全部!C:AT,44,FALSE))</f>
        <v/>
      </c>
      <c r="AI204">
        <v>0</v>
      </c>
      <c r="AJ204" s="3">
        <v>41912.686249999999</v>
      </c>
      <c r="AK204" s="2" t="s">
        <v>1717</v>
      </c>
    </row>
    <row r="205" spans="1:37" x14ac:dyDescent="0.15">
      <c r="A205" s="2" t="s">
        <v>1716</v>
      </c>
      <c r="B205">
        <v>287</v>
      </c>
      <c r="C205" s="3">
        <v>41821</v>
      </c>
      <c r="D205" s="2" t="s">
        <v>37</v>
      </c>
      <c r="E205" s="2" t="s">
        <v>1715</v>
      </c>
      <c r="F205" s="2" t="s">
        <v>41</v>
      </c>
      <c r="G205" s="2" t="s">
        <v>391</v>
      </c>
      <c r="H205" s="2" t="s">
        <v>392</v>
      </c>
      <c r="I205" s="4">
        <f>VLOOKUP(G205,全部!C:M,11,FALSE)</f>
        <v>50000</v>
      </c>
      <c r="J205" s="4">
        <f t="shared" si="3"/>
        <v>0</v>
      </c>
      <c r="K205" s="4">
        <f>VLOOKUP(计算!G205,全部!C:N,12,FALSE)</f>
        <v>0</v>
      </c>
      <c r="L205" s="5">
        <f>VLOOKUP(G205,全部!C:P,14,FALSE)</f>
        <v>0</v>
      </c>
      <c r="M205" s="5">
        <f>VLOOKUP(G205,全部!C:V,20,FALSE)*100</f>
        <v>8.6</v>
      </c>
      <c r="N205" s="6">
        <f>VLOOKUP(G205,全部!C:W,21,FALSE)</f>
        <v>4300</v>
      </c>
      <c r="O205" s="4">
        <f>VLOOKUP(G205,全部!C:X,22,FALSE)</f>
        <v>0</v>
      </c>
      <c r="P205" s="4">
        <f>VLOOKUP(G205,全部!C:Y,23,FALSE)</f>
        <v>0</v>
      </c>
      <c r="Q205" s="6">
        <f>VLOOKUP(G205,全部!C:Z,24,FALSE)</f>
        <v>4300</v>
      </c>
      <c r="R205" s="7">
        <f>VLOOKUP(G205,全部!C:AA,25,FALSE)</f>
        <v>0</v>
      </c>
      <c r="S205" s="7">
        <f>VLOOKUP(G205,全部!C:AB,26,FALSE)</f>
        <v>0</v>
      </c>
      <c r="T205" s="4">
        <f>VLOOKUP(计算!G205,全部!C:AC,27,FALSE)</f>
        <v>0</v>
      </c>
      <c r="U205" s="4">
        <f>VLOOKUP(G205,全部!C:AD,28,FALSE)</f>
        <v>0</v>
      </c>
      <c r="V205" s="6">
        <f>VLOOKUP(G205,全部!C:AE,29,FALSE)</f>
        <v>0</v>
      </c>
      <c r="W205" s="4">
        <f>VLOOKUP(G205,全部!C:AF,30,FALSE)</f>
        <v>0</v>
      </c>
      <c r="X205" s="4">
        <f>VLOOKUP(G205,全部!C:AG,31,FALSE)</f>
        <v>0</v>
      </c>
      <c r="Y205" s="4">
        <f>VLOOKUP(计算!G205,全部!C:AH,32,FALSE)</f>
        <v>0</v>
      </c>
      <c r="Z205" s="4">
        <f>VLOOKUP(G205,全部!C:AL,36,FALSE)</f>
        <v>0</v>
      </c>
      <c r="AA205" s="4">
        <f>VLOOKUP(G205,全部!C:AM,37,FALSE)</f>
        <v>3.4000000000000002E-2</v>
      </c>
      <c r="AB205" s="6">
        <f>VLOOKUP(G205,全部!C:AN,38,FALSE)</f>
        <v>1700.0000000000002</v>
      </c>
      <c r="AC205" s="4">
        <f>VLOOKUP(G205,全部!C:AO,39,FALSE)</f>
        <v>0</v>
      </c>
      <c r="AD205" s="4">
        <f>VLOOKUP(G205,全部!C:AP,40,FALSE)</f>
        <v>0</v>
      </c>
      <c r="AE205" s="6">
        <f>VLOOKUP(G205,全部!C:AQ,41,FALSE)</f>
        <v>1700.0000000000002</v>
      </c>
      <c r="AF205" s="4">
        <f>VLOOKUP(G205,全部!C:AR,42,FALSE)</f>
        <v>0</v>
      </c>
      <c r="AG205" s="7">
        <f>VLOOKUP(G205,全部!C:AS,43,FALSE)</f>
        <v>0</v>
      </c>
      <c r="AH205" s="64" t="str">
        <f>IF(VLOOKUP(G205,全部!C:AT,44,FALSE)=0,"",VLOOKUP(G205,全部!C:AT,44,FALSE))</f>
        <v/>
      </c>
      <c r="AI205">
        <v>0</v>
      </c>
      <c r="AJ205" s="3">
        <v>41912.686249999999</v>
      </c>
      <c r="AK205" s="2" t="s">
        <v>1714</v>
      </c>
    </row>
    <row r="206" spans="1:37" x14ac:dyDescent="0.15">
      <c r="A206" s="2" t="s">
        <v>1713</v>
      </c>
      <c r="B206">
        <v>281</v>
      </c>
      <c r="C206" s="3">
        <v>41821</v>
      </c>
      <c r="D206" s="2" t="s">
        <v>37</v>
      </c>
      <c r="E206" s="2" t="s">
        <v>1712</v>
      </c>
      <c r="F206" s="2" t="s">
        <v>41</v>
      </c>
      <c r="G206" s="2" t="s">
        <v>457</v>
      </c>
      <c r="H206" s="2" t="s">
        <v>458</v>
      </c>
      <c r="I206" s="4">
        <f>VLOOKUP(G206,全部!C:M,11,FALSE)</f>
        <v>50000</v>
      </c>
      <c r="J206" s="4">
        <f t="shared" si="3"/>
        <v>0</v>
      </c>
      <c r="K206" s="4">
        <f>VLOOKUP(计算!G206,全部!C:N,12,FALSE)</f>
        <v>0</v>
      </c>
      <c r="L206" s="5">
        <f>VLOOKUP(G206,全部!C:P,14,FALSE)</f>
        <v>0</v>
      </c>
      <c r="M206" s="5">
        <f>VLOOKUP(G206,全部!C:V,20,FALSE)*100</f>
        <v>8.6</v>
      </c>
      <c r="N206" s="6">
        <f>VLOOKUP(G206,全部!C:W,21,FALSE)</f>
        <v>4300</v>
      </c>
      <c r="O206" s="4">
        <f>VLOOKUP(G206,全部!C:X,22,FALSE)</f>
        <v>0</v>
      </c>
      <c r="P206" s="4">
        <f>VLOOKUP(G206,全部!C:Y,23,FALSE)</f>
        <v>0</v>
      </c>
      <c r="Q206" s="6">
        <f>VLOOKUP(G206,全部!C:Z,24,FALSE)</f>
        <v>4300</v>
      </c>
      <c r="R206" s="7">
        <f>VLOOKUP(G206,全部!C:AA,25,FALSE)</f>
        <v>0</v>
      </c>
      <c r="S206" s="7">
        <f>VLOOKUP(G206,全部!C:AB,26,FALSE)</f>
        <v>0</v>
      </c>
      <c r="T206" s="4">
        <f>VLOOKUP(计算!G206,全部!C:AC,27,FALSE)</f>
        <v>0</v>
      </c>
      <c r="U206" s="4">
        <f>VLOOKUP(G206,全部!C:AD,28,FALSE)</f>
        <v>0</v>
      </c>
      <c r="V206" s="6">
        <f>VLOOKUP(G206,全部!C:AE,29,FALSE)</f>
        <v>0</v>
      </c>
      <c r="W206" s="4">
        <f>VLOOKUP(G206,全部!C:AF,30,FALSE)</f>
        <v>0</v>
      </c>
      <c r="X206" s="4">
        <f>VLOOKUP(G206,全部!C:AG,31,FALSE)</f>
        <v>0</v>
      </c>
      <c r="Y206" s="4">
        <f>VLOOKUP(计算!G206,全部!C:AH,32,FALSE)</f>
        <v>0</v>
      </c>
      <c r="Z206" s="4">
        <f>VLOOKUP(G206,全部!C:AL,36,FALSE)</f>
        <v>0</v>
      </c>
      <c r="AA206" s="4">
        <f>VLOOKUP(G206,全部!C:AM,37,FALSE)</f>
        <v>3.4000000000000002E-2</v>
      </c>
      <c r="AB206" s="6">
        <f>VLOOKUP(G206,全部!C:AN,38,FALSE)</f>
        <v>1700.0000000000002</v>
      </c>
      <c r="AC206" s="4">
        <f>VLOOKUP(G206,全部!C:AO,39,FALSE)</f>
        <v>0</v>
      </c>
      <c r="AD206" s="4">
        <f>VLOOKUP(G206,全部!C:AP,40,FALSE)</f>
        <v>0</v>
      </c>
      <c r="AE206" s="6">
        <f>VLOOKUP(G206,全部!C:AQ,41,FALSE)</f>
        <v>1700.0000000000002</v>
      </c>
      <c r="AF206" s="4">
        <f>VLOOKUP(G206,全部!C:AR,42,FALSE)</f>
        <v>0</v>
      </c>
      <c r="AG206" s="7">
        <f>VLOOKUP(G206,全部!C:AS,43,FALSE)</f>
        <v>0</v>
      </c>
      <c r="AH206" s="64" t="str">
        <f>IF(VLOOKUP(G206,全部!C:AT,44,FALSE)=0,"",VLOOKUP(G206,全部!C:AT,44,FALSE))</f>
        <v/>
      </c>
      <c r="AI206">
        <v>0</v>
      </c>
      <c r="AJ206" s="3">
        <v>41912.686249999999</v>
      </c>
      <c r="AK206" s="2" t="s">
        <v>1711</v>
      </c>
    </row>
    <row r="207" spans="1:37" x14ac:dyDescent="0.15">
      <c r="A207" s="2" t="s">
        <v>1710</v>
      </c>
      <c r="B207">
        <v>294</v>
      </c>
      <c r="C207" s="3">
        <v>41821</v>
      </c>
      <c r="D207" s="2" t="s">
        <v>37</v>
      </c>
      <c r="E207" s="2" t="s">
        <v>1709</v>
      </c>
      <c r="F207" s="2" t="s">
        <v>41</v>
      </c>
      <c r="G207" s="2" t="s">
        <v>395</v>
      </c>
      <c r="H207" s="2" t="s">
        <v>396</v>
      </c>
      <c r="I207" s="4">
        <f>VLOOKUP(G207,全部!C:M,11,FALSE)</f>
        <v>304724.28999999998</v>
      </c>
      <c r="J207" s="4">
        <f t="shared" si="3"/>
        <v>0</v>
      </c>
      <c r="K207" s="4">
        <f>VLOOKUP(计算!G207,全部!C:N,12,FALSE)</f>
        <v>0</v>
      </c>
      <c r="L207" s="5">
        <f>VLOOKUP(G207,全部!C:P,14,FALSE)</f>
        <v>0</v>
      </c>
      <c r="M207" s="5">
        <f>VLOOKUP(G207,全部!C:V,20,FALSE)*100</f>
        <v>3.5999999999999996</v>
      </c>
      <c r="N207" s="6">
        <f>VLOOKUP(G207,全部!C:W,21,FALSE)</f>
        <v>10970.074439999999</v>
      </c>
      <c r="O207" s="4">
        <f>VLOOKUP(G207,全部!C:X,22,FALSE)</f>
        <v>0</v>
      </c>
      <c r="P207" s="4">
        <f>VLOOKUP(G207,全部!C:Y,23,FALSE)</f>
        <v>0</v>
      </c>
      <c r="Q207" s="6">
        <f>VLOOKUP(G207,全部!C:Z,24,FALSE)</f>
        <v>10970.074439999999</v>
      </c>
      <c r="R207" s="7">
        <f>VLOOKUP(G207,全部!C:AA,25,FALSE)</f>
        <v>0</v>
      </c>
      <c r="S207" s="7">
        <f>VLOOKUP(G207,全部!C:AB,26,FALSE)</f>
        <v>0</v>
      </c>
      <c r="T207" s="4">
        <f>VLOOKUP(计算!G207,全部!C:AC,27,FALSE)</f>
        <v>2073</v>
      </c>
      <c r="U207" s="4">
        <f>VLOOKUP(G207,全部!C:AD,28,FALSE)</f>
        <v>2073</v>
      </c>
      <c r="V207" s="6">
        <f>VLOOKUP(G207,全部!C:AE,29,FALSE)</f>
        <v>6.8028708837093365E-3</v>
      </c>
      <c r="W207" s="4">
        <f>VLOOKUP(G207,全部!C:AF,30,FALSE)</f>
        <v>0</v>
      </c>
      <c r="X207" s="4">
        <f>VLOOKUP(G207,全部!C:AG,31,FALSE)</f>
        <v>0</v>
      </c>
      <c r="Y207" s="4">
        <f>VLOOKUP(计算!G207,全部!C:AH,32,FALSE)</f>
        <v>0</v>
      </c>
      <c r="Z207" s="4">
        <f>VLOOKUP(G207,全部!C:AL,36,FALSE)</f>
        <v>0</v>
      </c>
      <c r="AA207" s="4">
        <f>VLOOKUP(G207,全部!C:AM,37,FALSE)</f>
        <v>3.4000000000000002E-2</v>
      </c>
      <c r="AB207" s="6">
        <f>VLOOKUP(G207,全部!C:AN,38,FALSE)</f>
        <v>10360.62586</v>
      </c>
      <c r="AC207" s="4">
        <f>VLOOKUP(G207,全部!C:AO,39,FALSE)</f>
        <v>2073</v>
      </c>
      <c r="AD207" s="4">
        <f>VLOOKUP(G207,全部!C:AP,40,FALSE)</f>
        <v>2073</v>
      </c>
      <c r="AE207" s="6">
        <f>VLOOKUP(G207,全部!C:AQ,41,FALSE)</f>
        <v>8287.6258600000001</v>
      </c>
      <c r="AF207" s="4">
        <f>VLOOKUP(G207,全部!C:AR,42,FALSE)</f>
        <v>0</v>
      </c>
      <c r="AG207" s="7">
        <f>VLOOKUP(G207,全部!C:AS,43,FALSE)</f>
        <v>0</v>
      </c>
      <c r="AH207" s="64" t="str">
        <f>IF(VLOOKUP(G207,全部!C:AT,44,FALSE)=0,"",VLOOKUP(G207,全部!C:AT,44,FALSE))</f>
        <v/>
      </c>
      <c r="AI207">
        <v>0</v>
      </c>
      <c r="AJ207" s="3">
        <v>41912.686249999999</v>
      </c>
      <c r="AK207" s="2" t="s">
        <v>1708</v>
      </c>
    </row>
    <row r="208" spans="1:37" x14ac:dyDescent="0.15">
      <c r="A208" s="2" t="s">
        <v>1707</v>
      </c>
      <c r="B208">
        <v>299</v>
      </c>
      <c r="C208" s="3">
        <v>41821</v>
      </c>
      <c r="D208" s="2" t="s">
        <v>37</v>
      </c>
      <c r="E208" s="2" t="s">
        <v>1706</v>
      </c>
      <c r="F208" s="2" t="s">
        <v>41</v>
      </c>
      <c r="G208" s="2" t="s">
        <v>393</v>
      </c>
      <c r="H208" s="2" t="s">
        <v>394</v>
      </c>
      <c r="I208" s="4">
        <f>VLOOKUP(G208,全部!C:M,11,FALSE)</f>
        <v>8649410.8000000007</v>
      </c>
      <c r="J208" s="4">
        <f t="shared" si="3"/>
        <v>0</v>
      </c>
      <c r="K208" s="4">
        <f>VLOOKUP(计算!G208,全部!C:N,12,FALSE)</f>
        <v>0</v>
      </c>
      <c r="L208" s="5">
        <f>VLOOKUP(G208,全部!C:P,14,FALSE)</f>
        <v>0</v>
      </c>
      <c r="M208" s="5">
        <f>VLOOKUP(G208,全部!C:V,20,FALSE)*100</f>
        <v>3</v>
      </c>
      <c r="N208" s="6">
        <f>VLOOKUP(G208,全部!C:W,21,FALSE)</f>
        <v>259482.32400000002</v>
      </c>
      <c r="O208" s="4">
        <f>VLOOKUP(G208,全部!C:X,22,FALSE)</f>
        <v>0</v>
      </c>
      <c r="P208" s="4">
        <f>VLOOKUP(G208,全部!C:Y,23,FALSE)</f>
        <v>0</v>
      </c>
      <c r="Q208" s="6">
        <f>VLOOKUP(G208,全部!C:Z,24,FALSE)</f>
        <v>259482.32400000002</v>
      </c>
      <c r="R208" s="7">
        <f>VLOOKUP(G208,全部!C:AA,25,FALSE)</f>
        <v>0</v>
      </c>
      <c r="S208" s="7">
        <f>VLOOKUP(G208,全部!C:AB,26,FALSE)</f>
        <v>0</v>
      </c>
      <c r="T208" s="4">
        <f>VLOOKUP(计算!G208,全部!C:AC,27,FALSE)</f>
        <v>7657.4</v>
      </c>
      <c r="U208" s="4">
        <f>VLOOKUP(G208,全部!C:AD,28,FALSE)</f>
        <v>7657.4</v>
      </c>
      <c r="V208" s="6">
        <f>VLOOKUP(G208,全部!C:AE,29,FALSE)</f>
        <v>8.8530885826350152E-4</v>
      </c>
      <c r="W208" s="4">
        <f>VLOOKUP(G208,全部!C:AF,30,FALSE)</f>
        <v>0</v>
      </c>
      <c r="X208" s="4">
        <f>VLOOKUP(G208,全部!C:AG,31,FALSE)</f>
        <v>0</v>
      </c>
      <c r="Y208" s="4">
        <f>VLOOKUP(计算!G208,全部!C:AH,32,FALSE)</f>
        <v>439657.4</v>
      </c>
      <c r="Z208" s="4">
        <f>VLOOKUP(G208,全部!C:AL,36,FALSE)</f>
        <v>439657.4</v>
      </c>
      <c r="AA208" s="4">
        <f>VLOOKUP(G208,全部!C:AM,37,FALSE)</f>
        <v>3.4000000000000002E-2</v>
      </c>
      <c r="AB208" s="6">
        <f>VLOOKUP(G208,全部!C:AN,38,FALSE)</f>
        <v>294079.96720000007</v>
      </c>
      <c r="AC208" s="4">
        <f>VLOOKUP(G208,全部!C:AO,39,FALSE)</f>
        <v>0</v>
      </c>
      <c r="AD208" s="4">
        <f>VLOOKUP(G208,全部!C:AP,40,FALSE)</f>
        <v>0</v>
      </c>
      <c r="AE208" s="6">
        <f>VLOOKUP(G208,全部!C:AQ,41,FALSE)</f>
        <v>294079.96720000007</v>
      </c>
      <c r="AF208" s="4">
        <f>VLOOKUP(G208,全部!C:AR,42,FALSE)</f>
        <v>0</v>
      </c>
      <c r="AG208" s="7">
        <f>VLOOKUP(G208,全部!C:AS,43,FALSE)</f>
        <v>0</v>
      </c>
      <c r="AH208" s="64" t="str">
        <f>IF(VLOOKUP(G208,全部!C:AT,44,FALSE)=0,"",VLOOKUP(G208,全部!C:AT,44,FALSE))</f>
        <v/>
      </c>
      <c r="AI208">
        <v>0</v>
      </c>
      <c r="AJ208" s="3">
        <v>41912.686249999999</v>
      </c>
      <c r="AK208" s="2" t="s">
        <v>1705</v>
      </c>
    </row>
    <row r="209" spans="1:37" x14ac:dyDescent="0.15">
      <c r="A209" s="2" t="s">
        <v>1704</v>
      </c>
      <c r="B209">
        <v>1214</v>
      </c>
      <c r="C209" s="3">
        <v>41821</v>
      </c>
      <c r="D209" s="2" t="s">
        <v>37</v>
      </c>
      <c r="E209" s="2" t="s">
        <v>1703</v>
      </c>
      <c r="F209" s="2" t="s">
        <v>38</v>
      </c>
      <c r="G209" s="2" t="s">
        <v>441</v>
      </c>
      <c r="H209" s="2" t="s">
        <v>442</v>
      </c>
      <c r="I209" s="4">
        <f>VLOOKUP(G209,全部!C:M,11,FALSE)</f>
        <v>1679000</v>
      </c>
      <c r="J209" s="4">
        <f t="shared" si="3"/>
        <v>0</v>
      </c>
      <c r="K209" s="4">
        <f>VLOOKUP(计算!G209,全部!C:N,12,FALSE)</f>
        <v>0</v>
      </c>
      <c r="L209" s="5">
        <f>VLOOKUP(G209,全部!C:P,14,FALSE)</f>
        <v>0</v>
      </c>
      <c r="M209" s="5">
        <f>VLOOKUP(G209,全部!C:V,20,FALSE)*100</f>
        <v>3.5999999999999996</v>
      </c>
      <c r="N209" s="6">
        <f>VLOOKUP(G209,全部!C:W,21,FALSE)</f>
        <v>60443.999999999993</v>
      </c>
      <c r="O209" s="4">
        <f>VLOOKUP(G209,全部!C:X,22,FALSE)</f>
        <v>0</v>
      </c>
      <c r="P209" s="4">
        <f>VLOOKUP(G209,全部!C:Y,23,FALSE)</f>
        <v>0</v>
      </c>
      <c r="Q209" s="6">
        <f>VLOOKUP(G209,全部!C:Z,24,FALSE)</f>
        <v>60443.999999999993</v>
      </c>
      <c r="R209" s="7">
        <f>VLOOKUP(G209,全部!C:AA,25,FALSE)</f>
        <v>0</v>
      </c>
      <c r="S209" s="7">
        <f>VLOOKUP(G209,全部!C:AB,26,FALSE)</f>
        <v>0</v>
      </c>
      <c r="T209" s="4">
        <f>VLOOKUP(计算!G209,全部!C:AC,27,FALSE)</f>
        <v>0</v>
      </c>
      <c r="U209" s="4">
        <f>VLOOKUP(G209,全部!C:AD,28,FALSE)</f>
        <v>0</v>
      </c>
      <c r="V209" s="6">
        <f>VLOOKUP(G209,全部!C:AE,29,FALSE)</f>
        <v>0</v>
      </c>
      <c r="W209" s="4">
        <f>VLOOKUP(G209,全部!C:AF,30,FALSE)</f>
        <v>0</v>
      </c>
      <c r="X209" s="4">
        <f>VLOOKUP(G209,全部!C:AG,31,FALSE)</f>
        <v>0</v>
      </c>
      <c r="Y209" s="4">
        <f>VLOOKUP(计算!G209,全部!C:AH,32,FALSE)</f>
        <v>0</v>
      </c>
      <c r="Z209" s="4">
        <f>VLOOKUP(G209,全部!C:AL,36,FALSE)</f>
        <v>0</v>
      </c>
      <c r="AA209" s="4">
        <f>VLOOKUP(G209,全部!C:AM,37,FALSE)</f>
        <v>3.4000000000000002E-2</v>
      </c>
      <c r="AB209" s="6">
        <f>VLOOKUP(G209,全部!C:AN,38,FALSE)</f>
        <v>0</v>
      </c>
      <c r="AC209" s="4">
        <f>VLOOKUP(G209,全部!C:AO,39,FALSE)</f>
        <v>0</v>
      </c>
      <c r="AD209" s="4">
        <f>VLOOKUP(G209,全部!C:AP,40,FALSE)</f>
        <v>0</v>
      </c>
      <c r="AE209" s="6">
        <f>VLOOKUP(G209,全部!C:AQ,41,FALSE)</f>
        <v>0</v>
      </c>
      <c r="AF209" s="4">
        <f>VLOOKUP(G209,全部!C:AR,42,FALSE)</f>
        <v>0</v>
      </c>
      <c r="AG209" s="7">
        <f>VLOOKUP(G209,全部!C:AS,43,FALSE)</f>
        <v>19</v>
      </c>
      <c r="AH209" s="64" t="str">
        <f>IF(VLOOKUP(G209,全部!C:AT,44,FALSE)=0,"",VLOOKUP(G209,全部!C:AT,44,FALSE))</f>
        <v>亦庄</v>
      </c>
      <c r="AI209">
        <v>0</v>
      </c>
      <c r="AJ209" s="3">
        <v>41912.6862847222</v>
      </c>
      <c r="AK209" s="2" t="s">
        <v>1702</v>
      </c>
    </row>
    <row r="210" spans="1:37" x14ac:dyDescent="0.15">
      <c r="A210" s="2" t="s">
        <v>1701</v>
      </c>
      <c r="B210">
        <v>307</v>
      </c>
      <c r="C210" s="3">
        <v>41821</v>
      </c>
      <c r="D210" s="2" t="s">
        <v>37</v>
      </c>
      <c r="E210" s="2" t="s">
        <v>1700</v>
      </c>
      <c r="F210" s="2" t="s">
        <v>41</v>
      </c>
      <c r="G210" s="2" t="s">
        <v>399</v>
      </c>
      <c r="H210" s="2" t="s">
        <v>400</v>
      </c>
      <c r="I210" s="4">
        <f>VLOOKUP(G210,全部!C:M,11,FALSE)</f>
        <v>465000</v>
      </c>
      <c r="J210" s="4">
        <f t="shared" si="3"/>
        <v>0</v>
      </c>
      <c r="K210" s="4">
        <f>VLOOKUP(计算!G210,全部!C:N,12,FALSE)</f>
        <v>0</v>
      </c>
      <c r="L210" s="5">
        <f>VLOOKUP(G210,全部!C:P,14,FALSE)</f>
        <v>0</v>
      </c>
      <c r="M210" s="5">
        <f>VLOOKUP(G210,全部!C:V,20,FALSE)*100</f>
        <v>3.5999999999999996</v>
      </c>
      <c r="N210" s="6">
        <f>VLOOKUP(G210,全部!C:W,21,FALSE)</f>
        <v>16740</v>
      </c>
      <c r="O210" s="4">
        <f>VLOOKUP(G210,全部!C:X,22,FALSE)</f>
        <v>0</v>
      </c>
      <c r="P210" s="4">
        <f>VLOOKUP(G210,全部!C:Y,23,FALSE)</f>
        <v>0</v>
      </c>
      <c r="Q210" s="6">
        <f>VLOOKUP(G210,全部!C:Z,24,FALSE)</f>
        <v>16740</v>
      </c>
      <c r="R210" s="7">
        <f>VLOOKUP(G210,全部!C:AA,25,FALSE)</f>
        <v>0</v>
      </c>
      <c r="S210" s="7">
        <f>VLOOKUP(G210,全部!C:AB,26,FALSE)</f>
        <v>0</v>
      </c>
      <c r="T210" s="4">
        <f>VLOOKUP(计算!G210,全部!C:AC,27,FALSE)</f>
        <v>4743</v>
      </c>
      <c r="U210" s="4">
        <f>VLOOKUP(G210,全部!C:AD,28,FALSE)</f>
        <v>4743</v>
      </c>
      <c r="V210" s="6">
        <f>VLOOKUP(G210,全部!C:AE,29,FALSE)</f>
        <v>1.0200000000000001E-2</v>
      </c>
      <c r="W210" s="4">
        <f>VLOOKUP(G210,全部!C:AF,30,FALSE)</f>
        <v>0</v>
      </c>
      <c r="X210" s="4">
        <f>VLOOKUP(G210,全部!C:AG,31,FALSE)</f>
        <v>0</v>
      </c>
      <c r="Y210" s="4">
        <f>VLOOKUP(计算!G210,全部!C:AH,32,FALSE)</f>
        <v>0</v>
      </c>
      <c r="Z210" s="4">
        <f>VLOOKUP(G210,全部!C:AL,36,FALSE)</f>
        <v>0</v>
      </c>
      <c r="AA210" s="4">
        <f>VLOOKUP(G210,全部!C:AM,37,FALSE)</f>
        <v>3.4000000000000002E-2</v>
      </c>
      <c r="AB210" s="6">
        <f>VLOOKUP(G210,全部!C:AN,38,FALSE)</f>
        <v>15810.000000000002</v>
      </c>
      <c r="AC210" s="4">
        <f>VLOOKUP(G210,全部!C:AO,39,FALSE)</f>
        <v>4743</v>
      </c>
      <c r="AD210" s="4">
        <f>VLOOKUP(G210,全部!C:AP,40,FALSE)</f>
        <v>4743</v>
      </c>
      <c r="AE210" s="6">
        <f>VLOOKUP(G210,全部!C:AQ,41,FALSE)</f>
        <v>11067.000000000002</v>
      </c>
      <c r="AF210" s="4">
        <f>VLOOKUP(G210,全部!C:AR,42,FALSE)</f>
        <v>0</v>
      </c>
      <c r="AG210" s="7">
        <f>VLOOKUP(G210,全部!C:AS,43,FALSE)</f>
        <v>0</v>
      </c>
      <c r="AH210" s="64" t="str">
        <f>IF(VLOOKUP(G210,全部!C:AT,44,FALSE)=0,"",VLOOKUP(G210,全部!C:AT,44,FALSE))</f>
        <v/>
      </c>
      <c r="AI210">
        <v>0</v>
      </c>
      <c r="AJ210" s="3">
        <v>41912.686249999999</v>
      </c>
      <c r="AK210" s="2" t="s">
        <v>1699</v>
      </c>
    </row>
    <row r="211" spans="1:37" x14ac:dyDescent="0.15">
      <c r="A211" s="2" t="s">
        <v>1698</v>
      </c>
      <c r="B211">
        <v>239</v>
      </c>
      <c r="C211" s="3">
        <v>41821</v>
      </c>
      <c r="D211" s="2" t="s">
        <v>37</v>
      </c>
      <c r="E211" s="2" t="s">
        <v>1697</v>
      </c>
      <c r="F211" s="2" t="s">
        <v>41</v>
      </c>
      <c r="G211" s="2" t="s">
        <v>401</v>
      </c>
      <c r="H211" s="2" t="s">
        <v>402</v>
      </c>
      <c r="I211" s="4">
        <f>VLOOKUP(G211,全部!C:M,11,FALSE)</f>
        <v>6378103.04</v>
      </c>
      <c r="J211" s="4">
        <f t="shared" si="3"/>
        <v>0</v>
      </c>
      <c r="K211" s="4">
        <f>VLOOKUP(计算!G211,全部!C:N,12,FALSE)</f>
        <v>0</v>
      </c>
      <c r="L211" s="5">
        <f>VLOOKUP(G211,全部!C:P,14,FALSE)</f>
        <v>0</v>
      </c>
      <c r="M211" s="5">
        <f>VLOOKUP(G211,全部!C:V,20,FALSE)*100</f>
        <v>3</v>
      </c>
      <c r="N211" s="6">
        <f>VLOOKUP(G211,全部!C:W,21,FALSE)</f>
        <v>191343.0912</v>
      </c>
      <c r="O211" s="4">
        <f>VLOOKUP(G211,全部!C:X,22,FALSE)</f>
        <v>0</v>
      </c>
      <c r="P211" s="4">
        <f>VLOOKUP(G211,全部!C:Y,23,FALSE)</f>
        <v>0</v>
      </c>
      <c r="Q211" s="6">
        <f>VLOOKUP(G211,全部!C:Z,24,FALSE)</f>
        <v>191343.0912</v>
      </c>
      <c r="R211" s="7">
        <f>VLOOKUP(G211,全部!C:AA,25,FALSE)</f>
        <v>0</v>
      </c>
      <c r="S211" s="7">
        <f>VLOOKUP(G211,全部!C:AB,26,FALSE)</f>
        <v>0</v>
      </c>
      <c r="T211" s="4">
        <f>VLOOKUP(计算!G211,全部!C:AC,27,FALSE)</f>
        <v>0</v>
      </c>
      <c r="U211" s="4">
        <f>VLOOKUP(G211,全部!C:AD,28,FALSE)</f>
        <v>0</v>
      </c>
      <c r="V211" s="6">
        <f>VLOOKUP(G211,全部!C:AE,29,FALSE)</f>
        <v>0</v>
      </c>
      <c r="W211" s="4">
        <f>VLOOKUP(G211,全部!C:AF,30,FALSE)</f>
        <v>0</v>
      </c>
      <c r="X211" s="4">
        <f>VLOOKUP(G211,全部!C:AG,31,FALSE)</f>
        <v>0</v>
      </c>
      <c r="Y211" s="4">
        <f>VLOOKUP(计算!G211,全部!C:AH,32,FALSE)</f>
        <v>188631.25</v>
      </c>
      <c r="Z211" s="4">
        <f>VLOOKUP(G211,全部!C:AL,36,FALSE)</f>
        <v>188631.25</v>
      </c>
      <c r="AA211" s="4">
        <f>VLOOKUP(G211,全部!C:AM,37,FALSE)</f>
        <v>0</v>
      </c>
      <c r="AB211" s="6">
        <f>VLOOKUP(G211,全部!C:AN,38,FALSE)</f>
        <v>0</v>
      </c>
      <c r="AC211" s="4">
        <f>VLOOKUP(G211,全部!C:AO,39,FALSE)</f>
        <v>0</v>
      </c>
      <c r="AD211" s="4">
        <f>VLOOKUP(G211,全部!C:AP,40,FALSE)</f>
        <v>0</v>
      </c>
      <c r="AE211" s="6">
        <f>VLOOKUP(G211,全部!C:AQ,41,FALSE)</f>
        <v>0</v>
      </c>
      <c r="AF211" s="4">
        <f>VLOOKUP(G211,全部!C:AR,42,FALSE)</f>
        <v>0</v>
      </c>
      <c r="AG211" s="7">
        <f>VLOOKUP(G211,全部!C:AS,43,FALSE)</f>
        <v>0</v>
      </c>
      <c r="AH211" s="64" t="str">
        <f>IF(VLOOKUP(G211,全部!C:AT,44,FALSE)=0,"",VLOOKUP(G211,全部!C:AT,44,FALSE))</f>
        <v/>
      </c>
      <c r="AI211">
        <v>0</v>
      </c>
      <c r="AJ211" s="3">
        <v>41912.6862384259</v>
      </c>
      <c r="AK211" s="2" t="s">
        <v>1696</v>
      </c>
    </row>
    <row r="212" spans="1:37" x14ac:dyDescent="0.15">
      <c r="A212" s="2" t="s">
        <v>1695</v>
      </c>
      <c r="B212">
        <v>1209</v>
      </c>
      <c r="C212" s="3">
        <v>41837</v>
      </c>
      <c r="D212" s="2" t="s">
        <v>37</v>
      </c>
      <c r="E212" s="2" t="s">
        <v>1694</v>
      </c>
      <c r="F212" s="2" t="s">
        <v>38</v>
      </c>
      <c r="G212" s="2" t="s">
        <v>459</v>
      </c>
      <c r="H212" s="2" t="s">
        <v>460</v>
      </c>
      <c r="I212" s="4">
        <f>VLOOKUP(G212,全部!C:M,11,FALSE)</f>
        <v>14892896.99</v>
      </c>
      <c r="J212" s="4">
        <f t="shared" si="3"/>
        <v>0</v>
      </c>
      <c r="K212" s="4">
        <f>VLOOKUP(计算!G212,全部!C:N,12,FALSE)</f>
        <v>0</v>
      </c>
      <c r="L212" s="5">
        <f>VLOOKUP(G212,全部!C:P,14,FALSE)</f>
        <v>0</v>
      </c>
      <c r="M212" s="5">
        <f>VLOOKUP(G212,全部!C:V,20,FALSE)*100</f>
        <v>0</v>
      </c>
      <c r="N212" s="6">
        <f>VLOOKUP(G212,全部!C:W,21,FALSE)</f>
        <v>0</v>
      </c>
      <c r="O212" s="4">
        <f>VLOOKUP(G212,全部!C:X,22,FALSE)</f>
        <v>0</v>
      </c>
      <c r="P212" s="4">
        <f>VLOOKUP(G212,全部!C:Y,23,FALSE)</f>
        <v>0</v>
      </c>
      <c r="Q212" s="6">
        <f>VLOOKUP(G212,全部!C:Z,24,FALSE)</f>
        <v>0</v>
      </c>
      <c r="R212" s="7">
        <f>VLOOKUP(G212,全部!C:AA,25,FALSE)</f>
        <v>0</v>
      </c>
      <c r="S212" s="7">
        <f>VLOOKUP(G212,全部!C:AB,26,FALSE)</f>
        <v>0</v>
      </c>
      <c r="T212" s="4">
        <f>VLOOKUP(计算!G212,全部!C:AC,27,FALSE)</f>
        <v>0</v>
      </c>
      <c r="U212" s="4">
        <f>VLOOKUP(G212,全部!C:AD,28,FALSE)</f>
        <v>0</v>
      </c>
      <c r="V212" s="6">
        <f>VLOOKUP(G212,全部!C:AE,29,FALSE)</f>
        <v>0</v>
      </c>
      <c r="W212" s="4">
        <f>VLOOKUP(G212,全部!C:AF,30,FALSE)</f>
        <v>0</v>
      </c>
      <c r="X212" s="4">
        <f>VLOOKUP(G212,全部!C:AG,31,FALSE)</f>
        <v>0</v>
      </c>
      <c r="Y212" s="4">
        <f>VLOOKUP(计算!G212,全部!C:AH,32,FALSE)</f>
        <v>0</v>
      </c>
      <c r="Z212" s="4">
        <f>VLOOKUP(G212,全部!C:AL,36,FALSE)</f>
        <v>0</v>
      </c>
      <c r="AA212" s="4">
        <f>VLOOKUP(G212,全部!C:AM,37,FALSE)</f>
        <v>3.4000000000000002E-2</v>
      </c>
      <c r="AB212" s="6">
        <f>VLOOKUP(G212,全部!C:AN,38,FALSE)</f>
        <v>0</v>
      </c>
      <c r="AC212" s="4">
        <f>VLOOKUP(G212,全部!C:AO,39,FALSE)</f>
        <v>0</v>
      </c>
      <c r="AD212" s="4">
        <f>VLOOKUP(G212,全部!C:AP,40,FALSE)</f>
        <v>0</v>
      </c>
      <c r="AE212" s="6">
        <f>VLOOKUP(G212,全部!C:AQ,41,FALSE)</f>
        <v>0</v>
      </c>
      <c r="AF212" s="4">
        <f>VLOOKUP(G212,全部!C:AR,42,FALSE)</f>
        <v>0</v>
      </c>
      <c r="AG212" s="7">
        <f>VLOOKUP(G212,全部!C:AS,43,FALSE)</f>
        <v>0</v>
      </c>
      <c r="AH212" s="64" t="str">
        <f>IF(VLOOKUP(G212,全部!C:AT,44,FALSE)=0,"",VLOOKUP(G212,全部!C:AT,44,FALSE))</f>
        <v/>
      </c>
      <c r="AI212">
        <v>0</v>
      </c>
      <c r="AJ212" s="3">
        <v>41912.6862847222</v>
      </c>
      <c r="AK212" s="2" t="s">
        <v>1693</v>
      </c>
    </row>
    <row r="213" spans="1:37" x14ac:dyDescent="0.15">
      <c r="A213" s="2" t="s">
        <v>1692</v>
      </c>
      <c r="B213">
        <v>1200</v>
      </c>
      <c r="C213" s="3">
        <v>41837</v>
      </c>
      <c r="D213" s="2" t="s">
        <v>37</v>
      </c>
      <c r="E213" s="2" t="s">
        <v>1691</v>
      </c>
      <c r="F213" s="2" t="s">
        <v>38</v>
      </c>
      <c r="G213" s="2" t="s">
        <v>1645</v>
      </c>
      <c r="H213" s="2" t="s">
        <v>1679</v>
      </c>
      <c r="I213" s="4">
        <f>VLOOKUP(G213,全部!C:M,11,FALSE)</f>
        <v>0</v>
      </c>
      <c r="J213" s="4">
        <f t="shared" si="3"/>
        <v>0</v>
      </c>
      <c r="K213" s="4">
        <f>VLOOKUP(计算!G213,全部!C:N,12,FALSE)</f>
        <v>0</v>
      </c>
      <c r="L213" s="5">
        <f>VLOOKUP(G213,全部!C:P,14,FALSE)</f>
        <v>0</v>
      </c>
      <c r="M213" s="5">
        <f>VLOOKUP(G213,全部!C:V,20,FALSE)*100</f>
        <v>0</v>
      </c>
      <c r="N213" s="6">
        <f>VLOOKUP(G213,全部!C:W,21,FALSE)</f>
        <v>0</v>
      </c>
      <c r="O213" s="4">
        <f>VLOOKUP(G213,全部!C:X,22,FALSE)</f>
        <v>0</v>
      </c>
      <c r="P213" s="4">
        <f>VLOOKUP(G213,全部!C:Y,23,FALSE)</f>
        <v>0</v>
      </c>
      <c r="Q213" s="6">
        <f>VLOOKUP(G213,全部!C:Z,24,FALSE)</f>
        <v>0</v>
      </c>
      <c r="R213" s="7">
        <f>VLOOKUP(G213,全部!C:AA,25,FALSE)</f>
        <v>0</v>
      </c>
      <c r="S213" s="7">
        <f>VLOOKUP(G213,全部!C:AB,26,FALSE)</f>
        <v>0</v>
      </c>
      <c r="T213" s="4">
        <f>VLOOKUP(计算!G213,全部!C:AC,27,FALSE)</f>
        <v>0</v>
      </c>
      <c r="U213" s="4">
        <f>VLOOKUP(G213,全部!C:AD,28,FALSE)</f>
        <v>0</v>
      </c>
      <c r="V213" s="6">
        <f>VLOOKUP(G213,全部!C:AE,29,FALSE)</f>
        <v>0</v>
      </c>
      <c r="W213" s="4">
        <f>VLOOKUP(G213,全部!C:AF,30,FALSE)</f>
        <v>0</v>
      </c>
      <c r="X213" s="4">
        <f>VLOOKUP(G213,全部!C:AG,31,FALSE)</f>
        <v>0</v>
      </c>
      <c r="Y213" s="4">
        <f>VLOOKUP(计算!G213,全部!C:AH,32,FALSE)</f>
        <v>0</v>
      </c>
      <c r="Z213" s="4">
        <f>VLOOKUP(G213,全部!C:AL,36,FALSE)</f>
        <v>0</v>
      </c>
      <c r="AA213" s="4">
        <f>VLOOKUP(G213,全部!C:AM,37,FALSE)</f>
        <v>0</v>
      </c>
      <c r="AB213" s="6">
        <f>VLOOKUP(G213,全部!C:AN,38,FALSE)</f>
        <v>0</v>
      </c>
      <c r="AC213" s="4">
        <f>VLOOKUP(G213,全部!C:AO,39,FALSE)</f>
        <v>0</v>
      </c>
      <c r="AD213" s="4">
        <f>VLOOKUP(G213,全部!C:AP,40,FALSE)</f>
        <v>0</v>
      </c>
      <c r="AE213" s="6">
        <f>VLOOKUP(G213,全部!C:AQ,41,FALSE)</f>
        <v>0</v>
      </c>
      <c r="AF213" s="4">
        <f>VLOOKUP(G213,全部!C:AR,42,FALSE)</f>
        <v>0</v>
      </c>
      <c r="AG213" s="7">
        <f>VLOOKUP(G213,全部!C:AS,43,FALSE)</f>
        <v>0</v>
      </c>
      <c r="AH213" s="64" t="str">
        <f>IF(VLOOKUP(G213,全部!C:AT,44,FALSE)=0,"",VLOOKUP(G213,全部!C:AT,44,FALSE))</f>
        <v/>
      </c>
      <c r="AI213">
        <v>0</v>
      </c>
      <c r="AJ213" s="3">
        <v>41912.6862847222</v>
      </c>
      <c r="AK213" s="2" t="s">
        <v>1690</v>
      </c>
    </row>
    <row r="214" spans="1:37" x14ac:dyDescent="0.15">
      <c r="A214" s="2" t="s">
        <v>1689</v>
      </c>
      <c r="B214">
        <v>1208</v>
      </c>
      <c r="C214" s="3">
        <v>41837</v>
      </c>
      <c r="D214" s="2" t="s">
        <v>37</v>
      </c>
      <c r="E214" s="2" t="s">
        <v>1688</v>
      </c>
      <c r="F214" s="2" t="s">
        <v>38</v>
      </c>
      <c r="G214" s="2" t="s">
        <v>461</v>
      </c>
      <c r="H214" s="2" t="s">
        <v>462</v>
      </c>
      <c r="I214" s="4">
        <f>VLOOKUP(G214,全部!C:M,11,FALSE)</f>
        <v>5519500</v>
      </c>
      <c r="J214" s="4">
        <f t="shared" si="3"/>
        <v>0</v>
      </c>
      <c r="K214" s="4">
        <f>VLOOKUP(计算!G214,全部!C:N,12,FALSE)</f>
        <v>0</v>
      </c>
      <c r="L214" s="5">
        <f>VLOOKUP(G214,全部!C:P,14,FALSE)</f>
        <v>0</v>
      </c>
      <c r="M214" s="5">
        <f>VLOOKUP(G214,全部!C:V,20,FALSE)*100</f>
        <v>3</v>
      </c>
      <c r="N214" s="6">
        <f>VLOOKUP(G214,全部!C:W,21,FALSE)</f>
        <v>165585</v>
      </c>
      <c r="O214" s="4">
        <f>VLOOKUP(G214,全部!C:X,22,FALSE)</f>
        <v>50000</v>
      </c>
      <c r="P214" s="4">
        <f>VLOOKUP(G214,全部!C:Y,23,FALSE)</f>
        <v>50000</v>
      </c>
      <c r="Q214" s="6">
        <f>VLOOKUP(G214,全部!C:Z,24,FALSE)</f>
        <v>115585</v>
      </c>
      <c r="R214" s="7">
        <f>VLOOKUP(G214,全部!C:AA,25,FALSE)</f>
        <v>1000000</v>
      </c>
      <c r="S214" s="7">
        <f>VLOOKUP(G214,全部!C:AB,26,FALSE)</f>
        <v>1000000</v>
      </c>
      <c r="T214" s="4">
        <f>VLOOKUP(计算!G214,全部!C:AC,27,FALSE)</f>
        <v>1000000</v>
      </c>
      <c r="U214" s="4">
        <f>VLOOKUP(G214,全部!C:AD,28,FALSE)</f>
        <v>1000000</v>
      </c>
      <c r="V214" s="6">
        <f>VLOOKUP(G214,全部!C:AE,29,FALSE)</f>
        <v>0.18117583114412536</v>
      </c>
      <c r="W214" s="4">
        <f>VLOOKUP(G214,全部!C:AF,30,FALSE)</f>
        <v>701510.92</v>
      </c>
      <c r="X214" s="4">
        <f>VLOOKUP(G214,全部!C:AG,31,FALSE)</f>
        <v>701510.92</v>
      </c>
      <c r="Y214" s="4">
        <f>VLOOKUP(计算!G214,全部!C:AH,32,FALSE)</f>
        <v>735510.92</v>
      </c>
      <c r="Z214" s="4">
        <f>VLOOKUP(G214,全部!C:AL,36,FALSE)</f>
        <v>735510.92</v>
      </c>
      <c r="AA214" s="4">
        <f>VLOOKUP(G214,全部!C:AM,37,FALSE)</f>
        <v>3.4000000000000002E-2</v>
      </c>
      <c r="AB214" s="6">
        <f>VLOOKUP(G214,全部!C:AN,38,FALSE)</f>
        <v>34000</v>
      </c>
      <c r="AC214" s="4">
        <f>VLOOKUP(G214,全部!C:AO,39,FALSE)</f>
        <v>34000</v>
      </c>
      <c r="AD214" s="4">
        <f>VLOOKUP(G214,全部!C:AP,40,FALSE)</f>
        <v>34000</v>
      </c>
      <c r="AE214" s="6">
        <f>VLOOKUP(G214,全部!C:AQ,41,FALSE)</f>
        <v>0</v>
      </c>
      <c r="AF214" s="4">
        <f>VLOOKUP(G214,全部!C:AR,42,FALSE)</f>
        <v>0</v>
      </c>
      <c r="AG214" s="7">
        <f>VLOOKUP(G214,全部!C:AS,43,FALSE)</f>
        <v>77</v>
      </c>
      <c r="AH214" s="64" t="str">
        <f>IF(VLOOKUP(G214,全部!C:AT,44,FALSE)=0,"",VLOOKUP(G214,全部!C:AT,44,FALSE))</f>
        <v>管庄</v>
      </c>
      <c r="AI214">
        <v>0</v>
      </c>
      <c r="AJ214" s="3">
        <v>41912.6862847222</v>
      </c>
      <c r="AK214" s="2" t="s">
        <v>1687</v>
      </c>
    </row>
    <row r="215" spans="1:37" x14ac:dyDescent="0.15">
      <c r="A215" s="2" t="s">
        <v>1686</v>
      </c>
      <c r="B215">
        <v>1217</v>
      </c>
      <c r="C215" s="3">
        <v>41855</v>
      </c>
      <c r="D215" s="2" t="s">
        <v>37</v>
      </c>
      <c r="E215" s="2" t="s">
        <v>1685</v>
      </c>
      <c r="F215" s="2" t="s">
        <v>38</v>
      </c>
      <c r="G215" s="2" t="s">
        <v>463</v>
      </c>
      <c r="H215" s="2" t="s">
        <v>464</v>
      </c>
      <c r="I215" s="4">
        <f>VLOOKUP(G215,全部!C:M,11,FALSE)</f>
        <v>100000</v>
      </c>
      <c r="J215" s="4">
        <f t="shared" si="3"/>
        <v>0</v>
      </c>
      <c r="K215" s="4">
        <f>VLOOKUP(计算!G215,全部!C:N,12,FALSE)</f>
        <v>0</v>
      </c>
      <c r="L215" s="5">
        <f>VLOOKUP(G215,全部!C:P,14,FALSE)</f>
        <v>0</v>
      </c>
      <c r="M215" s="5">
        <f>VLOOKUP(G215,全部!C:V,20,FALSE)*100</f>
        <v>3.5999999999999996</v>
      </c>
      <c r="N215" s="6">
        <f>VLOOKUP(G215,全部!C:W,21,FALSE)</f>
        <v>3599.9999999999995</v>
      </c>
      <c r="O215" s="4">
        <f>VLOOKUP(G215,全部!C:X,22,FALSE)</f>
        <v>0</v>
      </c>
      <c r="P215" s="4">
        <f>VLOOKUP(G215,全部!C:Y,23,FALSE)</f>
        <v>0</v>
      </c>
      <c r="Q215" s="6">
        <f>VLOOKUP(G215,全部!C:Z,24,FALSE)</f>
        <v>3599.9999999999995</v>
      </c>
      <c r="R215" s="7">
        <f>VLOOKUP(G215,全部!C:AA,25,FALSE)</f>
        <v>0</v>
      </c>
      <c r="S215" s="7">
        <f>VLOOKUP(G215,全部!C:AB,26,FALSE)</f>
        <v>0</v>
      </c>
      <c r="T215" s="4">
        <f>VLOOKUP(计算!G215,全部!C:AC,27,FALSE)</f>
        <v>0</v>
      </c>
      <c r="U215" s="4">
        <f>VLOOKUP(G215,全部!C:AD,28,FALSE)</f>
        <v>0</v>
      </c>
      <c r="V215" s="6">
        <f>VLOOKUP(G215,全部!C:AE,29,FALSE)</f>
        <v>0</v>
      </c>
      <c r="W215" s="4">
        <f>VLOOKUP(G215,全部!C:AF,30,FALSE)</f>
        <v>0</v>
      </c>
      <c r="X215" s="4">
        <f>VLOOKUP(G215,全部!C:AG,31,FALSE)</f>
        <v>0</v>
      </c>
      <c r="Y215" s="4">
        <f>VLOOKUP(计算!G215,全部!C:AH,32,FALSE)</f>
        <v>0</v>
      </c>
      <c r="Z215" s="4">
        <f>VLOOKUP(G215,全部!C:AL,36,FALSE)</f>
        <v>0</v>
      </c>
      <c r="AA215" s="4">
        <f>VLOOKUP(G215,全部!C:AM,37,FALSE)</f>
        <v>3.4000000000000002E-2</v>
      </c>
      <c r="AB215" s="6">
        <f>VLOOKUP(G215,全部!C:AN,38,FALSE)</f>
        <v>0</v>
      </c>
      <c r="AC215" s="4">
        <f>VLOOKUP(G215,全部!C:AO,39,FALSE)</f>
        <v>0</v>
      </c>
      <c r="AD215" s="4">
        <f>VLOOKUP(G215,全部!C:AP,40,FALSE)</f>
        <v>0</v>
      </c>
      <c r="AE215" s="6">
        <f>VLOOKUP(G215,全部!C:AQ,41,FALSE)</f>
        <v>0</v>
      </c>
      <c r="AF215" s="4">
        <f>VLOOKUP(G215,全部!C:AR,42,FALSE)</f>
        <v>0</v>
      </c>
      <c r="AG215" s="7">
        <f>VLOOKUP(G215,全部!C:AS,43,FALSE)</f>
        <v>0</v>
      </c>
      <c r="AH215" s="64" t="str">
        <f>IF(VLOOKUP(G215,全部!C:AT,44,FALSE)=0,"",VLOOKUP(G215,全部!C:AT,44,FALSE))</f>
        <v/>
      </c>
      <c r="AI215">
        <v>0</v>
      </c>
      <c r="AJ215" s="3">
        <v>41912.6862847222</v>
      </c>
      <c r="AK215" s="2" t="s">
        <v>1684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5"/>
  <sheetViews>
    <sheetView zoomScale="85" zoomScaleNormal="85" workbookViewId="0">
      <pane xSplit="3" ySplit="1" topLeftCell="AL2" activePane="bottomRight" state="frozen"/>
      <selection pane="topRight" activeCell="D1" sqref="D1"/>
      <selection pane="bottomLeft" activeCell="A2" sqref="A2"/>
      <selection pane="bottomRight" activeCell="AT190" sqref="AT190"/>
    </sheetView>
  </sheetViews>
  <sheetFormatPr defaultRowHeight="12" x14ac:dyDescent="0.15"/>
  <cols>
    <col min="1" max="1" width="11.25" style="62" bestFit="1" customWidth="1"/>
    <col min="2" max="2" width="16" style="12" bestFit="1" customWidth="1"/>
    <col min="3" max="3" width="15" style="12" bestFit="1" customWidth="1"/>
    <col min="4" max="4" width="38.875" style="12" bestFit="1" customWidth="1"/>
    <col min="5" max="5" width="18.5" style="12" bestFit="1" customWidth="1"/>
    <col min="6" max="6" width="75.5" style="12" bestFit="1" customWidth="1"/>
    <col min="7" max="7" width="36.5" style="12" bestFit="1" customWidth="1"/>
    <col min="8" max="8" width="8.375" style="12" bestFit="1" customWidth="1"/>
    <col min="9" max="9" width="29" style="12" bestFit="1" customWidth="1"/>
    <col min="10" max="10" width="15.5" style="12" bestFit="1" customWidth="1"/>
    <col min="11" max="11" width="23.875" style="12" bestFit="1" customWidth="1"/>
    <col min="12" max="12" width="14.375" style="12" bestFit="1" customWidth="1"/>
    <col min="13" max="13" width="16.5" style="12" bestFit="1" customWidth="1"/>
    <col min="14" max="14" width="14.375" style="12" bestFit="1" customWidth="1"/>
    <col min="15" max="15" width="20.625" style="12" bestFit="1" customWidth="1"/>
    <col min="16" max="16" width="18.5" style="12" bestFit="1" customWidth="1"/>
    <col min="17" max="18" width="15.5" style="12" bestFit="1" customWidth="1"/>
    <col min="19" max="20" width="17.625" style="12" bestFit="1" customWidth="1"/>
    <col min="21" max="21" width="15.5" style="12" bestFit="1" customWidth="1"/>
    <col min="22" max="22" width="16.5" style="12" bestFit="1" customWidth="1"/>
    <col min="23" max="24" width="23.875" style="12" bestFit="1" customWidth="1"/>
    <col min="25" max="25" width="25" style="12" bestFit="1" customWidth="1"/>
    <col min="26" max="26" width="22.75" style="12" bestFit="1" customWidth="1"/>
    <col min="27" max="27" width="21.75" style="12" bestFit="1" customWidth="1"/>
    <col min="28" max="28" width="28" style="12" bestFit="1" customWidth="1"/>
    <col min="29" max="29" width="19.625" style="12" bestFit="1" customWidth="1"/>
    <col min="30" max="30" width="26" style="12" bestFit="1" customWidth="1"/>
    <col min="31" max="31" width="17.625" style="12" bestFit="1" customWidth="1"/>
    <col min="32" max="32" width="25" style="12" bestFit="1" customWidth="1"/>
    <col min="33" max="33" width="31.25" style="12" bestFit="1" customWidth="1"/>
    <col min="34" max="34" width="15.5" style="12" bestFit="1" customWidth="1"/>
    <col min="35" max="35" width="19.625" style="12" bestFit="1" customWidth="1"/>
    <col min="36" max="36" width="22.75" style="12" bestFit="1" customWidth="1"/>
    <col min="37" max="37" width="20.625" style="12" bestFit="1" customWidth="1"/>
    <col min="38" max="38" width="21.75" style="12" bestFit="1" customWidth="1"/>
    <col min="39" max="39" width="9.25" style="12" bestFit="1" customWidth="1"/>
    <col min="40" max="41" width="16.5" style="12" bestFit="1" customWidth="1"/>
    <col min="42" max="42" width="17.625" style="12" bestFit="1" customWidth="1"/>
    <col min="43" max="45" width="15.5" style="12" bestFit="1" customWidth="1"/>
    <col min="46" max="46" width="14.375" style="12" bestFit="1" customWidth="1"/>
    <col min="47" max="49" width="15.5" style="12" bestFit="1" customWidth="1"/>
    <col min="50" max="50" width="14.375" style="12" bestFit="1" customWidth="1"/>
    <col min="51" max="16384" width="9" style="12"/>
  </cols>
  <sheetData>
    <row r="1" spans="1:46" s="10" customFormat="1" ht="13.5" x14ac:dyDescent="0.15">
      <c r="A1" s="53" t="s">
        <v>465</v>
      </c>
      <c r="B1" s="8" t="s">
        <v>466</v>
      </c>
      <c r="C1" s="8" t="s">
        <v>467</v>
      </c>
      <c r="D1" s="8" t="s">
        <v>468</v>
      </c>
      <c r="E1" s="8" t="s">
        <v>469</v>
      </c>
      <c r="F1" s="8" t="s">
        <v>470</v>
      </c>
      <c r="G1" s="8" t="s">
        <v>471</v>
      </c>
      <c r="H1" s="8" t="s">
        <v>472</v>
      </c>
      <c r="I1" s="8" t="s">
        <v>473</v>
      </c>
      <c r="J1" s="8" t="s">
        <v>474</v>
      </c>
      <c r="K1" s="8" t="s">
        <v>475</v>
      </c>
      <c r="L1" s="8" t="s">
        <v>476</v>
      </c>
      <c r="M1" s="8" t="s">
        <v>477</v>
      </c>
      <c r="N1" s="8" t="s">
        <v>478</v>
      </c>
      <c r="O1" s="8" t="s">
        <v>479</v>
      </c>
      <c r="P1" s="8" t="s">
        <v>480</v>
      </c>
      <c r="Q1" s="8" t="s">
        <v>481</v>
      </c>
      <c r="R1" s="8" t="s">
        <v>482</v>
      </c>
      <c r="S1" s="8" t="s">
        <v>483</v>
      </c>
      <c r="T1" s="8" t="s">
        <v>484</v>
      </c>
      <c r="U1" s="8" t="s">
        <v>485</v>
      </c>
      <c r="V1" s="9" t="s">
        <v>486</v>
      </c>
      <c r="W1" s="8" t="s">
        <v>487</v>
      </c>
      <c r="X1" s="8" t="s">
        <v>488</v>
      </c>
      <c r="Y1" s="8" t="s">
        <v>489</v>
      </c>
      <c r="Z1" s="8" t="s">
        <v>490</v>
      </c>
      <c r="AA1" s="8" t="s">
        <v>491</v>
      </c>
      <c r="AB1" s="8" t="s">
        <v>492</v>
      </c>
      <c r="AC1" s="8" t="s">
        <v>493</v>
      </c>
      <c r="AD1" s="8" t="s">
        <v>494</v>
      </c>
      <c r="AE1" s="9" t="s">
        <v>495</v>
      </c>
      <c r="AF1" s="8" t="s">
        <v>496</v>
      </c>
      <c r="AG1" s="8" t="s">
        <v>497</v>
      </c>
      <c r="AH1" s="8" t="s">
        <v>498</v>
      </c>
      <c r="AI1" s="8" t="s">
        <v>499</v>
      </c>
      <c r="AJ1" s="8" t="s">
        <v>500</v>
      </c>
      <c r="AK1" s="8" t="s">
        <v>501</v>
      </c>
      <c r="AL1" s="8" t="s">
        <v>502</v>
      </c>
      <c r="AM1" s="9" t="s">
        <v>503</v>
      </c>
      <c r="AN1" s="9" t="s">
        <v>504</v>
      </c>
      <c r="AO1" s="8" t="s">
        <v>505</v>
      </c>
      <c r="AP1" s="8" t="s">
        <v>506</v>
      </c>
      <c r="AQ1" s="8" t="s">
        <v>507</v>
      </c>
      <c r="AR1" s="8" t="s">
        <v>508</v>
      </c>
      <c r="AS1" s="8" t="s">
        <v>509</v>
      </c>
      <c r="AT1" s="8" t="s">
        <v>510</v>
      </c>
    </row>
    <row r="2" spans="1:46" x14ac:dyDescent="0.15">
      <c r="A2" s="54" t="s">
        <v>511</v>
      </c>
      <c r="B2" s="11" t="s">
        <v>512</v>
      </c>
      <c r="C2" s="11" t="s">
        <v>513</v>
      </c>
      <c r="D2" s="11" t="s">
        <v>514</v>
      </c>
      <c r="E2" s="11" t="s">
        <v>515</v>
      </c>
      <c r="F2" s="11"/>
      <c r="G2" s="11"/>
      <c r="H2" s="11" t="s">
        <v>516</v>
      </c>
      <c r="I2" s="11"/>
      <c r="J2" s="11" t="s">
        <v>516</v>
      </c>
      <c r="K2" s="11" t="s">
        <v>517</v>
      </c>
      <c r="L2" s="11"/>
      <c r="M2" s="11">
        <v>85000</v>
      </c>
      <c r="N2" s="11"/>
      <c r="O2" s="11"/>
      <c r="P2" s="11">
        <v>85000</v>
      </c>
      <c r="Q2" s="11"/>
      <c r="R2" s="11"/>
      <c r="S2" s="11"/>
      <c r="T2" s="11" t="s">
        <v>517</v>
      </c>
      <c r="U2" s="11" t="s">
        <v>518</v>
      </c>
      <c r="V2" s="11">
        <v>6.6000000000000003E-2</v>
      </c>
      <c r="W2" s="11">
        <f>M2*V2</f>
        <v>5610</v>
      </c>
      <c r="X2" s="11">
        <v>5610</v>
      </c>
      <c r="Y2" s="11">
        <f>X2</f>
        <v>5610</v>
      </c>
      <c r="Z2" s="11">
        <f>W2-X2</f>
        <v>0</v>
      </c>
      <c r="AA2" s="11"/>
      <c r="AB2" s="11"/>
      <c r="AC2" s="11">
        <v>0</v>
      </c>
      <c r="AD2" s="11">
        <v>0</v>
      </c>
      <c r="AE2" s="11">
        <f>AC2/M2</f>
        <v>0</v>
      </c>
      <c r="AF2" s="11"/>
      <c r="AG2" s="11"/>
      <c r="AH2" s="11">
        <v>41400</v>
      </c>
      <c r="AI2" s="11"/>
      <c r="AJ2" s="11"/>
      <c r="AK2" s="11"/>
      <c r="AL2" s="11">
        <f>AH2</f>
        <v>41400</v>
      </c>
      <c r="AM2" s="11">
        <v>3.4000000000000002E-2</v>
      </c>
      <c r="AN2" s="11">
        <f t="shared" ref="AN2:AN11" si="0">M2*AM2</f>
        <v>2890</v>
      </c>
      <c r="AO2" s="11">
        <v>2890</v>
      </c>
      <c r="AP2" s="11">
        <f>AO2</f>
        <v>2890</v>
      </c>
      <c r="AQ2" s="11">
        <f>AN2-AO2</f>
        <v>0</v>
      </c>
      <c r="AR2" s="11"/>
      <c r="AS2" s="11"/>
      <c r="AT2" s="11"/>
    </row>
    <row r="3" spans="1:46" x14ac:dyDescent="0.15">
      <c r="A3" s="54" t="s">
        <v>519</v>
      </c>
      <c r="B3" s="11" t="s">
        <v>512</v>
      </c>
      <c r="C3" s="11" t="s">
        <v>520</v>
      </c>
      <c r="D3" s="11" t="s">
        <v>521</v>
      </c>
      <c r="E3" s="11" t="s">
        <v>515</v>
      </c>
      <c r="F3" s="11"/>
      <c r="G3" s="11"/>
      <c r="H3" s="11" t="s">
        <v>516</v>
      </c>
      <c r="I3" s="11"/>
      <c r="J3" s="11" t="s">
        <v>516</v>
      </c>
      <c r="K3" s="11" t="s">
        <v>517</v>
      </c>
      <c r="L3" s="11"/>
      <c r="M3" s="11">
        <v>7494658.1799999997</v>
      </c>
      <c r="N3" s="11"/>
      <c r="O3" s="11"/>
      <c r="P3" s="11">
        <v>0</v>
      </c>
      <c r="Q3" s="11"/>
      <c r="R3" s="11"/>
      <c r="S3" s="11"/>
      <c r="T3" s="11" t="s">
        <v>517</v>
      </c>
      <c r="U3" s="11" t="s">
        <v>522</v>
      </c>
      <c r="V3" s="11">
        <v>6.6000000000000003E-2</v>
      </c>
      <c r="W3" s="11">
        <f>V3*M3</f>
        <v>494647.43988000002</v>
      </c>
      <c r="X3" s="11">
        <v>494647.44</v>
      </c>
      <c r="Y3" s="11">
        <f t="shared" ref="Y3:Y66" si="1">X3</f>
        <v>494647.44</v>
      </c>
      <c r="Z3" s="11">
        <f t="shared" ref="Z3:Z66" si="2">W3-X3</f>
        <v>-1.1999998241662979E-4</v>
      </c>
      <c r="AA3" s="11"/>
      <c r="AB3" s="11"/>
      <c r="AC3" s="11">
        <v>7381694.04</v>
      </c>
      <c r="AD3" s="11">
        <v>7381694.04</v>
      </c>
      <c r="AE3" s="11">
        <f t="shared" ref="AE3:AE22" si="3">AC3/M3</f>
        <v>0.98492737930310792</v>
      </c>
      <c r="AF3" s="11"/>
      <c r="AG3" s="11"/>
      <c r="AH3" s="11">
        <v>6578447.8700000001</v>
      </c>
      <c r="AI3" s="11"/>
      <c r="AJ3" s="11"/>
      <c r="AK3" s="11"/>
      <c r="AL3" s="11">
        <f t="shared" ref="AL3:AL66" si="4">AH3</f>
        <v>6578447.8700000001</v>
      </c>
      <c r="AM3" s="11">
        <v>3.4000000000000002E-2</v>
      </c>
      <c r="AN3" s="11">
        <f t="shared" si="0"/>
        <v>254818.37812000001</v>
      </c>
      <c r="AO3" s="11">
        <v>254818.38</v>
      </c>
      <c r="AP3" s="11">
        <f t="shared" ref="AP3:AP66" si="5">AO3</f>
        <v>254818.38</v>
      </c>
      <c r="AQ3" s="11">
        <f t="shared" ref="AQ3:AQ66" si="6">AN3-AO3</f>
        <v>-1.879999996162951E-3</v>
      </c>
      <c r="AR3" s="11"/>
      <c r="AS3" s="11"/>
      <c r="AT3" s="11"/>
    </row>
    <row r="4" spans="1:46" x14ac:dyDescent="0.15">
      <c r="A4" s="54" t="s">
        <v>523</v>
      </c>
      <c r="B4" s="11" t="s">
        <v>512</v>
      </c>
      <c r="C4" s="11" t="s">
        <v>524</v>
      </c>
      <c r="D4" s="11" t="s">
        <v>525</v>
      </c>
      <c r="E4" s="11" t="s">
        <v>515</v>
      </c>
      <c r="F4" s="11"/>
      <c r="G4" s="11"/>
      <c r="H4" s="11" t="s">
        <v>516</v>
      </c>
      <c r="I4" s="11"/>
      <c r="J4" s="11" t="s">
        <v>516</v>
      </c>
      <c r="K4" s="11" t="s">
        <v>526</v>
      </c>
      <c r="L4" s="11"/>
      <c r="M4" s="11">
        <v>3283372.21</v>
      </c>
      <c r="N4" s="11"/>
      <c r="O4" s="11"/>
      <c r="P4" s="11">
        <v>0</v>
      </c>
      <c r="Q4" s="11"/>
      <c r="R4" s="11"/>
      <c r="S4" s="11"/>
      <c r="T4" s="11" t="s">
        <v>527</v>
      </c>
      <c r="U4" s="11" t="s">
        <v>522</v>
      </c>
      <c r="V4" s="11">
        <v>6.6000000000000003E-2</v>
      </c>
      <c r="W4" s="11">
        <f t="shared" ref="W4:W67" si="7">M4*V4</f>
        <v>216702.56586</v>
      </c>
      <c r="X4" s="11">
        <v>216702.57</v>
      </c>
      <c r="Y4" s="11">
        <f t="shared" si="1"/>
        <v>216702.57</v>
      </c>
      <c r="Z4" s="11">
        <f>W4-X4</f>
        <v>-4.1400000045541674E-3</v>
      </c>
      <c r="AA4" s="11"/>
      <c r="AB4" s="11"/>
      <c r="AC4" s="11">
        <v>2641685</v>
      </c>
      <c r="AD4" s="11">
        <v>2641685</v>
      </c>
      <c r="AE4" s="11">
        <f t="shared" si="3"/>
        <v>0.80456458514034879</v>
      </c>
      <c r="AF4" s="11"/>
      <c r="AG4" s="11"/>
      <c r="AH4" s="11"/>
      <c r="AI4" s="11"/>
      <c r="AJ4" s="11"/>
      <c r="AK4" s="11"/>
      <c r="AL4" s="11">
        <v>2551867.71</v>
      </c>
      <c r="AM4" s="11">
        <v>3.4000000000000002E-2</v>
      </c>
      <c r="AN4" s="11">
        <f t="shared" si="0"/>
        <v>111634.65514</v>
      </c>
      <c r="AO4" s="11">
        <v>89817.29</v>
      </c>
      <c r="AP4" s="11">
        <f t="shared" si="5"/>
        <v>89817.29</v>
      </c>
      <c r="AQ4" s="11">
        <f t="shared" si="6"/>
        <v>21817.365140000009</v>
      </c>
      <c r="AR4" s="11">
        <v>704031.49</v>
      </c>
      <c r="AS4" s="11"/>
      <c r="AT4" s="11"/>
    </row>
    <row r="5" spans="1:46" x14ac:dyDescent="0.15">
      <c r="A5" s="54" t="s">
        <v>528</v>
      </c>
      <c r="B5" s="11" t="s">
        <v>512</v>
      </c>
      <c r="C5" s="11" t="s">
        <v>529</v>
      </c>
      <c r="D5" s="11" t="s">
        <v>530</v>
      </c>
      <c r="E5" s="11" t="s">
        <v>515</v>
      </c>
      <c r="F5" s="11"/>
      <c r="G5" s="11"/>
      <c r="H5" s="11" t="s">
        <v>516</v>
      </c>
      <c r="I5" s="11"/>
      <c r="J5" s="11" t="s">
        <v>516</v>
      </c>
      <c r="K5" s="11" t="s">
        <v>517</v>
      </c>
      <c r="L5" s="11"/>
      <c r="M5" s="11">
        <v>7212049</v>
      </c>
      <c r="N5" s="11"/>
      <c r="O5" s="11"/>
      <c r="P5" s="11">
        <v>0</v>
      </c>
      <c r="Q5" s="11"/>
      <c r="R5" s="11"/>
      <c r="S5" s="11"/>
      <c r="T5" s="11" t="s">
        <v>517</v>
      </c>
      <c r="U5" s="11" t="s">
        <v>522</v>
      </c>
      <c r="V5" s="11">
        <v>6.6000000000000003E-2</v>
      </c>
      <c r="W5" s="11">
        <f t="shared" si="7"/>
        <v>475995.234</v>
      </c>
      <c r="X5" s="11">
        <v>475995.23</v>
      </c>
      <c r="Y5" s="11">
        <f t="shared" si="1"/>
        <v>475995.23</v>
      </c>
      <c r="Z5" s="11">
        <f t="shared" si="2"/>
        <v>4.0000000153668225E-3</v>
      </c>
      <c r="AA5" s="11"/>
      <c r="AB5" s="11"/>
      <c r="AC5" s="11">
        <v>6569639.2000000002</v>
      </c>
      <c r="AD5" s="11">
        <v>6569639.2000000002</v>
      </c>
      <c r="AE5" s="11">
        <f t="shared" si="3"/>
        <v>0.91092548040092358</v>
      </c>
      <c r="AF5" s="11"/>
      <c r="AG5" s="11"/>
      <c r="AH5" s="11"/>
      <c r="AI5" s="11"/>
      <c r="AJ5" s="11"/>
      <c r="AK5" s="11"/>
      <c r="AL5" s="11">
        <v>6277110.3499999996</v>
      </c>
      <c r="AM5" s="11">
        <v>3.4000000000000002E-2</v>
      </c>
      <c r="AN5" s="11">
        <f t="shared" si="0"/>
        <v>245209.66600000003</v>
      </c>
      <c r="AO5" s="11">
        <v>223367.73</v>
      </c>
      <c r="AP5" s="11">
        <f t="shared" si="5"/>
        <v>223367.73</v>
      </c>
      <c r="AQ5" s="11">
        <f t="shared" si="6"/>
        <v>21841.936000000016</v>
      </c>
      <c r="AR5" s="11"/>
      <c r="AS5" s="11"/>
      <c r="AT5" s="11"/>
    </row>
    <row r="6" spans="1:46" x14ac:dyDescent="0.15">
      <c r="A6" s="54" t="s">
        <v>531</v>
      </c>
      <c r="B6" s="11" t="s">
        <v>532</v>
      </c>
      <c r="C6" s="11" t="s">
        <v>533</v>
      </c>
      <c r="D6" s="11" t="s">
        <v>534</v>
      </c>
      <c r="E6" s="11" t="s">
        <v>515</v>
      </c>
      <c r="F6" s="11" t="s">
        <v>535</v>
      </c>
      <c r="G6" s="11" t="s">
        <v>536</v>
      </c>
      <c r="H6" s="11" t="s">
        <v>537</v>
      </c>
      <c r="I6" s="11" t="s">
        <v>538</v>
      </c>
      <c r="J6" s="11" t="s">
        <v>539</v>
      </c>
      <c r="K6" s="11" t="s">
        <v>526</v>
      </c>
      <c r="L6" s="11"/>
      <c r="M6" s="11">
        <v>66000</v>
      </c>
      <c r="N6" s="11"/>
      <c r="O6" s="11"/>
      <c r="P6" s="11">
        <v>0</v>
      </c>
      <c r="Q6" s="11"/>
      <c r="R6" s="11"/>
      <c r="S6" s="11"/>
      <c r="T6" s="11" t="s">
        <v>517</v>
      </c>
      <c r="U6" s="11" t="s">
        <v>522</v>
      </c>
      <c r="V6" s="11">
        <v>6.6000000000000003E-2</v>
      </c>
      <c r="W6" s="11">
        <f>M6*V6</f>
        <v>4356</v>
      </c>
      <c r="X6" s="11">
        <v>0</v>
      </c>
      <c r="Y6" s="11">
        <f>X6</f>
        <v>0</v>
      </c>
      <c r="Z6" s="11">
        <f>W6-X6</f>
        <v>4356</v>
      </c>
      <c r="AA6" s="11"/>
      <c r="AB6" s="11"/>
      <c r="AC6" s="11">
        <v>0</v>
      </c>
      <c r="AD6" s="11">
        <v>0</v>
      </c>
      <c r="AE6" s="11">
        <f t="shared" si="3"/>
        <v>0</v>
      </c>
      <c r="AF6" s="11"/>
      <c r="AG6" s="11"/>
      <c r="AH6" s="11">
        <v>0</v>
      </c>
      <c r="AI6" s="11"/>
      <c r="AJ6" s="11"/>
      <c r="AK6" s="11"/>
      <c r="AL6" s="11">
        <f>AH6</f>
        <v>0</v>
      </c>
      <c r="AM6" s="11">
        <v>3.4000000000000002E-2</v>
      </c>
      <c r="AN6" s="11">
        <f t="shared" si="0"/>
        <v>2244</v>
      </c>
      <c r="AO6" s="11">
        <v>0</v>
      </c>
      <c r="AP6" s="11">
        <f>AO6</f>
        <v>0</v>
      </c>
      <c r="AQ6" s="11">
        <f>AN6-AO6</f>
        <v>2244</v>
      </c>
      <c r="AR6" s="11"/>
      <c r="AS6" s="11"/>
      <c r="AT6" s="11"/>
    </row>
    <row r="7" spans="1:46" s="13" customFormat="1" x14ac:dyDescent="0.15">
      <c r="A7" s="55" t="s">
        <v>540</v>
      </c>
      <c r="B7" s="11" t="s">
        <v>532</v>
      </c>
      <c r="C7" s="11" t="s">
        <v>541</v>
      </c>
      <c r="D7" s="11" t="s">
        <v>542</v>
      </c>
      <c r="E7" s="11" t="s">
        <v>515</v>
      </c>
      <c r="F7" s="11" t="s">
        <v>543</v>
      </c>
      <c r="G7" s="11" t="s">
        <v>544</v>
      </c>
      <c r="H7" s="11" t="s">
        <v>539</v>
      </c>
      <c r="I7" s="11" t="s">
        <v>538</v>
      </c>
      <c r="J7" s="11" t="s">
        <v>539</v>
      </c>
      <c r="K7" s="11" t="s">
        <v>517</v>
      </c>
      <c r="L7" s="11"/>
      <c r="M7" s="11">
        <v>3283372.21</v>
      </c>
      <c r="N7" s="11"/>
      <c r="O7" s="11"/>
      <c r="P7" s="11">
        <v>0</v>
      </c>
      <c r="Q7" s="11"/>
      <c r="R7" s="11"/>
      <c r="S7" s="11"/>
      <c r="T7" s="11" t="s">
        <v>517</v>
      </c>
      <c r="U7" s="11" t="s">
        <v>522</v>
      </c>
      <c r="V7" s="11">
        <v>6.6000000000000003E-2</v>
      </c>
      <c r="W7" s="11">
        <f t="shared" ref="W7:W9" si="8">M7*V7</f>
        <v>216702.56586</v>
      </c>
      <c r="X7" s="11">
        <v>216702.57</v>
      </c>
      <c r="Y7" s="11">
        <f t="shared" ref="Y7:Y14" si="9">X7</f>
        <v>216702.57</v>
      </c>
      <c r="Z7" s="11">
        <f>W7-X7</f>
        <v>-4.1400000045541674E-3</v>
      </c>
      <c r="AA7" s="11"/>
      <c r="AB7" s="11"/>
      <c r="AC7" s="11">
        <v>2641685</v>
      </c>
      <c r="AD7" s="11">
        <v>2641685</v>
      </c>
      <c r="AE7" s="11">
        <f t="shared" si="3"/>
        <v>0.80456458514034879</v>
      </c>
      <c r="AF7" s="11"/>
      <c r="AG7" s="11"/>
      <c r="AH7" s="11"/>
      <c r="AI7" s="11"/>
      <c r="AJ7" s="11"/>
      <c r="AK7" s="11"/>
      <c r="AL7" s="11">
        <v>2551867.71</v>
      </c>
      <c r="AM7" s="11">
        <v>3.4000000000000002E-2</v>
      </c>
      <c r="AN7" s="11">
        <f t="shared" si="0"/>
        <v>111634.65514</v>
      </c>
      <c r="AO7" s="11">
        <v>89817.29</v>
      </c>
      <c r="AP7" s="11">
        <f t="shared" ref="AP7:AP14" si="10">AO7</f>
        <v>89817.29</v>
      </c>
      <c r="AQ7" s="11">
        <f t="shared" ref="AQ7:AQ14" si="11">AN7-AO7</f>
        <v>21817.365140000009</v>
      </c>
      <c r="AR7" s="11"/>
      <c r="AS7" s="11"/>
      <c r="AT7" s="11"/>
    </row>
    <row r="8" spans="1:46" x14ac:dyDescent="0.15">
      <c r="A8" s="54" t="s">
        <v>545</v>
      </c>
      <c r="B8" s="11" t="s">
        <v>532</v>
      </c>
      <c r="C8" s="11" t="s">
        <v>546</v>
      </c>
      <c r="D8" s="11" t="s">
        <v>547</v>
      </c>
      <c r="E8" s="11" t="s">
        <v>548</v>
      </c>
      <c r="F8" s="11" t="s">
        <v>549</v>
      </c>
      <c r="G8" s="11" t="s">
        <v>536</v>
      </c>
      <c r="H8" s="11" t="s">
        <v>539</v>
      </c>
      <c r="I8" s="11" t="s">
        <v>538</v>
      </c>
      <c r="J8" s="11" t="s">
        <v>539</v>
      </c>
      <c r="K8" s="11" t="s">
        <v>517</v>
      </c>
      <c r="L8" s="11"/>
      <c r="M8" s="11">
        <v>7212049</v>
      </c>
      <c r="N8" s="11"/>
      <c r="O8" s="11"/>
      <c r="P8" s="11">
        <v>0</v>
      </c>
      <c r="Q8" s="11"/>
      <c r="R8" s="11"/>
      <c r="S8" s="11"/>
      <c r="T8" s="11" t="s">
        <v>517</v>
      </c>
      <c r="U8" s="11" t="s">
        <v>550</v>
      </c>
      <c r="V8" s="11">
        <v>6.6000000000000003E-2</v>
      </c>
      <c r="W8" s="11">
        <f t="shared" si="8"/>
        <v>475995.234</v>
      </c>
      <c r="X8" s="11">
        <v>475995.23</v>
      </c>
      <c r="Y8" s="11">
        <f t="shared" si="9"/>
        <v>475995.23</v>
      </c>
      <c r="Z8" s="11">
        <f t="shared" ref="Z8:Z10" si="12">W8-X8</f>
        <v>4.0000000153668225E-3</v>
      </c>
      <c r="AA8" s="11"/>
      <c r="AB8" s="11"/>
      <c r="AC8" s="11">
        <v>6569639.2000000002</v>
      </c>
      <c r="AD8" s="11">
        <v>6569639.2000000002</v>
      </c>
      <c r="AE8" s="11">
        <f t="shared" si="3"/>
        <v>0.91092548040092358</v>
      </c>
      <c r="AF8" s="11"/>
      <c r="AG8" s="11"/>
      <c r="AH8" s="11"/>
      <c r="AI8" s="11"/>
      <c r="AJ8" s="11"/>
      <c r="AK8" s="11"/>
      <c r="AL8" s="11">
        <v>6277110.3499999996</v>
      </c>
      <c r="AM8" s="11">
        <v>3.4000000000000002E-2</v>
      </c>
      <c r="AN8" s="11">
        <f t="shared" si="0"/>
        <v>245209.66600000003</v>
      </c>
      <c r="AO8" s="11">
        <v>223367.73</v>
      </c>
      <c r="AP8" s="11">
        <f t="shared" si="10"/>
        <v>223367.73</v>
      </c>
      <c r="AQ8" s="11">
        <f t="shared" si="11"/>
        <v>21841.936000000016</v>
      </c>
      <c r="AR8" s="11"/>
      <c r="AS8" s="11"/>
      <c r="AT8" s="11"/>
    </row>
    <row r="9" spans="1:46" x14ac:dyDescent="0.15">
      <c r="A9" s="54" t="s">
        <v>545</v>
      </c>
      <c r="B9" s="11" t="s">
        <v>532</v>
      </c>
      <c r="C9" s="11" t="s">
        <v>551</v>
      </c>
      <c r="D9" s="11" t="s">
        <v>542</v>
      </c>
      <c r="E9" s="11" t="s">
        <v>515</v>
      </c>
      <c r="F9" s="11" t="s">
        <v>549</v>
      </c>
      <c r="G9" s="11" t="s">
        <v>536</v>
      </c>
      <c r="H9" s="11" t="s">
        <v>537</v>
      </c>
      <c r="I9" s="11" t="s">
        <v>538</v>
      </c>
      <c r="J9" s="11" t="s">
        <v>539</v>
      </c>
      <c r="K9" s="11" t="s">
        <v>526</v>
      </c>
      <c r="L9" s="11"/>
      <c r="M9" s="11">
        <v>665109</v>
      </c>
      <c r="N9" s="11"/>
      <c r="O9" s="11"/>
      <c r="P9" s="11">
        <v>0</v>
      </c>
      <c r="Q9" s="11"/>
      <c r="R9" s="11"/>
      <c r="S9" s="11"/>
      <c r="T9" s="11" t="s">
        <v>526</v>
      </c>
      <c r="U9" s="11" t="s">
        <v>522</v>
      </c>
      <c r="V9" s="11">
        <v>0.04</v>
      </c>
      <c r="W9" s="11">
        <f t="shared" si="8"/>
        <v>26604.36</v>
      </c>
      <c r="X9" s="11">
        <v>0</v>
      </c>
      <c r="Y9" s="11">
        <f t="shared" si="9"/>
        <v>0</v>
      </c>
      <c r="Z9" s="11">
        <f t="shared" si="12"/>
        <v>26604.36</v>
      </c>
      <c r="AA9" s="11"/>
      <c r="AB9" s="11"/>
      <c r="AC9" s="11">
        <v>0</v>
      </c>
      <c r="AD9" s="11">
        <v>0</v>
      </c>
      <c r="AE9" s="11">
        <f t="shared" si="3"/>
        <v>0</v>
      </c>
      <c r="AF9" s="11"/>
      <c r="AG9" s="11"/>
      <c r="AH9" s="11"/>
      <c r="AI9" s="11"/>
      <c r="AJ9" s="11"/>
      <c r="AK9" s="11"/>
      <c r="AL9" s="11">
        <f t="shared" si="4"/>
        <v>0</v>
      </c>
      <c r="AM9" s="11">
        <v>3.4000000000000002E-2</v>
      </c>
      <c r="AN9" s="11">
        <f t="shared" si="0"/>
        <v>22613.706000000002</v>
      </c>
      <c r="AO9" s="11">
        <v>0</v>
      </c>
      <c r="AP9" s="11">
        <f t="shared" si="10"/>
        <v>0</v>
      </c>
      <c r="AQ9" s="11">
        <f t="shared" si="11"/>
        <v>22613.706000000002</v>
      </c>
      <c r="AR9" s="11"/>
      <c r="AS9" s="11"/>
      <c r="AT9" s="11"/>
    </row>
    <row r="10" spans="1:46" x14ac:dyDescent="0.15">
      <c r="A10" s="54" t="s">
        <v>552</v>
      </c>
      <c r="B10" s="11" t="s">
        <v>553</v>
      </c>
      <c r="C10" s="11" t="s">
        <v>554</v>
      </c>
      <c r="D10" s="14" t="s">
        <v>555</v>
      </c>
      <c r="E10" s="11" t="s">
        <v>515</v>
      </c>
      <c r="F10" s="14"/>
      <c r="G10" s="14"/>
      <c r="H10" s="14"/>
      <c r="I10" s="14"/>
      <c r="J10" s="14"/>
      <c r="K10" s="14"/>
      <c r="L10" s="14"/>
      <c r="M10" s="14">
        <v>10343049.93</v>
      </c>
      <c r="N10" s="14"/>
      <c r="O10" s="14"/>
      <c r="P10" s="14">
        <v>0</v>
      </c>
      <c r="Q10" s="14"/>
      <c r="R10" s="14"/>
      <c r="S10" s="14"/>
      <c r="T10" s="11" t="s">
        <v>517</v>
      </c>
      <c r="U10" s="14" t="s">
        <v>550</v>
      </c>
      <c r="V10" s="14">
        <v>3.5000000000000003E-2</v>
      </c>
      <c r="W10" s="14">
        <f>M10*V10</f>
        <v>362006.74755000003</v>
      </c>
      <c r="X10" s="14">
        <v>362006.75</v>
      </c>
      <c r="Y10" s="14">
        <f t="shared" si="9"/>
        <v>362006.75</v>
      </c>
      <c r="Z10" s="14">
        <f t="shared" si="12"/>
        <v>-2.4499999708496034E-3</v>
      </c>
      <c r="AA10" s="14"/>
      <c r="AB10" s="14"/>
      <c r="AC10" s="11">
        <v>7860688.0099999998</v>
      </c>
      <c r="AD10" s="11">
        <v>7860688.0099999998</v>
      </c>
      <c r="AE10" s="14">
        <f t="shared" si="3"/>
        <v>0.75999710561196143</v>
      </c>
      <c r="AF10" s="14"/>
      <c r="AG10" s="14"/>
      <c r="AH10" s="14">
        <v>7748729.1299999999</v>
      </c>
      <c r="AI10" s="14"/>
      <c r="AJ10" s="14"/>
      <c r="AK10" s="14"/>
      <c r="AL10" s="14">
        <f t="shared" si="4"/>
        <v>7748729.1299999999</v>
      </c>
      <c r="AM10" s="14">
        <v>3.4000000000000002E-2</v>
      </c>
      <c r="AN10" s="14">
        <f t="shared" si="0"/>
        <v>351663.69761999999</v>
      </c>
      <c r="AO10" s="14">
        <v>111118.8</v>
      </c>
      <c r="AP10" s="14">
        <f t="shared" si="10"/>
        <v>111118.8</v>
      </c>
      <c r="AQ10" s="14">
        <f t="shared" si="11"/>
        <v>240544.89762</v>
      </c>
      <c r="AR10" s="11"/>
      <c r="AS10" s="11"/>
      <c r="AT10" s="11"/>
    </row>
    <row r="11" spans="1:46" x14ac:dyDescent="0.15">
      <c r="A11" s="54" t="s">
        <v>556</v>
      </c>
      <c r="B11" s="11" t="s">
        <v>553</v>
      </c>
      <c r="C11" s="11" t="s">
        <v>557</v>
      </c>
      <c r="D11" s="11" t="s">
        <v>558</v>
      </c>
      <c r="E11" s="11" t="s">
        <v>548</v>
      </c>
      <c r="F11" s="11"/>
      <c r="G11" s="11"/>
      <c r="H11" s="11"/>
      <c r="I11" s="11"/>
      <c r="J11" s="11"/>
      <c r="K11" s="11"/>
      <c r="L11" s="11"/>
      <c r="M11" s="11">
        <v>90000</v>
      </c>
      <c r="N11" s="11"/>
      <c r="O11" s="11"/>
      <c r="P11" s="11">
        <v>0</v>
      </c>
      <c r="Q11" s="11"/>
      <c r="R11" s="11"/>
      <c r="S11" s="11"/>
      <c r="T11" s="11" t="s">
        <v>559</v>
      </c>
      <c r="U11" s="14" t="s">
        <v>522</v>
      </c>
      <c r="V11" s="11">
        <v>6.4000000000000001E-2</v>
      </c>
      <c r="W11" s="11">
        <f t="shared" ref="W11:W13" si="13">M11*V11</f>
        <v>5760</v>
      </c>
      <c r="X11" s="11">
        <v>5760</v>
      </c>
      <c r="Y11" s="11">
        <f t="shared" si="9"/>
        <v>5760</v>
      </c>
      <c r="Z11" s="11">
        <f>W11-X11</f>
        <v>0</v>
      </c>
      <c r="AA11" s="11"/>
      <c r="AB11" s="11"/>
      <c r="AC11" s="11">
        <v>72000</v>
      </c>
      <c r="AD11" s="11">
        <v>72000</v>
      </c>
      <c r="AE11" s="11">
        <f t="shared" si="3"/>
        <v>0.8</v>
      </c>
      <c r="AF11" s="11"/>
      <c r="AG11" s="11"/>
      <c r="AH11" s="11">
        <v>66960</v>
      </c>
      <c r="AI11" s="11"/>
      <c r="AJ11" s="11"/>
      <c r="AK11" s="11"/>
      <c r="AL11" s="14">
        <f t="shared" si="4"/>
        <v>66960</v>
      </c>
      <c r="AM11" s="11">
        <v>5.6000000000000001E-2</v>
      </c>
      <c r="AN11" s="11">
        <f t="shared" si="0"/>
        <v>5040</v>
      </c>
      <c r="AO11" s="11">
        <v>5040</v>
      </c>
      <c r="AP11" s="11">
        <f t="shared" si="10"/>
        <v>5040</v>
      </c>
      <c r="AQ11" s="11">
        <f t="shared" si="11"/>
        <v>0</v>
      </c>
      <c r="AR11" s="11"/>
      <c r="AS11" s="11"/>
      <c r="AT11" s="11"/>
    </row>
    <row r="12" spans="1:46" x14ac:dyDescent="0.15">
      <c r="A12" s="54" t="s">
        <v>560</v>
      </c>
      <c r="B12" s="11" t="s">
        <v>553</v>
      </c>
      <c r="C12" s="11" t="s">
        <v>561</v>
      </c>
      <c r="D12" s="11" t="s">
        <v>562</v>
      </c>
      <c r="E12" s="11" t="s">
        <v>515</v>
      </c>
      <c r="F12" s="11"/>
      <c r="G12" s="11"/>
      <c r="H12" s="11"/>
      <c r="I12" s="11"/>
      <c r="J12" s="11"/>
      <c r="K12" s="11"/>
      <c r="L12" s="11"/>
      <c r="M12" s="11">
        <v>552000</v>
      </c>
      <c r="N12" s="11"/>
      <c r="O12" s="11"/>
      <c r="P12" s="11">
        <v>0</v>
      </c>
      <c r="Q12" s="11"/>
      <c r="R12" s="11"/>
      <c r="S12" s="11"/>
      <c r="T12" s="11" t="s">
        <v>517</v>
      </c>
      <c r="U12" s="14" t="s">
        <v>522</v>
      </c>
      <c r="V12" s="11">
        <v>8.5999999999999993E-2</v>
      </c>
      <c r="W12" s="11">
        <f t="shared" si="13"/>
        <v>47471.999999999993</v>
      </c>
      <c r="X12" s="11">
        <v>41668.089999999997</v>
      </c>
      <c r="Y12" s="11">
        <f t="shared" si="9"/>
        <v>41668.089999999997</v>
      </c>
      <c r="Z12" s="11">
        <f t="shared" ref="Z12:Z14" si="14">W12-X12</f>
        <v>5803.9099999999962</v>
      </c>
      <c r="AA12" s="11"/>
      <c r="AB12" s="11"/>
      <c r="AC12" s="11">
        <v>496800</v>
      </c>
      <c r="AD12" s="11">
        <v>496800</v>
      </c>
      <c r="AE12" s="11">
        <f t="shared" si="3"/>
        <v>0.9</v>
      </c>
      <c r="AF12" s="11"/>
      <c r="AG12" s="11"/>
      <c r="AH12" s="11">
        <v>480537</v>
      </c>
      <c r="AI12" s="11"/>
      <c r="AJ12" s="11"/>
      <c r="AK12" s="11"/>
      <c r="AL12" s="14">
        <f t="shared" si="4"/>
        <v>480537</v>
      </c>
      <c r="AM12" s="11"/>
      <c r="AN12" s="11">
        <v>16263.2</v>
      </c>
      <c r="AO12" s="11">
        <v>16263.2</v>
      </c>
      <c r="AP12" s="11">
        <f t="shared" si="10"/>
        <v>16263.2</v>
      </c>
      <c r="AQ12" s="11">
        <f t="shared" si="11"/>
        <v>0</v>
      </c>
      <c r="AR12" s="11"/>
      <c r="AS12" s="11"/>
      <c r="AT12" s="11"/>
    </row>
    <row r="13" spans="1:46" x14ac:dyDescent="0.15">
      <c r="A13" s="54" t="s">
        <v>563</v>
      </c>
      <c r="B13" s="11" t="s">
        <v>564</v>
      </c>
      <c r="C13" s="11" t="s">
        <v>565</v>
      </c>
      <c r="D13" s="11" t="s">
        <v>566</v>
      </c>
      <c r="E13" s="11" t="s">
        <v>515</v>
      </c>
      <c r="F13" s="11" t="s">
        <v>567</v>
      </c>
      <c r="G13" s="11" t="s">
        <v>568</v>
      </c>
      <c r="H13" s="11" t="s">
        <v>569</v>
      </c>
      <c r="I13" s="11" t="s">
        <v>570</v>
      </c>
      <c r="J13" s="11" t="s">
        <v>571</v>
      </c>
      <c r="K13" s="11" t="s">
        <v>572</v>
      </c>
      <c r="L13" s="11"/>
      <c r="M13" s="11">
        <v>28833444.800000001</v>
      </c>
      <c r="N13" s="11"/>
      <c r="O13" s="11"/>
      <c r="P13" s="11">
        <v>0</v>
      </c>
      <c r="Q13" s="11"/>
      <c r="R13" s="11"/>
      <c r="S13" s="11"/>
      <c r="T13" s="11" t="s">
        <v>526</v>
      </c>
      <c r="U13" s="11" t="s">
        <v>573</v>
      </c>
      <c r="V13" s="11">
        <v>5.6000000000000001E-2</v>
      </c>
      <c r="W13" s="11">
        <f t="shared" si="13"/>
        <v>1614672.9088000001</v>
      </c>
      <c r="X13" s="11">
        <v>1614673</v>
      </c>
      <c r="Y13" s="11">
        <f t="shared" si="9"/>
        <v>1614673</v>
      </c>
      <c r="Z13" s="11">
        <f t="shared" si="14"/>
        <v>-9.119999990798533E-2</v>
      </c>
      <c r="AA13" s="11"/>
      <c r="AB13" s="11"/>
      <c r="AC13" s="11">
        <v>22666755.800000001</v>
      </c>
      <c r="AD13" s="11">
        <v>22666755.800000001</v>
      </c>
      <c r="AE13" s="11">
        <f t="shared" si="3"/>
        <v>0.78612721987349909</v>
      </c>
      <c r="AF13" s="11"/>
      <c r="AG13" s="11"/>
      <c r="AH13" s="11">
        <v>22653028.379999999</v>
      </c>
      <c r="AI13" s="11"/>
      <c r="AJ13" s="11"/>
      <c r="AK13" s="11"/>
      <c r="AL13" s="14">
        <f t="shared" si="4"/>
        <v>22653028.379999999</v>
      </c>
      <c r="AM13" s="11"/>
      <c r="AN13" s="11">
        <f t="shared" ref="AN13:AN22" si="15">M13*AM13</f>
        <v>0</v>
      </c>
      <c r="AO13" s="11"/>
      <c r="AP13" s="11">
        <f t="shared" si="10"/>
        <v>0</v>
      </c>
      <c r="AQ13" s="11">
        <f t="shared" si="11"/>
        <v>0</v>
      </c>
      <c r="AR13" s="11"/>
      <c r="AS13" s="11"/>
      <c r="AT13" s="11"/>
    </row>
    <row r="14" spans="1:46" x14ac:dyDescent="0.15">
      <c r="A14" s="54" t="s">
        <v>574</v>
      </c>
      <c r="B14" s="11" t="s">
        <v>575</v>
      </c>
      <c r="C14" s="11" t="s">
        <v>576</v>
      </c>
      <c r="D14" s="14" t="s">
        <v>577</v>
      </c>
      <c r="E14" s="11" t="s">
        <v>548</v>
      </c>
      <c r="F14" s="14" t="s">
        <v>578</v>
      </c>
      <c r="G14" s="14" t="s">
        <v>579</v>
      </c>
      <c r="H14" s="14" t="s">
        <v>580</v>
      </c>
      <c r="I14" s="14" t="s">
        <v>581</v>
      </c>
      <c r="J14" s="14" t="s">
        <v>580</v>
      </c>
      <c r="K14" s="11" t="s">
        <v>572</v>
      </c>
      <c r="L14" s="14"/>
      <c r="M14" s="14">
        <v>6196000</v>
      </c>
      <c r="N14" s="14"/>
      <c r="O14" s="14"/>
      <c r="P14" s="14">
        <v>0</v>
      </c>
      <c r="Q14" s="14"/>
      <c r="R14" s="14"/>
      <c r="S14" s="14"/>
      <c r="T14" s="11" t="s">
        <v>517</v>
      </c>
      <c r="U14" s="14" t="s">
        <v>550</v>
      </c>
      <c r="V14" s="14">
        <v>0.04</v>
      </c>
      <c r="W14" s="14">
        <f>M14*V14</f>
        <v>247840</v>
      </c>
      <c r="X14" s="14"/>
      <c r="Y14" s="14">
        <f t="shared" si="9"/>
        <v>0</v>
      </c>
      <c r="Z14" s="14">
        <f t="shared" si="14"/>
        <v>247840</v>
      </c>
      <c r="AA14" s="14"/>
      <c r="AB14" s="14"/>
      <c r="AC14" s="11">
        <v>3500000</v>
      </c>
      <c r="AD14" s="11">
        <v>3500000</v>
      </c>
      <c r="AE14" s="14">
        <f t="shared" si="3"/>
        <v>0.5648805681084571</v>
      </c>
      <c r="AF14" s="14"/>
      <c r="AG14" s="14"/>
      <c r="AH14" s="14">
        <v>3489148.65</v>
      </c>
      <c r="AI14" s="14"/>
      <c r="AJ14" s="14"/>
      <c r="AK14" s="14"/>
      <c r="AL14" s="14">
        <f t="shared" si="4"/>
        <v>3489148.65</v>
      </c>
      <c r="AM14" s="14"/>
      <c r="AN14" s="14">
        <f t="shared" si="15"/>
        <v>0</v>
      </c>
      <c r="AO14" s="14"/>
      <c r="AP14" s="14">
        <f t="shared" si="10"/>
        <v>0</v>
      </c>
      <c r="AQ14" s="14">
        <f t="shared" si="11"/>
        <v>0</v>
      </c>
      <c r="AR14" s="11"/>
      <c r="AS14" s="11"/>
      <c r="AT14" s="11"/>
    </row>
    <row r="15" spans="1:46" x14ac:dyDescent="0.15">
      <c r="A15" s="54" t="s">
        <v>582</v>
      </c>
      <c r="B15" s="11" t="s">
        <v>575</v>
      </c>
      <c r="C15" s="11" t="s">
        <v>583</v>
      </c>
      <c r="D15" s="11" t="s">
        <v>584</v>
      </c>
      <c r="E15" s="11" t="s">
        <v>548</v>
      </c>
      <c r="F15" s="11" t="s">
        <v>584</v>
      </c>
      <c r="G15" s="14" t="s">
        <v>585</v>
      </c>
      <c r="H15" s="14" t="s">
        <v>586</v>
      </c>
      <c r="I15" s="14" t="s">
        <v>581</v>
      </c>
      <c r="J15" s="14" t="s">
        <v>580</v>
      </c>
      <c r="K15" s="11" t="s">
        <v>527</v>
      </c>
      <c r="L15" s="11"/>
      <c r="M15" s="11">
        <v>1810092</v>
      </c>
      <c r="N15" s="11"/>
      <c r="O15" s="11"/>
      <c r="P15" s="14">
        <v>0</v>
      </c>
      <c r="Q15" s="11"/>
      <c r="R15" s="11"/>
      <c r="S15" s="11"/>
      <c r="T15" s="11" t="s">
        <v>526</v>
      </c>
      <c r="U15" s="14" t="s">
        <v>550</v>
      </c>
      <c r="V15" s="11">
        <v>0.04</v>
      </c>
      <c r="W15" s="11">
        <f t="shared" si="7"/>
        <v>72403.680000000008</v>
      </c>
      <c r="X15" s="11">
        <v>72404</v>
      </c>
      <c r="Y15" s="11">
        <f t="shared" si="1"/>
        <v>72404</v>
      </c>
      <c r="Z15" s="11">
        <f t="shared" si="2"/>
        <v>-0.319999999992433</v>
      </c>
      <c r="AA15" s="11"/>
      <c r="AB15" s="11"/>
      <c r="AC15" s="11">
        <v>1800000</v>
      </c>
      <c r="AD15" s="11">
        <v>1800000</v>
      </c>
      <c r="AE15" s="14">
        <f t="shared" si="3"/>
        <v>0.99442459278312922</v>
      </c>
      <c r="AF15" s="11"/>
      <c r="AG15" s="11"/>
      <c r="AH15" s="11">
        <v>1796144</v>
      </c>
      <c r="AI15" s="11"/>
      <c r="AJ15" s="11"/>
      <c r="AK15" s="11"/>
      <c r="AL15" s="11">
        <f t="shared" si="4"/>
        <v>1796144</v>
      </c>
      <c r="AM15" s="11"/>
      <c r="AN15" s="11">
        <f t="shared" si="15"/>
        <v>0</v>
      </c>
      <c r="AO15" s="11"/>
      <c r="AP15" s="11">
        <f t="shared" si="5"/>
        <v>0</v>
      </c>
      <c r="AQ15" s="11">
        <f t="shared" si="6"/>
        <v>0</v>
      </c>
      <c r="AR15" s="11"/>
      <c r="AS15" s="11"/>
      <c r="AT15" s="11"/>
    </row>
    <row r="16" spans="1:46" x14ac:dyDescent="0.15">
      <c r="A16" s="54" t="s">
        <v>587</v>
      </c>
      <c r="B16" s="11" t="s">
        <v>532</v>
      </c>
      <c r="C16" s="11" t="s">
        <v>588</v>
      </c>
      <c r="D16" s="14" t="s">
        <v>589</v>
      </c>
      <c r="E16" s="11" t="s">
        <v>548</v>
      </c>
      <c r="F16" s="14" t="s">
        <v>590</v>
      </c>
      <c r="G16" s="14" t="s">
        <v>591</v>
      </c>
      <c r="H16" s="14" t="s">
        <v>539</v>
      </c>
      <c r="I16" s="14" t="s">
        <v>592</v>
      </c>
      <c r="J16" s="14" t="s">
        <v>539</v>
      </c>
      <c r="K16" s="14" t="s">
        <v>572</v>
      </c>
      <c r="L16" s="14"/>
      <c r="M16" s="14">
        <v>10343049.93</v>
      </c>
      <c r="N16" s="14"/>
      <c r="O16" s="14"/>
      <c r="P16" s="14">
        <v>0</v>
      </c>
      <c r="Q16" s="14"/>
      <c r="R16" s="14"/>
      <c r="S16" s="14"/>
      <c r="T16" s="11" t="s">
        <v>517</v>
      </c>
      <c r="U16" s="14" t="s">
        <v>550</v>
      </c>
      <c r="V16" s="14">
        <v>3.5000000000000003E-2</v>
      </c>
      <c r="W16" s="14">
        <f>M16*V16</f>
        <v>362006.74755000003</v>
      </c>
      <c r="X16" s="14">
        <v>362006.75</v>
      </c>
      <c r="Y16" s="14">
        <f t="shared" si="1"/>
        <v>362006.75</v>
      </c>
      <c r="Z16" s="14">
        <f t="shared" si="2"/>
        <v>-2.4499999708496034E-3</v>
      </c>
      <c r="AA16" s="14"/>
      <c r="AB16" s="14"/>
      <c r="AC16" s="11">
        <v>7860688.0099999998</v>
      </c>
      <c r="AD16" s="11">
        <v>7860688.0099999998</v>
      </c>
      <c r="AE16" s="14">
        <f t="shared" si="3"/>
        <v>0.75999710561196143</v>
      </c>
      <c r="AF16" s="14"/>
      <c r="AG16" s="14"/>
      <c r="AH16" s="14">
        <v>7748729.1299999999</v>
      </c>
      <c r="AI16" s="14"/>
      <c r="AJ16" s="14"/>
      <c r="AK16" s="14"/>
      <c r="AL16" s="14">
        <f t="shared" si="4"/>
        <v>7748729.1299999999</v>
      </c>
      <c r="AM16" s="14">
        <v>3.4000000000000002E-2</v>
      </c>
      <c r="AN16" s="14">
        <f t="shared" si="15"/>
        <v>351663.69761999999</v>
      </c>
      <c r="AO16" s="14">
        <v>111118.8</v>
      </c>
      <c r="AP16" s="14">
        <f t="shared" si="5"/>
        <v>111118.8</v>
      </c>
      <c r="AQ16" s="14">
        <f t="shared" si="6"/>
        <v>240544.89762</v>
      </c>
      <c r="AR16" s="11"/>
      <c r="AS16" s="11"/>
      <c r="AT16" s="11"/>
    </row>
    <row r="17" spans="1:46" x14ac:dyDescent="0.15">
      <c r="A17" s="54" t="s">
        <v>593</v>
      </c>
      <c r="B17" s="11" t="s">
        <v>594</v>
      </c>
      <c r="C17" s="11" t="s">
        <v>151</v>
      </c>
      <c r="D17" s="14" t="s">
        <v>595</v>
      </c>
      <c r="E17" s="11" t="s">
        <v>548</v>
      </c>
      <c r="F17" s="14" t="s">
        <v>596</v>
      </c>
      <c r="G17" s="14" t="s">
        <v>597</v>
      </c>
      <c r="H17" s="14" t="s">
        <v>598</v>
      </c>
      <c r="I17" s="14" t="s">
        <v>599</v>
      </c>
      <c r="J17" s="14" t="s">
        <v>598</v>
      </c>
      <c r="K17" s="14" t="s">
        <v>572</v>
      </c>
      <c r="L17" s="14"/>
      <c r="M17" s="14">
        <v>10102313.33</v>
      </c>
      <c r="N17" s="14"/>
      <c r="O17" s="14"/>
      <c r="P17" s="14">
        <v>0</v>
      </c>
      <c r="Q17" s="14"/>
      <c r="R17" s="14"/>
      <c r="S17" s="14"/>
      <c r="T17" s="11" t="s">
        <v>517</v>
      </c>
      <c r="U17" s="11" t="s">
        <v>600</v>
      </c>
      <c r="V17" s="14">
        <v>0.05</v>
      </c>
      <c r="W17" s="14">
        <f>M17*V17</f>
        <v>505115.66650000005</v>
      </c>
      <c r="X17" s="14">
        <v>505116</v>
      </c>
      <c r="Y17" s="14">
        <f t="shared" si="1"/>
        <v>505116</v>
      </c>
      <c r="Z17" s="14">
        <f t="shared" si="2"/>
        <v>-0.33349999994970858</v>
      </c>
      <c r="AA17" s="14"/>
      <c r="AB17" s="14"/>
      <c r="AC17" s="11">
        <v>8081848.8399999999</v>
      </c>
      <c r="AD17" s="11">
        <v>8081848.8399999999</v>
      </c>
      <c r="AE17" s="14">
        <f t="shared" si="3"/>
        <v>0.79999981944729481</v>
      </c>
      <c r="AF17" s="14"/>
      <c r="AG17" s="14"/>
      <c r="AH17" s="14">
        <v>7517811.9900000002</v>
      </c>
      <c r="AI17" s="14"/>
      <c r="AJ17" s="14"/>
      <c r="AK17" s="14"/>
      <c r="AL17" s="14">
        <f t="shared" si="4"/>
        <v>7517811.9900000002</v>
      </c>
      <c r="AM17" s="14"/>
      <c r="AN17" s="14">
        <f t="shared" si="15"/>
        <v>0</v>
      </c>
      <c r="AO17" s="14">
        <v>306828.08</v>
      </c>
      <c r="AP17" s="14">
        <f>AO17</f>
        <v>306828.08</v>
      </c>
      <c r="AQ17" s="14">
        <v>-306828.08</v>
      </c>
      <c r="AR17" s="11"/>
      <c r="AS17" s="11"/>
      <c r="AT17" s="11"/>
    </row>
    <row r="18" spans="1:46" x14ac:dyDescent="0.15">
      <c r="A18" s="54" t="s">
        <v>601</v>
      </c>
      <c r="B18" s="11" t="s">
        <v>602</v>
      </c>
      <c r="C18" s="11" t="s">
        <v>160</v>
      </c>
      <c r="D18" s="11" t="s">
        <v>603</v>
      </c>
      <c r="E18" s="11" t="s">
        <v>515</v>
      </c>
      <c r="F18" s="11" t="s">
        <v>604</v>
      </c>
      <c r="G18" s="11" t="s">
        <v>605</v>
      </c>
      <c r="H18" s="11" t="s">
        <v>606</v>
      </c>
      <c r="I18" s="11" t="s">
        <v>607</v>
      </c>
      <c r="J18" s="11" t="s">
        <v>606</v>
      </c>
      <c r="K18" s="11" t="s">
        <v>517</v>
      </c>
      <c r="L18" s="11"/>
      <c r="M18" s="11">
        <v>5400000</v>
      </c>
      <c r="N18" s="11"/>
      <c r="O18" s="11"/>
      <c r="P18" s="11"/>
      <c r="Q18" s="11"/>
      <c r="R18" s="11"/>
      <c r="S18" s="11"/>
      <c r="T18" s="11" t="s">
        <v>517</v>
      </c>
      <c r="U18" s="11" t="s">
        <v>600</v>
      </c>
      <c r="V18" s="11">
        <v>0.04</v>
      </c>
      <c r="W18" s="11">
        <f t="shared" si="7"/>
        <v>216000</v>
      </c>
      <c r="X18" s="11">
        <v>216000</v>
      </c>
      <c r="Y18" s="11">
        <f t="shared" si="1"/>
        <v>216000</v>
      </c>
      <c r="Z18" s="11">
        <f t="shared" si="2"/>
        <v>0</v>
      </c>
      <c r="AA18" s="11"/>
      <c r="AB18" s="11"/>
      <c r="AC18" s="11">
        <v>4236242</v>
      </c>
      <c r="AD18" s="11">
        <v>4236242</v>
      </c>
      <c r="AE18" s="11">
        <f t="shared" si="3"/>
        <v>0.78448925925925928</v>
      </c>
      <c r="AF18" s="11"/>
      <c r="AG18" s="11"/>
      <c r="AH18" s="11">
        <v>4091973.96</v>
      </c>
      <c r="AI18" s="11"/>
      <c r="AJ18" s="11"/>
      <c r="AK18" s="11"/>
      <c r="AL18" s="11">
        <f t="shared" si="4"/>
        <v>4091973.96</v>
      </c>
      <c r="AM18" s="11">
        <v>3.4000000000000002E-2</v>
      </c>
      <c r="AN18" s="11">
        <f t="shared" si="15"/>
        <v>183600</v>
      </c>
      <c r="AO18" s="11">
        <v>144033</v>
      </c>
      <c r="AP18" s="11">
        <f t="shared" si="5"/>
        <v>144033</v>
      </c>
      <c r="AQ18" s="11">
        <f t="shared" si="6"/>
        <v>39567</v>
      </c>
      <c r="AR18" s="11"/>
      <c r="AS18" s="11"/>
      <c r="AT18" s="11"/>
    </row>
    <row r="19" spans="1:46" x14ac:dyDescent="0.15">
      <c r="A19" s="54" t="s">
        <v>601</v>
      </c>
      <c r="B19" s="11" t="s">
        <v>602</v>
      </c>
      <c r="C19" s="11" t="s">
        <v>608</v>
      </c>
      <c r="D19" s="11" t="s">
        <v>603</v>
      </c>
      <c r="E19" s="11" t="s">
        <v>515</v>
      </c>
      <c r="F19" s="11" t="s">
        <v>604</v>
      </c>
      <c r="G19" s="11" t="s">
        <v>609</v>
      </c>
      <c r="H19" s="11" t="s">
        <v>606</v>
      </c>
      <c r="I19" s="11" t="s">
        <v>610</v>
      </c>
      <c r="J19" s="11" t="s">
        <v>611</v>
      </c>
      <c r="K19" s="11" t="s">
        <v>517</v>
      </c>
      <c r="L19" s="11"/>
      <c r="M19" s="11">
        <v>248322.8</v>
      </c>
      <c r="N19" s="11"/>
      <c r="O19" s="11"/>
      <c r="P19" s="11"/>
      <c r="Q19" s="11"/>
      <c r="R19" s="11"/>
      <c r="S19" s="11"/>
      <c r="T19" s="11" t="s">
        <v>517</v>
      </c>
      <c r="U19" s="11" t="s">
        <v>600</v>
      </c>
      <c r="V19" s="11">
        <v>0.04</v>
      </c>
      <c r="W19" s="11">
        <f t="shared" si="7"/>
        <v>9932.9120000000003</v>
      </c>
      <c r="X19" s="11">
        <v>9933</v>
      </c>
      <c r="Y19" s="11">
        <f t="shared" si="1"/>
        <v>9933</v>
      </c>
      <c r="Z19" s="11">
        <f t="shared" si="2"/>
        <v>-8.7999999999738066E-2</v>
      </c>
      <c r="AA19" s="11"/>
      <c r="AB19" s="11"/>
      <c r="AC19" s="11">
        <v>0</v>
      </c>
      <c r="AD19" s="11">
        <v>0</v>
      </c>
      <c r="AE19" s="11">
        <f t="shared" si="3"/>
        <v>0</v>
      </c>
      <c r="AF19" s="11"/>
      <c r="AG19" s="11"/>
      <c r="AH19" s="11"/>
      <c r="AI19" s="11"/>
      <c r="AJ19" s="11"/>
      <c r="AK19" s="11"/>
      <c r="AL19" s="11">
        <f t="shared" si="4"/>
        <v>0</v>
      </c>
      <c r="AM19" s="11"/>
      <c r="AN19" s="11">
        <f t="shared" si="15"/>
        <v>0</v>
      </c>
      <c r="AO19" s="11"/>
      <c r="AP19" s="11">
        <f t="shared" si="5"/>
        <v>0</v>
      </c>
      <c r="AQ19" s="11">
        <f t="shared" si="6"/>
        <v>0</v>
      </c>
      <c r="AR19" s="11"/>
      <c r="AS19" s="11"/>
      <c r="AT19" s="11"/>
    </row>
    <row r="20" spans="1:46" x14ac:dyDescent="0.15">
      <c r="A20" s="54" t="s">
        <v>612</v>
      </c>
      <c r="B20" s="11" t="s">
        <v>594</v>
      </c>
      <c r="C20" s="11" t="s">
        <v>613</v>
      </c>
      <c r="D20" s="11" t="s">
        <v>614</v>
      </c>
      <c r="E20" s="11" t="s">
        <v>515</v>
      </c>
      <c r="F20" s="11" t="s">
        <v>615</v>
      </c>
      <c r="G20" s="11" t="s">
        <v>616</v>
      </c>
      <c r="H20" s="14" t="s">
        <v>598</v>
      </c>
      <c r="I20" s="14" t="s">
        <v>617</v>
      </c>
      <c r="J20" s="14" t="s">
        <v>618</v>
      </c>
      <c r="K20" s="11" t="s">
        <v>526</v>
      </c>
      <c r="L20" s="11"/>
      <c r="M20" s="11">
        <v>1095654</v>
      </c>
      <c r="N20" s="11"/>
      <c r="O20" s="11"/>
      <c r="P20" s="11"/>
      <c r="Q20" s="11"/>
      <c r="R20" s="11"/>
      <c r="S20" s="11"/>
      <c r="T20" s="11" t="s">
        <v>517</v>
      </c>
      <c r="U20" s="11" t="s">
        <v>600</v>
      </c>
      <c r="V20" s="11">
        <v>0.04</v>
      </c>
      <c r="W20" s="11">
        <f t="shared" si="7"/>
        <v>43826.16</v>
      </c>
      <c r="X20" s="11">
        <v>43827</v>
      </c>
      <c r="Y20" s="11">
        <f t="shared" si="1"/>
        <v>43827</v>
      </c>
      <c r="Z20" s="11">
        <f t="shared" si="2"/>
        <v>-0.83999999999650754</v>
      </c>
      <c r="AA20" s="11"/>
      <c r="AB20" s="11"/>
      <c r="AC20" s="11">
        <v>930000</v>
      </c>
      <c r="AD20" s="11">
        <v>930000</v>
      </c>
      <c r="AE20" s="11">
        <f t="shared" si="3"/>
        <v>0.8488081091293419</v>
      </c>
      <c r="AF20" s="11"/>
      <c r="AG20" s="11"/>
      <c r="AH20" s="11">
        <v>898120.15</v>
      </c>
      <c r="AI20" s="11"/>
      <c r="AJ20" s="11"/>
      <c r="AK20" s="11"/>
      <c r="AL20" s="11">
        <f t="shared" si="4"/>
        <v>898120.15</v>
      </c>
      <c r="AM20" s="11">
        <v>3.4599999999999999E-2</v>
      </c>
      <c r="AN20" s="11">
        <f t="shared" si="15"/>
        <v>37909.628400000001</v>
      </c>
      <c r="AO20" s="11">
        <v>31620</v>
      </c>
      <c r="AP20" s="11">
        <f t="shared" si="5"/>
        <v>31620</v>
      </c>
      <c r="AQ20" s="11">
        <f t="shared" si="6"/>
        <v>6289.6284000000014</v>
      </c>
      <c r="AR20" s="11"/>
      <c r="AS20" s="11"/>
      <c r="AT20" s="11"/>
    </row>
    <row r="21" spans="1:46" x14ac:dyDescent="0.15">
      <c r="A21" s="54" t="s">
        <v>619</v>
      </c>
      <c r="B21" s="11" t="s">
        <v>620</v>
      </c>
      <c r="C21" s="11" t="s">
        <v>169</v>
      </c>
      <c r="D21" s="11" t="s">
        <v>621</v>
      </c>
      <c r="E21" s="11" t="s">
        <v>515</v>
      </c>
      <c r="F21" s="11" t="s">
        <v>622</v>
      </c>
      <c r="G21" s="11" t="s">
        <v>623</v>
      </c>
      <c r="H21" s="11" t="s">
        <v>624</v>
      </c>
      <c r="I21" s="11" t="s">
        <v>625</v>
      </c>
      <c r="J21" s="11" t="s">
        <v>626</v>
      </c>
      <c r="K21" s="11" t="s">
        <v>572</v>
      </c>
      <c r="L21" s="11"/>
      <c r="M21" s="11">
        <v>7400000</v>
      </c>
      <c r="N21" s="11"/>
      <c r="O21" s="11"/>
      <c r="P21" s="11"/>
      <c r="Q21" s="11"/>
      <c r="R21" s="11"/>
      <c r="S21" s="11"/>
      <c r="T21" s="11" t="s">
        <v>526</v>
      </c>
      <c r="U21" s="11" t="s">
        <v>600</v>
      </c>
      <c r="V21" s="11">
        <v>0.04</v>
      </c>
      <c r="W21" s="11">
        <f t="shared" si="7"/>
        <v>296000</v>
      </c>
      <c r="X21" s="11">
        <v>296000</v>
      </c>
      <c r="Y21" s="11">
        <f t="shared" si="1"/>
        <v>296000</v>
      </c>
      <c r="Z21" s="11">
        <f t="shared" si="2"/>
        <v>0</v>
      </c>
      <c r="AA21" s="11"/>
      <c r="AB21" s="11"/>
      <c r="AC21" s="11">
        <v>3132050</v>
      </c>
      <c r="AD21" s="11">
        <v>3132050</v>
      </c>
      <c r="AE21" s="11">
        <f t="shared" si="3"/>
        <v>0.42325000000000002</v>
      </c>
      <c r="AF21" s="11"/>
      <c r="AG21" s="11"/>
      <c r="AH21" s="11">
        <v>3103690</v>
      </c>
      <c r="AI21" s="11"/>
      <c r="AJ21" s="11"/>
      <c r="AK21" s="11"/>
      <c r="AL21" s="11">
        <f t="shared" si="4"/>
        <v>3103690</v>
      </c>
      <c r="AM21" s="11">
        <v>3.4000000000000002E-2</v>
      </c>
      <c r="AN21" s="11">
        <f t="shared" si="15"/>
        <v>251600.00000000003</v>
      </c>
      <c r="AO21" s="11">
        <v>54365.42</v>
      </c>
      <c r="AP21" s="11">
        <f t="shared" si="5"/>
        <v>54365.42</v>
      </c>
      <c r="AQ21" s="11">
        <f t="shared" si="6"/>
        <v>197234.58000000002</v>
      </c>
      <c r="AR21" s="11"/>
      <c r="AS21" s="11"/>
      <c r="AT21" s="11"/>
    </row>
    <row r="22" spans="1:46" x14ac:dyDescent="0.15">
      <c r="A22" s="54" t="s">
        <v>619</v>
      </c>
      <c r="B22" s="11" t="s">
        <v>620</v>
      </c>
      <c r="C22" s="11" t="s">
        <v>627</v>
      </c>
      <c r="D22" s="11" t="s">
        <v>628</v>
      </c>
      <c r="E22" s="11" t="s">
        <v>515</v>
      </c>
      <c r="F22" s="11" t="s">
        <v>622</v>
      </c>
      <c r="G22" s="11" t="s">
        <v>623</v>
      </c>
      <c r="H22" s="11" t="s">
        <v>629</v>
      </c>
      <c r="I22" s="11" t="s">
        <v>630</v>
      </c>
      <c r="J22" s="11" t="s">
        <v>626</v>
      </c>
      <c r="K22" s="11" t="s">
        <v>572</v>
      </c>
      <c r="L22" s="11"/>
      <c r="M22" s="11">
        <v>1679000</v>
      </c>
      <c r="N22" s="11"/>
      <c r="O22" s="11"/>
      <c r="P22" s="11"/>
      <c r="Q22" s="11"/>
      <c r="R22" s="11"/>
      <c r="S22" s="11"/>
      <c r="T22" s="11" t="s">
        <v>526</v>
      </c>
      <c r="U22" s="11" t="s">
        <v>600</v>
      </c>
      <c r="V22" s="11">
        <v>3.5999999999999997E-2</v>
      </c>
      <c r="W22" s="11">
        <f t="shared" si="7"/>
        <v>60443.999999999993</v>
      </c>
      <c r="X22" s="11">
        <v>0</v>
      </c>
      <c r="Y22" s="11">
        <f t="shared" si="1"/>
        <v>0</v>
      </c>
      <c r="Z22" s="11">
        <f t="shared" si="2"/>
        <v>60443.999999999993</v>
      </c>
      <c r="AA22" s="11"/>
      <c r="AB22" s="11"/>
      <c r="AC22" s="11">
        <v>0</v>
      </c>
      <c r="AD22" s="11">
        <v>0</v>
      </c>
      <c r="AE22" s="11">
        <f t="shared" si="3"/>
        <v>0</v>
      </c>
      <c r="AF22" s="11"/>
      <c r="AG22" s="11"/>
      <c r="AH22" s="11"/>
      <c r="AI22" s="11"/>
      <c r="AJ22" s="11"/>
      <c r="AK22" s="11"/>
      <c r="AL22" s="11">
        <f t="shared" si="4"/>
        <v>0</v>
      </c>
      <c r="AM22" s="11">
        <v>3.4000000000000002E-2</v>
      </c>
      <c r="AN22" s="11">
        <f t="shared" si="15"/>
        <v>57086.000000000007</v>
      </c>
      <c r="AO22" s="11">
        <v>0</v>
      </c>
      <c r="AP22" s="11">
        <f t="shared" si="5"/>
        <v>0</v>
      </c>
      <c r="AQ22" s="11">
        <f t="shared" si="6"/>
        <v>57086.000000000007</v>
      </c>
      <c r="AR22" s="11"/>
      <c r="AS22" s="11"/>
      <c r="AT22" s="11"/>
    </row>
    <row r="23" spans="1:46" x14ac:dyDescent="0.15">
      <c r="A23" s="54" t="s">
        <v>619</v>
      </c>
      <c r="B23" s="11" t="s">
        <v>631</v>
      </c>
      <c r="C23" s="11" t="s">
        <v>632</v>
      </c>
      <c r="D23" s="11" t="s">
        <v>633</v>
      </c>
      <c r="E23" s="11" t="s">
        <v>548</v>
      </c>
      <c r="F23" s="11" t="s">
        <v>634</v>
      </c>
      <c r="G23" s="11" t="s">
        <v>635</v>
      </c>
      <c r="H23" s="11" t="s">
        <v>636</v>
      </c>
      <c r="I23" s="11" t="s">
        <v>637</v>
      </c>
      <c r="J23" s="11" t="s">
        <v>636</v>
      </c>
      <c r="K23" s="11" t="s">
        <v>526</v>
      </c>
      <c r="L23" s="11"/>
      <c r="M23" s="11">
        <v>1424272.9</v>
      </c>
      <c r="N23" s="11"/>
      <c r="O23" s="11"/>
      <c r="P23" s="11">
        <v>679820</v>
      </c>
      <c r="Q23" s="11"/>
      <c r="R23" s="11"/>
      <c r="S23" s="11"/>
      <c r="T23" s="11" t="s">
        <v>517</v>
      </c>
      <c r="U23" s="11" t="s">
        <v>638</v>
      </c>
      <c r="V23" s="11">
        <v>0.04</v>
      </c>
      <c r="W23" s="11">
        <f>V23*P23</f>
        <v>27192.799999999999</v>
      </c>
      <c r="X23" s="11">
        <v>27192.799999999999</v>
      </c>
      <c r="Y23" s="11">
        <f t="shared" si="1"/>
        <v>27192.799999999999</v>
      </c>
      <c r="Z23" s="11">
        <f t="shared" si="2"/>
        <v>0</v>
      </c>
      <c r="AA23" s="11"/>
      <c r="AB23" s="11"/>
      <c r="AC23" s="11">
        <v>646009</v>
      </c>
      <c r="AD23" s="11">
        <v>646009</v>
      </c>
      <c r="AE23" s="11">
        <f>AC23/P23</f>
        <v>0.95026477597010972</v>
      </c>
      <c r="AF23" s="11"/>
      <c r="AG23" s="11"/>
      <c r="AH23" s="11">
        <v>620287.39</v>
      </c>
      <c r="AI23" s="11"/>
      <c r="AJ23" s="11"/>
      <c r="AK23" s="11"/>
      <c r="AL23" s="11">
        <f t="shared" si="4"/>
        <v>620287.39</v>
      </c>
      <c r="AM23" s="11">
        <v>3.4000000000000002E-2</v>
      </c>
      <c r="AN23" s="11">
        <f>AM23*P23</f>
        <v>23113.88</v>
      </c>
      <c r="AO23" s="11">
        <v>21965.39</v>
      </c>
      <c r="AP23" s="11">
        <f t="shared" si="5"/>
        <v>21965.39</v>
      </c>
      <c r="AQ23" s="11">
        <f t="shared" si="6"/>
        <v>1148.4900000000016</v>
      </c>
      <c r="AR23" s="11"/>
      <c r="AS23" s="11"/>
      <c r="AT23" s="11"/>
    </row>
    <row r="24" spans="1:46" x14ac:dyDescent="0.15">
      <c r="A24" s="54" t="s">
        <v>619</v>
      </c>
      <c r="B24" s="11" t="s">
        <v>553</v>
      </c>
      <c r="C24" s="11" t="s">
        <v>171</v>
      </c>
      <c r="D24" s="11" t="s">
        <v>639</v>
      </c>
      <c r="E24" s="11" t="s">
        <v>548</v>
      </c>
      <c r="F24" s="11" t="s">
        <v>640</v>
      </c>
      <c r="G24" s="11" t="s">
        <v>641</v>
      </c>
      <c r="H24" s="11"/>
      <c r="I24" s="11"/>
      <c r="J24" s="11"/>
      <c r="K24" s="11" t="s">
        <v>572</v>
      </c>
      <c r="L24" s="11"/>
      <c r="M24" s="11">
        <v>560000</v>
      </c>
      <c r="N24" s="11"/>
      <c r="O24" s="11"/>
      <c r="P24" s="11"/>
      <c r="Q24" s="11"/>
      <c r="R24" s="11"/>
      <c r="S24" s="11"/>
      <c r="T24" s="11" t="s">
        <v>526</v>
      </c>
      <c r="U24" s="11" t="s">
        <v>600</v>
      </c>
      <c r="V24" s="11">
        <v>6.5000000000000002E-2</v>
      </c>
      <c r="W24" s="11">
        <f>M24*V24</f>
        <v>36400</v>
      </c>
      <c r="X24" s="11">
        <v>36400</v>
      </c>
      <c r="Y24" s="11">
        <f t="shared" si="1"/>
        <v>36400</v>
      </c>
      <c r="Z24" s="11">
        <f t="shared" si="2"/>
        <v>0</v>
      </c>
      <c r="AA24" s="11"/>
      <c r="AB24" s="11"/>
      <c r="AC24" s="11">
        <v>0</v>
      </c>
      <c r="AD24" s="11">
        <v>0</v>
      </c>
      <c r="AE24" s="11">
        <f t="shared" ref="AE24:AE86" si="16">AC24/M24</f>
        <v>0</v>
      </c>
      <c r="AF24" s="11"/>
      <c r="AG24" s="11"/>
      <c r="AH24" s="11"/>
      <c r="AI24" s="11"/>
      <c r="AJ24" s="11"/>
      <c r="AK24" s="11"/>
      <c r="AL24" s="11">
        <f t="shared" si="4"/>
        <v>0</v>
      </c>
      <c r="AM24" s="11"/>
      <c r="AN24" s="11">
        <f>M24*AM24</f>
        <v>0</v>
      </c>
      <c r="AO24" s="11"/>
      <c r="AP24" s="11">
        <f t="shared" si="5"/>
        <v>0</v>
      </c>
      <c r="AQ24" s="11">
        <f>AN24-AO24</f>
        <v>0</v>
      </c>
      <c r="AR24" s="11"/>
      <c r="AS24" s="11"/>
      <c r="AT24" s="11"/>
    </row>
    <row r="25" spans="1:46" x14ac:dyDescent="0.15">
      <c r="A25" s="54" t="s">
        <v>619</v>
      </c>
      <c r="B25" s="11" t="s">
        <v>642</v>
      </c>
      <c r="C25" s="11" t="s">
        <v>173</v>
      </c>
      <c r="D25" s="11" t="s">
        <v>643</v>
      </c>
      <c r="E25" s="11" t="s">
        <v>548</v>
      </c>
      <c r="F25" s="11" t="s">
        <v>644</v>
      </c>
      <c r="G25" s="11" t="s">
        <v>645</v>
      </c>
      <c r="H25" s="11" t="s">
        <v>646</v>
      </c>
      <c r="I25" s="11" t="s">
        <v>647</v>
      </c>
      <c r="J25" s="11" t="s">
        <v>648</v>
      </c>
      <c r="K25" s="11" t="s">
        <v>526</v>
      </c>
      <c r="L25" s="11"/>
      <c r="M25" s="11">
        <v>10496879</v>
      </c>
      <c r="N25" s="11"/>
      <c r="O25" s="11"/>
      <c r="P25" s="11">
        <v>12240225</v>
      </c>
      <c r="Q25" s="11"/>
      <c r="R25" s="11"/>
      <c r="S25" s="11"/>
      <c r="T25" s="11" t="s">
        <v>526</v>
      </c>
      <c r="U25" s="11" t="s">
        <v>638</v>
      </c>
      <c r="V25" s="11">
        <v>3.5000000000000003E-2</v>
      </c>
      <c r="W25" s="11">
        <f>V25*P25</f>
        <v>428407.87500000006</v>
      </c>
      <c r="X25" s="11">
        <v>367390.76</v>
      </c>
      <c r="Y25" s="11">
        <f t="shared" si="1"/>
        <v>367390.76</v>
      </c>
      <c r="Z25" s="11">
        <f t="shared" si="2"/>
        <v>61017.115000000049</v>
      </c>
      <c r="AA25" s="11"/>
      <c r="AB25" s="11"/>
      <c r="AC25" s="11">
        <v>9807180.1999999993</v>
      </c>
      <c r="AD25" s="11">
        <v>9807180.1999999993</v>
      </c>
      <c r="AE25" s="11">
        <f t="shared" si="16"/>
        <v>0.93429486993229127</v>
      </c>
      <c r="AF25" s="11"/>
      <c r="AG25" s="11"/>
      <c r="AH25" s="11">
        <v>9234785.1899999995</v>
      </c>
      <c r="AI25" s="11"/>
      <c r="AJ25" s="11"/>
      <c r="AK25" s="11"/>
      <c r="AL25" s="11">
        <f t="shared" si="4"/>
        <v>9234785.1899999995</v>
      </c>
      <c r="AM25" s="11"/>
      <c r="AN25" s="11">
        <v>414478.41</v>
      </c>
      <c r="AO25" s="11">
        <v>414478.41</v>
      </c>
      <c r="AP25" s="11">
        <v>414478.41</v>
      </c>
      <c r="AQ25" s="11">
        <v>0</v>
      </c>
      <c r="AR25" s="11"/>
      <c r="AS25" s="11"/>
      <c r="AT25" s="11"/>
    </row>
    <row r="26" spans="1:46" x14ac:dyDescent="0.15">
      <c r="A26" s="54" t="s">
        <v>649</v>
      </c>
      <c r="B26" s="11" t="s">
        <v>602</v>
      </c>
      <c r="C26" s="11" t="s">
        <v>650</v>
      </c>
      <c r="D26" s="11" t="s">
        <v>651</v>
      </c>
      <c r="E26" s="11" t="s">
        <v>548</v>
      </c>
      <c r="F26" s="11" t="s">
        <v>652</v>
      </c>
      <c r="G26" s="11" t="s">
        <v>653</v>
      </c>
      <c r="H26" s="11" t="s">
        <v>611</v>
      </c>
      <c r="I26" s="11" t="s">
        <v>607</v>
      </c>
      <c r="J26" s="11" t="s">
        <v>611</v>
      </c>
      <c r="K26" s="11" t="s">
        <v>526</v>
      </c>
      <c r="L26" s="11"/>
      <c r="M26" s="11">
        <v>3323897.08</v>
      </c>
      <c r="N26" s="11"/>
      <c r="O26" s="11"/>
      <c r="P26" s="11">
        <v>4884000</v>
      </c>
      <c r="Q26" s="11"/>
      <c r="R26" s="11"/>
      <c r="S26" s="11"/>
      <c r="T26" s="11" t="s">
        <v>526</v>
      </c>
      <c r="U26" s="11" t="s">
        <v>638</v>
      </c>
      <c r="V26" s="11">
        <v>0.04</v>
      </c>
      <c r="W26" s="11">
        <f>V26*P26</f>
        <v>195360</v>
      </c>
      <c r="X26" s="11">
        <v>195360</v>
      </c>
      <c r="Y26" s="11">
        <f t="shared" si="1"/>
        <v>195360</v>
      </c>
      <c r="Z26" s="11">
        <f t="shared" si="2"/>
        <v>0</v>
      </c>
      <c r="AA26" s="11"/>
      <c r="AB26" s="11"/>
      <c r="AC26" s="11">
        <v>3816858</v>
      </c>
      <c r="AD26" s="11">
        <v>3816858</v>
      </c>
      <c r="AE26" s="11">
        <f t="shared" si="16"/>
        <v>1.1483081178915444</v>
      </c>
      <c r="AF26" s="11"/>
      <c r="AG26" s="11"/>
      <c r="AH26" s="11">
        <v>3658680.67</v>
      </c>
      <c r="AI26" s="11"/>
      <c r="AJ26" s="11"/>
      <c r="AK26" s="11"/>
      <c r="AL26" s="11">
        <f t="shared" si="4"/>
        <v>3658680.67</v>
      </c>
      <c r="AM26" s="11">
        <v>3.4000000000000002E-2</v>
      </c>
      <c r="AN26" s="11">
        <f>AM26*M26</f>
        <v>113012.50072000001</v>
      </c>
      <c r="AO26" s="11">
        <v>129743</v>
      </c>
      <c r="AP26" s="11">
        <f>AO26</f>
        <v>129743</v>
      </c>
      <c r="AQ26" s="11">
        <f>AN26-AO26</f>
        <v>-16730.499279999989</v>
      </c>
      <c r="AR26" s="11"/>
      <c r="AS26" s="11"/>
      <c r="AT26" s="11"/>
    </row>
    <row r="27" spans="1:46" x14ac:dyDescent="0.15">
      <c r="A27" s="54" t="s">
        <v>654</v>
      </c>
      <c r="B27" s="11" t="s">
        <v>532</v>
      </c>
      <c r="C27" s="11" t="s">
        <v>194</v>
      </c>
      <c r="D27" s="11" t="s">
        <v>655</v>
      </c>
      <c r="E27" s="11" t="s">
        <v>515</v>
      </c>
      <c r="F27" s="14" t="s">
        <v>656</v>
      </c>
      <c r="G27" s="14" t="s">
        <v>591</v>
      </c>
      <c r="H27" s="14" t="s">
        <v>537</v>
      </c>
      <c r="I27" s="14" t="s">
        <v>592</v>
      </c>
      <c r="J27" s="14" t="s">
        <v>537</v>
      </c>
      <c r="K27" s="14" t="s">
        <v>572</v>
      </c>
      <c r="L27" s="11"/>
      <c r="M27" s="11">
        <v>24479188</v>
      </c>
      <c r="N27" s="11"/>
      <c r="O27" s="11"/>
      <c r="P27" s="11"/>
      <c r="Q27" s="11"/>
      <c r="R27" s="11"/>
      <c r="S27" s="11"/>
      <c r="T27" s="11" t="s">
        <v>526</v>
      </c>
      <c r="U27" s="11" t="s">
        <v>600</v>
      </c>
      <c r="V27" s="11">
        <v>3.5000000000000003E-2</v>
      </c>
      <c r="W27" s="11">
        <f t="shared" si="7"/>
        <v>856771.58000000007</v>
      </c>
      <c r="X27" s="11">
        <v>856771.58</v>
      </c>
      <c r="Y27" s="11">
        <f t="shared" si="1"/>
        <v>856771.58</v>
      </c>
      <c r="Z27" s="11">
        <f t="shared" si="2"/>
        <v>0</v>
      </c>
      <c r="AA27" s="11"/>
      <c r="AB27" s="11"/>
      <c r="AC27" s="11">
        <v>14834162.02</v>
      </c>
      <c r="AD27" s="11">
        <v>14834162.02</v>
      </c>
      <c r="AE27" s="11">
        <f t="shared" si="16"/>
        <v>0.60599077142591495</v>
      </c>
      <c r="AF27" s="11"/>
      <c r="AG27" s="11"/>
      <c r="AH27" s="11">
        <v>14128142.74</v>
      </c>
      <c r="AI27" s="11"/>
      <c r="AJ27" s="11"/>
      <c r="AK27" s="11"/>
      <c r="AL27" s="11">
        <f t="shared" si="4"/>
        <v>14128142.74</v>
      </c>
      <c r="AM27" s="11">
        <v>3.6999999999999998E-2</v>
      </c>
      <c r="AN27" s="11">
        <f>M27*AM27</f>
        <v>905729.95600000001</v>
      </c>
      <c r="AO27" s="11">
        <v>603593.67000000004</v>
      </c>
      <c r="AP27" s="11">
        <f t="shared" si="5"/>
        <v>603593.67000000004</v>
      </c>
      <c r="AQ27" s="11">
        <f t="shared" si="6"/>
        <v>302136.28599999996</v>
      </c>
      <c r="AR27" s="11"/>
      <c r="AS27" s="11"/>
      <c r="AT27" s="11"/>
    </row>
    <row r="28" spans="1:46" x14ac:dyDescent="0.15">
      <c r="A28" s="54" t="s">
        <v>657</v>
      </c>
      <c r="B28" s="11" t="s">
        <v>564</v>
      </c>
      <c r="C28" s="11" t="s">
        <v>200</v>
      </c>
      <c r="D28" s="11" t="s">
        <v>658</v>
      </c>
      <c r="E28" s="11" t="s">
        <v>548</v>
      </c>
      <c r="F28" s="11" t="s">
        <v>659</v>
      </c>
      <c r="G28" s="11" t="s">
        <v>660</v>
      </c>
      <c r="H28" s="11" t="s">
        <v>571</v>
      </c>
      <c r="I28" s="11" t="s">
        <v>570</v>
      </c>
      <c r="J28" s="11" t="s">
        <v>571</v>
      </c>
      <c r="K28" s="11" t="s">
        <v>661</v>
      </c>
      <c r="L28" s="11"/>
      <c r="M28" s="11">
        <v>735929</v>
      </c>
      <c r="N28" s="11"/>
      <c r="O28" s="11"/>
      <c r="P28" s="11"/>
      <c r="Q28" s="11"/>
      <c r="R28" s="11"/>
      <c r="S28" s="11"/>
      <c r="T28" s="11" t="s">
        <v>662</v>
      </c>
      <c r="U28" s="11" t="s">
        <v>663</v>
      </c>
      <c r="V28" s="11">
        <v>0.04</v>
      </c>
      <c r="W28" s="11">
        <f>M28*V28+3000</f>
        <v>32437.16</v>
      </c>
      <c r="X28" s="11">
        <v>32438</v>
      </c>
      <c r="Y28" s="11">
        <f t="shared" si="1"/>
        <v>32438</v>
      </c>
      <c r="Z28" s="11">
        <f t="shared" si="2"/>
        <v>-0.84000000000014552</v>
      </c>
      <c r="AA28" s="11"/>
      <c r="AB28" s="11"/>
      <c r="AC28" s="11">
        <v>369939.53</v>
      </c>
      <c r="AD28" s="11">
        <v>369939.53</v>
      </c>
      <c r="AE28" s="11">
        <f t="shared" si="16"/>
        <v>0.50268372356572444</v>
      </c>
      <c r="AF28" s="11"/>
      <c r="AG28" s="11"/>
      <c r="AH28" s="11">
        <v>369384</v>
      </c>
      <c r="AI28" s="11"/>
      <c r="AJ28" s="11"/>
      <c r="AK28" s="11"/>
      <c r="AL28" s="11">
        <f t="shared" si="4"/>
        <v>369384</v>
      </c>
      <c r="AM28" s="11"/>
      <c r="AN28" s="11">
        <f>M28*AM28</f>
        <v>0</v>
      </c>
      <c r="AO28" s="11"/>
      <c r="AP28" s="11">
        <f t="shared" si="5"/>
        <v>0</v>
      </c>
      <c r="AQ28" s="11">
        <f t="shared" si="6"/>
        <v>0</v>
      </c>
      <c r="AR28" s="11"/>
      <c r="AS28" s="11"/>
      <c r="AT28" s="11"/>
    </row>
    <row r="29" spans="1:46" x14ac:dyDescent="0.15">
      <c r="A29" s="54" t="s">
        <v>664</v>
      </c>
      <c r="B29" s="11" t="s">
        <v>575</v>
      </c>
      <c r="C29" s="11" t="s">
        <v>210</v>
      </c>
      <c r="D29" s="11" t="s">
        <v>665</v>
      </c>
      <c r="E29" s="11" t="s">
        <v>666</v>
      </c>
      <c r="F29" s="11" t="s">
        <v>665</v>
      </c>
      <c r="G29" s="11" t="s">
        <v>667</v>
      </c>
      <c r="H29" s="11" t="s">
        <v>668</v>
      </c>
      <c r="I29" s="14" t="s">
        <v>669</v>
      </c>
      <c r="J29" s="14" t="s">
        <v>670</v>
      </c>
      <c r="K29" s="11" t="s">
        <v>671</v>
      </c>
      <c r="L29" s="11"/>
      <c r="M29" s="11">
        <v>7457847.71</v>
      </c>
      <c r="N29" s="11"/>
      <c r="O29" s="11"/>
      <c r="P29" s="11"/>
      <c r="Q29" s="11"/>
      <c r="R29" s="11"/>
      <c r="S29" s="11"/>
      <c r="T29" s="11" t="s">
        <v>526</v>
      </c>
      <c r="U29" s="11" t="s">
        <v>600</v>
      </c>
      <c r="V29" s="11">
        <v>0.04</v>
      </c>
      <c r="W29" s="11">
        <f t="shared" si="7"/>
        <v>298313.90840000001</v>
      </c>
      <c r="X29" s="11">
        <v>298314</v>
      </c>
      <c r="Y29" s="11">
        <f t="shared" si="1"/>
        <v>298314</v>
      </c>
      <c r="Z29" s="11">
        <f t="shared" si="2"/>
        <v>-9.1599999985191971E-2</v>
      </c>
      <c r="AA29" s="11"/>
      <c r="AB29" s="11"/>
      <c r="AC29" s="11">
        <v>6847606.6600000001</v>
      </c>
      <c r="AD29" s="11">
        <v>6847606.6600000001</v>
      </c>
      <c r="AE29" s="11">
        <f t="shared" si="16"/>
        <v>0.91817464317731423</v>
      </c>
      <c r="AF29" s="11"/>
      <c r="AG29" s="11"/>
      <c r="AH29" s="11">
        <v>6685410.4400000004</v>
      </c>
      <c r="AI29" s="11"/>
      <c r="AJ29" s="11"/>
      <c r="AK29" s="11"/>
      <c r="AL29" s="11">
        <f t="shared" si="4"/>
        <v>6685410.4400000004</v>
      </c>
      <c r="AM29" s="11">
        <v>3.4000000000000002E-2</v>
      </c>
      <c r="AN29" s="11">
        <f>M29*AM29</f>
        <v>253566.82214</v>
      </c>
      <c r="AO29" s="11">
        <v>140035.07</v>
      </c>
      <c r="AP29" s="11">
        <f t="shared" si="5"/>
        <v>140035.07</v>
      </c>
      <c r="AQ29" s="11">
        <f t="shared" si="6"/>
        <v>113531.75214</v>
      </c>
      <c r="AR29" s="11"/>
      <c r="AS29" s="11"/>
      <c r="AT29" s="11"/>
    </row>
    <row r="30" spans="1:46" x14ac:dyDescent="0.15">
      <c r="A30" s="54" t="s">
        <v>672</v>
      </c>
      <c r="B30" s="11" t="s">
        <v>564</v>
      </c>
      <c r="C30" s="11" t="s">
        <v>223</v>
      </c>
      <c r="D30" s="11" t="s">
        <v>673</v>
      </c>
      <c r="E30" s="11" t="s">
        <v>548</v>
      </c>
      <c r="F30" s="11" t="s">
        <v>674</v>
      </c>
      <c r="G30" s="11" t="s">
        <v>675</v>
      </c>
      <c r="H30" s="11" t="s">
        <v>571</v>
      </c>
      <c r="I30" s="11" t="s">
        <v>570</v>
      </c>
      <c r="J30" s="11" t="s">
        <v>571</v>
      </c>
      <c r="K30" s="11" t="s">
        <v>527</v>
      </c>
      <c r="L30" s="11"/>
      <c r="M30" s="11">
        <v>4596832.51</v>
      </c>
      <c r="N30" s="11"/>
      <c r="O30" s="11"/>
      <c r="P30" s="11"/>
      <c r="Q30" s="11"/>
      <c r="R30" s="11"/>
      <c r="S30" s="11"/>
      <c r="T30" s="11" t="s">
        <v>559</v>
      </c>
      <c r="U30" s="11" t="s">
        <v>573</v>
      </c>
      <c r="V30" s="11">
        <v>0.04</v>
      </c>
      <c r="W30" s="11">
        <f t="shared" si="7"/>
        <v>183873.30040000001</v>
      </c>
      <c r="X30" s="11">
        <v>183873.89</v>
      </c>
      <c r="Y30" s="11">
        <f t="shared" si="1"/>
        <v>183873.89</v>
      </c>
      <c r="Z30" s="11">
        <f t="shared" si="2"/>
        <v>-0.58960000000661239</v>
      </c>
      <c r="AA30" s="11"/>
      <c r="AB30" s="11"/>
      <c r="AC30" s="11">
        <v>3403065.97</v>
      </c>
      <c r="AD30" s="11">
        <v>3403065.97</v>
      </c>
      <c r="AE30" s="11">
        <f t="shared" si="16"/>
        <v>0.74030671393768066</v>
      </c>
      <c r="AF30" s="11"/>
      <c r="AG30" s="11"/>
      <c r="AH30" s="11">
        <v>3112799.8</v>
      </c>
      <c r="AI30" s="11"/>
      <c r="AJ30" s="11"/>
      <c r="AK30" s="11"/>
      <c r="AL30" s="11">
        <f t="shared" si="4"/>
        <v>3112799.8</v>
      </c>
      <c r="AM30" s="11"/>
      <c r="AN30" s="11">
        <v>137474.67000000001</v>
      </c>
      <c r="AO30" s="11">
        <v>137474.67000000001</v>
      </c>
      <c r="AP30" s="11">
        <f t="shared" si="5"/>
        <v>137474.67000000001</v>
      </c>
      <c r="AQ30" s="11">
        <f t="shared" si="6"/>
        <v>0</v>
      </c>
      <c r="AR30" s="11"/>
      <c r="AS30" s="11"/>
      <c r="AT30" s="11"/>
    </row>
    <row r="31" spans="1:46" x14ac:dyDescent="0.15">
      <c r="A31" s="54" t="s">
        <v>672</v>
      </c>
      <c r="B31" s="11" t="s">
        <v>564</v>
      </c>
      <c r="C31" s="11" t="s">
        <v>676</v>
      </c>
      <c r="D31" s="11" t="s">
        <v>677</v>
      </c>
      <c r="E31" s="11" t="s">
        <v>678</v>
      </c>
      <c r="F31" s="11" t="s">
        <v>674</v>
      </c>
      <c r="G31" s="11" t="s">
        <v>675</v>
      </c>
      <c r="H31" s="11" t="s">
        <v>679</v>
      </c>
      <c r="I31" s="11" t="s">
        <v>570</v>
      </c>
      <c r="J31" s="11" t="s">
        <v>679</v>
      </c>
      <c r="K31" s="11" t="s">
        <v>680</v>
      </c>
      <c r="L31" s="11"/>
      <c r="M31" s="11">
        <v>573502.84</v>
      </c>
      <c r="N31" s="11"/>
      <c r="O31" s="11"/>
      <c r="P31" s="11"/>
      <c r="Q31" s="11"/>
      <c r="R31" s="11"/>
      <c r="S31" s="11"/>
      <c r="T31" s="11" t="s">
        <v>526</v>
      </c>
      <c r="U31" s="11" t="s">
        <v>573</v>
      </c>
      <c r="V31" s="11">
        <v>0.04</v>
      </c>
      <c r="W31" s="11">
        <f t="shared" si="7"/>
        <v>22940.113600000001</v>
      </c>
      <c r="X31" s="11">
        <v>22940.11</v>
      </c>
      <c r="Y31" s="11">
        <f t="shared" si="1"/>
        <v>22940.11</v>
      </c>
      <c r="Z31" s="11">
        <f t="shared" si="2"/>
        <v>3.6000000000058208E-3</v>
      </c>
      <c r="AA31" s="11"/>
      <c r="AB31" s="11"/>
      <c r="AC31" s="11">
        <v>0</v>
      </c>
      <c r="AD31" s="11">
        <v>0</v>
      </c>
      <c r="AE31" s="11">
        <f t="shared" si="16"/>
        <v>0</v>
      </c>
      <c r="AF31" s="11"/>
      <c r="AG31" s="11"/>
      <c r="AH31" s="11"/>
      <c r="AI31" s="11"/>
      <c r="AJ31" s="11"/>
      <c r="AK31" s="11"/>
      <c r="AL31" s="11">
        <f t="shared" si="4"/>
        <v>0</v>
      </c>
      <c r="AM31" s="11"/>
      <c r="AN31" s="11">
        <f>M31*AM31</f>
        <v>0</v>
      </c>
      <c r="AO31" s="11"/>
      <c r="AP31" s="11">
        <f t="shared" si="5"/>
        <v>0</v>
      </c>
      <c r="AQ31" s="11">
        <f t="shared" si="6"/>
        <v>0</v>
      </c>
      <c r="AR31" s="11"/>
      <c r="AS31" s="11"/>
      <c r="AT31" s="11"/>
    </row>
    <row r="32" spans="1:46" x14ac:dyDescent="0.15">
      <c r="A32" s="54" t="s">
        <v>681</v>
      </c>
      <c r="B32" s="11" t="s">
        <v>682</v>
      </c>
      <c r="C32" s="11" t="s">
        <v>683</v>
      </c>
      <c r="D32" s="11" t="s">
        <v>684</v>
      </c>
      <c r="E32" s="11" t="s">
        <v>678</v>
      </c>
      <c r="F32" s="11" t="s">
        <v>685</v>
      </c>
      <c r="G32" s="11" t="s">
        <v>686</v>
      </c>
      <c r="H32" s="11" t="s">
        <v>687</v>
      </c>
      <c r="I32" s="11" t="s">
        <v>688</v>
      </c>
      <c r="J32" s="11" t="s">
        <v>689</v>
      </c>
      <c r="K32" s="11" t="s">
        <v>526</v>
      </c>
      <c r="L32" s="11"/>
      <c r="M32" s="11">
        <v>773935.04</v>
      </c>
      <c r="N32" s="11"/>
      <c r="O32" s="11"/>
      <c r="P32" s="11"/>
      <c r="Q32" s="11"/>
      <c r="R32" s="11"/>
      <c r="S32" s="11"/>
      <c r="T32" s="11" t="s">
        <v>559</v>
      </c>
      <c r="U32" s="11" t="s">
        <v>600</v>
      </c>
      <c r="V32" s="11">
        <v>0.04</v>
      </c>
      <c r="W32" s="11">
        <f t="shared" si="7"/>
        <v>30957.401600000001</v>
      </c>
      <c r="X32" s="11">
        <v>30958</v>
      </c>
      <c r="Y32" s="11">
        <f t="shared" si="1"/>
        <v>30958</v>
      </c>
      <c r="Z32" s="11">
        <f t="shared" si="2"/>
        <v>-0.59839999999894644</v>
      </c>
      <c r="AA32" s="11"/>
      <c r="AB32" s="11"/>
      <c r="AC32" s="11">
        <v>619147</v>
      </c>
      <c r="AD32" s="11">
        <v>619147</v>
      </c>
      <c r="AE32" s="11">
        <f t="shared" si="16"/>
        <v>0.79999866655475371</v>
      </c>
      <c r="AF32" s="11"/>
      <c r="AG32" s="11"/>
      <c r="AH32" s="11">
        <v>525687.91</v>
      </c>
      <c r="AI32" s="11"/>
      <c r="AJ32" s="11"/>
      <c r="AK32" s="11"/>
      <c r="AL32" s="11">
        <f t="shared" si="4"/>
        <v>525687.91</v>
      </c>
      <c r="AM32" s="11">
        <v>3.4000000000000002E-2</v>
      </c>
      <c r="AN32" s="11">
        <f>M32*AM32</f>
        <v>26313.791360000003</v>
      </c>
      <c r="AO32" s="11">
        <v>21051</v>
      </c>
      <c r="AP32" s="11">
        <f t="shared" si="5"/>
        <v>21051</v>
      </c>
      <c r="AQ32" s="11">
        <f t="shared" si="6"/>
        <v>5262.7913600000029</v>
      </c>
      <c r="AR32" s="11"/>
      <c r="AS32" s="11"/>
      <c r="AT32" s="11"/>
    </row>
    <row r="33" spans="1:46" x14ac:dyDescent="0.15">
      <c r="A33" s="54" t="s">
        <v>690</v>
      </c>
      <c r="B33" s="11" t="s">
        <v>594</v>
      </c>
      <c r="C33" s="11" t="s">
        <v>241</v>
      </c>
      <c r="D33" s="11" t="s">
        <v>691</v>
      </c>
      <c r="E33" s="11" t="s">
        <v>548</v>
      </c>
      <c r="F33" s="14" t="s">
        <v>692</v>
      </c>
      <c r="G33" s="14" t="s">
        <v>693</v>
      </c>
      <c r="H33" s="14" t="s">
        <v>694</v>
      </c>
      <c r="I33" s="14" t="s">
        <v>599</v>
      </c>
      <c r="J33" s="14" t="s">
        <v>598</v>
      </c>
      <c r="K33" s="14" t="s">
        <v>680</v>
      </c>
      <c r="L33" s="11"/>
      <c r="M33" s="11">
        <v>238178</v>
      </c>
      <c r="N33" s="11"/>
      <c r="O33" s="11"/>
      <c r="P33" s="11"/>
      <c r="Q33" s="11"/>
      <c r="R33" s="11"/>
      <c r="S33" s="11"/>
      <c r="T33" s="11" t="s">
        <v>559</v>
      </c>
      <c r="U33" s="11" t="s">
        <v>600</v>
      </c>
      <c r="V33" s="11">
        <v>0.04</v>
      </c>
      <c r="W33" s="11">
        <f t="shared" si="7"/>
        <v>9527.1200000000008</v>
      </c>
      <c r="X33" s="11">
        <v>9569</v>
      </c>
      <c r="Y33" s="11">
        <f t="shared" si="1"/>
        <v>9569</v>
      </c>
      <c r="Z33" s="11">
        <f t="shared" si="2"/>
        <v>-41.8799999999992</v>
      </c>
      <c r="AA33" s="11"/>
      <c r="AB33" s="11"/>
      <c r="AC33" s="11">
        <v>169089</v>
      </c>
      <c r="AD33" s="11">
        <v>169089</v>
      </c>
      <c r="AE33" s="11">
        <f t="shared" si="16"/>
        <v>0.70992702936459284</v>
      </c>
      <c r="AF33" s="11"/>
      <c r="AG33" s="11"/>
      <c r="AH33" s="11">
        <v>178578</v>
      </c>
      <c r="AI33" s="11"/>
      <c r="AJ33" s="11"/>
      <c r="AK33" s="11"/>
      <c r="AL33" s="11">
        <f t="shared" si="4"/>
        <v>178578</v>
      </c>
      <c r="AM33" s="11">
        <v>3.4599999999999999E-2</v>
      </c>
      <c r="AN33" s="11">
        <f>M33*AM33</f>
        <v>8240.9588000000003</v>
      </c>
      <c r="AO33" s="11">
        <v>8240.9599999999991</v>
      </c>
      <c r="AP33" s="11">
        <f t="shared" si="5"/>
        <v>8240.9599999999991</v>
      </c>
      <c r="AQ33" s="11">
        <f t="shared" si="6"/>
        <v>-1.1999999987892807E-3</v>
      </c>
      <c r="AR33" s="11"/>
      <c r="AS33" s="11"/>
      <c r="AT33" s="11"/>
    </row>
    <row r="34" spans="1:46" x14ac:dyDescent="0.15">
      <c r="A34" s="54" t="s">
        <v>695</v>
      </c>
      <c r="B34" s="11" t="s">
        <v>682</v>
      </c>
      <c r="C34" s="11" t="s">
        <v>255</v>
      </c>
      <c r="D34" s="11" t="s">
        <v>696</v>
      </c>
      <c r="E34" s="11" t="s">
        <v>548</v>
      </c>
      <c r="F34" s="11" t="s">
        <v>697</v>
      </c>
      <c r="G34" s="11" t="s">
        <v>698</v>
      </c>
      <c r="H34" s="11" t="s">
        <v>687</v>
      </c>
      <c r="I34" s="11" t="s">
        <v>699</v>
      </c>
      <c r="J34" s="11" t="s">
        <v>687</v>
      </c>
      <c r="K34" s="11" t="s">
        <v>700</v>
      </c>
      <c r="L34" s="11"/>
      <c r="M34" s="11">
        <v>6455953.0800000001</v>
      </c>
      <c r="N34" s="11"/>
      <c r="O34" s="11"/>
      <c r="P34" s="11"/>
      <c r="Q34" s="11"/>
      <c r="R34" s="11"/>
      <c r="S34" s="11"/>
      <c r="T34" s="11" t="s">
        <v>701</v>
      </c>
      <c r="U34" s="11" t="s">
        <v>702</v>
      </c>
      <c r="V34" s="11">
        <v>0.04</v>
      </c>
      <c r="W34" s="11">
        <f t="shared" si="7"/>
        <v>258238.1232</v>
      </c>
      <c r="X34" s="11">
        <v>258238.12</v>
      </c>
      <c r="Y34" s="11">
        <f t="shared" si="1"/>
        <v>258238.12</v>
      </c>
      <c r="Z34" s="11">
        <f t="shared" si="2"/>
        <v>3.2000000064726919E-3</v>
      </c>
      <c r="AA34" s="11"/>
      <c r="AB34" s="11"/>
      <c r="AC34" s="11">
        <v>6131964.8099999996</v>
      </c>
      <c r="AD34" s="11">
        <v>6131964.8099999996</v>
      </c>
      <c r="AE34" s="11">
        <f t="shared" si="16"/>
        <v>0.94981557858533872</v>
      </c>
      <c r="AF34" s="11"/>
      <c r="AG34" s="11"/>
      <c r="AH34" s="11">
        <v>5413506.1699999999</v>
      </c>
      <c r="AI34" s="11"/>
      <c r="AJ34" s="11"/>
      <c r="AK34" s="11"/>
      <c r="AL34" s="11">
        <f t="shared" si="4"/>
        <v>5413506.1699999999</v>
      </c>
      <c r="AM34" s="11">
        <v>3.4000000000000002E-2</v>
      </c>
      <c r="AN34" s="11">
        <f>M34*AM34</f>
        <v>219502.40472000002</v>
      </c>
      <c r="AO34" s="11">
        <v>208486.96</v>
      </c>
      <c r="AP34" s="11">
        <f t="shared" si="5"/>
        <v>208486.96</v>
      </c>
      <c r="AQ34" s="11">
        <f t="shared" si="6"/>
        <v>11015.444720000029</v>
      </c>
      <c r="AR34" s="11"/>
      <c r="AS34" s="11"/>
      <c r="AT34" s="11"/>
    </row>
    <row r="35" spans="1:46" x14ac:dyDescent="0.15">
      <c r="A35" s="54" t="s">
        <v>703</v>
      </c>
      <c r="B35" s="11" t="s">
        <v>631</v>
      </c>
      <c r="C35" s="11" t="s">
        <v>267</v>
      </c>
      <c r="D35" s="11" t="s">
        <v>704</v>
      </c>
      <c r="E35" s="11" t="s">
        <v>705</v>
      </c>
      <c r="F35" s="11" t="s">
        <v>706</v>
      </c>
      <c r="G35" s="11" t="s">
        <v>707</v>
      </c>
      <c r="H35" s="11" t="s">
        <v>708</v>
      </c>
      <c r="I35" s="11" t="s">
        <v>709</v>
      </c>
      <c r="J35" s="11" t="s">
        <v>708</v>
      </c>
      <c r="K35" s="11" t="s">
        <v>700</v>
      </c>
      <c r="L35" s="11"/>
      <c r="M35" s="11">
        <v>1860000</v>
      </c>
      <c r="N35" s="11"/>
      <c r="O35" s="11"/>
      <c r="P35" s="11"/>
      <c r="Q35" s="11"/>
      <c r="R35" s="11"/>
      <c r="S35" s="11"/>
      <c r="T35" s="11" t="s">
        <v>700</v>
      </c>
      <c r="U35" s="11" t="s">
        <v>710</v>
      </c>
      <c r="V35" s="11">
        <v>0.04</v>
      </c>
      <c r="W35" s="11">
        <f t="shared" si="7"/>
        <v>74400</v>
      </c>
      <c r="X35" s="11">
        <v>74400</v>
      </c>
      <c r="Y35" s="11">
        <f t="shared" si="1"/>
        <v>74400</v>
      </c>
      <c r="Z35" s="11">
        <f t="shared" si="2"/>
        <v>0</v>
      </c>
      <c r="AA35" s="11"/>
      <c r="AB35" s="11"/>
      <c r="AC35" s="11">
        <v>1250000</v>
      </c>
      <c r="AD35" s="11">
        <v>1250000</v>
      </c>
      <c r="AE35" s="11">
        <f t="shared" si="16"/>
        <v>0.67204301075268813</v>
      </c>
      <c r="AF35" s="11"/>
      <c r="AG35" s="11"/>
      <c r="AH35" s="11">
        <v>1088668.1499999999</v>
      </c>
      <c r="AI35" s="11"/>
      <c r="AJ35" s="11"/>
      <c r="AK35" s="11"/>
      <c r="AL35" s="11">
        <f t="shared" si="4"/>
        <v>1088668.1499999999</v>
      </c>
      <c r="AM35" s="11">
        <v>3.4000000000000002E-2</v>
      </c>
      <c r="AN35" s="11">
        <f>M35*AM35</f>
        <v>63240.000000000007</v>
      </c>
      <c r="AO35" s="11">
        <v>42500</v>
      </c>
      <c r="AP35" s="11">
        <f t="shared" si="5"/>
        <v>42500</v>
      </c>
      <c r="AQ35" s="11">
        <f t="shared" si="6"/>
        <v>20740.000000000007</v>
      </c>
      <c r="AR35" s="11"/>
      <c r="AS35" s="11"/>
      <c r="AT35" s="11"/>
    </row>
    <row r="36" spans="1:46" x14ac:dyDescent="0.15">
      <c r="A36" s="54" t="s">
        <v>711</v>
      </c>
      <c r="B36" s="11" t="s">
        <v>712</v>
      </c>
      <c r="C36" s="11" t="s">
        <v>277</v>
      </c>
      <c r="D36" s="11" t="s">
        <v>713</v>
      </c>
      <c r="E36" s="11" t="s">
        <v>705</v>
      </c>
      <c r="F36" s="11" t="s">
        <v>714</v>
      </c>
      <c r="G36" s="11" t="s">
        <v>715</v>
      </c>
      <c r="H36" s="11" t="s">
        <v>716</v>
      </c>
      <c r="I36" s="11" t="s">
        <v>717</v>
      </c>
      <c r="J36" s="11" t="s">
        <v>718</v>
      </c>
      <c r="K36" s="11" t="s">
        <v>719</v>
      </c>
      <c r="L36" s="11"/>
      <c r="M36" s="11">
        <v>4095378.25</v>
      </c>
      <c r="N36" s="11"/>
      <c r="O36" s="11"/>
      <c r="P36" s="11"/>
      <c r="Q36" s="11"/>
      <c r="R36" s="11"/>
      <c r="S36" s="11"/>
      <c r="T36" s="11" t="s">
        <v>719</v>
      </c>
      <c r="U36" s="11" t="s">
        <v>600</v>
      </c>
      <c r="V36" s="11">
        <v>0.04</v>
      </c>
      <c r="W36" s="11">
        <f t="shared" si="7"/>
        <v>163815.13</v>
      </c>
      <c r="X36" s="11">
        <v>82026.100000000006</v>
      </c>
      <c r="Y36" s="11">
        <f t="shared" si="1"/>
        <v>82026.100000000006</v>
      </c>
      <c r="Z36" s="11">
        <f t="shared" si="2"/>
        <v>81789.03</v>
      </c>
      <c r="AA36" s="11"/>
      <c r="AB36" s="11"/>
      <c r="AC36" s="11">
        <v>2950877.69</v>
      </c>
      <c r="AD36" s="11">
        <v>2950877.69</v>
      </c>
      <c r="AE36" s="11">
        <f t="shared" si="16"/>
        <v>0.7205384972682316</v>
      </c>
      <c r="AF36" s="11"/>
      <c r="AG36" s="11"/>
      <c r="AH36" s="11">
        <v>2211953.5</v>
      </c>
      <c r="AI36" s="11"/>
      <c r="AJ36" s="11"/>
      <c r="AK36" s="11"/>
      <c r="AL36" s="11">
        <f t="shared" si="4"/>
        <v>2211953.5</v>
      </c>
      <c r="AM36" s="11"/>
      <c r="AN36" s="11">
        <v>148512</v>
      </c>
      <c r="AO36" s="11">
        <v>78290.92</v>
      </c>
      <c r="AP36" s="11">
        <f t="shared" si="5"/>
        <v>78290.92</v>
      </c>
      <c r="AQ36" s="11">
        <f t="shared" si="6"/>
        <v>70221.08</v>
      </c>
      <c r="AR36" s="11">
        <v>322921</v>
      </c>
      <c r="AS36" s="11"/>
      <c r="AT36" s="11"/>
    </row>
    <row r="37" spans="1:46" x14ac:dyDescent="0.15">
      <c r="A37" s="54" t="s">
        <v>720</v>
      </c>
      <c r="B37" s="11" t="s">
        <v>532</v>
      </c>
      <c r="C37" s="11" t="s">
        <v>291</v>
      </c>
      <c r="D37" s="11" t="s">
        <v>721</v>
      </c>
      <c r="E37" s="11" t="s">
        <v>548</v>
      </c>
      <c r="F37" s="11" t="s">
        <v>722</v>
      </c>
      <c r="G37" s="11" t="s">
        <v>723</v>
      </c>
      <c r="H37" s="11" t="s">
        <v>539</v>
      </c>
      <c r="I37" s="11" t="s">
        <v>724</v>
      </c>
      <c r="J37" s="11" t="s">
        <v>539</v>
      </c>
      <c r="K37" s="11" t="s">
        <v>719</v>
      </c>
      <c r="L37" s="11"/>
      <c r="M37" s="11">
        <v>5489711</v>
      </c>
      <c r="N37" s="11"/>
      <c r="O37" s="11"/>
      <c r="P37" s="11"/>
      <c r="Q37" s="11"/>
      <c r="R37" s="11"/>
      <c r="S37" s="11"/>
      <c r="T37" s="11" t="s">
        <v>526</v>
      </c>
      <c r="U37" s="11" t="s">
        <v>600</v>
      </c>
      <c r="V37" s="11">
        <v>0.03</v>
      </c>
      <c r="W37" s="11">
        <f t="shared" si="7"/>
        <v>164691.32999999999</v>
      </c>
      <c r="X37" s="11">
        <v>164692</v>
      </c>
      <c r="Y37" s="11">
        <f t="shared" si="1"/>
        <v>164692</v>
      </c>
      <c r="Z37" s="11">
        <f t="shared" si="2"/>
        <v>-0.67000000001280569</v>
      </c>
      <c r="AA37" s="11"/>
      <c r="AB37" s="11"/>
      <c r="AC37" s="11">
        <v>4391768.8</v>
      </c>
      <c r="AD37" s="11">
        <v>4391768.8</v>
      </c>
      <c r="AE37" s="11">
        <f t="shared" si="16"/>
        <v>0.79999999999999993</v>
      </c>
      <c r="AF37" s="11"/>
      <c r="AG37" s="11"/>
      <c r="AH37" s="11">
        <v>4131953.83</v>
      </c>
      <c r="AI37" s="11"/>
      <c r="AJ37" s="11"/>
      <c r="AK37" s="11"/>
      <c r="AL37" s="11">
        <f t="shared" si="4"/>
        <v>4131953.83</v>
      </c>
      <c r="AM37" s="11">
        <v>3.61E-2</v>
      </c>
      <c r="AN37" s="11">
        <f>M37*AM37</f>
        <v>198178.56710000001</v>
      </c>
      <c r="AO37" s="11">
        <v>158542.85999999999</v>
      </c>
      <c r="AP37" s="11">
        <f t="shared" si="5"/>
        <v>158542.85999999999</v>
      </c>
      <c r="AQ37" s="11">
        <f t="shared" si="6"/>
        <v>39635.707100000029</v>
      </c>
      <c r="AR37" s="11"/>
      <c r="AS37" s="11"/>
      <c r="AT37" s="11"/>
    </row>
    <row r="38" spans="1:46" x14ac:dyDescent="0.15">
      <c r="A38" s="54" t="s">
        <v>725</v>
      </c>
      <c r="B38" s="11" t="s">
        <v>532</v>
      </c>
      <c r="C38" s="11" t="s">
        <v>726</v>
      </c>
      <c r="D38" s="11" t="s">
        <v>727</v>
      </c>
      <c r="E38" s="11" t="s">
        <v>705</v>
      </c>
      <c r="F38" s="11" t="s">
        <v>728</v>
      </c>
      <c r="G38" s="11" t="s">
        <v>729</v>
      </c>
      <c r="H38" s="11" t="s">
        <v>730</v>
      </c>
      <c r="I38" s="11" t="s">
        <v>724</v>
      </c>
      <c r="J38" s="11" t="s">
        <v>539</v>
      </c>
      <c r="K38" s="11" t="s">
        <v>700</v>
      </c>
      <c r="L38" s="11"/>
      <c r="M38" s="11">
        <f>9053018.46+700302.36</f>
        <v>9753320.8200000003</v>
      </c>
      <c r="N38" s="11"/>
      <c r="O38" s="11"/>
      <c r="P38" s="11"/>
      <c r="Q38" s="11"/>
      <c r="R38" s="11"/>
      <c r="S38" s="11"/>
      <c r="T38" s="11" t="s">
        <v>700</v>
      </c>
      <c r="U38" s="11" t="s">
        <v>710</v>
      </c>
      <c r="V38" s="11">
        <v>0.03</v>
      </c>
      <c r="W38" s="11">
        <f>M38*V38</f>
        <v>292599.62459999998</v>
      </c>
      <c r="X38" s="11">
        <v>271590.55</v>
      </c>
      <c r="Y38" s="11">
        <f t="shared" si="1"/>
        <v>271590.55</v>
      </c>
      <c r="Z38" s="11">
        <f t="shared" si="2"/>
        <v>21009.074599999993</v>
      </c>
      <c r="AA38" s="11"/>
      <c r="AB38" s="11"/>
      <c r="AC38" s="11">
        <v>4983610.42</v>
      </c>
      <c r="AD38" s="11">
        <v>4983610.42</v>
      </c>
      <c r="AE38" s="11">
        <f t="shared" si="16"/>
        <v>0.51096549698034022</v>
      </c>
      <c r="AF38" s="11"/>
      <c r="AG38" s="11"/>
      <c r="AH38" s="11">
        <v>4727621</v>
      </c>
      <c r="AI38" s="11"/>
      <c r="AJ38" s="11"/>
      <c r="AK38" s="11"/>
      <c r="AL38" s="11">
        <f t="shared" si="4"/>
        <v>4727621</v>
      </c>
      <c r="AM38" s="11">
        <v>3.4000000000000002E-2</v>
      </c>
      <c r="AN38" s="11">
        <f>M38*AM38</f>
        <v>331612.90788000001</v>
      </c>
      <c r="AO38" s="11">
        <v>169442.69</v>
      </c>
      <c r="AP38" s="11">
        <f t="shared" si="5"/>
        <v>169442.69</v>
      </c>
      <c r="AQ38" s="11">
        <f t="shared" si="6"/>
        <v>162170.21788000001</v>
      </c>
      <c r="AR38" s="11"/>
      <c r="AS38" s="11"/>
      <c r="AT38" s="11"/>
    </row>
    <row r="39" spans="1:46" x14ac:dyDescent="0.15">
      <c r="A39" s="54" t="s">
        <v>725</v>
      </c>
      <c r="B39" s="11" t="s">
        <v>602</v>
      </c>
      <c r="C39" s="11" t="s">
        <v>328</v>
      </c>
      <c r="D39" s="11" t="s">
        <v>731</v>
      </c>
      <c r="E39" s="11" t="s">
        <v>705</v>
      </c>
      <c r="F39" s="11" t="s">
        <v>652</v>
      </c>
      <c r="G39" s="11" t="s">
        <v>732</v>
      </c>
      <c r="H39" s="11" t="s">
        <v>733</v>
      </c>
      <c r="I39" s="11" t="s">
        <v>607</v>
      </c>
      <c r="J39" s="11" t="s">
        <v>733</v>
      </c>
      <c r="K39" s="11" t="s">
        <v>700</v>
      </c>
      <c r="L39" s="11"/>
      <c r="M39" s="11">
        <v>449812</v>
      </c>
      <c r="N39" s="11"/>
      <c r="O39" s="11"/>
      <c r="P39" s="11"/>
      <c r="Q39" s="11"/>
      <c r="R39" s="11"/>
      <c r="S39" s="11"/>
      <c r="T39" s="11" t="s">
        <v>700</v>
      </c>
      <c r="U39" s="11" t="s">
        <v>600</v>
      </c>
      <c r="V39" s="11">
        <v>0.04</v>
      </c>
      <c r="W39" s="11">
        <f t="shared" si="7"/>
        <v>17992.48</v>
      </c>
      <c r="X39" s="11">
        <v>17992.48</v>
      </c>
      <c r="Y39" s="11">
        <f t="shared" si="1"/>
        <v>17992.48</v>
      </c>
      <c r="Z39" s="11">
        <f t="shared" si="2"/>
        <v>0</v>
      </c>
      <c r="AA39" s="11"/>
      <c r="AB39" s="11"/>
      <c r="AC39" s="11">
        <v>370600</v>
      </c>
      <c r="AD39" s="11">
        <v>370600</v>
      </c>
      <c r="AE39" s="11">
        <f t="shared" si="16"/>
        <v>0.82389976256747266</v>
      </c>
      <c r="AF39" s="11"/>
      <c r="AG39" s="11"/>
      <c r="AH39" s="11">
        <v>365664.6</v>
      </c>
      <c r="AI39" s="11"/>
      <c r="AJ39" s="11"/>
      <c r="AK39" s="11"/>
      <c r="AL39" s="11">
        <f t="shared" si="4"/>
        <v>365664.6</v>
      </c>
      <c r="AM39" s="11">
        <v>3.4000000000000002E-2</v>
      </c>
      <c r="AN39" s="11">
        <f>M39*AM39</f>
        <v>15293.608000000002</v>
      </c>
      <c r="AO39" s="11">
        <v>12580</v>
      </c>
      <c r="AP39" s="11">
        <f t="shared" si="5"/>
        <v>12580</v>
      </c>
      <c r="AQ39" s="11">
        <f t="shared" si="6"/>
        <v>2713.608000000002</v>
      </c>
      <c r="AR39" s="11"/>
      <c r="AS39" s="11"/>
      <c r="AT39" s="11"/>
    </row>
    <row r="40" spans="1:46" x14ac:dyDescent="0.15">
      <c r="A40" s="54" t="s">
        <v>725</v>
      </c>
      <c r="B40" s="11" t="s">
        <v>734</v>
      </c>
      <c r="C40" s="11" t="s">
        <v>306</v>
      </c>
      <c r="D40" s="11" t="s">
        <v>735</v>
      </c>
      <c r="E40" s="11" t="s">
        <v>548</v>
      </c>
      <c r="F40" s="11" t="s">
        <v>736</v>
      </c>
      <c r="G40" s="11" t="s">
        <v>737</v>
      </c>
      <c r="H40" s="11" t="s">
        <v>738</v>
      </c>
      <c r="I40" s="11" t="s">
        <v>739</v>
      </c>
      <c r="J40" s="11" t="s">
        <v>740</v>
      </c>
      <c r="K40" s="11" t="s">
        <v>719</v>
      </c>
      <c r="L40" s="11"/>
      <c r="M40" s="11">
        <v>1440423.32</v>
      </c>
      <c r="N40" s="11"/>
      <c r="O40" s="11"/>
      <c r="P40" s="11"/>
      <c r="Q40" s="11"/>
      <c r="R40" s="11"/>
      <c r="S40" s="11"/>
      <c r="T40" s="11" t="s">
        <v>700</v>
      </c>
      <c r="U40" s="11" t="s">
        <v>710</v>
      </c>
      <c r="V40" s="11">
        <v>0.04</v>
      </c>
      <c r="W40" s="11">
        <f t="shared" si="7"/>
        <v>57616.932800000002</v>
      </c>
      <c r="X40" s="11">
        <v>57617</v>
      </c>
      <c r="Y40" s="11">
        <f t="shared" si="1"/>
        <v>57617</v>
      </c>
      <c r="Z40" s="11">
        <f t="shared" si="2"/>
        <v>-6.7199999997683335E-2</v>
      </c>
      <c r="AA40" s="11"/>
      <c r="AB40" s="11"/>
      <c r="AC40" s="11">
        <v>1200000</v>
      </c>
      <c r="AD40" s="11">
        <v>1200000</v>
      </c>
      <c r="AE40" s="11">
        <f t="shared" si="16"/>
        <v>0.83308842847670639</v>
      </c>
      <c r="AF40" s="11"/>
      <c r="AG40" s="11"/>
      <c r="AH40" s="11">
        <v>1145710</v>
      </c>
      <c r="AI40" s="11"/>
      <c r="AJ40" s="11"/>
      <c r="AK40" s="11"/>
      <c r="AL40" s="11">
        <f t="shared" si="4"/>
        <v>1145710</v>
      </c>
      <c r="AM40" s="11"/>
      <c r="AN40" s="11">
        <v>52719.49</v>
      </c>
      <c r="AO40" s="11">
        <v>52719.49</v>
      </c>
      <c r="AP40" s="11">
        <f t="shared" si="5"/>
        <v>52719.49</v>
      </c>
      <c r="AQ40" s="11">
        <f t="shared" si="6"/>
        <v>0</v>
      </c>
      <c r="AR40" s="11"/>
      <c r="AS40" s="11"/>
      <c r="AT40" s="11"/>
    </row>
    <row r="41" spans="1:46" x14ac:dyDescent="0.15">
      <c r="A41" s="54" t="s">
        <v>725</v>
      </c>
      <c r="B41" s="11" t="s">
        <v>564</v>
      </c>
      <c r="C41" s="11" t="s">
        <v>741</v>
      </c>
      <c r="D41" s="11" t="s">
        <v>742</v>
      </c>
      <c r="E41" s="11" t="s">
        <v>548</v>
      </c>
      <c r="F41" s="11" t="s">
        <v>743</v>
      </c>
      <c r="G41" s="11" t="s">
        <v>744</v>
      </c>
      <c r="H41" s="11" t="s">
        <v>745</v>
      </c>
      <c r="I41" s="11" t="s">
        <v>570</v>
      </c>
      <c r="J41" s="11" t="s">
        <v>571</v>
      </c>
      <c r="K41" s="11" t="s">
        <v>719</v>
      </c>
      <c r="L41" s="11"/>
      <c r="M41" s="11">
        <v>710641.6</v>
      </c>
      <c r="N41" s="11"/>
      <c r="O41" s="11"/>
      <c r="P41" s="11"/>
      <c r="Q41" s="11"/>
      <c r="R41" s="11"/>
      <c r="S41" s="11"/>
      <c r="T41" s="11" t="s">
        <v>526</v>
      </c>
      <c r="U41" s="11" t="s">
        <v>600</v>
      </c>
      <c r="V41" s="11">
        <v>3.5999999999999997E-2</v>
      </c>
      <c r="W41" s="11">
        <f t="shared" si="7"/>
        <v>25583.097599999997</v>
      </c>
      <c r="X41" s="11">
        <v>25583.1</v>
      </c>
      <c r="Y41" s="11">
        <f t="shared" si="1"/>
        <v>25583.1</v>
      </c>
      <c r="Z41" s="11">
        <f t="shared" si="2"/>
        <v>-2.4000000012165401E-3</v>
      </c>
      <c r="AA41" s="11"/>
      <c r="AB41" s="11"/>
      <c r="AC41" s="11">
        <v>0</v>
      </c>
      <c r="AD41" s="11">
        <v>0</v>
      </c>
      <c r="AE41" s="11">
        <f t="shared" si="16"/>
        <v>0</v>
      </c>
      <c r="AF41" s="11"/>
      <c r="AG41" s="11"/>
      <c r="AH41" s="11"/>
      <c r="AI41" s="11"/>
      <c r="AJ41" s="11"/>
      <c r="AK41" s="11"/>
      <c r="AL41" s="11">
        <f t="shared" si="4"/>
        <v>0</v>
      </c>
      <c r="AM41" s="11"/>
      <c r="AN41" s="11">
        <f t="shared" ref="AN41:AN52" si="17">M41*AM41</f>
        <v>0</v>
      </c>
      <c r="AO41" s="11"/>
      <c r="AP41" s="11">
        <f t="shared" si="5"/>
        <v>0</v>
      </c>
      <c r="AQ41" s="11">
        <f t="shared" si="6"/>
        <v>0</v>
      </c>
      <c r="AR41" s="11"/>
      <c r="AS41" s="11"/>
      <c r="AT41" s="11"/>
    </row>
    <row r="42" spans="1:46" x14ac:dyDescent="0.15">
      <c r="A42" s="54" t="s">
        <v>725</v>
      </c>
      <c r="B42" s="11" t="s">
        <v>532</v>
      </c>
      <c r="C42" s="11" t="s">
        <v>746</v>
      </c>
      <c r="D42" s="11" t="s">
        <v>747</v>
      </c>
      <c r="E42" s="11" t="s">
        <v>548</v>
      </c>
      <c r="F42" s="11" t="s">
        <v>748</v>
      </c>
      <c r="G42" s="11" t="s">
        <v>749</v>
      </c>
      <c r="H42" s="11" t="s">
        <v>730</v>
      </c>
      <c r="I42" s="11" t="s">
        <v>724</v>
      </c>
      <c r="J42" s="11" t="s">
        <v>730</v>
      </c>
      <c r="K42" s="11" t="s">
        <v>526</v>
      </c>
      <c r="L42" s="11"/>
      <c r="M42" s="11">
        <v>4036583.48</v>
      </c>
      <c r="N42" s="11"/>
      <c r="O42" s="11"/>
      <c r="P42" s="11"/>
      <c r="Q42" s="11"/>
      <c r="R42" s="11"/>
      <c r="S42" s="11"/>
      <c r="T42" s="11" t="s">
        <v>526</v>
      </c>
      <c r="U42" s="11" t="s">
        <v>600</v>
      </c>
      <c r="V42" s="11">
        <v>3.5999999999999997E-2</v>
      </c>
      <c r="W42" s="11">
        <f t="shared" si="7"/>
        <v>145317.00527999998</v>
      </c>
      <c r="X42" s="11">
        <v>145317</v>
      </c>
      <c r="Y42" s="11">
        <f t="shared" si="1"/>
        <v>145317</v>
      </c>
      <c r="Z42" s="11">
        <f t="shared" si="2"/>
        <v>5.2799999830313027E-3</v>
      </c>
      <c r="AA42" s="11"/>
      <c r="AB42" s="11"/>
      <c r="AC42" s="11">
        <v>3478419.92</v>
      </c>
      <c r="AD42" s="11">
        <v>3478419.92</v>
      </c>
      <c r="AE42" s="11">
        <f t="shared" si="16"/>
        <v>0.86172376645608229</v>
      </c>
      <c r="AF42" s="11"/>
      <c r="AG42" s="11"/>
      <c r="AH42" s="11">
        <v>3359296.75</v>
      </c>
      <c r="AI42" s="11"/>
      <c r="AJ42" s="11"/>
      <c r="AK42" s="11"/>
      <c r="AL42" s="11">
        <f t="shared" si="4"/>
        <v>3359296.75</v>
      </c>
      <c r="AM42" s="11">
        <v>3.4000000000000002E-2</v>
      </c>
      <c r="AN42" s="11">
        <f t="shared" si="17"/>
        <v>137243.83832000001</v>
      </c>
      <c r="AO42" s="11">
        <v>118235.4</v>
      </c>
      <c r="AP42" s="11">
        <f t="shared" si="5"/>
        <v>118235.4</v>
      </c>
      <c r="AQ42" s="11">
        <f t="shared" si="6"/>
        <v>19008.438320000016</v>
      </c>
      <c r="AR42" s="11"/>
      <c r="AS42" s="11"/>
      <c r="AT42" s="11"/>
    </row>
    <row r="43" spans="1:46" x14ac:dyDescent="0.15">
      <c r="A43" s="54" t="s">
        <v>725</v>
      </c>
      <c r="B43" s="11" t="s">
        <v>682</v>
      </c>
      <c r="C43" s="11" t="s">
        <v>750</v>
      </c>
      <c r="D43" s="11" t="s">
        <v>751</v>
      </c>
      <c r="E43" s="11" t="s">
        <v>548</v>
      </c>
      <c r="F43" s="11" t="s">
        <v>752</v>
      </c>
      <c r="G43" s="11" t="s">
        <v>753</v>
      </c>
      <c r="H43" s="11" t="s">
        <v>687</v>
      </c>
      <c r="I43" s="11" t="s">
        <v>699</v>
      </c>
      <c r="J43" s="11" t="s">
        <v>754</v>
      </c>
      <c r="K43" s="11" t="s">
        <v>526</v>
      </c>
      <c r="L43" s="11"/>
      <c r="M43" s="11">
        <v>1236415</v>
      </c>
      <c r="N43" s="11"/>
      <c r="O43" s="11"/>
      <c r="P43" s="11"/>
      <c r="Q43" s="11"/>
      <c r="R43" s="11"/>
      <c r="S43" s="11"/>
      <c r="T43" s="11" t="s">
        <v>526</v>
      </c>
      <c r="U43" s="11" t="s">
        <v>600</v>
      </c>
      <c r="V43" s="11">
        <v>0.04</v>
      </c>
      <c r="W43" s="11">
        <f t="shared" si="7"/>
        <v>49456.6</v>
      </c>
      <c r="X43" s="11">
        <v>47920</v>
      </c>
      <c r="Y43" s="11">
        <f t="shared" si="1"/>
        <v>47920</v>
      </c>
      <c r="Z43" s="11">
        <f t="shared" si="2"/>
        <v>1536.5999999999985</v>
      </c>
      <c r="AA43" s="11"/>
      <c r="AB43" s="11"/>
      <c r="AC43" s="11">
        <v>936915</v>
      </c>
      <c r="AD43" s="11">
        <v>936915</v>
      </c>
      <c r="AE43" s="11">
        <f t="shared" si="16"/>
        <v>0.75776741628013244</v>
      </c>
      <c r="AF43" s="11"/>
      <c r="AG43" s="11"/>
      <c r="AH43" s="11">
        <v>859342.86</v>
      </c>
      <c r="AI43" s="11"/>
      <c r="AJ43" s="11"/>
      <c r="AK43" s="11"/>
      <c r="AL43" s="11">
        <f t="shared" si="4"/>
        <v>859342.86</v>
      </c>
      <c r="AM43" s="11">
        <v>3.4000000000000002E-2</v>
      </c>
      <c r="AN43" s="11">
        <f t="shared" si="17"/>
        <v>42038.11</v>
      </c>
      <c r="AO43" s="11">
        <v>31855.31</v>
      </c>
      <c r="AP43" s="11">
        <f t="shared" si="5"/>
        <v>31855.31</v>
      </c>
      <c r="AQ43" s="11">
        <f t="shared" si="6"/>
        <v>10182.799999999999</v>
      </c>
      <c r="AR43" s="11"/>
      <c r="AS43" s="11"/>
      <c r="AT43" s="11"/>
    </row>
    <row r="44" spans="1:46" x14ac:dyDescent="0.15">
      <c r="A44" s="54" t="s">
        <v>725</v>
      </c>
      <c r="B44" s="11" t="s">
        <v>734</v>
      </c>
      <c r="C44" s="11" t="s">
        <v>755</v>
      </c>
      <c r="D44" s="11" t="s">
        <v>756</v>
      </c>
      <c r="E44" s="11" t="s">
        <v>548</v>
      </c>
      <c r="F44" s="11" t="s">
        <v>757</v>
      </c>
      <c r="G44" s="11" t="s">
        <v>758</v>
      </c>
      <c r="H44" s="11" t="s">
        <v>738</v>
      </c>
      <c r="I44" s="11" t="s">
        <v>739</v>
      </c>
      <c r="J44" s="11" t="s">
        <v>738</v>
      </c>
      <c r="K44" s="11" t="s">
        <v>572</v>
      </c>
      <c r="L44" s="11"/>
      <c r="M44" s="11">
        <v>1674815</v>
      </c>
      <c r="N44" s="11"/>
      <c r="O44" s="11"/>
      <c r="P44" s="11"/>
      <c r="Q44" s="11"/>
      <c r="R44" s="11"/>
      <c r="S44" s="11"/>
      <c r="T44" s="11" t="s">
        <v>526</v>
      </c>
      <c r="U44" s="11" t="s">
        <v>600</v>
      </c>
      <c r="V44" s="11">
        <v>0.04</v>
      </c>
      <c r="W44" s="11">
        <f t="shared" si="7"/>
        <v>66992.600000000006</v>
      </c>
      <c r="X44" s="11">
        <v>66993</v>
      </c>
      <c r="Y44" s="11">
        <f t="shared" si="1"/>
        <v>66993</v>
      </c>
      <c r="Z44" s="11">
        <f t="shared" si="2"/>
        <v>-0.39999999999417923</v>
      </c>
      <c r="AA44" s="11"/>
      <c r="AB44" s="11"/>
      <c r="AC44" s="11">
        <v>1300000</v>
      </c>
      <c r="AD44" s="11">
        <v>1300000</v>
      </c>
      <c r="AE44" s="11">
        <f t="shared" si="16"/>
        <v>0.77620513310425332</v>
      </c>
      <c r="AF44" s="11"/>
      <c r="AG44" s="11"/>
      <c r="AH44" s="11">
        <v>1233232.5</v>
      </c>
      <c r="AI44" s="11"/>
      <c r="AJ44" s="11"/>
      <c r="AK44" s="11"/>
      <c r="AL44" s="11">
        <f t="shared" si="4"/>
        <v>1233232.5</v>
      </c>
      <c r="AM44" s="11">
        <v>3.6600000000000001E-2</v>
      </c>
      <c r="AN44" s="11">
        <f t="shared" si="17"/>
        <v>61298.228999999999</v>
      </c>
      <c r="AO44" s="11">
        <v>61298.23</v>
      </c>
      <c r="AP44" s="11">
        <f t="shared" si="5"/>
        <v>61298.23</v>
      </c>
      <c r="AQ44" s="11">
        <f t="shared" si="6"/>
        <v>-1.0000000038417056E-3</v>
      </c>
      <c r="AR44" s="11"/>
      <c r="AS44" s="11"/>
      <c r="AT44" s="11"/>
    </row>
    <row r="45" spans="1:46" x14ac:dyDescent="0.15">
      <c r="A45" s="54" t="s">
        <v>725</v>
      </c>
      <c r="B45" s="11" t="s">
        <v>759</v>
      </c>
      <c r="C45" s="11" t="s">
        <v>334</v>
      </c>
      <c r="D45" s="11" t="s">
        <v>760</v>
      </c>
      <c r="E45" s="11" t="s">
        <v>548</v>
      </c>
      <c r="F45" s="11" t="s">
        <v>761</v>
      </c>
      <c r="G45" s="11" t="s">
        <v>762</v>
      </c>
      <c r="H45" s="11" t="s">
        <v>763</v>
      </c>
      <c r="I45" s="11" t="s">
        <v>764</v>
      </c>
      <c r="J45" s="11" t="s">
        <v>765</v>
      </c>
      <c r="K45" s="11" t="s">
        <v>572</v>
      </c>
      <c r="L45" s="11"/>
      <c r="M45" s="11">
        <v>260000</v>
      </c>
      <c r="N45" s="11"/>
      <c r="O45" s="11"/>
      <c r="P45" s="11"/>
      <c r="Q45" s="11"/>
      <c r="R45" s="11"/>
      <c r="S45" s="11"/>
      <c r="T45" s="11" t="s">
        <v>526</v>
      </c>
      <c r="U45" s="11" t="s">
        <v>600</v>
      </c>
      <c r="V45" s="11">
        <v>8.5999999999999993E-2</v>
      </c>
      <c r="W45" s="11">
        <f t="shared" si="7"/>
        <v>22360</v>
      </c>
      <c r="X45" s="11">
        <v>22360</v>
      </c>
      <c r="Y45" s="11">
        <f t="shared" si="1"/>
        <v>22360</v>
      </c>
      <c r="Z45" s="11">
        <f t="shared" si="2"/>
        <v>0</v>
      </c>
      <c r="AA45" s="11"/>
      <c r="AB45" s="11"/>
      <c r="AC45" s="11">
        <v>182000</v>
      </c>
      <c r="AD45" s="11">
        <v>182000</v>
      </c>
      <c r="AE45" s="11">
        <f t="shared" si="16"/>
        <v>0.7</v>
      </c>
      <c r="AF45" s="11"/>
      <c r="AG45" s="11"/>
      <c r="AH45" s="11">
        <v>182000</v>
      </c>
      <c r="AI45" s="11"/>
      <c r="AJ45" s="11"/>
      <c r="AK45" s="11"/>
      <c r="AL45" s="11">
        <f t="shared" si="4"/>
        <v>182000</v>
      </c>
      <c r="AM45" s="11">
        <v>3.4000000000000002E-2</v>
      </c>
      <c r="AN45" s="11">
        <f t="shared" si="17"/>
        <v>8840</v>
      </c>
      <c r="AO45" s="11"/>
      <c r="AP45" s="11">
        <f t="shared" si="5"/>
        <v>0</v>
      </c>
      <c r="AQ45" s="11">
        <f t="shared" si="6"/>
        <v>8840</v>
      </c>
      <c r="AR45" s="11"/>
      <c r="AS45" s="11"/>
      <c r="AT45" s="11"/>
    </row>
    <row r="46" spans="1:46" x14ac:dyDescent="0.15">
      <c r="A46" s="54" t="s">
        <v>725</v>
      </c>
      <c r="B46" s="11" t="s">
        <v>564</v>
      </c>
      <c r="C46" s="11" t="s">
        <v>310</v>
      </c>
      <c r="D46" s="11" t="s">
        <v>766</v>
      </c>
      <c r="E46" s="11" t="s">
        <v>548</v>
      </c>
      <c r="F46" s="11" t="s">
        <v>767</v>
      </c>
      <c r="G46" s="11" t="s">
        <v>768</v>
      </c>
      <c r="H46" s="11" t="s">
        <v>571</v>
      </c>
      <c r="I46" s="11" t="s">
        <v>570</v>
      </c>
      <c r="J46" s="11" t="s">
        <v>571</v>
      </c>
      <c r="K46" s="11" t="s">
        <v>526</v>
      </c>
      <c r="L46" s="11"/>
      <c r="M46" s="11">
        <v>1042588.3</v>
      </c>
      <c r="N46" s="11"/>
      <c r="O46" s="11"/>
      <c r="P46" s="11"/>
      <c r="Q46" s="11"/>
      <c r="R46" s="11"/>
      <c r="S46" s="11"/>
      <c r="T46" s="11" t="s">
        <v>526</v>
      </c>
      <c r="U46" s="11" t="s">
        <v>600</v>
      </c>
      <c r="V46" s="11">
        <v>3.5999999999999997E-2</v>
      </c>
      <c r="W46" s="11">
        <f t="shared" si="7"/>
        <v>37533.178800000002</v>
      </c>
      <c r="X46" s="11">
        <v>2892.48</v>
      </c>
      <c r="Y46" s="11">
        <f t="shared" si="1"/>
        <v>2892.48</v>
      </c>
      <c r="Z46" s="11">
        <f t="shared" si="2"/>
        <v>34640.698799999998</v>
      </c>
      <c r="AA46" s="11"/>
      <c r="AB46" s="11"/>
      <c r="AC46" s="11">
        <v>300000</v>
      </c>
      <c r="AD46" s="11">
        <v>300000</v>
      </c>
      <c r="AE46" s="11">
        <f t="shared" si="16"/>
        <v>0.28774541206725607</v>
      </c>
      <c r="AF46" s="11"/>
      <c r="AG46" s="11"/>
      <c r="AH46" s="11">
        <v>289800</v>
      </c>
      <c r="AI46" s="11"/>
      <c r="AJ46" s="11"/>
      <c r="AK46" s="11"/>
      <c r="AL46" s="11">
        <f t="shared" si="4"/>
        <v>289800</v>
      </c>
      <c r="AM46" s="11">
        <v>3.4000000000000002E-2</v>
      </c>
      <c r="AN46" s="11">
        <f t="shared" si="17"/>
        <v>35448.002200000003</v>
      </c>
      <c r="AO46" s="11">
        <v>10200</v>
      </c>
      <c r="AP46" s="11">
        <f t="shared" si="5"/>
        <v>10200</v>
      </c>
      <c r="AQ46" s="11">
        <f t="shared" si="6"/>
        <v>25248.002200000003</v>
      </c>
      <c r="AR46" s="11"/>
      <c r="AS46" s="11"/>
      <c r="AT46" s="11"/>
    </row>
    <row r="47" spans="1:46" x14ac:dyDescent="0.15">
      <c r="A47" s="54" t="s">
        <v>725</v>
      </c>
      <c r="B47" s="11" t="s">
        <v>631</v>
      </c>
      <c r="C47" s="11" t="s">
        <v>320</v>
      </c>
      <c r="D47" s="11" t="s">
        <v>769</v>
      </c>
      <c r="E47" s="11" t="s">
        <v>548</v>
      </c>
      <c r="F47" s="11" t="s">
        <v>770</v>
      </c>
      <c r="G47" s="11" t="s">
        <v>771</v>
      </c>
      <c r="H47" s="11" t="s">
        <v>636</v>
      </c>
      <c r="I47" s="11" t="s">
        <v>637</v>
      </c>
      <c r="J47" s="11" t="s">
        <v>636</v>
      </c>
      <c r="K47" s="11" t="s">
        <v>572</v>
      </c>
      <c r="L47" s="11"/>
      <c r="M47" s="11">
        <v>3480350</v>
      </c>
      <c r="N47" s="11"/>
      <c r="O47" s="11"/>
      <c r="P47" s="11"/>
      <c r="Q47" s="11"/>
      <c r="R47" s="11"/>
      <c r="S47" s="11"/>
      <c r="T47" s="11" t="s">
        <v>526</v>
      </c>
      <c r="U47" s="11" t="s">
        <v>600</v>
      </c>
      <c r="V47" s="11">
        <v>3.5999999999999997E-2</v>
      </c>
      <c r="W47" s="11">
        <f t="shared" si="7"/>
        <v>125292.59999999999</v>
      </c>
      <c r="X47" s="11">
        <v>125292.6</v>
      </c>
      <c r="Y47" s="11">
        <f t="shared" si="1"/>
        <v>125292.6</v>
      </c>
      <c r="Z47" s="11">
        <f t="shared" si="2"/>
        <v>0</v>
      </c>
      <c r="AA47" s="11"/>
      <c r="AB47" s="11"/>
      <c r="AC47" s="11">
        <v>1563875.12</v>
      </c>
      <c r="AD47" s="11">
        <v>1563875.12</v>
      </c>
      <c r="AE47" s="11">
        <f t="shared" si="16"/>
        <v>0.44934420963408855</v>
      </c>
      <c r="AF47" s="11"/>
      <c r="AG47" s="11"/>
      <c r="AH47" s="11">
        <v>1596613.91</v>
      </c>
      <c r="AI47" s="11"/>
      <c r="AJ47" s="11"/>
      <c r="AK47" s="11"/>
      <c r="AL47" s="11">
        <f t="shared" si="4"/>
        <v>1596613.91</v>
      </c>
      <c r="AM47" s="11">
        <v>3.4000000000000002E-2</v>
      </c>
      <c r="AN47" s="11">
        <f t="shared" si="17"/>
        <v>118331.90000000001</v>
      </c>
      <c r="AO47" s="11">
        <v>51187.45</v>
      </c>
      <c r="AP47" s="11">
        <f t="shared" si="5"/>
        <v>51187.45</v>
      </c>
      <c r="AQ47" s="11">
        <f t="shared" si="6"/>
        <v>67144.450000000012</v>
      </c>
      <c r="AR47" s="11"/>
      <c r="AS47" s="11"/>
      <c r="AT47" s="11"/>
    </row>
    <row r="48" spans="1:46" x14ac:dyDescent="0.15">
      <c r="A48" s="54" t="s">
        <v>725</v>
      </c>
      <c r="B48" s="11" t="s">
        <v>759</v>
      </c>
      <c r="C48" s="11" t="s">
        <v>332</v>
      </c>
      <c r="D48" s="11" t="s">
        <v>772</v>
      </c>
      <c r="E48" s="11" t="s">
        <v>548</v>
      </c>
      <c r="F48" s="11" t="s">
        <v>773</v>
      </c>
      <c r="G48" s="11" t="s">
        <v>774</v>
      </c>
      <c r="H48" s="11" t="s">
        <v>763</v>
      </c>
      <c r="I48" s="11" t="s">
        <v>764</v>
      </c>
      <c r="J48" s="11" t="s">
        <v>775</v>
      </c>
      <c r="K48" s="11" t="s">
        <v>572</v>
      </c>
      <c r="L48" s="11"/>
      <c r="M48" s="11">
        <v>50000</v>
      </c>
      <c r="N48" s="11"/>
      <c r="O48" s="11"/>
      <c r="P48" s="11"/>
      <c r="Q48" s="11"/>
      <c r="R48" s="11"/>
      <c r="S48" s="11"/>
      <c r="T48" s="11" t="s">
        <v>526</v>
      </c>
      <c r="U48" s="11" t="s">
        <v>600</v>
      </c>
      <c r="V48" s="11">
        <v>8.5999999999999993E-2</v>
      </c>
      <c r="W48" s="11">
        <f t="shared" si="7"/>
        <v>4300</v>
      </c>
      <c r="X48" s="11">
        <v>4300</v>
      </c>
      <c r="Y48" s="11">
        <f t="shared" si="1"/>
        <v>4300</v>
      </c>
      <c r="Z48" s="11">
        <f t="shared" si="2"/>
        <v>0</v>
      </c>
      <c r="AA48" s="11"/>
      <c r="AB48" s="11"/>
      <c r="AC48" s="11">
        <v>40000</v>
      </c>
      <c r="AD48" s="11">
        <v>40000</v>
      </c>
      <c r="AE48" s="11">
        <f t="shared" si="16"/>
        <v>0.8</v>
      </c>
      <c r="AF48" s="11"/>
      <c r="AG48" s="11"/>
      <c r="AH48" s="11">
        <v>40000</v>
      </c>
      <c r="AI48" s="11"/>
      <c r="AJ48" s="11"/>
      <c r="AK48" s="11"/>
      <c r="AL48" s="11">
        <f t="shared" si="4"/>
        <v>40000</v>
      </c>
      <c r="AM48" s="11">
        <v>3.4000000000000002E-2</v>
      </c>
      <c r="AN48" s="11">
        <f t="shared" si="17"/>
        <v>1700.0000000000002</v>
      </c>
      <c r="AO48" s="11">
        <v>1360</v>
      </c>
      <c r="AP48" s="11">
        <f t="shared" si="5"/>
        <v>1360</v>
      </c>
      <c r="AQ48" s="11">
        <f t="shared" si="6"/>
        <v>340.00000000000023</v>
      </c>
      <c r="AR48" s="11"/>
      <c r="AS48" s="11"/>
      <c r="AT48" s="11"/>
    </row>
    <row r="49" spans="1:46" x14ac:dyDescent="0.15">
      <c r="A49" s="54" t="s">
        <v>725</v>
      </c>
      <c r="B49" s="11" t="s">
        <v>776</v>
      </c>
      <c r="C49" s="11" t="s">
        <v>314</v>
      </c>
      <c r="D49" s="11" t="s">
        <v>777</v>
      </c>
      <c r="E49" s="11" t="s">
        <v>548</v>
      </c>
      <c r="F49" s="11" t="s">
        <v>778</v>
      </c>
      <c r="G49" s="11" t="s">
        <v>779</v>
      </c>
      <c r="H49" s="11" t="s">
        <v>780</v>
      </c>
      <c r="I49" s="11" t="s">
        <v>781</v>
      </c>
      <c r="J49" s="11" t="s">
        <v>782</v>
      </c>
      <c r="K49" s="11" t="s">
        <v>526</v>
      </c>
      <c r="L49" s="11"/>
      <c r="M49" s="11">
        <v>1976165.98</v>
      </c>
      <c r="N49" s="11"/>
      <c r="O49" s="11"/>
      <c r="P49" s="11"/>
      <c r="Q49" s="11"/>
      <c r="R49" s="11"/>
      <c r="S49" s="11"/>
      <c r="T49" s="11" t="s">
        <v>526</v>
      </c>
      <c r="U49" s="11" t="s">
        <v>600</v>
      </c>
      <c r="V49" s="11">
        <v>3.5999999999999997E-2</v>
      </c>
      <c r="W49" s="11">
        <f t="shared" si="7"/>
        <v>71141.975279999999</v>
      </c>
      <c r="X49" s="11"/>
      <c r="Y49" s="11">
        <f t="shared" si="1"/>
        <v>0</v>
      </c>
      <c r="Z49" s="11">
        <f t="shared" si="2"/>
        <v>71141.975279999999</v>
      </c>
      <c r="AA49" s="11"/>
      <c r="AB49" s="11"/>
      <c r="AC49" s="11">
        <v>1585970</v>
      </c>
      <c r="AD49" s="11">
        <v>1585970</v>
      </c>
      <c r="AE49" s="11">
        <f t="shared" si="16"/>
        <v>0.80254898427104793</v>
      </c>
      <c r="AF49" s="11"/>
      <c r="AG49" s="11"/>
      <c r="AH49" s="11">
        <v>1529184.12</v>
      </c>
      <c r="AI49" s="11"/>
      <c r="AJ49" s="11"/>
      <c r="AK49" s="11"/>
      <c r="AL49" s="11">
        <f t="shared" si="4"/>
        <v>1529184.12</v>
      </c>
      <c r="AM49" s="11">
        <v>3.4000000000000002E-2</v>
      </c>
      <c r="AN49" s="11">
        <f t="shared" si="17"/>
        <v>67189.643320000003</v>
      </c>
      <c r="AO49" s="11">
        <v>33594.800000000003</v>
      </c>
      <c r="AP49" s="11">
        <f t="shared" si="5"/>
        <v>33594.800000000003</v>
      </c>
      <c r="AQ49" s="11">
        <f t="shared" si="6"/>
        <v>33594.84332</v>
      </c>
      <c r="AR49" s="11"/>
      <c r="AS49" s="11"/>
      <c r="AT49" s="11"/>
    </row>
    <row r="50" spans="1:46" x14ac:dyDescent="0.15">
      <c r="A50" s="54" t="s">
        <v>725</v>
      </c>
      <c r="B50" s="11" t="s">
        <v>759</v>
      </c>
      <c r="C50" s="11" t="s">
        <v>326</v>
      </c>
      <c r="D50" s="11" t="s">
        <v>783</v>
      </c>
      <c r="E50" s="11" t="s">
        <v>548</v>
      </c>
      <c r="F50" s="11" t="s">
        <v>784</v>
      </c>
      <c r="G50" s="11" t="s">
        <v>785</v>
      </c>
      <c r="H50" s="11" t="s">
        <v>786</v>
      </c>
      <c r="I50" s="11" t="s">
        <v>787</v>
      </c>
      <c r="J50" s="11" t="s">
        <v>775</v>
      </c>
      <c r="K50" s="11" t="s">
        <v>572</v>
      </c>
      <c r="L50" s="11"/>
      <c r="M50" s="11">
        <v>600000</v>
      </c>
      <c r="N50" s="11"/>
      <c r="O50" s="11"/>
      <c r="P50" s="11"/>
      <c r="Q50" s="11"/>
      <c r="R50" s="11"/>
      <c r="S50" s="11"/>
      <c r="T50" s="11" t="s">
        <v>526</v>
      </c>
      <c r="U50" s="11" t="s">
        <v>600</v>
      </c>
      <c r="V50" s="11">
        <v>8.5999999999999993E-2</v>
      </c>
      <c r="W50" s="11">
        <f t="shared" si="7"/>
        <v>51599.999999999993</v>
      </c>
      <c r="X50" s="11">
        <v>25800</v>
      </c>
      <c r="Y50" s="11">
        <f t="shared" si="1"/>
        <v>25800</v>
      </c>
      <c r="Z50" s="11">
        <f t="shared" si="2"/>
        <v>25799.999999999993</v>
      </c>
      <c r="AA50" s="11"/>
      <c r="AB50" s="11"/>
      <c r="AC50" s="11">
        <v>120000</v>
      </c>
      <c r="AD50" s="11">
        <v>120000</v>
      </c>
      <c r="AE50" s="11">
        <f t="shared" si="16"/>
        <v>0.2</v>
      </c>
      <c r="AF50" s="11"/>
      <c r="AG50" s="11"/>
      <c r="AH50" s="11">
        <v>120000</v>
      </c>
      <c r="AI50" s="11"/>
      <c r="AJ50" s="11"/>
      <c r="AK50" s="11"/>
      <c r="AL50" s="11">
        <f t="shared" si="4"/>
        <v>120000</v>
      </c>
      <c r="AM50" s="11">
        <v>3.4000000000000002E-2</v>
      </c>
      <c r="AN50" s="11">
        <f t="shared" si="17"/>
        <v>20400</v>
      </c>
      <c r="AO50" s="11">
        <v>4080</v>
      </c>
      <c r="AP50" s="11">
        <f t="shared" si="5"/>
        <v>4080</v>
      </c>
      <c r="AQ50" s="11">
        <f t="shared" si="6"/>
        <v>16320</v>
      </c>
      <c r="AR50" s="11"/>
      <c r="AS50" s="11"/>
      <c r="AT50" s="11"/>
    </row>
    <row r="51" spans="1:46" x14ac:dyDescent="0.15">
      <c r="A51" s="54" t="s">
        <v>788</v>
      </c>
      <c r="B51" s="11" t="s">
        <v>532</v>
      </c>
      <c r="C51" s="11" t="s">
        <v>789</v>
      </c>
      <c r="D51" s="11" t="s">
        <v>790</v>
      </c>
      <c r="E51" s="11" t="s">
        <v>548</v>
      </c>
      <c r="F51" s="11" t="s">
        <v>791</v>
      </c>
      <c r="G51" s="11" t="s">
        <v>792</v>
      </c>
      <c r="H51" s="11" t="s">
        <v>539</v>
      </c>
      <c r="I51" s="11" t="s">
        <v>592</v>
      </c>
      <c r="J51" s="11" t="s">
        <v>539</v>
      </c>
      <c r="K51" s="11" t="s">
        <v>526</v>
      </c>
      <c r="L51" s="11"/>
      <c r="M51" s="11">
        <v>8084018.7400000002</v>
      </c>
      <c r="N51" s="11"/>
      <c r="O51" s="11"/>
      <c r="P51" s="11"/>
      <c r="Q51" s="11"/>
      <c r="R51" s="11"/>
      <c r="S51" s="11"/>
      <c r="T51" s="11" t="s">
        <v>526</v>
      </c>
      <c r="U51" s="11" t="s">
        <v>600</v>
      </c>
      <c r="V51" s="11">
        <v>0.03</v>
      </c>
      <c r="W51" s="11">
        <f t="shared" si="7"/>
        <v>242520.56219999999</v>
      </c>
      <c r="X51" s="11">
        <v>121260</v>
      </c>
      <c r="Y51" s="11">
        <f t="shared" si="1"/>
        <v>121260</v>
      </c>
      <c r="Z51" s="11">
        <f t="shared" si="2"/>
        <v>121260.56219999999</v>
      </c>
      <c r="AA51" s="11"/>
      <c r="AB51" s="11"/>
      <c r="AC51" s="11">
        <v>1578401</v>
      </c>
      <c r="AD51" s="11">
        <v>1578401</v>
      </c>
      <c r="AE51" s="11">
        <f t="shared" si="16"/>
        <v>0.19524954738044062</v>
      </c>
      <c r="AF51" s="11"/>
      <c r="AG51" s="11"/>
      <c r="AH51" s="11">
        <v>1516729</v>
      </c>
      <c r="AI51" s="11"/>
      <c r="AJ51" s="11"/>
      <c r="AK51" s="11"/>
      <c r="AL51" s="11">
        <f t="shared" si="4"/>
        <v>1516729</v>
      </c>
      <c r="AM51" s="11">
        <v>3.4000000000000002E-2</v>
      </c>
      <c r="AN51" s="11">
        <f t="shared" si="17"/>
        <v>274856.63716000004</v>
      </c>
      <c r="AO51" s="11">
        <v>53665.63</v>
      </c>
      <c r="AP51" s="11">
        <f t="shared" si="5"/>
        <v>53665.63</v>
      </c>
      <c r="AQ51" s="11">
        <f t="shared" si="6"/>
        <v>221191.00716000004</v>
      </c>
      <c r="AR51" s="11"/>
      <c r="AS51" s="11"/>
      <c r="AT51" s="11"/>
    </row>
    <row r="52" spans="1:46" x14ac:dyDescent="0.15">
      <c r="A52" s="54" t="s">
        <v>793</v>
      </c>
      <c r="B52" s="11" t="s">
        <v>532</v>
      </c>
      <c r="C52" s="11" t="s">
        <v>794</v>
      </c>
      <c r="D52" s="11" t="s">
        <v>795</v>
      </c>
      <c r="E52" s="11" t="s">
        <v>548</v>
      </c>
      <c r="F52" s="11" t="s">
        <v>796</v>
      </c>
      <c r="G52" s="11" t="s">
        <v>797</v>
      </c>
      <c r="H52" s="11" t="s">
        <v>539</v>
      </c>
      <c r="I52" s="11" t="s">
        <v>592</v>
      </c>
      <c r="J52" s="11" t="s">
        <v>539</v>
      </c>
      <c r="K52" s="11" t="s">
        <v>526</v>
      </c>
      <c r="L52" s="11"/>
      <c r="M52" s="11">
        <v>2915737.56</v>
      </c>
      <c r="N52" s="11"/>
      <c r="O52" s="11"/>
      <c r="P52" s="11"/>
      <c r="Q52" s="11"/>
      <c r="R52" s="11"/>
      <c r="S52" s="11"/>
      <c r="T52" s="11" t="s">
        <v>700</v>
      </c>
      <c r="U52" s="11" t="s">
        <v>710</v>
      </c>
      <c r="V52" s="11">
        <v>3.5999999999999997E-2</v>
      </c>
      <c r="W52" s="11">
        <f t="shared" si="7"/>
        <v>104966.55215999999</v>
      </c>
      <c r="X52" s="11">
        <v>97955.71</v>
      </c>
      <c r="Y52" s="11">
        <f t="shared" si="1"/>
        <v>97955.71</v>
      </c>
      <c r="Z52" s="11">
        <f t="shared" si="2"/>
        <v>7010.8421599999856</v>
      </c>
      <c r="AA52" s="11"/>
      <c r="AB52" s="11"/>
      <c r="AC52" s="11">
        <v>1360496</v>
      </c>
      <c r="AD52" s="11">
        <v>1360496</v>
      </c>
      <c r="AE52" s="11">
        <f t="shared" si="16"/>
        <v>0.4666044086628976</v>
      </c>
      <c r="AF52" s="11"/>
      <c r="AG52" s="11"/>
      <c r="AH52" s="11">
        <v>1145067.95</v>
      </c>
      <c r="AI52" s="11"/>
      <c r="AJ52" s="11"/>
      <c r="AK52" s="11"/>
      <c r="AL52" s="11">
        <f t="shared" si="4"/>
        <v>1145067.95</v>
      </c>
      <c r="AM52" s="11">
        <v>3.4000000000000002E-2</v>
      </c>
      <c r="AN52" s="11">
        <f t="shared" si="17"/>
        <v>99135.077040000004</v>
      </c>
      <c r="AO52" s="11">
        <v>74010.98</v>
      </c>
      <c r="AP52" s="11">
        <f t="shared" si="5"/>
        <v>74010.98</v>
      </c>
      <c r="AQ52" s="11">
        <f t="shared" si="6"/>
        <v>25124.097040000008</v>
      </c>
      <c r="AR52" s="11"/>
      <c r="AS52" s="11"/>
      <c r="AT52" s="11"/>
    </row>
    <row r="53" spans="1:46" x14ac:dyDescent="0.15">
      <c r="A53" s="54" t="s">
        <v>798</v>
      </c>
      <c r="B53" s="11" t="s">
        <v>799</v>
      </c>
      <c r="C53" s="11" t="s">
        <v>800</v>
      </c>
      <c r="D53" s="11" t="s">
        <v>801</v>
      </c>
      <c r="E53" s="11" t="s">
        <v>705</v>
      </c>
      <c r="F53" s="11" t="s">
        <v>802</v>
      </c>
      <c r="G53" s="11" t="s">
        <v>803</v>
      </c>
      <c r="H53" s="11" t="s">
        <v>804</v>
      </c>
      <c r="I53" s="11" t="s">
        <v>805</v>
      </c>
      <c r="J53" s="11" t="s">
        <v>804</v>
      </c>
      <c r="K53" s="11" t="s">
        <v>572</v>
      </c>
      <c r="L53" s="11"/>
      <c r="M53" s="11">
        <v>12750000</v>
      </c>
      <c r="N53" s="11"/>
      <c r="O53" s="11"/>
      <c r="P53" s="11"/>
      <c r="Q53" s="11"/>
      <c r="R53" s="11"/>
      <c r="S53" s="11"/>
      <c r="T53" s="11" t="s">
        <v>526</v>
      </c>
      <c r="U53" s="11" t="s">
        <v>600</v>
      </c>
      <c r="V53" s="11">
        <v>0.03</v>
      </c>
      <c r="W53" s="11">
        <f t="shared" si="7"/>
        <v>382500</v>
      </c>
      <c r="X53" s="11">
        <v>382500</v>
      </c>
      <c r="Y53" s="11">
        <f t="shared" si="1"/>
        <v>382500</v>
      </c>
      <c r="Z53" s="11">
        <f t="shared" si="2"/>
        <v>0</v>
      </c>
      <c r="AA53" s="11"/>
      <c r="AB53" s="11"/>
      <c r="AC53" s="11">
        <v>7596524.4199999999</v>
      </c>
      <c r="AD53" s="11">
        <v>7596524.4199999999</v>
      </c>
      <c r="AE53" s="11">
        <f t="shared" si="16"/>
        <v>0.59580583686274513</v>
      </c>
      <c r="AF53" s="11"/>
      <c r="AG53" s="11"/>
      <c r="AH53" s="11">
        <v>6030422.2000000002</v>
      </c>
      <c r="AI53" s="11"/>
      <c r="AJ53" s="11"/>
      <c r="AK53" s="11"/>
      <c r="AL53" s="11">
        <f t="shared" si="4"/>
        <v>6030422.2000000002</v>
      </c>
      <c r="AM53" s="11"/>
      <c r="AN53" s="11">
        <v>297937.5</v>
      </c>
      <c r="AO53" s="11">
        <v>297937.5</v>
      </c>
      <c r="AP53" s="11">
        <f t="shared" si="5"/>
        <v>297937.5</v>
      </c>
      <c r="AQ53" s="11">
        <f t="shared" si="6"/>
        <v>0</v>
      </c>
      <c r="AR53" s="11"/>
      <c r="AS53" s="11"/>
      <c r="AT53" s="11"/>
    </row>
    <row r="54" spans="1:46" x14ac:dyDescent="0.15">
      <c r="A54" s="54" t="s">
        <v>806</v>
      </c>
      <c r="B54" s="11" t="s">
        <v>759</v>
      </c>
      <c r="C54" s="11" t="s">
        <v>362</v>
      </c>
      <c r="D54" s="11" t="s">
        <v>807</v>
      </c>
      <c r="E54" s="11" t="s">
        <v>548</v>
      </c>
      <c r="F54" s="11"/>
      <c r="G54" s="11"/>
      <c r="H54" s="11" t="s">
        <v>763</v>
      </c>
      <c r="I54" s="11"/>
      <c r="J54" s="11"/>
      <c r="K54" s="11"/>
      <c r="L54" s="11"/>
      <c r="M54" s="11">
        <v>50000</v>
      </c>
      <c r="N54" s="11"/>
      <c r="O54" s="11"/>
      <c r="P54" s="11"/>
      <c r="Q54" s="11"/>
      <c r="R54" s="11"/>
      <c r="S54" s="11"/>
      <c r="T54" s="11" t="s">
        <v>526</v>
      </c>
      <c r="U54" s="11" t="s">
        <v>600</v>
      </c>
      <c r="V54" s="11">
        <v>8.5999999999999993E-2</v>
      </c>
      <c r="W54" s="11">
        <f t="shared" si="7"/>
        <v>4300</v>
      </c>
      <c r="X54" s="11">
        <v>4300</v>
      </c>
      <c r="Y54" s="11">
        <f t="shared" si="1"/>
        <v>4300</v>
      </c>
      <c r="Z54" s="11">
        <f t="shared" si="2"/>
        <v>0</v>
      </c>
      <c r="AA54" s="11"/>
      <c r="AB54" s="11"/>
      <c r="AC54" s="11">
        <v>40000</v>
      </c>
      <c r="AD54" s="11">
        <v>40000</v>
      </c>
      <c r="AE54" s="11">
        <f t="shared" si="16"/>
        <v>0.8</v>
      </c>
      <c r="AF54" s="11"/>
      <c r="AG54" s="11"/>
      <c r="AH54" s="11">
        <v>40000</v>
      </c>
      <c r="AI54" s="11"/>
      <c r="AJ54" s="11"/>
      <c r="AK54" s="11"/>
      <c r="AL54" s="11">
        <f t="shared" si="4"/>
        <v>40000</v>
      </c>
      <c r="AM54" s="11">
        <v>3.4000000000000002E-2</v>
      </c>
      <c r="AN54" s="11">
        <f t="shared" ref="AN54:AN86" si="18">M54*AM54</f>
        <v>1700.0000000000002</v>
      </c>
      <c r="AO54" s="11">
        <v>1700</v>
      </c>
      <c r="AP54" s="11">
        <f t="shared" si="5"/>
        <v>1700</v>
      </c>
      <c r="AQ54" s="11">
        <f t="shared" si="6"/>
        <v>0</v>
      </c>
      <c r="AR54" s="11"/>
      <c r="AS54" s="11"/>
      <c r="AT54" s="11"/>
    </row>
    <row r="55" spans="1:46" x14ac:dyDescent="0.15">
      <c r="A55" s="54" t="s">
        <v>808</v>
      </c>
      <c r="B55" s="11" t="s">
        <v>759</v>
      </c>
      <c r="C55" s="11" t="s">
        <v>372</v>
      </c>
      <c r="D55" s="11" t="s">
        <v>809</v>
      </c>
      <c r="E55" s="11" t="s">
        <v>548</v>
      </c>
      <c r="F55" s="11"/>
      <c r="G55" s="11"/>
      <c r="H55" s="11" t="s">
        <v>763</v>
      </c>
      <c r="I55" s="11"/>
      <c r="J55" s="11"/>
      <c r="K55" s="11"/>
      <c r="L55" s="11"/>
      <c r="M55" s="11">
        <v>50000</v>
      </c>
      <c r="N55" s="11"/>
      <c r="O55" s="11"/>
      <c r="P55" s="11"/>
      <c r="Q55" s="11"/>
      <c r="R55" s="11"/>
      <c r="S55" s="11"/>
      <c r="T55" s="11" t="s">
        <v>526</v>
      </c>
      <c r="U55" s="11" t="s">
        <v>600</v>
      </c>
      <c r="V55" s="11">
        <v>8.5999999999999993E-2</v>
      </c>
      <c r="W55" s="11">
        <f t="shared" si="7"/>
        <v>4300</v>
      </c>
      <c r="X55" s="11">
        <v>4300</v>
      </c>
      <c r="Y55" s="11">
        <f t="shared" si="1"/>
        <v>4300</v>
      </c>
      <c r="Z55" s="11">
        <f t="shared" si="2"/>
        <v>0</v>
      </c>
      <c r="AA55" s="11"/>
      <c r="AB55" s="11"/>
      <c r="AC55" s="11">
        <v>40000</v>
      </c>
      <c r="AD55" s="11">
        <v>40000</v>
      </c>
      <c r="AE55" s="11">
        <f t="shared" si="16"/>
        <v>0.8</v>
      </c>
      <c r="AF55" s="11"/>
      <c r="AG55" s="11"/>
      <c r="AH55" s="11">
        <v>40000</v>
      </c>
      <c r="AI55" s="11"/>
      <c r="AJ55" s="11"/>
      <c r="AK55" s="11"/>
      <c r="AL55" s="11">
        <f t="shared" si="4"/>
        <v>40000</v>
      </c>
      <c r="AM55" s="11">
        <v>3.4000000000000002E-2</v>
      </c>
      <c r="AN55" s="11">
        <f t="shared" si="18"/>
        <v>1700.0000000000002</v>
      </c>
      <c r="AO55" s="11">
        <v>0</v>
      </c>
      <c r="AP55" s="11">
        <f t="shared" si="5"/>
        <v>0</v>
      </c>
      <c r="AQ55" s="11">
        <f t="shared" si="6"/>
        <v>1700.0000000000002</v>
      </c>
      <c r="AR55" s="11"/>
      <c r="AS55" s="11"/>
      <c r="AT55" s="11"/>
    </row>
    <row r="56" spans="1:46" x14ac:dyDescent="0.15">
      <c r="A56" s="54" t="s">
        <v>810</v>
      </c>
      <c r="B56" s="11" t="s">
        <v>759</v>
      </c>
      <c r="C56" s="11" t="s">
        <v>385</v>
      </c>
      <c r="D56" s="11" t="s">
        <v>811</v>
      </c>
      <c r="E56" s="11" t="s">
        <v>548</v>
      </c>
      <c r="F56" s="11"/>
      <c r="G56" s="11"/>
      <c r="H56" s="11" t="s">
        <v>763</v>
      </c>
      <c r="I56" s="11"/>
      <c r="J56" s="11"/>
      <c r="K56" s="11"/>
      <c r="L56" s="11"/>
      <c r="M56" s="11">
        <v>50000</v>
      </c>
      <c r="N56" s="11"/>
      <c r="O56" s="11"/>
      <c r="P56" s="11"/>
      <c r="Q56" s="11"/>
      <c r="R56" s="11"/>
      <c r="S56" s="11"/>
      <c r="T56" s="11" t="s">
        <v>526</v>
      </c>
      <c r="U56" s="11" t="s">
        <v>600</v>
      </c>
      <c r="V56" s="11">
        <v>8.5999999999999993E-2</v>
      </c>
      <c r="W56" s="11">
        <f t="shared" si="7"/>
        <v>4300</v>
      </c>
      <c r="X56" s="11"/>
      <c r="Y56" s="11">
        <f t="shared" si="1"/>
        <v>0</v>
      </c>
      <c r="Z56" s="11">
        <f t="shared" si="2"/>
        <v>4300</v>
      </c>
      <c r="AA56" s="11"/>
      <c r="AB56" s="11"/>
      <c r="AC56" s="11">
        <v>0</v>
      </c>
      <c r="AD56" s="11">
        <v>0</v>
      </c>
      <c r="AE56" s="11">
        <f t="shared" si="16"/>
        <v>0</v>
      </c>
      <c r="AF56" s="11"/>
      <c r="AG56" s="11"/>
      <c r="AH56" s="11"/>
      <c r="AI56" s="11"/>
      <c r="AJ56" s="11"/>
      <c r="AK56" s="11"/>
      <c r="AL56" s="11">
        <f t="shared" si="4"/>
        <v>0</v>
      </c>
      <c r="AM56" s="11">
        <v>3.4000000000000002E-2</v>
      </c>
      <c r="AN56" s="11">
        <f t="shared" si="18"/>
        <v>1700.0000000000002</v>
      </c>
      <c r="AO56" s="11"/>
      <c r="AP56" s="11">
        <f t="shared" si="5"/>
        <v>0</v>
      </c>
      <c r="AQ56" s="11">
        <f t="shared" si="6"/>
        <v>1700.0000000000002</v>
      </c>
      <c r="AR56" s="11"/>
      <c r="AS56" s="11"/>
      <c r="AT56" s="11"/>
    </row>
    <row r="57" spans="1:46" x14ac:dyDescent="0.15">
      <c r="A57" s="54" t="s">
        <v>812</v>
      </c>
      <c r="B57" s="11" t="s">
        <v>759</v>
      </c>
      <c r="C57" s="11" t="s">
        <v>449</v>
      </c>
      <c r="D57" s="11" t="s">
        <v>813</v>
      </c>
      <c r="E57" s="11" t="s">
        <v>548</v>
      </c>
      <c r="F57" s="11"/>
      <c r="G57" s="11"/>
      <c r="H57" s="11" t="s">
        <v>763</v>
      </c>
      <c r="I57" s="11"/>
      <c r="J57" s="11"/>
      <c r="K57" s="11"/>
      <c r="L57" s="11"/>
      <c r="M57" s="11">
        <v>50000</v>
      </c>
      <c r="N57" s="11"/>
      <c r="O57" s="11"/>
      <c r="P57" s="11"/>
      <c r="Q57" s="11"/>
      <c r="R57" s="11"/>
      <c r="S57" s="11"/>
      <c r="T57" s="11" t="s">
        <v>526</v>
      </c>
      <c r="U57" s="11" t="s">
        <v>600</v>
      </c>
      <c r="V57" s="11">
        <v>8.5999999999999993E-2</v>
      </c>
      <c r="W57" s="11">
        <f t="shared" si="7"/>
        <v>4300</v>
      </c>
      <c r="X57" s="11"/>
      <c r="Y57" s="11">
        <f t="shared" si="1"/>
        <v>0</v>
      </c>
      <c r="Z57" s="11">
        <f t="shared" si="2"/>
        <v>4300</v>
      </c>
      <c r="AA57" s="11"/>
      <c r="AB57" s="11"/>
      <c r="AC57" s="11">
        <v>0</v>
      </c>
      <c r="AD57" s="11">
        <v>0</v>
      </c>
      <c r="AE57" s="11">
        <f t="shared" si="16"/>
        <v>0</v>
      </c>
      <c r="AF57" s="11"/>
      <c r="AG57" s="11"/>
      <c r="AH57" s="11"/>
      <c r="AI57" s="11"/>
      <c r="AJ57" s="11"/>
      <c r="AK57" s="11"/>
      <c r="AL57" s="11">
        <f t="shared" si="4"/>
        <v>0</v>
      </c>
      <c r="AM57" s="11">
        <v>3.4000000000000002E-2</v>
      </c>
      <c r="AN57" s="11">
        <f t="shared" si="18"/>
        <v>1700.0000000000002</v>
      </c>
      <c r="AO57" s="11"/>
      <c r="AP57" s="11">
        <f t="shared" si="5"/>
        <v>0</v>
      </c>
      <c r="AQ57" s="11">
        <f t="shared" si="6"/>
        <v>1700.0000000000002</v>
      </c>
      <c r="AR57" s="11"/>
      <c r="AS57" s="11"/>
      <c r="AT57" s="11"/>
    </row>
    <row r="58" spans="1:46" x14ac:dyDescent="0.15">
      <c r="A58" s="54" t="s">
        <v>812</v>
      </c>
      <c r="B58" s="11" t="s">
        <v>642</v>
      </c>
      <c r="C58" s="11" t="s">
        <v>814</v>
      </c>
      <c r="D58" s="11" t="s">
        <v>815</v>
      </c>
      <c r="E58" s="11" t="s">
        <v>548</v>
      </c>
      <c r="F58" s="11"/>
      <c r="G58" s="11"/>
      <c r="H58" s="11" t="s">
        <v>646</v>
      </c>
      <c r="I58" s="11"/>
      <c r="J58" s="11"/>
      <c r="K58" s="11"/>
      <c r="L58" s="11"/>
      <c r="M58" s="11">
        <f>5410202+967901.04</f>
        <v>6378103.04</v>
      </c>
      <c r="N58" s="11"/>
      <c r="O58" s="11"/>
      <c r="P58" s="11"/>
      <c r="Q58" s="11"/>
      <c r="R58" s="11"/>
      <c r="S58" s="11"/>
      <c r="T58" s="11" t="s">
        <v>526</v>
      </c>
      <c r="U58" s="11" t="s">
        <v>600</v>
      </c>
      <c r="V58" s="11">
        <v>0.03</v>
      </c>
      <c r="W58" s="11">
        <f t="shared" si="7"/>
        <v>191343.0912</v>
      </c>
      <c r="X58" s="11"/>
      <c r="Y58" s="11">
        <f t="shared" si="1"/>
        <v>0</v>
      </c>
      <c r="Z58" s="11">
        <f t="shared" si="2"/>
        <v>191343.0912</v>
      </c>
      <c r="AA58" s="11"/>
      <c r="AB58" s="11"/>
      <c r="AC58" s="11">
        <v>0</v>
      </c>
      <c r="AD58" s="11">
        <v>0</v>
      </c>
      <c r="AE58" s="11">
        <f t="shared" si="16"/>
        <v>0</v>
      </c>
      <c r="AF58" s="11"/>
      <c r="AG58" s="11"/>
      <c r="AH58" s="11">
        <v>188631.25</v>
      </c>
      <c r="AI58" s="11"/>
      <c r="AJ58" s="11"/>
      <c r="AK58" s="11"/>
      <c r="AL58" s="11">
        <f t="shared" si="4"/>
        <v>188631.25</v>
      </c>
      <c r="AM58" s="11"/>
      <c r="AN58" s="11">
        <f t="shared" si="18"/>
        <v>0</v>
      </c>
      <c r="AO58" s="11"/>
      <c r="AP58" s="11">
        <f t="shared" si="5"/>
        <v>0</v>
      </c>
      <c r="AQ58" s="11">
        <f t="shared" si="6"/>
        <v>0</v>
      </c>
      <c r="AR58" s="11"/>
      <c r="AS58" s="11"/>
      <c r="AT58" s="11"/>
    </row>
    <row r="59" spans="1:46" x14ac:dyDescent="0.15">
      <c r="A59" s="54" t="s">
        <v>812</v>
      </c>
      <c r="B59" s="11" t="s">
        <v>620</v>
      </c>
      <c r="C59" s="11" t="s">
        <v>425</v>
      </c>
      <c r="D59" s="11" t="s">
        <v>816</v>
      </c>
      <c r="E59" s="11" t="s">
        <v>548</v>
      </c>
      <c r="F59" s="11"/>
      <c r="G59" s="11"/>
      <c r="H59" s="11" t="s">
        <v>624</v>
      </c>
      <c r="I59" s="11"/>
      <c r="J59" s="11"/>
      <c r="K59" s="11"/>
      <c r="L59" s="11"/>
      <c r="M59" s="11">
        <v>630000</v>
      </c>
      <c r="N59" s="11"/>
      <c r="O59" s="11"/>
      <c r="P59" s="11"/>
      <c r="Q59" s="11"/>
      <c r="R59" s="11"/>
      <c r="S59" s="11"/>
      <c r="T59" s="11" t="s">
        <v>526</v>
      </c>
      <c r="U59" s="11" t="s">
        <v>600</v>
      </c>
      <c r="V59" s="11">
        <v>8.5999999999999993E-2</v>
      </c>
      <c r="W59" s="11">
        <f t="shared" si="7"/>
        <v>54179.999999999993</v>
      </c>
      <c r="X59" s="11">
        <v>54180</v>
      </c>
      <c r="Y59" s="11">
        <f t="shared" si="1"/>
        <v>54180</v>
      </c>
      <c r="Z59" s="11">
        <f t="shared" si="2"/>
        <v>0</v>
      </c>
      <c r="AA59" s="11"/>
      <c r="AB59" s="11"/>
      <c r="AC59" s="11">
        <v>441000</v>
      </c>
      <c r="AD59" s="11">
        <v>441000</v>
      </c>
      <c r="AE59" s="11">
        <f t="shared" si="16"/>
        <v>0.7</v>
      </c>
      <c r="AF59" s="11"/>
      <c r="AG59" s="11"/>
      <c r="AH59" s="11">
        <v>400000</v>
      </c>
      <c r="AI59" s="11"/>
      <c r="AJ59" s="11"/>
      <c r="AK59" s="11"/>
      <c r="AL59" s="11">
        <f t="shared" si="4"/>
        <v>400000</v>
      </c>
      <c r="AM59" s="11">
        <v>3.4000000000000002E-2</v>
      </c>
      <c r="AN59" s="11">
        <f t="shared" si="18"/>
        <v>21420</v>
      </c>
      <c r="AO59" s="11">
        <v>14994</v>
      </c>
      <c r="AP59" s="11">
        <f t="shared" si="5"/>
        <v>14994</v>
      </c>
      <c r="AQ59" s="11">
        <f t="shared" si="6"/>
        <v>6426</v>
      </c>
      <c r="AR59" s="11"/>
      <c r="AS59" s="11"/>
      <c r="AT59" s="11"/>
    </row>
    <row r="60" spans="1:46" x14ac:dyDescent="0.15">
      <c r="A60" s="54" t="s">
        <v>812</v>
      </c>
      <c r="B60" s="11" t="s">
        <v>759</v>
      </c>
      <c r="C60" s="11" t="s">
        <v>817</v>
      </c>
      <c r="D60" s="11" t="s">
        <v>818</v>
      </c>
      <c r="E60" s="11" t="s">
        <v>548</v>
      </c>
      <c r="F60" s="11"/>
      <c r="G60" s="11"/>
      <c r="H60" s="11" t="s">
        <v>763</v>
      </c>
      <c r="I60" s="11"/>
      <c r="J60" s="11"/>
      <c r="K60" s="11"/>
      <c r="L60" s="11"/>
      <c r="M60" s="11">
        <v>1250000</v>
      </c>
      <c r="N60" s="11"/>
      <c r="O60" s="11"/>
      <c r="P60" s="11"/>
      <c r="Q60" s="11"/>
      <c r="R60" s="11"/>
      <c r="S60" s="11"/>
      <c r="T60" s="11" t="s">
        <v>526</v>
      </c>
      <c r="U60" s="11" t="s">
        <v>600</v>
      </c>
      <c r="V60" s="11">
        <v>8.5999999999999993E-2</v>
      </c>
      <c r="W60" s="11">
        <f t="shared" si="7"/>
        <v>107499.99999999999</v>
      </c>
      <c r="X60" s="11">
        <v>51600</v>
      </c>
      <c r="Y60" s="11">
        <f t="shared" si="1"/>
        <v>51600</v>
      </c>
      <c r="Z60" s="11">
        <f t="shared" si="2"/>
        <v>55899.999999999985</v>
      </c>
      <c r="AA60" s="11"/>
      <c r="AB60" s="11"/>
      <c r="AC60" s="11">
        <v>600000</v>
      </c>
      <c r="AD60" s="11">
        <v>600000</v>
      </c>
      <c r="AE60" s="11">
        <f t="shared" si="16"/>
        <v>0.48</v>
      </c>
      <c r="AF60" s="11"/>
      <c r="AG60" s="11"/>
      <c r="AH60" s="11">
        <v>600000</v>
      </c>
      <c r="AI60" s="11"/>
      <c r="AJ60" s="11"/>
      <c r="AK60" s="11"/>
      <c r="AL60" s="11">
        <f t="shared" si="4"/>
        <v>600000</v>
      </c>
      <c r="AM60" s="11">
        <v>3.4000000000000002E-2</v>
      </c>
      <c r="AN60" s="11">
        <f t="shared" si="18"/>
        <v>42500</v>
      </c>
      <c r="AO60" s="11"/>
      <c r="AP60" s="11">
        <f t="shared" si="5"/>
        <v>0</v>
      </c>
      <c r="AQ60" s="11">
        <f t="shared" si="6"/>
        <v>42500</v>
      </c>
      <c r="AR60" s="11"/>
      <c r="AS60" s="11"/>
      <c r="AT60" s="11"/>
    </row>
    <row r="61" spans="1:46" x14ac:dyDescent="0.15">
      <c r="A61" s="54" t="s">
        <v>812</v>
      </c>
      <c r="B61" s="11" t="s">
        <v>759</v>
      </c>
      <c r="C61" s="11" t="s">
        <v>819</v>
      </c>
      <c r="D61" s="11" t="s">
        <v>820</v>
      </c>
      <c r="E61" s="11" t="s">
        <v>548</v>
      </c>
      <c r="F61" s="11"/>
      <c r="G61" s="11"/>
      <c r="H61" s="11" t="s">
        <v>763</v>
      </c>
      <c r="I61" s="11"/>
      <c r="J61" s="11"/>
      <c r="K61" s="11"/>
      <c r="L61" s="11"/>
      <c r="M61" s="11">
        <v>1826701.83</v>
      </c>
      <c r="N61" s="11"/>
      <c r="O61" s="11"/>
      <c r="P61" s="11"/>
      <c r="Q61" s="11"/>
      <c r="R61" s="11"/>
      <c r="S61" s="11"/>
      <c r="T61" s="11" t="s">
        <v>700</v>
      </c>
      <c r="U61" s="11" t="s">
        <v>710</v>
      </c>
      <c r="V61" s="11">
        <v>8.5999999999999993E-2</v>
      </c>
      <c r="W61" s="11">
        <f t="shared" si="7"/>
        <v>157096.35738</v>
      </c>
      <c r="X61" s="11">
        <v>78548.179999999993</v>
      </c>
      <c r="Y61" s="11">
        <f t="shared" si="1"/>
        <v>78548.179999999993</v>
      </c>
      <c r="Z61" s="11">
        <f t="shared" si="2"/>
        <v>78548.177380000008</v>
      </c>
      <c r="AA61" s="11"/>
      <c r="AB61" s="11"/>
      <c r="AC61" s="11">
        <v>365340.36</v>
      </c>
      <c r="AD61" s="11">
        <v>365340.36</v>
      </c>
      <c r="AE61" s="11">
        <f t="shared" si="16"/>
        <v>0.19999999671539168</v>
      </c>
      <c r="AF61" s="11"/>
      <c r="AG61" s="11"/>
      <c r="AH61" s="11">
        <v>365340.36</v>
      </c>
      <c r="AI61" s="11"/>
      <c r="AJ61" s="11"/>
      <c r="AK61" s="11"/>
      <c r="AL61" s="11">
        <f t="shared" si="4"/>
        <v>365340.36</v>
      </c>
      <c r="AM61" s="11">
        <v>3.4000000000000002E-2</v>
      </c>
      <c r="AN61" s="11">
        <f t="shared" si="18"/>
        <v>62107.86222000001</v>
      </c>
      <c r="AO61" s="11"/>
      <c r="AP61" s="11">
        <f t="shared" si="5"/>
        <v>0</v>
      </c>
      <c r="AQ61" s="11">
        <f t="shared" si="6"/>
        <v>62107.86222000001</v>
      </c>
      <c r="AR61" s="11"/>
      <c r="AS61" s="11"/>
      <c r="AT61" s="11"/>
    </row>
    <row r="62" spans="1:46" x14ac:dyDescent="0.15">
      <c r="A62" s="54" t="s">
        <v>812</v>
      </c>
      <c r="B62" s="11" t="s">
        <v>532</v>
      </c>
      <c r="C62" s="11" t="s">
        <v>427</v>
      </c>
      <c r="D62" s="11" t="s">
        <v>821</v>
      </c>
      <c r="E62" s="11" t="s">
        <v>548</v>
      </c>
      <c r="F62" s="11"/>
      <c r="G62" s="11"/>
      <c r="H62" s="11" t="s">
        <v>539</v>
      </c>
      <c r="I62" s="11" t="s">
        <v>592</v>
      </c>
      <c r="J62" s="11" t="s">
        <v>539</v>
      </c>
      <c r="K62" s="11"/>
      <c r="L62" s="11"/>
      <c r="M62" s="11">
        <v>23840000</v>
      </c>
      <c r="N62" s="11"/>
      <c r="O62" s="11"/>
      <c r="P62" s="11"/>
      <c r="Q62" s="11"/>
      <c r="R62" s="11"/>
      <c r="S62" s="11"/>
      <c r="T62" s="11" t="s">
        <v>526</v>
      </c>
      <c r="U62" s="11" t="s">
        <v>600</v>
      </c>
      <c r="V62" s="11">
        <v>0.03</v>
      </c>
      <c r="W62" s="11">
        <f t="shared" si="7"/>
        <v>715200</v>
      </c>
      <c r="X62" s="11"/>
      <c r="Y62" s="11">
        <f t="shared" si="1"/>
        <v>0</v>
      </c>
      <c r="Z62" s="11">
        <f t="shared" si="2"/>
        <v>715200</v>
      </c>
      <c r="AA62" s="11"/>
      <c r="AB62" s="11"/>
      <c r="AC62" s="11">
        <v>0</v>
      </c>
      <c r="AD62" s="11">
        <v>0</v>
      </c>
      <c r="AE62" s="11">
        <f t="shared" si="16"/>
        <v>0</v>
      </c>
      <c r="AF62" s="11"/>
      <c r="AG62" s="11"/>
      <c r="AH62" s="11"/>
      <c r="AI62" s="11"/>
      <c r="AJ62" s="11"/>
      <c r="AK62" s="11"/>
      <c r="AL62" s="11">
        <f t="shared" si="4"/>
        <v>0</v>
      </c>
      <c r="AM62" s="11">
        <v>3.4000000000000002E-2</v>
      </c>
      <c r="AN62" s="11">
        <f t="shared" si="18"/>
        <v>810560</v>
      </c>
      <c r="AO62" s="11"/>
      <c r="AP62" s="11">
        <f t="shared" si="5"/>
        <v>0</v>
      </c>
      <c r="AQ62" s="11">
        <f t="shared" si="6"/>
        <v>810560</v>
      </c>
      <c r="AR62" s="11"/>
      <c r="AS62" s="11"/>
      <c r="AT62" s="11"/>
    </row>
    <row r="63" spans="1:46" x14ac:dyDescent="0.15">
      <c r="A63" s="54" t="s">
        <v>812</v>
      </c>
      <c r="B63" s="11" t="s">
        <v>564</v>
      </c>
      <c r="C63" s="11" t="s">
        <v>451</v>
      </c>
      <c r="D63" s="11" t="s">
        <v>822</v>
      </c>
      <c r="E63" s="11" t="s">
        <v>705</v>
      </c>
      <c r="F63" s="11"/>
      <c r="G63" s="11"/>
      <c r="H63" s="11" t="s">
        <v>571</v>
      </c>
      <c r="I63" s="11"/>
      <c r="J63" s="11"/>
      <c r="K63" s="11"/>
      <c r="L63" s="11"/>
      <c r="M63" s="11">
        <v>9995935.1099999994</v>
      </c>
      <c r="N63" s="11"/>
      <c r="O63" s="11"/>
      <c r="P63" s="11"/>
      <c r="Q63" s="11"/>
      <c r="R63" s="11"/>
      <c r="S63" s="11"/>
      <c r="T63" s="11" t="s">
        <v>526</v>
      </c>
      <c r="U63" s="11" t="s">
        <v>600</v>
      </c>
      <c r="V63" s="11">
        <v>0.03</v>
      </c>
      <c r="W63" s="11">
        <f t="shared" si="7"/>
        <v>299878.05329999997</v>
      </c>
      <c r="X63" s="11">
        <v>11900</v>
      </c>
      <c r="Y63" s="11">
        <f t="shared" si="1"/>
        <v>11900</v>
      </c>
      <c r="Z63" s="11">
        <f t="shared" si="2"/>
        <v>287978.05329999997</v>
      </c>
      <c r="AA63" s="11"/>
      <c r="AB63" s="11"/>
      <c r="AC63" s="11">
        <v>2798861.83</v>
      </c>
      <c r="AD63" s="11">
        <v>2798861.83</v>
      </c>
      <c r="AE63" s="11">
        <f t="shared" si="16"/>
        <v>0.27999999991996749</v>
      </c>
      <c r="AF63" s="11"/>
      <c r="AG63" s="11"/>
      <c r="AH63" s="11">
        <v>1627060.22</v>
      </c>
      <c r="AI63" s="11"/>
      <c r="AJ63" s="11"/>
      <c r="AK63" s="11"/>
      <c r="AL63" s="11">
        <f t="shared" si="4"/>
        <v>1627060.22</v>
      </c>
      <c r="AM63" s="11"/>
      <c r="AN63" s="11">
        <f t="shared" si="18"/>
        <v>0</v>
      </c>
      <c r="AO63" s="11">
        <v>273808.63</v>
      </c>
      <c r="AP63" s="11">
        <f t="shared" si="5"/>
        <v>273808.63</v>
      </c>
      <c r="AQ63" s="11"/>
      <c r="AR63" s="11"/>
      <c r="AS63" s="11"/>
      <c r="AT63" s="11"/>
    </row>
    <row r="64" spans="1:46" x14ac:dyDescent="0.15">
      <c r="A64" s="54" t="s">
        <v>812</v>
      </c>
      <c r="B64" s="11" t="s">
        <v>759</v>
      </c>
      <c r="C64" s="11" t="s">
        <v>405</v>
      </c>
      <c r="D64" s="11" t="s">
        <v>823</v>
      </c>
      <c r="E64" s="11" t="s">
        <v>705</v>
      </c>
      <c r="F64" s="11"/>
      <c r="G64" s="11"/>
      <c r="H64" s="11" t="s">
        <v>763</v>
      </c>
      <c r="I64" s="11"/>
      <c r="J64" s="11"/>
      <c r="K64" s="11"/>
      <c r="L64" s="11"/>
      <c r="M64" s="11">
        <v>882200</v>
      </c>
      <c r="N64" s="11"/>
      <c r="O64" s="11"/>
      <c r="P64" s="11"/>
      <c r="Q64" s="11"/>
      <c r="R64" s="11"/>
      <c r="S64" s="11"/>
      <c r="T64" s="11" t="s">
        <v>526</v>
      </c>
      <c r="U64" s="11" t="s">
        <v>600</v>
      </c>
      <c r="V64" s="11">
        <v>8.5999999999999993E-2</v>
      </c>
      <c r="W64" s="11">
        <f t="shared" si="7"/>
        <v>75869.2</v>
      </c>
      <c r="X64" s="11">
        <v>37934.6</v>
      </c>
      <c r="Y64" s="11">
        <f t="shared" si="1"/>
        <v>37934.6</v>
      </c>
      <c r="Z64" s="11">
        <f t="shared" si="2"/>
        <v>37934.6</v>
      </c>
      <c r="AA64" s="11"/>
      <c r="AB64" s="11"/>
      <c r="AC64" s="11">
        <v>176440</v>
      </c>
      <c r="AD64" s="11">
        <v>176440</v>
      </c>
      <c r="AE64" s="11">
        <f t="shared" si="16"/>
        <v>0.2</v>
      </c>
      <c r="AF64" s="11"/>
      <c r="AG64" s="11"/>
      <c r="AH64" s="11">
        <v>176440</v>
      </c>
      <c r="AI64" s="11"/>
      <c r="AJ64" s="11"/>
      <c r="AK64" s="11"/>
      <c r="AL64" s="11">
        <f t="shared" si="4"/>
        <v>176440</v>
      </c>
      <c r="AM64" s="11">
        <v>3.4000000000000002E-2</v>
      </c>
      <c r="AN64" s="11">
        <f t="shared" si="18"/>
        <v>29994.800000000003</v>
      </c>
      <c r="AO64" s="11"/>
      <c r="AP64" s="11">
        <f t="shared" si="5"/>
        <v>0</v>
      </c>
      <c r="AQ64" s="11">
        <f t="shared" si="6"/>
        <v>29994.800000000003</v>
      </c>
      <c r="AR64" s="11"/>
      <c r="AS64" s="11"/>
      <c r="AT64" s="11"/>
    </row>
    <row r="65" spans="1:46" x14ac:dyDescent="0.15">
      <c r="A65" s="54" t="s">
        <v>812</v>
      </c>
      <c r="B65" s="11" t="s">
        <v>824</v>
      </c>
      <c r="C65" s="11" t="s">
        <v>429</v>
      </c>
      <c r="D65" s="11" t="s">
        <v>825</v>
      </c>
      <c r="E65" s="11" t="s">
        <v>548</v>
      </c>
      <c r="F65" s="11"/>
      <c r="G65" s="11"/>
      <c r="H65" s="11" t="s">
        <v>826</v>
      </c>
      <c r="I65" s="11"/>
      <c r="J65" s="11"/>
      <c r="K65" s="11"/>
      <c r="L65" s="11"/>
      <c r="M65" s="11">
        <v>4215575</v>
      </c>
      <c r="N65" s="11"/>
      <c r="O65" s="11"/>
      <c r="P65" s="11"/>
      <c r="Q65" s="11"/>
      <c r="R65" s="11"/>
      <c r="S65" s="11"/>
      <c r="T65" s="11" t="s">
        <v>526</v>
      </c>
      <c r="U65" s="11" t="s">
        <v>600</v>
      </c>
      <c r="V65" s="11">
        <v>3.5999999999999997E-2</v>
      </c>
      <c r="W65" s="11">
        <f t="shared" si="7"/>
        <v>151760.69999999998</v>
      </c>
      <c r="X65" s="11"/>
      <c r="Y65" s="11">
        <f t="shared" si="1"/>
        <v>0</v>
      </c>
      <c r="Z65" s="11">
        <f t="shared" si="2"/>
        <v>151760.69999999998</v>
      </c>
      <c r="AA65" s="11"/>
      <c r="AB65" s="11"/>
      <c r="AC65" s="11">
        <v>500000</v>
      </c>
      <c r="AD65" s="11">
        <v>500000</v>
      </c>
      <c r="AE65" s="11">
        <f t="shared" si="16"/>
        <v>0.1186077818565676</v>
      </c>
      <c r="AF65" s="11"/>
      <c r="AG65" s="11"/>
      <c r="AH65" s="11">
        <v>502460.92</v>
      </c>
      <c r="AI65" s="11"/>
      <c r="AJ65" s="11"/>
      <c r="AK65" s="11"/>
      <c r="AL65" s="11">
        <f t="shared" si="4"/>
        <v>502460.92</v>
      </c>
      <c r="AM65" s="11">
        <v>3.4000000000000002E-2</v>
      </c>
      <c r="AN65" s="11">
        <f t="shared" si="18"/>
        <v>143329.55000000002</v>
      </c>
      <c r="AO65" s="11"/>
      <c r="AP65" s="11">
        <f t="shared" si="5"/>
        <v>0</v>
      </c>
      <c r="AQ65" s="11">
        <f t="shared" si="6"/>
        <v>143329.55000000002</v>
      </c>
      <c r="AR65" s="11">
        <v>700000</v>
      </c>
      <c r="AS65" s="11"/>
      <c r="AT65" s="11"/>
    </row>
    <row r="66" spans="1:46" x14ac:dyDescent="0.15">
      <c r="A66" s="54" t="s">
        <v>812</v>
      </c>
      <c r="B66" s="11" t="s">
        <v>759</v>
      </c>
      <c r="C66" s="11" t="s">
        <v>453</v>
      </c>
      <c r="D66" s="11" t="s">
        <v>827</v>
      </c>
      <c r="E66" s="11" t="s">
        <v>705</v>
      </c>
      <c r="F66" s="11"/>
      <c r="G66" s="11"/>
      <c r="H66" s="11" t="s">
        <v>786</v>
      </c>
      <c r="I66" s="11"/>
      <c r="J66" s="11"/>
      <c r="K66" s="11"/>
      <c r="L66" s="11"/>
      <c r="M66" s="11">
        <v>50000</v>
      </c>
      <c r="N66" s="11"/>
      <c r="O66" s="11"/>
      <c r="P66" s="11"/>
      <c r="Q66" s="11"/>
      <c r="R66" s="11"/>
      <c r="S66" s="11"/>
      <c r="T66" s="11" t="s">
        <v>526</v>
      </c>
      <c r="U66" s="11" t="s">
        <v>710</v>
      </c>
      <c r="V66" s="11">
        <v>8.5999999999999993E-2</v>
      </c>
      <c r="W66" s="11">
        <f t="shared" si="7"/>
        <v>4300</v>
      </c>
      <c r="X66" s="11"/>
      <c r="Y66" s="11">
        <f t="shared" si="1"/>
        <v>0</v>
      </c>
      <c r="Z66" s="11">
        <f t="shared" si="2"/>
        <v>4300</v>
      </c>
      <c r="AA66" s="11"/>
      <c r="AB66" s="11"/>
      <c r="AC66" s="11">
        <v>0</v>
      </c>
      <c r="AD66" s="11">
        <v>0</v>
      </c>
      <c r="AE66" s="11">
        <f t="shared" si="16"/>
        <v>0</v>
      </c>
      <c r="AF66" s="11"/>
      <c r="AG66" s="11"/>
      <c r="AH66" s="11"/>
      <c r="AI66" s="11"/>
      <c r="AJ66" s="11"/>
      <c r="AK66" s="11"/>
      <c r="AL66" s="11">
        <f t="shared" si="4"/>
        <v>0</v>
      </c>
      <c r="AM66" s="11">
        <v>3.4000000000000002E-2</v>
      </c>
      <c r="AN66" s="11">
        <f t="shared" si="18"/>
        <v>1700.0000000000002</v>
      </c>
      <c r="AO66" s="11"/>
      <c r="AP66" s="11">
        <f t="shared" si="5"/>
        <v>0</v>
      </c>
      <c r="AQ66" s="11">
        <f t="shared" si="6"/>
        <v>1700.0000000000002</v>
      </c>
      <c r="AR66" s="11"/>
      <c r="AS66" s="11"/>
      <c r="AT66" s="11"/>
    </row>
    <row r="67" spans="1:46" x14ac:dyDescent="0.15">
      <c r="A67" s="54" t="s">
        <v>812</v>
      </c>
      <c r="B67" s="11" t="s">
        <v>759</v>
      </c>
      <c r="C67" s="11" t="s">
        <v>407</v>
      </c>
      <c r="D67" s="11" t="s">
        <v>828</v>
      </c>
      <c r="E67" s="11" t="s">
        <v>548</v>
      </c>
      <c r="F67" s="11"/>
      <c r="G67" s="11"/>
      <c r="H67" s="11" t="s">
        <v>786</v>
      </c>
      <c r="I67" s="11"/>
      <c r="J67" s="11"/>
      <c r="K67" s="11"/>
      <c r="L67" s="11"/>
      <c r="M67" s="11">
        <v>1800000</v>
      </c>
      <c r="N67" s="11"/>
      <c r="O67" s="11"/>
      <c r="P67" s="11"/>
      <c r="Q67" s="11"/>
      <c r="R67" s="11"/>
      <c r="S67" s="11"/>
      <c r="T67" s="11" t="s">
        <v>526</v>
      </c>
      <c r="U67" s="11" t="s">
        <v>600</v>
      </c>
      <c r="V67" s="11">
        <v>8.5999999999999993E-2</v>
      </c>
      <c r="W67" s="11">
        <f t="shared" si="7"/>
        <v>154800</v>
      </c>
      <c r="X67" s="11">
        <v>77400</v>
      </c>
      <c r="Y67" s="11">
        <f t="shared" ref="Y67:Y86" si="19">X67</f>
        <v>77400</v>
      </c>
      <c r="Z67" s="11">
        <f t="shared" ref="Z67:Z86" si="20">W67-X67</f>
        <v>77400</v>
      </c>
      <c r="AA67" s="11"/>
      <c r="AB67" s="11"/>
      <c r="AC67" s="11">
        <v>360000</v>
      </c>
      <c r="AD67" s="11">
        <v>360000</v>
      </c>
      <c r="AE67" s="11">
        <f t="shared" si="16"/>
        <v>0.2</v>
      </c>
      <c r="AF67" s="11"/>
      <c r="AG67" s="11"/>
      <c r="AH67" s="11">
        <v>360000</v>
      </c>
      <c r="AI67" s="11"/>
      <c r="AJ67" s="11"/>
      <c r="AK67" s="11"/>
      <c r="AL67" s="11">
        <f t="shared" ref="AL67:AL86" si="21">AH67</f>
        <v>360000</v>
      </c>
      <c r="AM67" s="11">
        <v>3.4000000000000002E-2</v>
      </c>
      <c r="AN67" s="11">
        <f t="shared" si="18"/>
        <v>61200.000000000007</v>
      </c>
      <c r="AO67" s="11"/>
      <c r="AP67" s="11">
        <f t="shared" ref="AP67:AP86" si="22">AO67</f>
        <v>0</v>
      </c>
      <c r="AQ67" s="11">
        <f t="shared" ref="AQ67:AQ86" si="23">AN67-AO67</f>
        <v>61200.000000000007</v>
      </c>
      <c r="AR67" s="11"/>
      <c r="AS67" s="11"/>
      <c r="AT67" s="11"/>
    </row>
    <row r="68" spans="1:46" x14ac:dyDescent="0.15">
      <c r="A68" s="54" t="s">
        <v>812</v>
      </c>
      <c r="B68" s="11" t="s">
        <v>759</v>
      </c>
      <c r="C68" s="11" t="s">
        <v>431</v>
      </c>
      <c r="D68" s="11" t="s">
        <v>829</v>
      </c>
      <c r="E68" s="11" t="s">
        <v>548</v>
      </c>
      <c r="F68" s="11"/>
      <c r="G68" s="11"/>
      <c r="H68" s="11" t="s">
        <v>763</v>
      </c>
      <c r="I68" s="11"/>
      <c r="J68" s="11"/>
      <c r="K68" s="11"/>
      <c r="L68" s="11"/>
      <c r="M68" s="11">
        <v>60000</v>
      </c>
      <c r="N68" s="11"/>
      <c r="O68" s="11"/>
      <c r="P68" s="11"/>
      <c r="Q68" s="11"/>
      <c r="R68" s="11"/>
      <c r="S68" s="11"/>
      <c r="T68" s="11" t="s">
        <v>526</v>
      </c>
      <c r="U68" s="11" t="s">
        <v>600</v>
      </c>
      <c r="V68" s="11">
        <v>8.5999999999999993E-2</v>
      </c>
      <c r="W68" s="11">
        <f t="shared" ref="W68:W86" si="24">M68*V68</f>
        <v>5160</v>
      </c>
      <c r="X68" s="11">
        <v>5160</v>
      </c>
      <c r="Y68" s="11">
        <f t="shared" si="19"/>
        <v>5160</v>
      </c>
      <c r="Z68" s="11">
        <f t="shared" si="20"/>
        <v>0</v>
      </c>
      <c r="AA68" s="11"/>
      <c r="AB68" s="11"/>
      <c r="AC68" s="11">
        <v>48000</v>
      </c>
      <c r="AD68" s="11">
        <v>48000</v>
      </c>
      <c r="AE68" s="11">
        <f t="shared" si="16"/>
        <v>0.8</v>
      </c>
      <c r="AF68" s="11"/>
      <c r="AG68" s="11"/>
      <c r="AH68" s="11">
        <v>48000</v>
      </c>
      <c r="AI68" s="11"/>
      <c r="AJ68" s="11"/>
      <c r="AK68" s="11"/>
      <c r="AL68" s="11">
        <f t="shared" si="21"/>
        <v>48000</v>
      </c>
      <c r="AM68" s="11">
        <v>3.4000000000000002E-2</v>
      </c>
      <c r="AN68" s="11">
        <f t="shared" si="18"/>
        <v>2040.0000000000002</v>
      </c>
      <c r="AO68" s="11"/>
      <c r="AP68" s="11">
        <f t="shared" si="22"/>
        <v>0</v>
      </c>
      <c r="AQ68" s="11">
        <f t="shared" si="23"/>
        <v>2040.0000000000002</v>
      </c>
      <c r="AR68" s="11"/>
      <c r="AS68" s="11"/>
      <c r="AT68" s="11"/>
    </row>
    <row r="69" spans="1:46" x14ac:dyDescent="0.15">
      <c r="A69" s="54" t="s">
        <v>812</v>
      </c>
      <c r="B69" s="11" t="s">
        <v>759</v>
      </c>
      <c r="C69" s="11" t="s">
        <v>455</v>
      </c>
      <c r="D69" s="11" t="s">
        <v>830</v>
      </c>
      <c r="E69" s="11" t="s">
        <v>548</v>
      </c>
      <c r="F69" s="11"/>
      <c r="G69" s="11"/>
      <c r="H69" s="11" t="s">
        <v>763</v>
      </c>
      <c r="I69" s="11"/>
      <c r="J69" s="11"/>
      <c r="K69" s="11"/>
      <c r="L69" s="11"/>
      <c r="M69" s="11">
        <v>48000</v>
      </c>
      <c r="N69" s="11"/>
      <c r="O69" s="11"/>
      <c r="P69" s="11"/>
      <c r="Q69" s="11"/>
      <c r="R69" s="11"/>
      <c r="S69" s="11"/>
      <c r="T69" s="11" t="s">
        <v>526</v>
      </c>
      <c r="U69" s="11" t="s">
        <v>600</v>
      </c>
      <c r="V69" s="11">
        <v>8.5999999999999993E-2</v>
      </c>
      <c r="W69" s="11">
        <f t="shared" si="24"/>
        <v>4128</v>
      </c>
      <c r="X69" s="11"/>
      <c r="Y69" s="11">
        <f t="shared" si="19"/>
        <v>0</v>
      </c>
      <c r="Z69" s="11">
        <f t="shared" si="20"/>
        <v>4128</v>
      </c>
      <c r="AA69" s="11"/>
      <c r="AB69" s="11"/>
      <c r="AC69" s="11">
        <v>0</v>
      </c>
      <c r="AD69" s="11">
        <v>0</v>
      </c>
      <c r="AE69" s="11">
        <f t="shared" si="16"/>
        <v>0</v>
      </c>
      <c r="AF69" s="11"/>
      <c r="AG69" s="11"/>
      <c r="AH69" s="11"/>
      <c r="AI69" s="11"/>
      <c r="AJ69" s="11"/>
      <c r="AK69" s="11"/>
      <c r="AL69" s="11">
        <f t="shared" si="21"/>
        <v>0</v>
      </c>
      <c r="AM69" s="11">
        <v>3.4000000000000002E-2</v>
      </c>
      <c r="AN69" s="11">
        <f t="shared" si="18"/>
        <v>1632.0000000000002</v>
      </c>
      <c r="AO69" s="11"/>
      <c r="AP69" s="11">
        <f t="shared" si="22"/>
        <v>0</v>
      </c>
      <c r="AQ69" s="11">
        <f t="shared" si="23"/>
        <v>1632.0000000000002</v>
      </c>
      <c r="AR69" s="11"/>
      <c r="AS69" s="11"/>
      <c r="AT69" s="11"/>
    </row>
    <row r="70" spans="1:46" x14ac:dyDescent="0.15">
      <c r="A70" s="54" t="s">
        <v>812</v>
      </c>
      <c r="B70" s="11" t="s">
        <v>642</v>
      </c>
      <c r="C70" s="11" t="s">
        <v>409</v>
      </c>
      <c r="D70" s="11" t="s">
        <v>831</v>
      </c>
      <c r="E70" s="11" t="s">
        <v>548</v>
      </c>
      <c r="F70" s="11"/>
      <c r="G70" s="11"/>
      <c r="H70" s="11" t="s">
        <v>646</v>
      </c>
      <c r="I70" s="11"/>
      <c r="J70" s="11"/>
      <c r="K70" s="11"/>
      <c r="L70" s="11"/>
      <c r="M70" s="11">
        <v>9298739</v>
      </c>
      <c r="N70" s="11"/>
      <c r="O70" s="11"/>
      <c r="P70" s="11"/>
      <c r="Q70" s="11"/>
      <c r="R70" s="11"/>
      <c r="S70" s="11"/>
      <c r="T70" s="11" t="s">
        <v>526</v>
      </c>
      <c r="U70" s="11" t="s">
        <v>600</v>
      </c>
      <c r="V70" s="11">
        <v>0.03</v>
      </c>
      <c r="W70" s="11">
        <f t="shared" si="24"/>
        <v>278962.17</v>
      </c>
      <c r="X70" s="11"/>
      <c r="Y70" s="11">
        <f t="shared" si="19"/>
        <v>0</v>
      </c>
      <c r="Z70" s="11">
        <f t="shared" si="20"/>
        <v>278962.17</v>
      </c>
      <c r="AA70" s="11"/>
      <c r="AB70" s="11"/>
      <c r="AC70" s="11">
        <v>0</v>
      </c>
      <c r="AD70" s="11">
        <v>0</v>
      </c>
      <c r="AE70" s="11">
        <f t="shared" si="16"/>
        <v>0</v>
      </c>
      <c r="AF70" s="11"/>
      <c r="AG70" s="11"/>
      <c r="AH70" s="11"/>
      <c r="AI70" s="11"/>
      <c r="AJ70" s="11"/>
      <c r="AK70" s="11"/>
      <c r="AL70" s="11">
        <f t="shared" si="21"/>
        <v>0</v>
      </c>
      <c r="AM70" s="11"/>
      <c r="AN70" s="11">
        <f t="shared" si="18"/>
        <v>0</v>
      </c>
      <c r="AO70" s="11"/>
      <c r="AP70" s="11">
        <f t="shared" si="22"/>
        <v>0</v>
      </c>
      <c r="AQ70" s="11">
        <f t="shared" si="23"/>
        <v>0</v>
      </c>
      <c r="AR70" s="11"/>
      <c r="AS70" s="11"/>
      <c r="AT70" s="11"/>
    </row>
    <row r="71" spans="1:46" x14ac:dyDescent="0.15">
      <c r="A71" s="54" t="s">
        <v>812</v>
      </c>
      <c r="B71" s="11" t="s">
        <v>832</v>
      </c>
      <c r="C71" s="11" t="s">
        <v>433</v>
      </c>
      <c r="D71" s="11" t="s">
        <v>833</v>
      </c>
      <c r="E71" s="11" t="s">
        <v>548</v>
      </c>
      <c r="F71" s="11"/>
      <c r="G71" s="11"/>
      <c r="H71" s="11" t="s">
        <v>834</v>
      </c>
      <c r="I71" s="11"/>
      <c r="J71" s="11"/>
      <c r="K71" s="11"/>
      <c r="L71" s="11"/>
      <c r="M71" s="11">
        <v>507387</v>
      </c>
      <c r="N71" s="11"/>
      <c r="O71" s="11"/>
      <c r="P71" s="11"/>
      <c r="Q71" s="11"/>
      <c r="R71" s="11"/>
      <c r="S71" s="11"/>
      <c r="T71" s="11" t="s">
        <v>526</v>
      </c>
      <c r="U71" s="11" t="s">
        <v>600</v>
      </c>
      <c r="V71" s="11">
        <v>3.5999999999999997E-2</v>
      </c>
      <c r="W71" s="11">
        <f t="shared" si="24"/>
        <v>18265.931999999997</v>
      </c>
      <c r="X71" s="11"/>
      <c r="Y71" s="11">
        <f t="shared" si="19"/>
        <v>0</v>
      </c>
      <c r="Z71" s="11">
        <f t="shared" si="20"/>
        <v>18265.931999999997</v>
      </c>
      <c r="AA71" s="11"/>
      <c r="AB71" s="11"/>
      <c r="AC71" s="11">
        <v>279062.84999999998</v>
      </c>
      <c r="AD71" s="11">
        <v>279062.84999999998</v>
      </c>
      <c r="AE71" s="11">
        <f t="shared" si="16"/>
        <v>0.54999999999999993</v>
      </c>
      <c r="AF71" s="11"/>
      <c r="AG71" s="11"/>
      <c r="AH71" s="11">
        <v>154000</v>
      </c>
      <c r="AI71" s="11"/>
      <c r="AJ71" s="11"/>
      <c r="AK71" s="11"/>
      <c r="AL71" s="11">
        <f t="shared" si="21"/>
        <v>154000</v>
      </c>
      <c r="AM71" s="11">
        <v>3.4000000000000002E-2</v>
      </c>
      <c r="AN71" s="11">
        <f t="shared" si="18"/>
        <v>17251.157999999999</v>
      </c>
      <c r="AO71" s="11"/>
      <c r="AP71" s="11">
        <f t="shared" si="22"/>
        <v>0</v>
      </c>
      <c r="AQ71" s="11">
        <f t="shared" si="23"/>
        <v>17251.157999999999</v>
      </c>
      <c r="AR71" s="11"/>
      <c r="AS71" s="11"/>
      <c r="AT71" s="11"/>
    </row>
    <row r="72" spans="1:46" x14ac:dyDescent="0.15">
      <c r="A72" s="54" t="s">
        <v>812</v>
      </c>
      <c r="B72" s="11" t="s">
        <v>759</v>
      </c>
      <c r="C72" s="11" t="s">
        <v>457</v>
      </c>
      <c r="D72" s="11" t="s">
        <v>835</v>
      </c>
      <c r="E72" s="11" t="s">
        <v>548</v>
      </c>
      <c r="F72" s="11"/>
      <c r="G72" s="11"/>
      <c r="H72" s="11" t="s">
        <v>763</v>
      </c>
      <c r="I72" s="11"/>
      <c r="J72" s="11"/>
      <c r="K72" s="11"/>
      <c r="L72" s="11"/>
      <c r="M72" s="11">
        <v>50000</v>
      </c>
      <c r="N72" s="11"/>
      <c r="O72" s="11"/>
      <c r="P72" s="11"/>
      <c r="Q72" s="11"/>
      <c r="R72" s="11"/>
      <c r="S72" s="11"/>
      <c r="T72" s="11" t="s">
        <v>526</v>
      </c>
      <c r="U72" s="11" t="s">
        <v>600</v>
      </c>
      <c r="V72" s="11">
        <v>8.5999999999999993E-2</v>
      </c>
      <c r="W72" s="11">
        <f t="shared" si="24"/>
        <v>4300</v>
      </c>
      <c r="X72" s="11"/>
      <c r="Y72" s="11">
        <f t="shared" si="19"/>
        <v>0</v>
      </c>
      <c r="Z72" s="11">
        <f t="shared" si="20"/>
        <v>4300</v>
      </c>
      <c r="AA72" s="11"/>
      <c r="AB72" s="11"/>
      <c r="AC72" s="11">
        <v>0</v>
      </c>
      <c r="AD72" s="11">
        <v>0</v>
      </c>
      <c r="AE72" s="11">
        <f t="shared" si="16"/>
        <v>0</v>
      </c>
      <c r="AF72" s="11"/>
      <c r="AG72" s="11"/>
      <c r="AH72" s="11"/>
      <c r="AI72" s="11"/>
      <c r="AJ72" s="11"/>
      <c r="AK72" s="11"/>
      <c r="AL72" s="11">
        <f t="shared" si="21"/>
        <v>0</v>
      </c>
      <c r="AM72" s="11">
        <v>3.4000000000000002E-2</v>
      </c>
      <c r="AN72" s="11">
        <f t="shared" si="18"/>
        <v>1700.0000000000002</v>
      </c>
      <c r="AO72" s="11"/>
      <c r="AP72" s="11">
        <f t="shared" si="22"/>
        <v>0</v>
      </c>
      <c r="AQ72" s="11">
        <f t="shared" si="23"/>
        <v>1700.0000000000002</v>
      </c>
      <c r="AR72" s="11"/>
      <c r="AS72" s="11"/>
      <c r="AT72" s="11"/>
    </row>
    <row r="73" spans="1:46" x14ac:dyDescent="0.15">
      <c r="A73" s="54" t="s">
        <v>812</v>
      </c>
      <c r="B73" s="11" t="s">
        <v>759</v>
      </c>
      <c r="C73" s="11" t="s">
        <v>413</v>
      </c>
      <c r="D73" s="11" t="s">
        <v>836</v>
      </c>
      <c r="E73" s="11" t="s">
        <v>548</v>
      </c>
      <c r="F73" s="11"/>
      <c r="G73" s="11"/>
      <c r="H73" s="11" t="s">
        <v>763</v>
      </c>
      <c r="I73" s="11"/>
      <c r="J73" s="11"/>
      <c r="K73" s="11"/>
      <c r="L73" s="11"/>
      <c r="M73" s="11">
        <v>80000</v>
      </c>
      <c r="N73" s="11"/>
      <c r="O73" s="11"/>
      <c r="P73" s="11"/>
      <c r="Q73" s="11"/>
      <c r="R73" s="11"/>
      <c r="S73" s="11"/>
      <c r="T73" s="11" t="s">
        <v>526</v>
      </c>
      <c r="U73" s="11" t="s">
        <v>600</v>
      </c>
      <c r="V73" s="11">
        <v>8.5999999999999993E-2</v>
      </c>
      <c r="W73" s="11">
        <f t="shared" si="24"/>
        <v>6879.9999999999991</v>
      </c>
      <c r="X73" s="11"/>
      <c r="Y73" s="11">
        <f t="shared" si="19"/>
        <v>0</v>
      </c>
      <c r="Z73" s="11">
        <f t="shared" si="20"/>
        <v>6879.9999999999991</v>
      </c>
      <c r="AA73" s="11"/>
      <c r="AB73" s="11"/>
      <c r="AC73" s="11">
        <v>0</v>
      </c>
      <c r="AD73" s="11">
        <v>0</v>
      </c>
      <c r="AE73" s="11">
        <f t="shared" si="16"/>
        <v>0</v>
      </c>
      <c r="AF73" s="11"/>
      <c r="AG73" s="11"/>
      <c r="AH73" s="11"/>
      <c r="AI73" s="11"/>
      <c r="AJ73" s="11"/>
      <c r="AK73" s="11"/>
      <c r="AL73" s="11">
        <f t="shared" si="21"/>
        <v>0</v>
      </c>
      <c r="AM73" s="11">
        <v>3.4000000000000002E-2</v>
      </c>
      <c r="AN73" s="11">
        <f t="shared" si="18"/>
        <v>2720</v>
      </c>
      <c r="AO73" s="11"/>
      <c r="AP73" s="11">
        <f t="shared" si="22"/>
        <v>0</v>
      </c>
      <c r="AQ73" s="11">
        <f t="shared" si="23"/>
        <v>2720</v>
      </c>
      <c r="AR73" s="11"/>
      <c r="AS73" s="11"/>
      <c r="AT73" s="11"/>
    </row>
    <row r="74" spans="1:46" x14ac:dyDescent="0.15">
      <c r="A74" s="54" t="s">
        <v>812</v>
      </c>
      <c r="B74" s="11" t="s">
        <v>682</v>
      </c>
      <c r="C74" s="11" t="s">
        <v>435</v>
      </c>
      <c r="D74" s="11" t="s">
        <v>837</v>
      </c>
      <c r="E74" s="11" t="s">
        <v>548</v>
      </c>
      <c r="F74" s="11"/>
      <c r="G74" s="11"/>
      <c r="H74" s="11" t="s">
        <v>687</v>
      </c>
      <c r="I74" s="11"/>
      <c r="J74" s="11"/>
      <c r="K74" s="11"/>
      <c r="L74" s="11"/>
      <c r="M74" s="11">
        <v>1108000</v>
      </c>
      <c r="N74" s="11"/>
      <c r="O74" s="11"/>
      <c r="P74" s="11"/>
      <c r="Q74" s="11"/>
      <c r="R74" s="11"/>
      <c r="S74" s="11"/>
      <c r="T74" s="11" t="s">
        <v>526</v>
      </c>
      <c r="U74" s="11" t="s">
        <v>600</v>
      </c>
      <c r="V74" s="11">
        <v>3.5999999999999997E-2</v>
      </c>
      <c r="W74" s="11">
        <f t="shared" si="24"/>
        <v>39888</v>
      </c>
      <c r="X74" s="11"/>
      <c r="Y74" s="11">
        <f t="shared" si="19"/>
        <v>0</v>
      </c>
      <c r="Z74" s="11">
        <f t="shared" si="20"/>
        <v>39888</v>
      </c>
      <c r="AA74" s="11"/>
      <c r="AB74" s="11"/>
      <c r="AC74" s="11">
        <v>150000</v>
      </c>
      <c r="AD74" s="11">
        <v>150000</v>
      </c>
      <c r="AE74" s="11">
        <f t="shared" si="16"/>
        <v>0.13537906137184116</v>
      </c>
      <c r="AF74" s="11"/>
      <c r="AG74" s="11"/>
      <c r="AH74" s="11">
        <v>137713</v>
      </c>
      <c r="AI74" s="11"/>
      <c r="AJ74" s="11"/>
      <c r="AK74" s="11"/>
      <c r="AL74" s="11">
        <f t="shared" si="21"/>
        <v>137713</v>
      </c>
      <c r="AM74" s="11">
        <v>3.4000000000000002E-2</v>
      </c>
      <c r="AN74" s="11">
        <f t="shared" si="18"/>
        <v>37672</v>
      </c>
      <c r="AO74" s="11">
        <v>30600</v>
      </c>
      <c r="AP74" s="11">
        <f t="shared" si="22"/>
        <v>30600</v>
      </c>
      <c r="AQ74" s="11">
        <f t="shared" si="23"/>
        <v>7072</v>
      </c>
      <c r="AR74" s="11"/>
      <c r="AS74" s="11"/>
      <c r="AT74" s="11"/>
    </row>
    <row r="75" spans="1:46" x14ac:dyDescent="0.15">
      <c r="A75" s="54" t="s">
        <v>812</v>
      </c>
      <c r="B75" s="11" t="s">
        <v>759</v>
      </c>
      <c r="C75" s="11" t="s">
        <v>391</v>
      </c>
      <c r="D75" s="11" t="s">
        <v>838</v>
      </c>
      <c r="E75" s="11" t="s">
        <v>548</v>
      </c>
      <c r="F75" s="11"/>
      <c r="G75" s="11"/>
      <c r="H75" s="11" t="s">
        <v>763</v>
      </c>
      <c r="I75" s="11"/>
      <c r="J75" s="11"/>
      <c r="K75" s="11"/>
      <c r="L75" s="11"/>
      <c r="M75" s="11">
        <v>50000</v>
      </c>
      <c r="N75" s="11"/>
      <c r="O75" s="11"/>
      <c r="P75" s="11"/>
      <c r="Q75" s="11"/>
      <c r="R75" s="11"/>
      <c r="S75" s="11"/>
      <c r="T75" s="11" t="s">
        <v>526</v>
      </c>
      <c r="U75" s="11" t="s">
        <v>710</v>
      </c>
      <c r="V75" s="11">
        <v>8.5999999999999993E-2</v>
      </c>
      <c r="W75" s="11">
        <f t="shared" si="24"/>
        <v>4300</v>
      </c>
      <c r="X75" s="11"/>
      <c r="Y75" s="11">
        <f t="shared" si="19"/>
        <v>0</v>
      </c>
      <c r="Z75" s="11">
        <f t="shared" si="20"/>
        <v>4300</v>
      </c>
      <c r="AA75" s="11"/>
      <c r="AB75" s="11"/>
      <c r="AC75" s="11">
        <v>0</v>
      </c>
      <c r="AD75" s="11">
        <v>0</v>
      </c>
      <c r="AE75" s="11">
        <f t="shared" si="16"/>
        <v>0</v>
      </c>
      <c r="AF75" s="11"/>
      <c r="AG75" s="11"/>
      <c r="AH75" s="11"/>
      <c r="AI75" s="11"/>
      <c r="AJ75" s="11"/>
      <c r="AK75" s="11"/>
      <c r="AL75" s="11">
        <f t="shared" si="21"/>
        <v>0</v>
      </c>
      <c r="AM75" s="11">
        <v>3.4000000000000002E-2</v>
      </c>
      <c r="AN75" s="11">
        <f t="shared" si="18"/>
        <v>1700.0000000000002</v>
      </c>
      <c r="AO75" s="11"/>
      <c r="AP75" s="11">
        <f t="shared" si="22"/>
        <v>0</v>
      </c>
      <c r="AQ75" s="11">
        <f t="shared" si="23"/>
        <v>1700.0000000000002</v>
      </c>
      <c r="AR75" s="11"/>
      <c r="AS75" s="11"/>
      <c r="AT75" s="11"/>
    </row>
    <row r="76" spans="1:46" x14ac:dyDescent="0.15">
      <c r="A76" s="54" t="s">
        <v>812</v>
      </c>
      <c r="B76" s="11" t="s">
        <v>759</v>
      </c>
      <c r="C76" s="11" t="s">
        <v>415</v>
      </c>
      <c r="D76" s="11" t="s">
        <v>839</v>
      </c>
      <c r="E76" s="11" t="s">
        <v>548</v>
      </c>
      <c r="F76" s="11"/>
      <c r="G76" s="11"/>
      <c r="H76" s="11" t="s">
        <v>786</v>
      </c>
      <c r="I76" s="11"/>
      <c r="J76" s="11"/>
      <c r="K76" s="11"/>
      <c r="L76" s="11"/>
      <c r="M76" s="11">
        <v>45000</v>
      </c>
      <c r="N76" s="11"/>
      <c r="O76" s="11"/>
      <c r="P76" s="11"/>
      <c r="Q76" s="11"/>
      <c r="R76" s="11"/>
      <c r="S76" s="11"/>
      <c r="T76" s="11" t="s">
        <v>526</v>
      </c>
      <c r="U76" s="11" t="s">
        <v>600</v>
      </c>
      <c r="V76" s="11">
        <v>8.5999999999999993E-2</v>
      </c>
      <c r="W76" s="11">
        <f t="shared" si="24"/>
        <v>3869.9999999999995</v>
      </c>
      <c r="X76" s="11"/>
      <c r="Y76" s="11">
        <f t="shared" si="19"/>
        <v>0</v>
      </c>
      <c r="Z76" s="11">
        <f t="shared" si="20"/>
        <v>3869.9999999999995</v>
      </c>
      <c r="AA76" s="11"/>
      <c r="AB76" s="11"/>
      <c r="AC76" s="11">
        <v>0</v>
      </c>
      <c r="AD76" s="11">
        <v>0</v>
      </c>
      <c r="AE76" s="11">
        <f t="shared" si="16"/>
        <v>0</v>
      </c>
      <c r="AF76" s="11"/>
      <c r="AG76" s="11"/>
      <c r="AH76" s="11"/>
      <c r="AI76" s="11"/>
      <c r="AJ76" s="11"/>
      <c r="AK76" s="11"/>
      <c r="AL76" s="11">
        <f t="shared" si="21"/>
        <v>0</v>
      </c>
      <c r="AM76" s="11">
        <v>3.4000000000000002E-2</v>
      </c>
      <c r="AN76" s="11">
        <f t="shared" si="18"/>
        <v>1530</v>
      </c>
      <c r="AO76" s="11"/>
      <c r="AP76" s="11">
        <f t="shared" si="22"/>
        <v>0</v>
      </c>
      <c r="AQ76" s="11">
        <f t="shared" si="23"/>
        <v>1530</v>
      </c>
      <c r="AR76" s="11"/>
      <c r="AS76" s="11"/>
      <c r="AT76" s="11"/>
    </row>
    <row r="77" spans="1:46" x14ac:dyDescent="0.15">
      <c r="A77" s="54" t="s">
        <v>812</v>
      </c>
      <c r="B77" s="11" t="s">
        <v>759</v>
      </c>
      <c r="C77" s="11" t="s">
        <v>439</v>
      </c>
      <c r="D77" s="11" t="s">
        <v>840</v>
      </c>
      <c r="E77" s="11" t="s">
        <v>548</v>
      </c>
      <c r="F77" s="11"/>
      <c r="G77" s="11"/>
      <c r="H77" s="11" t="s">
        <v>763</v>
      </c>
      <c r="I77" s="11"/>
      <c r="J77" s="11"/>
      <c r="K77" s="11"/>
      <c r="L77" s="11"/>
      <c r="M77" s="11">
        <v>2063932</v>
      </c>
      <c r="N77" s="11"/>
      <c r="O77" s="11"/>
      <c r="P77" s="11"/>
      <c r="Q77" s="11"/>
      <c r="R77" s="11"/>
      <c r="S77" s="11"/>
      <c r="T77" s="11" t="s">
        <v>526</v>
      </c>
      <c r="U77" s="11" t="s">
        <v>600</v>
      </c>
      <c r="V77" s="11">
        <v>8.5999999999999993E-2</v>
      </c>
      <c r="W77" s="11">
        <f t="shared" si="24"/>
        <v>177498.15199999997</v>
      </c>
      <c r="X77" s="11"/>
      <c r="Y77" s="11">
        <f t="shared" si="19"/>
        <v>0</v>
      </c>
      <c r="Z77" s="11">
        <f t="shared" si="20"/>
        <v>177498.15199999997</v>
      </c>
      <c r="AA77" s="11"/>
      <c r="AB77" s="11"/>
      <c r="AC77" s="11">
        <v>309589.8</v>
      </c>
      <c r="AD77" s="11">
        <v>309589.8</v>
      </c>
      <c r="AE77" s="11">
        <f t="shared" si="16"/>
        <v>0.15</v>
      </c>
      <c r="AF77" s="11"/>
      <c r="AG77" s="11"/>
      <c r="AH77" s="11">
        <v>309589.8</v>
      </c>
      <c r="AI77" s="11"/>
      <c r="AJ77" s="11"/>
      <c r="AK77" s="11"/>
      <c r="AL77" s="11">
        <f t="shared" si="21"/>
        <v>309589.8</v>
      </c>
      <c r="AM77" s="11">
        <v>3.4000000000000002E-2</v>
      </c>
      <c r="AN77" s="11">
        <f t="shared" si="18"/>
        <v>70173.688000000009</v>
      </c>
      <c r="AO77" s="11"/>
      <c r="AP77" s="11">
        <f t="shared" si="22"/>
        <v>0</v>
      </c>
      <c r="AQ77" s="11">
        <f t="shared" si="23"/>
        <v>70173.688000000009</v>
      </c>
      <c r="AR77" s="11"/>
      <c r="AS77" s="11"/>
      <c r="AT77" s="11"/>
    </row>
    <row r="78" spans="1:46" x14ac:dyDescent="0.15">
      <c r="A78" s="54" t="s">
        <v>812</v>
      </c>
      <c r="B78" s="11" t="s">
        <v>841</v>
      </c>
      <c r="C78" s="11" t="s">
        <v>395</v>
      </c>
      <c r="D78" s="11" t="s">
        <v>842</v>
      </c>
      <c r="E78" s="11" t="s">
        <v>548</v>
      </c>
      <c r="F78" s="11"/>
      <c r="G78" s="11"/>
      <c r="H78" s="11" t="s">
        <v>843</v>
      </c>
      <c r="I78" s="11"/>
      <c r="J78" s="11"/>
      <c r="K78" s="11"/>
      <c r="L78" s="11"/>
      <c r="M78" s="11">
        <v>304724.28999999998</v>
      </c>
      <c r="N78" s="11"/>
      <c r="O78" s="11"/>
      <c r="P78" s="11"/>
      <c r="Q78" s="11"/>
      <c r="R78" s="11"/>
      <c r="S78" s="11"/>
      <c r="T78" s="11" t="s">
        <v>526</v>
      </c>
      <c r="U78" s="11" t="s">
        <v>600</v>
      </c>
      <c r="V78" s="11">
        <v>3.5999999999999997E-2</v>
      </c>
      <c r="W78" s="11">
        <f t="shared" si="24"/>
        <v>10970.074439999999</v>
      </c>
      <c r="X78" s="11"/>
      <c r="Y78" s="11">
        <f t="shared" si="19"/>
        <v>0</v>
      </c>
      <c r="Z78" s="11">
        <f t="shared" si="20"/>
        <v>10970.074439999999</v>
      </c>
      <c r="AA78" s="11"/>
      <c r="AB78" s="11"/>
      <c r="AC78" s="11">
        <v>2073</v>
      </c>
      <c r="AD78" s="11">
        <v>2073</v>
      </c>
      <c r="AE78" s="11">
        <f t="shared" si="16"/>
        <v>6.8028708837093365E-3</v>
      </c>
      <c r="AF78" s="11"/>
      <c r="AG78" s="11"/>
      <c r="AH78" s="11"/>
      <c r="AI78" s="11"/>
      <c r="AJ78" s="11"/>
      <c r="AK78" s="11"/>
      <c r="AL78" s="11">
        <f t="shared" si="21"/>
        <v>0</v>
      </c>
      <c r="AM78" s="11">
        <v>3.4000000000000002E-2</v>
      </c>
      <c r="AN78" s="11">
        <f t="shared" si="18"/>
        <v>10360.62586</v>
      </c>
      <c r="AO78" s="11">
        <v>2073</v>
      </c>
      <c r="AP78" s="11">
        <f t="shared" si="22"/>
        <v>2073</v>
      </c>
      <c r="AQ78" s="11">
        <f t="shared" si="23"/>
        <v>8287.6258600000001</v>
      </c>
      <c r="AR78" s="11"/>
      <c r="AS78" s="11"/>
      <c r="AT78" s="11"/>
    </row>
    <row r="79" spans="1:46" x14ac:dyDescent="0.15">
      <c r="A79" s="54" t="s">
        <v>812</v>
      </c>
      <c r="B79" s="11" t="s">
        <v>553</v>
      </c>
      <c r="C79" s="11" t="s">
        <v>421</v>
      </c>
      <c r="D79" s="11" t="s">
        <v>844</v>
      </c>
      <c r="E79" s="11" t="s">
        <v>548</v>
      </c>
      <c r="F79" s="11"/>
      <c r="G79" s="11"/>
      <c r="H79" s="11" t="s">
        <v>845</v>
      </c>
      <c r="I79" s="11"/>
      <c r="J79" s="11"/>
      <c r="K79" s="11"/>
      <c r="L79" s="11"/>
      <c r="M79" s="11">
        <v>737750</v>
      </c>
      <c r="N79" s="11"/>
      <c r="O79" s="11"/>
      <c r="P79" s="11"/>
      <c r="Q79" s="11"/>
      <c r="R79" s="11"/>
      <c r="S79" s="11"/>
      <c r="T79" s="11" t="s">
        <v>526</v>
      </c>
      <c r="U79" s="11" t="s">
        <v>600</v>
      </c>
      <c r="V79" s="11">
        <v>8.5999999999999993E-2</v>
      </c>
      <c r="W79" s="11">
        <f t="shared" si="24"/>
        <v>63446.499999999993</v>
      </c>
      <c r="X79" s="11"/>
      <c r="Y79" s="11">
        <f t="shared" si="19"/>
        <v>0</v>
      </c>
      <c r="Z79" s="11">
        <f t="shared" si="20"/>
        <v>63446.499999999993</v>
      </c>
      <c r="AA79" s="11"/>
      <c r="AB79" s="11"/>
      <c r="AC79" s="11">
        <v>0</v>
      </c>
      <c r="AD79" s="11">
        <v>0</v>
      </c>
      <c r="AE79" s="11">
        <f t="shared" si="16"/>
        <v>0</v>
      </c>
      <c r="AF79" s="11"/>
      <c r="AG79" s="11"/>
      <c r="AH79" s="11"/>
      <c r="AI79" s="11"/>
      <c r="AJ79" s="11"/>
      <c r="AK79" s="11"/>
      <c r="AL79" s="11">
        <f t="shared" si="21"/>
        <v>0</v>
      </c>
      <c r="AM79" s="11">
        <v>3.4000000000000002E-2</v>
      </c>
      <c r="AN79" s="11">
        <f t="shared" si="18"/>
        <v>25083.5</v>
      </c>
      <c r="AO79" s="11"/>
      <c r="AP79" s="11">
        <f t="shared" si="22"/>
        <v>0</v>
      </c>
      <c r="AQ79" s="11">
        <f t="shared" si="23"/>
        <v>25083.5</v>
      </c>
      <c r="AR79" s="11"/>
      <c r="AS79" s="11"/>
      <c r="AT79" s="11"/>
    </row>
    <row r="80" spans="1:46" x14ac:dyDescent="0.15">
      <c r="A80" s="54" t="s">
        <v>812</v>
      </c>
      <c r="B80" s="11" t="s">
        <v>759</v>
      </c>
      <c r="C80" s="11" t="s">
        <v>437</v>
      </c>
      <c r="D80" s="11" t="s">
        <v>846</v>
      </c>
      <c r="E80" s="11" t="s">
        <v>548</v>
      </c>
      <c r="F80" s="11"/>
      <c r="G80" s="11"/>
      <c r="H80" s="11" t="s">
        <v>763</v>
      </c>
      <c r="I80" s="11"/>
      <c r="J80" s="11"/>
      <c r="K80" s="11"/>
      <c r="L80" s="11"/>
      <c r="M80" s="11">
        <v>50000</v>
      </c>
      <c r="N80" s="11"/>
      <c r="O80" s="11"/>
      <c r="P80" s="11"/>
      <c r="Q80" s="11"/>
      <c r="R80" s="11"/>
      <c r="S80" s="11"/>
      <c r="T80" s="11" t="s">
        <v>526</v>
      </c>
      <c r="U80" s="11" t="s">
        <v>600</v>
      </c>
      <c r="V80" s="11">
        <v>8.5999999999999993E-2</v>
      </c>
      <c r="W80" s="11">
        <f t="shared" si="24"/>
        <v>4300</v>
      </c>
      <c r="X80" s="11"/>
      <c r="Y80" s="11">
        <f t="shared" si="19"/>
        <v>0</v>
      </c>
      <c r="Z80" s="11">
        <f t="shared" si="20"/>
        <v>4300</v>
      </c>
      <c r="AA80" s="11"/>
      <c r="AB80" s="11"/>
      <c r="AC80" s="11">
        <v>0</v>
      </c>
      <c r="AD80" s="11">
        <v>0</v>
      </c>
      <c r="AE80" s="11">
        <f t="shared" si="16"/>
        <v>0</v>
      </c>
      <c r="AF80" s="11"/>
      <c r="AG80" s="11"/>
      <c r="AH80" s="11"/>
      <c r="AI80" s="11"/>
      <c r="AJ80" s="11"/>
      <c r="AK80" s="11"/>
      <c r="AL80" s="11">
        <f t="shared" si="21"/>
        <v>0</v>
      </c>
      <c r="AM80" s="11">
        <v>3.4000000000000002E-2</v>
      </c>
      <c r="AN80" s="11">
        <f t="shared" si="18"/>
        <v>1700.0000000000002</v>
      </c>
      <c r="AO80" s="11"/>
      <c r="AP80" s="11">
        <f t="shared" si="22"/>
        <v>0</v>
      </c>
      <c r="AQ80" s="11">
        <f t="shared" si="23"/>
        <v>1700.0000000000002</v>
      </c>
      <c r="AR80" s="11"/>
      <c r="AS80" s="11"/>
      <c r="AT80" s="11"/>
    </row>
    <row r="81" spans="1:46" x14ac:dyDescent="0.15">
      <c r="A81" s="54" t="s">
        <v>812</v>
      </c>
      <c r="B81" s="11" t="s">
        <v>824</v>
      </c>
      <c r="C81" s="11" t="s">
        <v>393</v>
      </c>
      <c r="D81" s="11" t="s">
        <v>847</v>
      </c>
      <c r="E81" s="11" t="s">
        <v>548</v>
      </c>
      <c r="F81" s="11"/>
      <c r="G81" s="11"/>
      <c r="H81" s="11" t="s">
        <v>826</v>
      </c>
      <c r="I81" s="11"/>
      <c r="J81" s="11"/>
      <c r="K81" s="11"/>
      <c r="L81" s="11"/>
      <c r="M81" s="11">
        <v>8649410.8000000007</v>
      </c>
      <c r="N81" s="11"/>
      <c r="O81" s="11"/>
      <c r="P81" s="11"/>
      <c r="Q81" s="11"/>
      <c r="R81" s="11"/>
      <c r="S81" s="11"/>
      <c r="T81" s="11" t="s">
        <v>526</v>
      </c>
      <c r="U81" s="11" t="s">
        <v>600</v>
      </c>
      <c r="V81" s="11">
        <v>0.03</v>
      </c>
      <c r="W81" s="11">
        <f t="shared" si="24"/>
        <v>259482.32400000002</v>
      </c>
      <c r="X81" s="11"/>
      <c r="Y81" s="11">
        <f t="shared" si="19"/>
        <v>0</v>
      </c>
      <c r="Z81" s="11">
        <f t="shared" si="20"/>
        <v>259482.32400000002</v>
      </c>
      <c r="AA81" s="11"/>
      <c r="AB81" s="11"/>
      <c r="AC81" s="11">
        <v>7657.4</v>
      </c>
      <c r="AD81" s="11">
        <v>7657.4</v>
      </c>
      <c r="AE81" s="11">
        <f t="shared" si="16"/>
        <v>8.8530885826350152E-4</v>
      </c>
      <c r="AF81" s="11"/>
      <c r="AG81" s="11"/>
      <c r="AH81" s="11">
        <v>439657.4</v>
      </c>
      <c r="AI81" s="11"/>
      <c r="AJ81" s="11"/>
      <c r="AK81" s="11"/>
      <c r="AL81" s="11">
        <f t="shared" si="21"/>
        <v>439657.4</v>
      </c>
      <c r="AM81" s="11">
        <v>3.4000000000000002E-2</v>
      </c>
      <c r="AN81" s="11">
        <f t="shared" si="18"/>
        <v>294079.96720000007</v>
      </c>
      <c r="AO81" s="11"/>
      <c r="AP81" s="11">
        <f t="shared" si="22"/>
        <v>0</v>
      </c>
      <c r="AQ81" s="11">
        <f t="shared" si="23"/>
        <v>294079.96720000007</v>
      </c>
      <c r="AR81" s="11"/>
      <c r="AS81" s="11"/>
      <c r="AT81" s="11"/>
    </row>
    <row r="82" spans="1:46" x14ac:dyDescent="0.15">
      <c r="A82" s="54" t="s">
        <v>812</v>
      </c>
      <c r="B82" s="11" t="s">
        <v>841</v>
      </c>
      <c r="C82" s="11" t="s">
        <v>419</v>
      </c>
      <c r="D82" s="11" t="s">
        <v>848</v>
      </c>
      <c r="E82" s="11" t="s">
        <v>548</v>
      </c>
      <c r="F82" s="11"/>
      <c r="G82" s="11"/>
      <c r="H82" s="11" t="s">
        <v>843</v>
      </c>
      <c r="I82" s="11"/>
      <c r="J82" s="11"/>
      <c r="K82" s="11"/>
      <c r="L82" s="11"/>
      <c r="M82" s="11">
        <v>660000</v>
      </c>
      <c r="N82" s="11"/>
      <c r="O82" s="11"/>
      <c r="P82" s="11"/>
      <c r="Q82" s="11"/>
      <c r="R82" s="11"/>
      <c r="S82" s="11"/>
      <c r="T82" s="11" t="s">
        <v>526</v>
      </c>
      <c r="U82" s="11" t="s">
        <v>600</v>
      </c>
      <c r="V82" s="11">
        <v>3.5999999999999997E-2</v>
      </c>
      <c r="W82" s="11">
        <f t="shared" si="24"/>
        <v>23760</v>
      </c>
      <c r="X82" s="11"/>
      <c r="Y82" s="11">
        <f t="shared" si="19"/>
        <v>0</v>
      </c>
      <c r="Z82" s="11">
        <f t="shared" si="20"/>
        <v>23760</v>
      </c>
      <c r="AA82" s="11"/>
      <c r="AB82" s="11"/>
      <c r="AC82" s="11">
        <v>198000</v>
      </c>
      <c r="AD82" s="11">
        <v>198000</v>
      </c>
      <c r="AE82" s="11">
        <f t="shared" si="16"/>
        <v>0.3</v>
      </c>
      <c r="AF82" s="11"/>
      <c r="AG82" s="11"/>
      <c r="AH82" s="11">
        <v>151800</v>
      </c>
      <c r="AI82" s="11"/>
      <c r="AJ82" s="11"/>
      <c r="AK82" s="11"/>
      <c r="AL82" s="11">
        <f t="shared" si="21"/>
        <v>151800</v>
      </c>
      <c r="AM82" s="11">
        <v>3.4000000000000002E-2</v>
      </c>
      <c r="AN82" s="11">
        <f t="shared" si="18"/>
        <v>22440</v>
      </c>
      <c r="AO82" s="11">
        <v>6732</v>
      </c>
      <c r="AP82" s="11">
        <f t="shared" si="22"/>
        <v>6732</v>
      </c>
      <c r="AQ82" s="11">
        <f t="shared" si="23"/>
        <v>15708</v>
      </c>
      <c r="AR82" s="11"/>
      <c r="AS82" s="11"/>
      <c r="AT82" s="11"/>
    </row>
    <row r="83" spans="1:46" x14ac:dyDescent="0.15">
      <c r="A83" s="54" t="s">
        <v>812</v>
      </c>
      <c r="B83" s="11" t="s">
        <v>759</v>
      </c>
      <c r="C83" s="11" t="s">
        <v>443</v>
      </c>
      <c r="D83" s="11" t="s">
        <v>849</v>
      </c>
      <c r="E83" s="11" t="s">
        <v>548</v>
      </c>
      <c r="F83" s="11"/>
      <c r="G83" s="11"/>
      <c r="H83" s="11" t="s">
        <v>763</v>
      </c>
      <c r="I83" s="11"/>
      <c r="J83" s="11"/>
      <c r="K83" s="11"/>
      <c r="L83" s="11"/>
      <c r="M83" s="11">
        <v>248000</v>
      </c>
      <c r="N83" s="11"/>
      <c r="O83" s="11"/>
      <c r="P83" s="11"/>
      <c r="Q83" s="11"/>
      <c r="R83" s="11"/>
      <c r="S83" s="11"/>
      <c r="T83" s="11" t="s">
        <v>526</v>
      </c>
      <c r="U83" s="11" t="s">
        <v>600</v>
      </c>
      <c r="V83" s="11">
        <v>8.5999999999999993E-2</v>
      </c>
      <c r="W83" s="11">
        <f>M83*V83</f>
        <v>21328</v>
      </c>
      <c r="X83" s="11"/>
      <c r="Y83" s="11">
        <f t="shared" si="19"/>
        <v>0</v>
      </c>
      <c r="Z83" s="11">
        <f t="shared" si="20"/>
        <v>21328</v>
      </c>
      <c r="AA83" s="11"/>
      <c r="AB83" s="11"/>
      <c r="AC83" s="11">
        <v>0</v>
      </c>
      <c r="AD83" s="11">
        <v>0</v>
      </c>
      <c r="AE83" s="11">
        <f t="shared" si="16"/>
        <v>0</v>
      </c>
      <c r="AF83" s="11"/>
      <c r="AG83" s="11"/>
      <c r="AH83" s="11"/>
      <c r="AI83" s="11"/>
      <c r="AJ83" s="11"/>
      <c r="AK83" s="11"/>
      <c r="AL83" s="11">
        <f t="shared" si="21"/>
        <v>0</v>
      </c>
      <c r="AM83" s="11">
        <v>3.4000000000000002E-2</v>
      </c>
      <c r="AN83" s="11">
        <f t="shared" si="18"/>
        <v>8432</v>
      </c>
      <c r="AO83" s="11"/>
      <c r="AP83" s="11">
        <f t="shared" si="22"/>
        <v>0</v>
      </c>
      <c r="AQ83" s="11">
        <f t="shared" si="23"/>
        <v>8432</v>
      </c>
      <c r="AR83" s="11"/>
      <c r="AS83" s="11"/>
      <c r="AT83" s="11"/>
    </row>
    <row r="84" spans="1:46" x14ac:dyDescent="0.15">
      <c r="A84" s="54" t="s">
        <v>812</v>
      </c>
      <c r="B84" s="11" t="s">
        <v>824</v>
      </c>
      <c r="C84" s="11" t="s">
        <v>399</v>
      </c>
      <c r="D84" s="11" t="s">
        <v>850</v>
      </c>
      <c r="E84" s="11" t="s">
        <v>548</v>
      </c>
      <c r="F84" s="11"/>
      <c r="G84" s="11"/>
      <c r="H84" s="11" t="s">
        <v>826</v>
      </c>
      <c r="I84" s="11"/>
      <c r="J84" s="11"/>
      <c r="K84" s="11"/>
      <c r="L84" s="11"/>
      <c r="M84" s="11">
        <v>465000</v>
      </c>
      <c r="N84" s="11"/>
      <c r="O84" s="11"/>
      <c r="P84" s="11"/>
      <c r="Q84" s="11"/>
      <c r="R84" s="11"/>
      <c r="S84" s="11"/>
      <c r="T84" s="11" t="s">
        <v>526</v>
      </c>
      <c r="U84" s="11" t="s">
        <v>600</v>
      </c>
      <c r="V84" s="11">
        <v>3.5999999999999997E-2</v>
      </c>
      <c r="W84" s="11">
        <f t="shared" si="24"/>
        <v>16740</v>
      </c>
      <c r="X84" s="11"/>
      <c r="Y84" s="11">
        <f t="shared" si="19"/>
        <v>0</v>
      </c>
      <c r="Z84" s="11">
        <f t="shared" si="20"/>
        <v>16740</v>
      </c>
      <c r="AA84" s="11"/>
      <c r="AB84" s="11"/>
      <c r="AC84" s="11">
        <v>4743</v>
      </c>
      <c r="AD84" s="11">
        <v>4743</v>
      </c>
      <c r="AE84" s="11">
        <f t="shared" si="16"/>
        <v>1.0200000000000001E-2</v>
      </c>
      <c r="AF84" s="11"/>
      <c r="AG84" s="11"/>
      <c r="AH84" s="11"/>
      <c r="AI84" s="11"/>
      <c r="AJ84" s="11"/>
      <c r="AK84" s="11"/>
      <c r="AL84" s="11">
        <f t="shared" si="21"/>
        <v>0</v>
      </c>
      <c r="AM84" s="11">
        <v>3.4000000000000002E-2</v>
      </c>
      <c r="AN84" s="11">
        <f t="shared" si="18"/>
        <v>15810.000000000002</v>
      </c>
      <c r="AO84" s="11">
        <v>4743</v>
      </c>
      <c r="AP84" s="11">
        <f t="shared" si="22"/>
        <v>4743</v>
      </c>
      <c r="AQ84" s="11">
        <f t="shared" si="23"/>
        <v>11067.000000000002</v>
      </c>
      <c r="AR84" s="11"/>
      <c r="AS84" s="11"/>
      <c r="AT84" s="11"/>
    </row>
    <row r="85" spans="1:46" x14ac:dyDescent="0.15">
      <c r="A85" s="54" t="s">
        <v>812</v>
      </c>
      <c r="B85" s="11" t="s">
        <v>759</v>
      </c>
      <c r="C85" s="11" t="s">
        <v>423</v>
      </c>
      <c r="D85" s="11" t="s">
        <v>851</v>
      </c>
      <c r="E85" s="11" t="s">
        <v>548</v>
      </c>
      <c r="F85" s="11"/>
      <c r="G85" s="11"/>
      <c r="H85" s="11" t="s">
        <v>763</v>
      </c>
      <c r="I85" s="11"/>
      <c r="J85" s="11"/>
      <c r="K85" s="11"/>
      <c r="L85" s="11"/>
      <c r="M85" s="11">
        <v>65000</v>
      </c>
      <c r="N85" s="11"/>
      <c r="O85" s="11"/>
      <c r="P85" s="11"/>
      <c r="Q85" s="11"/>
      <c r="R85" s="11"/>
      <c r="S85" s="11"/>
      <c r="T85" s="11" t="s">
        <v>526</v>
      </c>
      <c r="U85" s="11" t="s">
        <v>600</v>
      </c>
      <c r="V85" s="11">
        <v>8.5999999999999993E-2</v>
      </c>
      <c r="W85" s="11">
        <f t="shared" si="24"/>
        <v>5590</v>
      </c>
      <c r="X85" s="11"/>
      <c r="Y85" s="11">
        <f t="shared" si="19"/>
        <v>0</v>
      </c>
      <c r="Z85" s="11">
        <f t="shared" si="20"/>
        <v>5590</v>
      </c>
      <c r="AA85" s="11"/>
      <c r="AB85" s="11"/>
      <c r="AC85" s="11">
        <v>0</v>
      </c>
      <c r="AD85" s="11">
        <v>0</v>
      </c>
      <c r="AE85" s="11">
        <f t="shared" si="16"/>
        <v>0</v>
      </c>
      <c r="AF85" s="11"/>
      <c r="AG85" s="11"/>
      <c r="AH85" s="11"/>
      <c r="AI85" s="11"/>
      <c r="AJ85" s="11"/>
      <c r="AK85" s="11"/>
      <c r="AL85" s="11">
        <f t="shared" si="21"/>
        <v>0</v>
      </c>
      <c r="AM85" s="11">
        <v>3.4000000000000002E-2</v>
      </c>
      <c r="AN85" s="11">
        <f t="shared" si="18"/>
        <v>2210</v>
      </c>
      <c r="AO85" s="11"/>
      <c r="AP85" s="11">
        <f t="shared" si="22"/>
        <v>0</v>
      </c>
      <c r="AQ85" s="11">
        <f t="shared" si="23"/>
        <v>2210</v>
      </c>
      <c r="AR85" s="11"/>
      <c r="AS85" s="11"/>
      <c r="AT85" s="11"/>
    </row>
    <row r="86" spans="1:46" x14ac:dyDescent="0.15">
      <c r="A86" s="54" t="s">
        <v>812</v>
      </c>
      <c r="B86" s="11" t="s">
        <v>642</v>
      </c>
      <c r="C86" s="11" t="s">
        <v>852</v>
      </c>
      <c r="D86" s="11" t="s">
        <v>853</v>
      </c>
      <c r="E86" s="11" t="s">
        <v>548</v>
      </c>
      <c r="F86" s="11"/>
      <c r="G86" s="11"/>
      <c r="H86" s="11" t="s">
        <v>646</v>
      </c>
      <c r="I86" s="11"/>
      <c r="J86" s="11"/>
      <c r="K86" s="11"/>
      <c r="L86" s="11"/>
      <c r="M86" s="11">
        <v>967901.04</v>
      </c>
      <c r="N86" s="11"/>
      <c r="O86" s="11"/>
      <c r="P86" s="11"/>
      <c r="Q86" s="11"/>
      <c r="R86" s="11"/>
      <c r="S86" s="11"/>
      <c r="T86" s="11" t="s">
        <v>526</v>
      </c>
      <c r="U86" s="11" t="s">
        <v>600</v>
      </c>
      <c r="V86" s="11">
        <v>3.5999999999999997E-2</v>
      </c>
      <c r="W86" s="11">
        <f t="shared" si="24"/>
        <v>34844.437440000002</v>
      </c>
      <c r="X86" s="11"/>
      <c r="Y86" s="11">
        <f t="shared" si="19"/>
        <v>0</v>
      </c>
      <c r="Z86" s="11">
        <f t="shared" si="20"/>
        <v>34844.437440000002</v>
      </c>
      <c r="AA86" s="11"/>
      <c r="AB86" s="11"/>
      <c r="AC86" s="11">
        <v>0</v>
      </c>
      <c r="AD86" s="11">
        <v>0</v>
      </c>
      <c r="AE86" s="11">
        <f t="shared" si="16"/>
        <v>0</v>
      </c>
      <c r="AF86" s="11"/>
      <c r="AG86" s="11"/>
      <c r="AH86" s="11"/>
      <c r="AI86" s="11"/>
      <c r="AJ86" s="11"/>
      <c r="AK86" s="11"/>
      <c r="AL86" s="11">
        <f t="shared" si="21"/>
        <v>0</v>
      </c>
      <c r="AM86" s="11"/>
      <c r="AN86" s="11">
        <f t="shared" si="18"/>
        <v>0</v>
      </c>
      <c r="AO86" s="11"/>
      <c r="AP86" s="11">
        <f t="shared" si="22"/>
        <v>0</v>
      </c>
      <c r="AQ86" s="11">
        <f t="shared" si="23"/>
        <v>0</v>
      </c>
      <c r="AR86" s="11"/>
      <c r="AS86" s="11"/>
      <c r="AT86" s="11"/>
    </row>
    <row r="87" spans="1:46" s="73" customFormat="1" x14ac:dyDescent="0.15">
      <c r="A87" s="67">
        <v>39508</v>
      </c>
      <c r="B87" s="68" t="s">
        <v>854</v>
      </c>
      <c r="C87" s="68" t="s">
        <v>855</v>
      </c>
      <c r="D87" s="68" t="s">
        <v>856</v>
      </c>
      <c r="E87" s="68" t="s">
        <v>857</v>
      </c>
      <c r="F87" s="68" t="s">
        <v>858</v>
      </c>
      <c r="G87" s="68" t="s">
        <v>859</v>
      </c>
      <c r="H87" s="68" t="s">
        <v>860</v>
      </c>
      <c r="I87" s="68" t="s">
        <v>861</v>
      </c>
      <c r="J87" s="68" t="s">
        <v>860</v>
      </c>
      <c r="K87" s="68" t="s">
        <v>862</v>
      </c>
      <c r="L87" s="68"/>
      <c r="M87" s="68">
        <v>3950000</v>
      </c>
      <c r="N87" s="68">
        <f>140773+22870.2+451018.96+223732.46</f>
        <v>838394.62</v>
      </c>
      <c r="O87" s="68"/>
      <c r="P87" s="68">
        <f>4208332+388632</f>
        <v>4596964</v>
      </c>
      <c r="Q87" s="69"/>
      <c r="R87" s="70"/>
      <c r="S87" s="68"/>
      <c r="T87" s="68"/>
      <c r="U87" s="68" t="s">
        <v>863</v>
      </c>
      <c r="V87" s="71">
        <v>3.5999999999999997E-2</v>
      </c>
      <c r="W87" s="68">
        <f>(M87+N87)*V87</f>
        <v>172382.20632</v>
      </c>
      <c r="X87" s="68">
        <f>142200+10621+823+16237+9300</f>
        <v>179181</v>
      </c>
      <c r="Y87" s="68">
        <f>179181</f>
        <v>179181</v>
      </c>
      <c r="Z87" s="68"/>
      <c r="AA87" s="68">
        <f>88505+592500+88505+22873.5+86450+651866+473865+894158+419186+429386+366348.7+642694+210417+19432</f>
        <v>4986186.2</v>
      </c>
      <c r="AB87" s="68">
        <f>4986186.2</f>
        <v>4986186.2</v>
      </c>
      <c r="AC87" s="68">
        <v>4986186.2</v>
      </c>
      <c r="AD87" s="68">
        <v>4986186.2</v>
      </c>
      <c r="AE87" s="72">
        <f>AC87/(N87+P87)</f>
        <v>0.91736103330013574</v>
      </c>
      <c r="AF87" s="68">
        <f>88505+200000+200000+3787+300091.5+86450+472781.98+179084.02+393962.8+32825.62+23195.8+506882.01+218660+39215.22+14252+75417.35+54945+28213+31795.83+67200+2992.04+748273.77+7017+23457.17+221643+22730.9+21852+14400+540240.38+17374.14+69261+25016.14+199994.5</f>
        <v>4931516.17</v>
      </c>
      <c r="AG87" s="68">
        <f>4931516.17</f>
        <v>4931516.17</v>
      </c>
      <c r="AH87" s="68">
        <f>88505+200000+200000+3787+300091.5+86450+472781.98+179084.02+393962.8+32825.62+23195.8+506882.01+218660+39215.22+14252+75417.35+54945+28213+31795.83+67200+2992.04+748273.77+7017+23457.17+221643+22730.9+21852+14400+540240.38+17374.14+69261+25016.14+7154+199994.5+661+30000+10000</f>
        <v>4979331.17</v>
      </c>
      <c r="AI87" s="68"/>
      <c r="AJ87" s="68"/>
      <c r="AK87" s="68"/>
      <c r="AL87" s="68">
        <f>4969331.17+10000</f>
        <v>4979331.17</v>
      </c>
      <c r="AM87" s="71">
        <v>3.4000000000000002E-2</v>
      </c>
      <c r="AN87" s="71">
        <f>AB87*AM87</f>
        <v>169530.33080000003</v>
      </c>
      <c r="AO87" s="68">
        <f>3009+20145+3009+778+2939+22163+16111+30401+14252+14599+12456+21852+7154+661</f>
        <v>169529</v>
      </c>
      <c r="AP87" s="68">
        <f>169529</f>
        <v>169529</v>
      </c>
      <c r="AQ87" s="68">
        <v>0</v>
      </c>
      <c r="AR87" s="68"/>
      <c r="AS87" s="68"/>
      <c r="AT87" s="68"/>
    </row>
    <row r="88" spans="1:46" x14ac:dyDescent="0.15">
      <c r="A88" s="54">
        <v>40283</v>
      </c>
      <c r="B88" s="11" t="s">
        <v>864</v>
      </c>
      <c r="C88" s="11" t="s">
        <v>865</v>
      </c>
      <c r="D88" s="11" t="s">
        <v>866</v>
      </c>
      <c r="E88" s="11" t="s">
        <v>857</v>
      </c>
      <c r="F88" s="11" t="s">
        <v>867</v>
      </c>
      <c r="G88" s="11" t="s">
        <v>859</v>
      </c>
      <c r="H88" s="11" t="s">
        <v>868</v>
      </c>
      <c r="I88" s="11" t="s">
        <v>869</v>
      </c>
      <c r="J88" s="11" t="s">
        <v>868</v>
      </c>
      <c r="K88" s="11" t="s">
        <v>862</v>
      </c>
      <c r="L88" s="11"/>
      <c r="M88" s="11">
        <v>4300000</v>
      </c>
      <c r="N88" s="11"/>
      <c r="O88" s="11"/>
      <c r="P88" s="11"/>
      <c r="Q88" s="15"/>
      <c r="R88" s="16"/>
      <c r="S88" s="11"/>
      <c r="T88" s="11"/>
      <c r="U88" s="11" t="s">
        <v>863</v>
      </c>
      <c r="V88" s="17">
        <v>3.5999999999999997E-2</v>
      </c>
      <c r="W88" s="11">
        <f t="shared" ref="W88" si="25">(M88+N88)*V88</f>
        <v>154800</v>
      </c>
      <c r="X88" s="11">
        <f>154800</f>
        <v>154800</v>
      </c>
      <c r="Y88" s="11">
        <f>154800</f>
        <v>154800</v>
      </c>
      <c r="Z88" s="11">
        <v>0</v>
      </c>
      <c r="AA88" s="11">
        <f>860000+1290000+1290000+200000+200000+100000</f>
        <v>3940000</v>
      </c>
      <c r="AB88" s="11">
        <f>3940000</f>
        <v>3940000</v>
      </c>
      <c r="AC88" s="11">
        <v>3940000</v>
      </c>
      <c r="AD88" s="11">
        <v>3940000</v>
      </c>
      <c r="AE88" s="18">
        <f>AC88/(N88+M88)</f>
        <v>0.91627906976744189</v>
      </c>
      <c r="AF88" s="11">
        <f>3354+450000+199568+207078+692057.4+200000+133102+204980+437720+100000+373359.5+350000+40000+123750+100000+200000</f>
        <v>3814968.9</v>
      </c>
      <c r="AG88" s="11">
        <f>3814968.9</f>
        <v>3814968.9</v>
      </c>
      <c r="AH88" s="11">
        <f>3354+450000+199568+207078+692057.4+200000+133102+204980+437720+100000+373359.5+350000+40000+200000+13600+100000+203400</f>
        <v>3908218.9</v>
      </c>
      <c r="AI88" s="11"/>
      <c r="AJ88" s="11"/>
      <c r="AK88" s="11"/>
      <c r="AL88" s="11">
        <f>3908218.9</f>
        <v>3908218.9</v>
      </c>
      <c r="AM88" s="17">
        <v>3.4000000000000002E-2</v>
      </c>
      <c r="AN88" s="17">
        <f>AB88*AM88</f>
        <v>133960</v>
      </c>
      <c r="AO88" s="11">
        <f>29240+43860+43860+6800+6800+3400</f>
        <v>133960</v>
      </c>
      <c r="AP88" s="11">
        <f>133960</f>
        <v>133960</v>
      </c>
      <c r="AQ88" s="11">
        <v>0</v>
      </c>
      <c r="AR88" s="11"/>
      <c r="AS88" s="11">
        <v>65</v>
      </c>
      <c r="AT88" s="11" t="s">
        <v>870</v>
      </c>
    </row>
    <row r="89" spans="1:46" x14ac:dyDescent="0.15">
      <c r="A89" s="54">
        <v>40491</v>
      </c>
      <c r="B89" s="11" t="s">
        <v>871</v>
      </c>
      <c r="C89" s="11" t="s">
        <v>872</v>
      </c>
      <c r="D89" s="11" t="s">
        <v>873</v>
      </c>
      <c r="E89" s="11" t="s">
        <v>857</v>
      </c>
      <c r="F89" s="11" t="s">
        <v>874</v>
      </c>
      <c r="G89" s="11" t="s">
        <v>859</v>
      </c>
      <c r="H89" s="11" t="s">
        <v>875</v>
      </c>
      <c r="I89" s="11" t="s">
        <v>876</v>
      </c>
      <c r="J89" s="11" t="s">
        <v>877</v>
      </c>
      <c r="K89" s="11" t="s">
        <v>862</v>
      </c>
      <c r="L89" s="11"/>
      <c r="M89" s="11">
        <v>842038</v>
      </c>
      <c r="N89" s="11"/>
      <c r="O89" s="11"/>
      <c r="P89" s="11"/>
      <c r="Q89" s="15"/>
      <c r="R89" s="16"/>
      <c r="S89" s="11">
        <v>253</v>
      </c>
      <c r="T89" s="11"/>
      <c r="U89" s="11" t="s">
        <v>863</v>
      </c>
      <c r="V89" s="17">
        <v>3.5999999999999997E-2</v>
      </c>
      <c r="W89" s="11">
        <f>M89*V89</f>
        <v>30313.367999999999</v>
      </c>
      <c r="X89" s="11">
        <v>30313</v>
      </c>
      <c r="Y89" s="11">
        <v>30313</v>
      </c>
      <c r="Z89" s="11">
        <v>0</v>
      </c>
      <c r="AA89" s="11">
        <f>500000+200000</f>
        <v>700000</v>
      </c>
      <c r="AB89" s="11">
        <f>700000</f>
        <v>700000</v>
      </c>
      <c r="AC89" s="11">
        <v>700000</v>
      </c>
      <c r="AD89" s="11">
        <v>700000</v>
      </c>
      <c r="AE89" s="18">
        <f>AC89/(M89+N89)</f>
        <v>0.83131640139756158</v>
      </c>
      <c r="AF89" s="11">
        <f>67000+400000+33000+193200</f>
        <v>693200</v>
      </c>
      <c r="AG89" s="11">
        <f>693200</f>
        <v>693200</v>
      </c>
      <c r="AH89" s="11">
        <f>67000+400000+33000+193200</f>
        <v>693200</v>
      </c>
      <c r="AI89" s="11"/>
      <c r="AJ89" s="11"/>
      <c r="AK89" s="11"/>
      <c r="AL89" s="11">
        <f>693200</f>
        <v>693200</v>
      </c>
      <c r="AM89" s="17">
        <v>3.4000000000000002E-2</v>
      </c>
      <c r="AN89" s="17">
        <f>AM89*AB89</f>
        <v>23800</v>
      </c>
      <c r="AO89" s="11">
        <f>17000</f>
        <v>17000</v>
      </c>
      <c r="AP89" s="11">
        <f>17000</f>
        <v>17000</v>
      </c>
      <c r="AQ89" s="11">
        <f>AN89-AP89</f>
        <v>6800</v>
      </c>
      <c r="AR89" s="11"/>
      <c r="AS89" s="11"/>
      <c r="AT89" s="11"/>
    </row>
    <row r="90" spans="1:46" s="24" customFormat="1" x14ac:dyDescent="0.15">
      <c r="A90" s="56">
        <v>40467</v>
      </c>
      <c r="B90" s="11" t="s">
        <v>878</v>
      </c>
      <c r="C90" s="19" t="s">
        <v>53</v>
      </c>
      <c r="D90" s="19" t="s">
        <v>879</v>
      </c>
      <c r="E90" s="19" t="s">
        <v>857</v>
      </c>
      <c r="F90" s="19" t="s">
        <v>880</v>
      </c>
      <c r="G90" s="19" t="s">
        <v>859</v>
      </c>
      <c r="H90" s="19" t="s">
        <v>881</v>
      </c>
      <c r="I90" s="19" t="s">
        <v>882</v>
      </c>
      <c r="J90" s="19" t="s">
        <v>883</v>
      </c>
      <c r="K90" s="19" t="s">
        <v>862</v>
      </c>
      <c r="L90" s="19"/>
      <c r="M90" s="19">
        <v>1787170</v>
      </c>
      <c r="N90" s="19">
        <f>847000+21000</f>
        <v>868000</v>
      </c>
      <c r="O90" s="19"/>
      <c r="P90" s="19">
        <f>2589000+21000</f>
        <v>2610000</v>
      </c>
      <c r="Q90" s="20"/>
      <c r="R90" s="21"/>
      <c r="S90" s="19"/>
      <c r="T90" s="19"/>
      <c r="U90" s="19" t="s">
        <v>863</v>
      </c>
      <c r="V90" s="22">
        <v>3.5999999999999997E-2</v>
      </c>
      <c r="W90" s="19">
        <f>P90*V90</f>
        <v>93960</v>
      </c>
      <c r="X90" s="19">
        <f>64338+30492</f>
        <v>94830</v>
      </c>
      <c r="Y90" s="19">
        <f>94830</f>
        <v>94830</v>
      </c>
      <c r="Z90" s="19">
        <v>0</v>
      </c>
      <c r="AA90" s="19">
        <f>150000+500000+210000+500000+200000+200000+350000+200000+100000+200000</f>
        <v>2610000</v>
      </c>
      <c r="AB90" s="19">
        <f>2610000</f>
        <v>2610000</v>
      </c>
      <c r="AC90" s="11">
        <v>2410000</v>
      </c>
      <c r="AD90" s="11">
        <v>2410000</v>
      </c>
      <c r="AE90" s="23">
        <f>AC90/P90</f>
        <v>0.92337164750957856</v>
      </c>
      <c r="AF90" s="19">
        <f>150000+367100+100000+7140+102000+50000+200000+148800+100000+50000+50000+6800+150000+40000+6800+150000+397877+180000+100000</f>
        <v>2356517</v>
      </c>
      <c r="AG90" s="19">
        <f>2356517</f>
        <v>2356517</v>
      </c>
      <c r="AH90" s="19">
        <f>150000+367100+100000+7140+102000+50000+200000+148800+100000+50000+50000+6800+150000+40000+6800+150000+11900+397877+20000+186800+1810.08+3400+100000+6800</f>
        <v>2407227.08</v>
      </c>
      <c r="AI90" s="19"/>
      <c r="AJ90" s="19"/>
      <c r="AK90" s="19"/>
      <c r="AL90" s="19">
        <f>2407227.08</f>
        <v>2407227.08</v>
      </c>
      <c r="AM90" s="22">
        <v>3.4000000000000002E-2</v>
      </c>
      <c r="AN90" s="22">
        <f>AM90*AB90</f>
        <v>88740</v>
      </c>
      <c r="AO90" s="19">
        <f>20000+2100+7140+17000+6800+6800+11900+6800+3400+6800</f>
        <v>88740</v>
      </c>
      <c r="AP90" s="19">
        <f>88740</f>
        <v>88740</v>
      </c>
      <c r="AQ90" s="19">
        <v>0</v>
      </c>
      <c r="AR90" s="19"/>
      <c r="AS90" s="19"/>
      <c r="AT90" s="19"/>
    </row>
    <row r="91" spans="1:46" s="24" customFormat="1" x14ac:dyDescent="0.15">
      <c r="A91" s="56">
        <v>40683</v>
      </c>
      <c r="B91" s="11" t="s">
        <v>884</v>
      </c>
      <c r="C91" s="19" t="s">
        <v>885</v>
      </c>
      <c r="D91" s="19" t="s">
        <v>886</v>
      </c>
      <c r="E91" s="11" t="s">
        <v>857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20"/>
      <c r="R91" s="21"/>
      <c r="S91" s="19"/>
      <c r="T91" s="19"/>
      <c r="U91" s="19"/>
      <c r="V91" s="22"/>
      <c r="W91" s="19"/>
      <c r="X91" s="19"/>
      <c r="Y91" s="19"/>
      <c r="Z91" s="19"/>
      <c r="AA91" s="19"/>
      <c r="AB91" s="19"/>
      <c r="AC91" s="11">
        <v>0</v>
      </c>
      <c r="AD91" s="11">
        <v>0</v>
      </c>
      <c r="AE91" s="23"/>
      <c r="AF91" s="19"/>
      <c r="AG91" s="19"/>
      <c r="AH91" s="19"/>
      <c r="AI91" s="19"/>
      <c r="AJ91" s="19"/>
      <c r="AK91" s="19"/>
      <c r="AL91" s="19"/>
      <c r="AM91" s="22"/>
      <c r="AN91" s="22"/>
      <c r="AO91" s="19"/>
      <c r="AP91" s="19"/>
      <c r="AQ91" s="19"/>
      <c r="AR91" s="19"/>
      <c r="AS91" s="19"/>
      <c r="AT91" s="19"/>
    </row>
    <row r="92" spans="1:46" x14ac:dyDescent="0.15">
      <c r="A92" s="54">
        <v>40828</v>
      </c>
      <c r="B92" s="11" t="s">
        <v>887</v>
      </c>
      <c r="C92" s="11" t="s">
        <v>888</v>
      </c>
      <c r="D92" s="11" t="s">
        <v>889</v>
      </c>
      <c r="E92" s="11" t="s">
        <v>857</v>
      </c>
      <c r="F92" s="11" t="s">
        <v>890</v>
      </c>
      <c r="G92" s="11" t="s">
        <v>859</v>
      </c>
      <c r="H92" s="11" t="s">
        <v>891</v>
      </c>
      <c r="I92" s="25" t="s">
        <v>892</v>
      </c>
      <c r="J92" s="25" t="s">
        <v>893</v>
      </c>
      <c r="K92" s="11" t="s">
        <v>894</v>
      </c>
      <c r="L92" s="11"/>
      <c r="M92" s="11">
        <v>21611588</v>
      </c>
      <c r="N92" s="11">
        <f>109800+675943.83+2016587</f>
        <v>2802330.83</v>
      </c>
      <c r="O92" s="11"/>
      <c r="P92" s="11"/>
      <c r="Q92" s="15" t="s">
        <v>895</v>
      </c>
      <c r="R92" s="16">
        <v>40833</v>
      </c>
      <c r="S92" s="11">
        <v>6484</v>
      </c>
      <c r="T92" s="11"/>
      <c r="U92" s="11" t="s">
        <v>863</v>
      </c>
      <c r="V92" s="17">
        <v>0.03</v>
      </c>
      <c r="W92" s="11">
        <f>(M92+N92)*V92</f>
        <v>732417.56489999988</v>
      </c>
      <c r="X92" s="11">
        <f>450000+198348+3294+3294+16984</f>
        <v>671920</v>
      </c>
      <c r="Y92" s="11">
        <f>671920</f>
        <v>671920</v>
      </c>
      <c r="Z92" s="11">
        <f>W92-X92</f>
        <v>60497.564899999881</v>
      </c>
      <c r="AA92" s="11">
        <f>4265197.5+4242950.9+3025859.91+4034479.9+1567850.44+97508+270377+1714098.95+3539736.87</f>
        <v>22758059.470000003</v>
      </c>
      <c r="AB92" s="11">
        <f>22758059.47</f>
        <v>22758059.469999999</v>
      </c>
      <c r="AC92" s="11">
        <v>22758059.470000003</v>
      </c>
      <c r="AD92" s="11">
        <v>22758059.469999999</v>
      </c>
      <c r="AE92" s="18">
        <f t="shared" ref="AE92:AE101" si="26">AC92/(M92+N92)</f>
        <v>0.93217560148658873</v>
      </c>
      <c r="AF92" s="11">
        <f>1051455.75+1003000+218186+419369.93+78570.4+75000+150000+2156.25+1302898+19800+819594.71+492264.01+330000+879849.72+198912+744286.71+400000+514413.06+401257.7+420947.77+335610+1127625.6+485700+432992.8+510819.86+157004.28+3975+426384.54+832820+3975+108900+214068+759.5+607120+200000+704605.2+26899.6+13021.16+90000+100000+179500+1687.68+400000+425030+100000+203000+49750+200000+19600+196560+104902+12330+1461571.42+1099999.97</f>
        <v>20358173.619999997</v>
      </c>
      <c r="AG92" s="11">
        <f>19258173.65+1099999.97</f>
        <v>20358173.619999997</v>
      </c>
      <c r="AH92" s="11">
        <f>1646472.75+553000+18186+380000+419369.93+22422.65+394707.68+75000+294260+500504.25+1104550+19800+888743.06+489080.43+350795.94+879849.72+198912+102879+744286.71+400000+347844.4+367030.42+420947.77+137172+335610+1127625.6+485700+432992.8+510819.86+157004.28+11750+3975+426384.54+832820+3975+108900+214068+50000+759.5+53307+607120+200000+704605.2+26899.6+13021.16+102508+100000+179550+2049.1-50000+58279+1687.68+400000+425030+100000+203000+49750+50000+200000+19600+196560+104902-50000+33543+12330-1560+4300+1581922.42+1099999.97</f>
        <v>21886603.420000002</v>
      </c>
      <c r="AI92" s="11"/>
      <c r="AJ92" s="11"/>
      <c r="AK92" s="11"/>
      <c r="AL92" s="11">
        <f>20786603.45+1099999.97</f>
        <v>21886603.419999998</v>
      </c>
      <c r="AM92" s="17">
        <v>3.4000000000000002E-2</v>
      </c>
      <c r="AN92" s="17">
        <f t="shared" ref="AN92:AN155" si="27">AM92*AB92</f>
        <v>773774.02197999996</v>
      </c>
      <c r="AO92" s="11">
        <f>145017+144260+102879+137172+53307+3315+9193+58279+120351</f>
        <v>773773</v>
      </c>
      <c r="AP92" s="11">
        <f>773773</f>
        <v>773773</v>
      </c>
      <c r="AQ92" s="11">
        <v>0</v>
      </c>
      <c r="AR92" s="11"/>
      <c r="AS92" s="11">
        <v>140</v>
      </c>
      <c r="AT92" s="11" t="s">
        <v>896</v>
      </c>
    </row>
    <row r="93" spans="1:46" x14ac:dyDescent="0.15">
      <c r="A93" s="54">
        <v>40909</v>
      </c>
      <c r="B93" s="11" t="s">
        <v>897</v>
      </c>
      <c r="C93" s="11" t="s">
        <v>898</v>
      </c>
      <c r="D93" s="11" t="s">
        <v>899</v>
      </c>
      <c r="E93" s="11" t="s">
        <v>900</v>
      </c>
      <c r="F93" s="11" t="s">
        <v>901</v>
      </c>
      <c r="G93" s="11" t="s">
        <v>859</v>
      </c>
      <c r="H93" s="11" t="s">
        <v>902</v>
      </c>
      <c r="I93" s="11" t="s">
        <v>903</v>
      </c>
      <c r="J93" s="11" t="s">
        <v>904</v>
      </c>
      <c r="K93" s="11" t="s">
        <v>862</v>
      </c>
      <c r="L93" s="11"/>
      <c r="M93" s="11">
        <v>1950000</v>
      </c>
      <c r="N93" s="11">
        <f>2700000+3000000+581535</f>
        <v>6281535</v>
      </c>
      <c r="O93" s="11"/>
      <c r="P93" s="11"/>
      <c r="Q93" s="15" t="s">
        <v>905</v>
      </c>
      <c r="R93" s="16">
        <v>41045</v>
      </c>
      <c r="S93" s="11">
        <v>585</v>
      </c>
      <c r="T93" s="11"/>
      <c r="U93" s="11" t="s">
        <v>906</v>
      </c>
      <c r="V93" s="17">
        <v>0.03</v>
      </c>
      <c r="W93" s="11">
        <f>(M93+N93)*V93</f>
        <v>246946.05</v>
      </c>
      <c r="X93" s="11">
        <f>70200+97200+62100</f>
        <v>229500</v>
      </c>
      <c r="Y93" s="11">
        <f>229500</f>
        <v>229500</v>
      </c>
      <c r="Z93" s="11">
        <f>W93-X93</f>
        <v>17446.049999999988</v>
      </c>
      <c r="AA93" s="11">
        <f>1600000+1000000+1300000+1470000+100000+1100000+1661535</f>
        <v>8231535</v>
      </c>
      <c r="AB93" s="11">
        <f>8231535</f>
        <v>8231535</v>
      </c>
      <c r="AC93" s="11">
        <v>8231535</v>
      </c>
      <c r="AD93" s="11">
        <v>8231535</v>
      </c>
      <c r="AE93" s="18">
        <f t="shared" si="26"/>
        <v>1</v>
      </c>
      <c r="AF93" s="11">
        <f>1000000+370200+100000+749600+40000+150000+643400+200000+700000+300000+120000+30000+80000+990000+1300000+100000+100000+170000</f>
        <v>7143200</v>
      </c>
      <c r="AG93" s="11">
        <f>7143200</f>
        <v>7143200</v>
      </c>
      <c r="AH93" s="11">
        <f>1054400+370200+100000+34000+949600+40000+44200+450000+643400+200000+1053380+300000+120000+30000+80000+1027400+56492+1300000+100000+100000+170000</f>
        <v>8223072</v>
      </c>
      <c r="AI93" s="11"/>
      <c r="AJ93" s="11"/>
      <c r="AK93" s="11"/>
      <c r="AL93" s="11">
        <f>8223072</f>
        <v>8223072</v>
      </c>
      <c r="AM93" s="17">
        <v>3.4000000000000002E-2</v>
      </c>
      <c r="AN93" s="17">
        <f t="shared" si="27"/>
        <v>279872.19</v>
      </c>
      <c r="AO93" s="11">
        <f>54400+34000+44200+49980+3400+37400+56492</f>
        <v>279872</v>
      </c>
      <c r="AP93" s="11">
        <f>279872</f>
        <v>279872</v>
      </c>
      <c r="AQ93" s="11">
        <v>0</v>
      </c>
      <c r="AR93" s="11"/>
      <c r="AS93" s="11">
        <v>5</v>
      </c>
      <c r="AT93" s="11" t="s">
        <v>907</v>
      </c>
    </row>
    <row r="94" spans="1:46" x14ac:dyDescent="0.15">
      <c r="A94" s="54">
        <v>40909</v>
      </c>
      <c r="B94" s="11" t="s">
        <v>908</v>
      </c>
      <c r="C94" s="11" t="s">
        <v>70</v>
      </c>
      <c r="D94" s="11" t="s">
        <v>909</v>
      </c>
      <c r="E94" s="11" t="s">
        <v>857</v>
      </c>
      <c r="F94" s="11" t="s">
        <v>910</v>
      </c>
      <c r="G94" s="11" t="s">
        <v>859</v>
      </c>
      <c r="H94" s="11" t="s">
        <v>911</v>
      </c>
      <c r="I94" s="11" t="s">
        <v>912</v>
      </c>
      <c r="J94" s="11" t="s">
        <v>911</v>
      </c>
      <c r="K94" s="11" t="s">
        <v>894</v>
      </c>
      <c r="L94" s="11"/>
      <c r="M94" s="11">
        <v>3098310</v>
      </c>
      <c r="N94" s="11"/>
      <c r="O94" s="11"/>
      <c r="P94" s="11"/>
      <c r="Q94" s="15" t="s">
        <v>913</v>
      </c>
      <c r="R94" s="16">
        <v>40957</v>
      </c>
      <c r="S94" s="11">
        <v>930</v>
      </c>
      <c r="T94" s="11"/>
      <c r="U94" s="11" t="s">
        <v>863</v>
      </c>
      <c r="V94" s="17">
        <v>3.5999999999999997E-2</v>
      </c>
      <c r="W94" s="11">
        <f t="shared" ref="W94:W96" si="28">(M94+N94)*V94</f>
        <v>111539.15999999999</v>
      </c>
      <c r="X94" s="11">
        <f>111539</f>
        <v>111539</v>
      </c>
      <c r="Y94" s="11">
        <f>111539</f>
        <v>111539</v>
      </c>
      <c r="Z94" s="11">
        <v>0</v>
      </c>
      <c r="AA94" s="11">
        <f>991274+167881+1014408+290000</f>
        <v>2463563</v>
      </c>
      <c r="AB94" s="11">
        <f>2463563</f>
        <v>2463563</v>
      </c>
      <c r="AC94" s="11">
        <v>2463563</v>
      </c>
      <c r="AD94" s="11">
        <v>2463563</v>
      </c>
      <c r="AE94" s="18">
        <f t="shared" si="26"/>
        <v>0.79513121669555342</v>
      </c>
      <c r="AF94" s="11">
        <f>3717.98+370000+200000+50000+100000+125000+145000+200000+600000+50000+99994+32000+250000</f>
        <v>2225711.98</v>
      </c>
      <c r="AG94" s="11">
        <f>2225711.98</f>
        <v>2225711.98</v>
      </c>
      <c r="AH94" s="11">
        <f>3717.98+353703+200000+150000+150000+125000+5708+145000+15000+234490+600000+50000+99994+32000+9860+250000</f>
        <v>2424472.98</v>
      </c>
      <c r="AI94" s="11"/>
      <c r="AJ94" s="11"/>
      <c r="AK94" s="11"/>
      <c r="AL94" s="11">
        <f>2424472.98</f>
        <v>2424472.98</v>
      </c>
      <c r="AM94" s="17">
        <v>3.4000000000000002E-2</v>
      </c>
      <c r="AN94" s="17">
        <f t="shared" si="27"/>
        <v>83761.142000000007</v>
      </c>
      <c r="AO94" s="11">
        <f>33703+5708+34490+9860</f>
        <v>83761</v>
      </c>
      <c r="AP94" s="11">
        <f>83761</f>
        <v>83761</v>
      </c>
      <c r="AQ94" s="11">
        <v>0</v>
      </c>
      <c r="AR94" s="11"/>
      <c r="AS94" s="11"/>
      <c r="AT94" s="11"/>
    </row>
    <row r="95" spans="1:46" x14ac:dyDescent="0.15">
      <c r="A95" s="54">
        <v>40907</v>
      </c>
      <c r="B95" s="11" t="s">
        <v>914</v>
      </c>
      <c r="C95" s="11" t="s">
        <v>67</v>
      </c>
      <c r="D95" s="11" t="s">
        <v>915</v>
      </c>
      <c r="E95" s="11" t="s">
        <v>857</v>
      </c>
      <c r="F95" s="11" t="s">
        <v>916</v>
      </c>
      <c r="G95" s="11" t="s">
        <v>859</v>
      </c>
      <c r="H95" s="11" t="s">
        <v>917</v>
      </c>
      <c r="I95" s="11" t="s">
        <v>918</v>
      </c>
      <c r="J95" s="11" t="s">
        <v>919</v>
      </c>
      <c r="K95" s="11" t="s">
        <v>894</v>
      </c>
      <c r="L95" s="11"/>
      <c r="M95" s="11">
        <f>3405024</f>
        <v>3405024</v>
      </c>
      <c r="N95" s="11"/>
      <c r="O95" s="11"/>
      <c r="P95" s="11"/>
      <c r="Q95" s="15" t="s">
        <v>920</v>
      </c>
      <c r="R95" s="16">
        <v>40974</v>
      </c>
      <c r="S95" s="11">
        <v>1175</v>
      </c>
      <c r="T95" s="11"/>
      <c r="U95" s="11" t="s">
        <v>863</v>
      </c>
      <c r="V95" s="17">
        <v>3.5999999999999997E-2</v>
      </c>
      <c r="W95" s="11">
        <f t="shared" si="28"/>
        <v>122580.86399999999</v>
      </c>
      <c r="X95" s="11">
        <f>122581</f>
        <v>122581</v>
      </c>
      <c r="Y95" s="11">
        <f>122581</f>
        <v>122581</v>
      </c>
      <c r="Z95" s="11">
        <v>0</v>
      </c>
      <c r="AA95" s="11">
        <f>1000000+500000+800000+611296+200000</f>
        <v>3111296</v>
      </c>
      <c r="AB95" s="11">
        <f>3111296</f>
        <v>3111296</v>
      </c>
      <c r="AC95" s="11">
        <v>3111296</v>
      </c>
      <c r="AD95" s="11">
        <v>3111296</v>
      </c>
      <c r="AE95" s="18">
        <f t="shared" si="26"/>
        <v>0.91373687821289951</v>
      </c>
      <c r="AF95" s="11">
        <f>600000+4698.93+419958+80000+471644.68+50000+117500+35544.86+50000+276000+244492.3+146249</f>
        <v>2496087.77</v>
      </c>
      <c r="AG95" s="11">
        <f>2496087.77</f>
        <v>2496087.77</v>
      </c>
      <c r="AH95" s="11">
        <f>34000+450000+450000+17000+4698.93+419958+80000+27200+471644.68+50000+117500+35544.86+50000+20784+376000+244492.3+6800+194238-0.45</f>
        <v>3049860.32</v>
      </c>
      <c r="AI95" s="11"/>
      <c r="AJ95" s="11"/>
      <c r="AK95" s="11"/>
      <c r="AL95" s="11">
        <f>3049860.32</f>
        <v>3049860.32</v>
      </c>
      <c r="AM95" s="17">
        <v>3.4000000000000002E-2</v>
      </c>
      <c r="AN95" s="17">
        <f t="shared" si="27"/>
        <v>105784.06400000001</v>
      </c>
      <c r="AO95" s="11">
        <f>34000+17000+27200+20784+6800</f>
        <v>105784</v>
      </c>
      <c r="AP95" s="11">
        <f>105784</f>
        <v>105784</v>
      </c>
      <c r="AQ95" s="11">
        <v>0</v>
      </c>
      <c r="AR95" s="11"/>
      <c r="AS95" s="11">
        <v>36</v>
      </c>
      <c r="AT95" s="11" t="s">
        <v>921</v>
      </c>
    </row>
    <row r="96" spans="1:46" x14ac:dyDescent="0.15">
      <c r="A96" s="54">
        <v>40909</v>
      </c>
      <c r="B96" s="11" t="s">
        <v>922</v>
      </c>
      <c r="C96" s="11" t="s">
        <v>74</v>
      </c>
      <c r="D96" s="11" t="s">
        <v>923</v>
      </c>
      <c r="E96" s="11" t="s">
        <v>857</v>
      </c>
      <c r="F96" s="11" t="s">
        <v>924</v>
      </c>
      <c r="G96" s="11" t="s">
        <v>859</v>
      </c>
      <c r="H96" s="11" t="s">
        <v>925</v>
      </c>
      <c r="I96" s="25" t="s">
        <v>926</v>
      </c>
      <c r="J96" s="25" t="s">
        <v>927</v>
      </c>
      <c r="K96" s="25" t="s">
        <v>894</v>
      </c>
      <c r="L96" s="11"/>
      <c r="M96" s="11">
        <v>9708632.2599999998</v>
      </c>
      <c r="N96" s="11">
        <f>1657597.98+1188742.02</f>
        <v>2846340</v>
      </c>
      <c r="O96" s="11"/>
      <c r="P96" s="11"/>
      <c r="Q96" s="15" t="s">
        <v>928</v>
      </c>
      <c r="R96" s="16">
        <v>40975</v>
      </c>
      <c r="S96" s="11">
        <v>2913</v>
      </c>
      <c r="T96" s="11"/>
      <c r="U96" s="11" t="s">
        <v>863</v>
      </c>
      <c r="V96" s="17">
        <v>0.03</v>
      </c>
      <c r="W96" s="11">
        <f t="shared" si="28"/>
        <v>376649.1678</v>
      </c>
      <c r="X96" s="11">
        <f>190000+101259+49728+21793</f>
        <v>362780</v>
      </c>
      <c r="Y96" s="11">
        <f>362780</f>
        <v>362780</v>
      </c>
      <c r="Z96" s="11">
        <f t="shared" ref="Z96" si="29">W96-X96</f>
        <v>13869.167799999996</v>
      </c>
      <c r="AA96" s="11">
        <f>2424158.07+1200000+1227158.07+1941726.45+970863.22+414399.5+828798.99+1385557+1700000+3000+459310.96</f>
        <v>12554972.26</v>
      </c>
      <c r="AB96" s="11">
        <f>12554972.26</f>
        <v>12554972.26</v>
      </c>
      <c r="AC96" s="11">
        <v>11825835.490000002</v>
      </c>
      <c r="AD96" s="11">
        <v>11825835.49</v>
      </c>
      <c r="AE96" s="18">
        <f t="shared" si="26"/>
        <v>0.9419244618864655</v>
      </c>
      <c r="AF96" s="11">
        <f>299700+567859+200000+79800+30164+10748+50000+100000+41018+136049+586651.1+60000+251229.63+100000+418465.01+91354.89+251460.92+465568.9+1263196.8+100000+8820+250000+200000+80000+129506+199900+148703.7+198000+199900+200000+91574.7+462659+245224.84+216101.48+11775+300000+735165.2+1517.11+227818+536978+300000+297330+6330+199800+299994</f>
        <v>10650362.279999999</v>
      </c>
      <c r="AG96" s="11">
        <f>10650362.28</f>
        <v>10650362.279999999</v>
      </c>
      <c r="AH96" s="11">
        <f>82421+299700+11650.36+567859+200000+79800+130164+10748+50000+100000+41018+240800+136049+628374.1+60000+317248.63+100000+418465.01+91354.89+251460.92+465568.9+1263196.8+100000+8820+250000+200000+80000+162515+14090+199900+148703.7+198000+199900+28179+200000+91574.7+462659+245224.84+216101.48+47109+357800+735165.2+1517.11+227818+102+536978+300000+297330+199800+15617+299994</f>
        <v>11370776.639999999</v>
      </c>
      <c r="AI96" s="11"/>
      <c r="AJ96" s="11">
        <f>11500+6330</f>
        <v>17830</v>
      </c>
      <c r="AK96" s="11">
        <f>275</f>
        <v>275</v>
      </c>
      <c r="AL96" s="11">
        <f>11370776.64+17830+275</f>
        <v>11388881.640000001</v>
      </c>
      <c r="AM96" s="17">
        <v>3.4000000000000002E-2</v>
      </c>
      <c r="AN96" s="17">
        <f t="shared" si="27"/>
        <v>426869.05684000003</v>
      </c>
      <c r="AO96" s="11">
        <f>82421+40800+41723+66019+33009+14090+28179+47109+57800+102+15617</f>
        <v>426869</v>
      </c>
      <c r="AP96" s="11">
        <f>426869</f>
        <v>426869</v>
      </c>
      <c r="AQ96" s="11">
        <v>0</v>
      </c>
      <c r="AR96" s="11"/>
      <c r="AS96" s="11">
        <v>80</v>
      </c>
      <c r="AT96" s="11" t="s">
        <v>929</v>
      </c>
    </row>
    <row r="97" spans="1:46" x14ac:dyDescent="0.15">
      <c r="A97" s="54">
        <v>40940</v>
      </c>
      <c r="B97" s="11" t="s">
        <v>930</v>
      </c>
      <c r="C97" s="11" t="s">
        <v>931</v>
      </c>
      <c r="D97" s="11" t="s">
        <v>932</v>
      </c>
      <c r="E97" s="11" t="s">
        <v>857</v>
      </c>
      <c r="F97" s="11" t="s">
        <v>933</v>
      </c>
      <c r="G97" s="11" t="s">
        <v>859</v>
      </c>
      <c r="H97" s="11" t="s">
        <v>934</v>
      </c>
      <c r="I97" s="11" t="s">
        <v>935</v>
      </c>
      <c r="J97" s="11" t="s">
        <v>936</v>
      </c>
      <c r="K97" s="11" t="s">
        <v>862</v>
      </c>
      <c r="L97" s="11"/>
      <c r="M97" s="11">
        <v>14568703.880000001</v>
      </c>
      <c r="N97" s="11">
        <f>311411+339858</f>
        <v>651269</v>
      </c>
      <c r="O97" s="11"/>
      <c r="P97" s="11"/>
      <c r="Q97" s="15" t="s">
        <v>937</v>
      </c>
      <c r="R97" s="16">
        <v>41061</v>
      </c>
      <c r="S97" s="11">
        <v>4371</v>
      </c>
      <c r="T97" s="11"/>
      <c r="U97" s="11" t="s">
        <v>938</v>
      </c>
      <c r="V97" s="17">
        <v>0.03</v>
      </c>
      <c r="W97" s="11">
        <f>(M97+N97)*V97</f>
        <v>456599.18640000001</v>
      </c>
      <c r="X97" s="11">
        <f>437061</f>
        <v>437061</v>
      </c>
      <c r="Y97" s="11">
        <f>437061</f>
        <v>437061</v>
      </c>
      <c r="Z97" s="11">
        <f>W97-X97</f>
        <v>19538.186400000006</v>
      </c>
      <c r="AA97" s="11">
        <f>450000+200000+600000+4000000+650000+800000+350000+100000+250000+1000000+300000+300000+500000+500000+1775108+200000</f>
        <v>11975108</v>
      </c>
      <c r="AB97" s="11">
        <f>11975108</f>
        <v>11975108</v>
      </c>
      <c r="AC97" s="11">
        <v>11054072</v>
      </c>
      <c r="AD97" s="11">
        <v>11054072</v>
      </c>
      <c r="AE97" s="18">
        <f t="shared" si="26"/>
        <v>0.72628723369972259</v>
      </c>
      <c r="AF97" s="11">
        <f>400000+120000+200000+136000+3000000+500000+300000+100000+630000+750000+35000+350000+300000+1000000+100000+145000+35415.75+60000+400000+90000+413200+79200+904010</f>
        <v>10047825.75</v>
      </c>
      <c r="AG97" s="11">
        <f>9143815.75+904010</f>
        <v>10047825.75</v>
      </c>
      <c r="AH97" s="11">
        <f>15300+400000+6800+120000+20400+540000+136000+3000000+500000+300000+100000+22100+630000+27200+750000+46900+350000+3400+8500+300000+34000+1000000+110200+145000+35415.75+60000+10200+300000+17000+400000+107000+413200+79200+967154</f>
        <v>10954969.75</v>
      </c>
      <c r="AI97" s="11"/>
      <c r="AJ97" s="11">
        <v>4010</v>
      </c>
      <c r="AK97" s="11"/>
      <c r="AL97" s="11">
        <f>9987815.75+971164</f>
        <v>10958979.75</v>
      </c>
      <c r="AM97" s="17">
        <v>3.4000000000000002E-2</v>
      </c>
      <c r="AN97" s="17">
        <f t="shared" si="27"/>
        <v>407153.67200000002</v>
      </c>
      <c r="AO97" s="11">
        <f>15300+6800+20400+136000+22100+27200+11900+3400+8500+34000+10200+10200+17000+17000+67154</f>
        <v>407154</v>
      </c>
      <c r="AP97" s="11">
        <f>340000+67154</f>
        <v>407154</v>
      </c>
      <c r="AQ97" s="11">
        <v>0</v>
      </c>
      <c r="AR97" s="11"/>
      <c r="AS97" s="11">
        <v>220</v>
      </c>
      <c r="AT97" s="11" t="s">
        <v>939</v>
      </c>
    </row>
    <row r="98" spans="1:46" x14ac:dyDescent="0.15">
      <c r="A98" s="54">
        <v>40940</v>
      </c>
      <c r="B98" s="11" t="s">
        <v>940</v>
      </c>
      <c r="C98" s="11" t="s">
        <v>85</v>
      </c>
      <c r="D98" s="11" t="s">
        <v>941</v>
      </c>
      <c r="E98" s="11" t="s">
        <v>900</v>
      </c>
      <c r="F98" s="11" t="s">
        <v>942</v>
      </c>
      <c r="G98" s="11" t="s">
        <v>943</v>
      </c>
      <c r="H98" s="11" t="s">
        <v>944</v>
      </c>
      <c r="I98" s="11" t="s">
        <v>945</v>
      </c>
      <c r="J98" s="11" t="s">
        <v>946</v>
      </c>
      <c r="K98" s="11" t="s">
        <v>894</v>
      </c>
      <c r="L98" s="11"/>
      <c r="M98" s="11">
        <v>20000000</v>
      </c>
      <c r="N98" s="11">
        <v>5102771</v>
      </c>
      <c r="O98" s="11"/>
      <c r="P98" s="11">
        <v>25102771</v>
      </c>
      <c r="Q98" s="15" t="s">
        <v>947</v>
      </c>
      <c r="R98" s="16">
        <v>40981</v>
      </c>
      <c r="S98" s="11">
        <v>6000</v>
      </c>
      <c r="T98" s="11"/>
      <c r="U98" s="11" t="s">
        <v>863</v>
      </c>
      <c r="V98" s="17">
        <v>0.03</v>
      </c>
      <c r="W98" s="11">
        <f>P98*V98</f>
        <v>753083.13</v>
      </c>
      <c r="X98" s="11">
        <f>300000+300000+153083</f>
        <v>753083</v>
      </c>
      <c r="Y98" s="11">
        <f>753083</f>
        <v>753083</v>
      </c>
      <c r="Z98" s="11">
        <v>0</v>
      </c>
      <c r="AA98" s="11">
        <f>3000000+4000000+5000000+2000000+9000000+847632.45</f>
        <v>23847632.449999999</v>
      </c>
      <c r="AB98" s="11">
        <f>23847632.45</f>
        <v>23847632.449999999</v>
      </c>
      <c r="AC98" s="11">
        <v>23847632.449999999</v>
      </c>
      <c r="AD98" s="11">
        <v>23847632.449999999</v>
      </c>
      <c r="AE98" s="18">
        <f t="shared" si="26"/>
        <v>0.95</v>
      </c>
      <c r="AF98" s="11">
        <f>998508.51+1340269.41+100000+1621348.82+2825848+372325.86+200000+1233950+200000+600000+400000+1091065+242634+102567.74+1530500+110000+553675+174796.83+5973955+1075908+95508+1499083+699782+54000</f>
        <v>23095725.170000002</v>
      </c>
      <c r="AG98" s="11">
        <f>23095725.17</f>
        <v>23095725.170000002</v>
      </c>
      <c r="AH98" s="11">
        <f>1200508.51+1340269.41+100000+136000+1971348.82-180000+2825848+372325.86+200000+1233950+200000+600000+146370+1091065+196264+102567.74+1598500+110000+553675+174796.83+6308775+1075908+95508+1499083+699782+141087+54000</f>
        <v>23847632.170000002</v>
      </c>
      <c r="AI98" s="11"/>
      <c r="AJ98" s="11"/>
      <c r="AK98" s="11"/>
      <c r="AL98" s="11">
        <f>23847632.17</f>
        <v>23847632.170000002</v>
      </c>
      <c r="AM98" s="17">
        <v>3.4000000000000002E-2</v>
      </c>
      <c r="AN98" s="17">
        <f t="shared" si="27"/>
        <v>810819.50329999998</v>
      </c>
      <c r="AO98" s="11">
        <f>102000+136000+170000+68000+306000+28820</f>
        <v>810820</v>
      </c>
      <c r="AP98" s="11">
        <f>810820</f>
        <v>810820</v>
      </c>
      <c r="AQ98" s="11">
        <v>0</v>
      </c>
      <c r="AR98" s="11"/>
      <c r="AS98" s="11">
        <v>50</v>
      </c>
      <c r="AT98" s="11" t="s">
        <v>948</v>
      </c>
    </row>
    <row r="99" spans="1:46" x14ac:dyDescent="0.15">
      <c r="A99" s="54">
        <v>40940</v>
      </c>
      <c r="B99" s="11" t="s">
        <v>949</v>
      </c>
      <c r="C99" s="11" t="s">
        <v>87</v>
      </c>
      <c r="D99" s="11" t="s">
        <v>950</v>
      </c>
      <c r="E99" s="11" t="s">
        <v>900</v>
      </c>
      <c r="F99" s="11" t="s">
        <v>951</v>
      </c>
      <c r="G99" s="11" t="s">
        <v>943</v>
      </c>
      <c r="H99" s="11" t="s">
        <v>952</v>
      </c>
      <c r="I99" s="11" t="s">
        <v>953</v>
      </c>
      <c r="J99" s="11" t="s">
        <v>954</v>
      </c>
      <c r="K99" s="11" t="s">
        <v>862</v>
      </c>
      <c r="L99" s="11"/>
      <c r="M99" s="11">
        <v>33000000</v>
      </c>
      <c r="N99" s="11"/>
      <c r="O99" s="11"/>
      <c r="P99" s="11"/>
      <c r="Q99" s="15" t="s">
        <v>955</v>
      </c>
      <c r="R99" s="16">
        <v>41095</v>
      </c>
      <c r="S99" s="11">
        <v>10752</v>
      </c>
      <c r="T99" s="11"/>
      <c r="U99" s="11" t="s">
        <v>906</v>
      </c>
      <c r="V99" s="17">
        <v>3.5000000000000003E-2</v>
      </c>
      <c r="W99" s="11">
        <f t="shared" ref="W99:W103" si="30">(M99+N99)*V99</f>
        <v>1155000</v>
      </c>
      <c r="X99" s="11">
        <f>400000+400000+355000</f>
        <v>1155000</v>
      </c>
      <c r="Y99" s="11">
        <f>1155000</f>
        <v>1155000</v>
      </c>
      <c r="Z99" s="11">
        <f t="shared" ref="Z99:Z102" si="31">W99-X99</f>
        <v>0</v>
      </c>
      <c r="AA99" s="11">
        <f>3000000+3000000+10000000+1520000+520000+680000+2000000+2000000</f>
        <v>22720000</v>
      </c>
      <c r="AB99" s="11">
        <f>22720000</f>
        <v>22720000</v>
      </c>
      <c r="AC99" s="11">
        <v>21720000</v>
      </c>
      <c r="AD99" s="11">
        <v>21720000</v>
      </c>
      <c r="AE99" s="18">
        <f t="shared" si="26"/>
        <v>0.6581818181818182</v>
      </c>
      <c r="AF99" s="11">
        <f>1679990+1001295.36+130000+978000+1540174.58+300000+1052873.64+2261880+500000+600000+250000+600000+2207400+900000+300000+250000+2199508+300000+1583785+999997.89</f>
        <v>19634904.469999999</v>
      </c>
      <c r="AG99" s="11">
        <f>19634904.47</f>
        <v>19634904.469999999</v>
      </c>
      <c r="AH99" s="11">
        <f>1781990+1001295.36+130000+1080000+1540174.58+300000+1552873.64+2601880+1000000+500000+600000+250000+100000+2207400+900000+300000+51680+267680+23120+2199508+300000+1947192+68000+999997.89</f>
        <v>21702791.469999999</v>
      </c>
      <c r="AI99" s="11"/>
      <c r="AJ99" s="11"/>
      <c r="AK99" s="11"/>
      <c r="AL99" s="11">
        <f>21702791.47</f>
        <v>21702791.469999999</v>
      </c>
      <c r="AM99" s="17">
        <v>3.4000000000000002E-2</v>
      </c>
      <c r="AN99" s="17">
        <f t="shared" si="27"/>
        <v>772480</v>
      </c>
      <c r="AO99" s="11">
        <f>102000+102000+340000+51680+17680+23120+68000+68000</f>
        <v>772480</v>
      </c>
      <c r="AP99" s="11">
        <f>772480</f>
        <v>772480</v>
      </c>
      <c r="AQ99" s="11">
        <f t="shared" ref="AQ99:AQ102" si="32">AN99-AP99</f>
        <v>0</v>
      </c>
      <c r="AR99" s="11"/>
      <c r="AS99" s="11"/>
      <c r="AT99" s="11"/>
    </row>
    <row r="100" spans="1:46" x14ac:dyDescent="0.15">
      <c r="A100" s="54">
        <v>40940</v>
      </c>
      <c r="B100" s="11" t="s">
        <v>956</v>
      </c>
      <c r="C100" s="11" t="s">
        <v>81</v>
      </c>
      <c r="D100" s="11" t="s">
        <v>957</v>
      </c>
      <c r="E100" s="11" t="s">
        <v>900</v>
      </c>
      <c r="F100" s="11" t="s">
        <v>958</v>
      </c>
      <c r="G100" s="11" t="s">
        <v>943</v>
      </c>
      <c r="H100" s="11" t="s">
        <v>952</v>
      </c>
      <c r="I100" s="11" t="s">
        <v>953</v>
      </c>
      <c r="J100" s="11" t="s">
        <v>952</v>
      </c>
      <c r="K100" s="11" t="s">
        <v>894</v>
      </c>
      <c r="L100" s="11"/>
      <c r="M100" s="11">
        <v>20000000</v>
      </c>
      <c r="N100" s="11"/>
      <c r="O100" s="11"/>
      <c r="P100" s="11"/>
      <c r="Q100" s="15" t="s">
        <v>959</v>
      </c>
      <c r="R100" s="16">
        <v>41081</v>
      </c>
      <c r="S100" s="11">
        <v>6465</v>
      </c>
      <c r="T100" s="11"/>
      <c r="U100" s="11" t="s">
        <v>906</v>
      </c>
      <c r="V100" s="17">
        <v>3.5000000000000003E-2</v>
      </c>
      <c r="W100" s="11">
        <f t="shared" si="30"/>
        <v>700000.00000000012</v>
      </c>
      <c r="X100" s="11">
        <f>110000+100000+200000+290000</f>
        <v>700000</v>
      </c>
      <c r="Y100" s="11">
        <f>700000</f>
        <v>700000</v>
      </c>
      <c r="Z100" s="11">
        <f t="shared" si="31"/>
        <v>0</v>
      </c>
      <c r="AA100" s="11">
        <f>2000000+2000000+6000000+4000000+2000000+1000000+500000+1000000</f>
        <v>18500000</v>
      </c>
      <c r="AB100" s="11">
        <f>18500000</f>
        <v>18500000</v>
      </c>
      <c r="AC100" s="11">
        <v>17500000</v>
      </c>
      <c r="AD100" s="11">
        <v>17500000</v>
      </c>
      <c r="AE100" s="18">
        <f t="shared" si="26"/>
        <v>0.875</v>
      </c>
      <c r="AF100" s="11">
        <f>1513509.72+300000+100000+1840000+5689588.88+500000+500000+1052873.64+1000000+616972.46+565225.4+500000+999620+400000+100000+100000+2200+203342.4+550000</f>
        <v>16533332.5</v>
      </c>
      <c r="AG100" s="11">
        <f>16533332.5</f>
        <v>16533332.5</v>
      </c>
      <c r="AH100" s="11">
        <f>1610203.63+300000+68000+100000+1840000+5893588.88+136000+1000000+1052873.64+1000000+616972.46+68000+681085.4+500000+999620+34000+17000+400000+100000+34000+50000+100000+203342.4-50000+550000</f>
        <v>17304686.41</v>
      </c>
      <c r="AI100" s="11"/>
      <c r="AJ100" s="11"/>
      <c r="AK100" s="11">
        <v>2200</v>
      </c>
      <c r="AL100" s="11">
        <f>17304686.41+2200</f>
        <v>17306886.41</v>
      </c>
      <c r="AM100" s="17">
        <v>3.4000000000000002E-2</v>
      </c>
      <c r="AN100" s="17">
        <f t="shared" si="27"/>
        <v>629000</v>
      </c>
      <c r="AO100" s="11">
        <f>68000+68000+204000+136000+68000+34000+17000+34000</f>
        <v>629000</v>
      </c>
      <c r="AP100" s="11">
        <f>629000</f>
        <v>629000</v>
      </c>
      <c r="AQ100" s="11">
        <f t="shared" si="32"/>
        <v>0</v>
      </c>
      <c r="AR100" s="11"/>
      <c r="AS100" s="11"/>
      <c r="AT100" s="11"/>
    </row>
    <row r="101" spans="1:46" x14ac:dyDescent="0.15">
      <c r="A101" s="54">
        <v>40969</v>
      </c>
      <c r="B101" s="11" t="s">
        <v>960</v>
      </c>
      <c r="C101" s="11" t="s">
        <v>89</v>
      </c>
      <c r="D101" s="11" t="s">
        <v>961</v>
      </c>
      <c r="E101" s="11" t="s">
        <v>900</v>
      </c>
      <c r="F101" s="11" t="s">
        <v>962</v>
      </c>
      <c r="G101" s="11" t="s">
        <v>943</v>
      </c>
      <c r="H101" s="11" t="s">
        <v>963</v>
      </c>
      <c r="I101" s="11" t="s">
        <v>964</v>
      </c>
      <c r="J101" s="11" t="s">
        <v>965</v>
      </c>
      <c r="K101" s="11" t="s">
        <v>894</v>
      </c>
      <c r="L101" s="11"/>
      <c r="M101" s="11">
        <v>15000000</v>
      </c>
      <c r="N101" s="11">
        <f>60000</f>
        <v>60000</v>
      </c>
      <c r="O101" s="11"/>
      <c r="P101" s="11"/>
      <c r="Q101" s="15" t="s">
        <v>966</v>
      </c>
      <c r="R101" s="16">
        <v>40989</v>
      </c>
      <c r="S101" s="11">
        <v>4500</v>
      </c>
      <c r="T101" s="11"/>
      <c r="U101" s="11" t="s">
        <v>938</v>
      </c>
      <c r="V101" s="17">
        <v>0.03</v>
      </c>
      <c r="W101" s="11">
        <f t="shared" si="30"/>
        <v>451800</v>
      </c>
      <c r="X101" s="11">
        <f>315000+135000</f>
        <v>450000</v>
      </c>
      <c r="Y101" s="11">
        <f>450000</f>
        <v>450000</v>
      </c>
      <c r="Z101" s="11">
        <f t="shared" si="31"/>
        <v>1800</v>
      </c>
      <c r="AA101" s="11">
        <f>3000000+3000000+4000000+500000+1400000+500000</f>
        <v>12400000</v>
      </c>
      <c r="AB101" s="11">
        <f>12400000</f>
        <v>12400000</v>
      </c>
      <c r="AC101" s="11">
        <v>12400000</v>
      </c>
      <c r="AD101" s="11">
        <v>12400000</v>
      </c>
      <c r="AE101" s="18">
        <f t="shared" si="26"/>
        <v>0.82337317397078358</v>
      </c>
      <c r="AF101" s="11">
        <f>1355000+452661.19+300000+100000+2340+145000+9375+294565.5+200000+450000+200000+142020+795868+172117+162900+900000+1835778.2+450000+446864.58+300000+200000+300000+150000+260000+30000+13500+400000+200000+1347334.09+499000</f>
        <v>12114323.559999999</v>
      </c>
      <c r="AG101" s="11">
        <f>12114323.56</f>
        <v>12114323.560000001</v>
      </c>
      <c r="AH101" s="11">
        <f>1469000+440661.19+300000+100000+2340+145000+9375+294565.5+200000+552000+200000+142020+795868+172117+162900+900000+1835778.2+450000+446864.58+250000+250000+300000+150000+260000+30000+13500+17000+400000+200000+1394934.09+516000</f>
        <v>12399923.559999999</v>
      </c>
      <c r="AI101" s="11"/>
      <c r="AJ101" s="11"/>
      <c r="AK101" s="11"/>
      <c r="AL101" s="11">
        <f>12399923.56</f>
        <v>12399923.560000001</v>
      </c>
      <c r="AM101" s="17">
        <v>3.4000000000000002E-2</v>
      </c>
      <c r="AN101" s="17">
        <f t="shared" si="27"/>
        <v>421600.00000000006</v>
      </c>
      <c r="AO101" s="11">
        <f>102000+102000+136000+17000+17000+47600</f>
        <v>421600</v>
      </c>
      <c r="AP101" s="11">
        <f>421600</f>
        <v>421600</v>
      </c>
      <c r="AQ101" s="11">
        <f t="shared" si="32"/>
        <v>0</v>
      </c>
      <c r="AR101" s="11"/>
      <c r="AS101" s="11">
        <v>25</v>
      </c>
      <c r="AT101" s="11" t="s">
        <v>907</v>
      </c>
    </row>
    <row r="102" spans="1:46" x14ac:dyDescent="0.15">
      <c r="A102" s="54">
        <v>41000</v>
      </c>
      <c r="B102" s="11" t="s">
        <v>967</v>
      </c>
      <c r="C102" s="11" t="s">
        <v>104</v>
      </c>
      <c r="D102" s="11" t="s">
        <v>968</v>
      </c>
      <c r="E102" s="11" t="s">
        <v>900</v>
      </c>
      <c r="F102" s="11"/>
      <c r="G102" s="11" t="s">
        <v>943</v>
      </c>
      <c r="H102" s="11" t="s">
        <v>969</v>
      </c>
      <c r="I102" s="11" t="s">
        <v>970</v>
      </c>
      <c r="J102" s="11" t="s">
        <v>969</v>
      </c>
      <c r="K102" s="11" t="s">
        <v>894</v>
      </c>
      <c r="L102" s="11"/>
      <c r="M102" s="11">
        <v>1315898</v>
      </c>
      <c r="N102" s="11"/>
      <c r="O102" s="11"/>
      <c r="P102" s="11"/>
      <c r="Q102" s="15"/>
      <c r="R102" s="16"/>
      <c r="S102" s="11"/>
      <c r="T102" s="11"/>
      <c r="U102" s="11" t="s">
        <v>906</v>
      </c>
      <c r="V102" s="17">
        <v>3.5999999999999997E-2</v>
      </c>
      <c r="W102" s="11">
        <f t="shared" si="30"/>
        <v>47372.327999999994</v>
      </c>
      <c r="X102" s="11"/>
      <c r="Y102" s="11"/>
      <c r="Z102" s="11">
        <f t="shared" si="31"/>
        <v>47372.327999999994</v>
      </c>
      <c r="AA102" s="11"/>
      <c r="AB102" s="11"/>
      <c r="AC102" s="11">
        <v>0</v>
      </c>
      <c r="AD102" s="11">
        <v>0</v>
      </c>
      <c r="AE102" s="18"/>
      <c r="AF102" s="11"/>
      <c r="AG102" s="11"/>
      <c r="AH102" s="11"/>
      <c r="AI102" s="11"/>
      <c r="AJ102" s="11"/>
      <c r="AK102" s="11"/>
      <c r="AL102" s="11"/>
      <c r="AM102" s="17">
        <v>3.4000000000000002E-2</v>
      </c>
      <c r="AN102" s="17">
        <f t="shared" si="27"/>
        <v>0</v>
      </c>
      <c r="AO102" s="11"/>
      <c r="AP102" s="11"/>
      <c r="AQ102" s="11">
        <f t="shared" si="32"/>
        <v>0</v>
      </c>
      <c r="AR102" s="11"/>
      <c r="AS102" s="11">
        <v>6</v>
      </c>
      <c r="AT102" s="11" t="s">
        <v>971</v>
      </c>
    </row>
    <row r="103" spans="1:46" x14ac:dyDescent="0.15">
      <c r="A103" s="54">
        <v>40988</v>
      </c>
      <c r="B103" s="11" t="s">
        <v>972</v>
      </c>
      <c r="C103" s="11" t="s">
        <v>93</v>
      </c>
      <c r="D103" s="11" t="s">
        <v>973</v>
      </c>
      <c r="E103" s="11" t="s">
        <v>900</v>
      </c>
      <c r="F103" s="11" t="s">
        <v>974</v>
      </c>
      <c r="G103" s="11" t="s">
        <v>943</v>
      </c>
      <c r="H103" s="11" t="s">
        <v>975</v>
      </c>
      <c r="I103" s="11" t="s">
        <v>976</v>
      </c>
      <c r="J103" s="11" t="s">
        <v>977</v>
      </c>
      <c r="K103" s="11" t="s">
        <v>526</v>
      </c>
      <c r="L103" s="11"/>
      <c r="M103" s="11">
        <v>1523208.31</v>
      </c>
      <c r="N103" s="11"/>
      <c r="O103" s="11"/>
      <c r="P103" s="11"/>
      <c r="Q103" s="15" t="s">
        <v>978</v>
      </c>
      <c r="R103" s="16">
        <v>41748</v>
      </c>
      <c r="S103" s="11">
        <v>538</v>
      </c>
      <c r="T103" s="11"/>
      <c r="U103" s="11" t="s">
        <v>906</v>
      </c>
      <c r="V103" s="17">
        <v>3.5999999999999997E-2</v>
      </c>
      <c r="W103" s="11">
        <f t="shared" si="30"/>
        <v>54835.499159999999</v>
      </c>
      <c r="X103" s="11">
        <f>54835.5</f>
        <v>54835.5</v>
      </c>
      <c r="Y103" s="11">
        <f>54835.5</f>
        <v>54835.5</v>
      </c>
      <c r="Z103" s="11">
        <v>0</v>
      </c>
      <c r="AA103" s="11">
        <f>358401.96+300000+500000+136325.1</f>
        <v>1294727.06</v>
      </c>
      <c r="AB103" s="11">
        <f>1294727.06</f>
        <v>1294727.06</v>
      </c>
      <c r="AC103" s="11">
        <v>1294727.06</v>
      </c>
      <c r="AD103" s="11">
        <v>1294727.06</v>
      </c>
      <c r="AE103" s="18">
        <f t="shared" ref="AE103:AE140" si="33">AC103/(M103+N103)</f>
        <v>0.84999999770221846</v>
      </c>
      <c r="AF103" s="11">
        <f>89910+39984+105000+42000+161181.05+137145.99+20155+5376.03+20000+24300+100000+161500+50000+2600+90500</f>
        <v>1049652.07</v>
      </c>
      <c r="AG103" s="11">
        <f>1049652.07</f>
        <v>1049652.07</v>
      </c>
      <c r="AH103" s="11">
        <f>104246.41+39984+105000+42000+171381.05+137145.99+20155+5376.03+20000+124300+100000+178500+50000+2600+98800+95135</f>
        <v>1294623.48</v>
      </c>
      <c r="AI103" s="11"/>
      <c r="AJ103" s="11"/>
      <c r="AK103" s="11"/>
      <c r="AL103" s="11">
        <f>1294623.48</f>
        <v>1294623.48</v>
      </c>
      <c r="AM103" s="17">
        <v>3.4000000000000002E-2</v>
      </c>
      <c r="AN103" s="17">
        <f t="shared" si="27"/>
        <v>44020.720040000007</v>
      </c>
      <c r="AO103" s="11">
        <f>12186+10200+17000+4635</f>
        <v>44021</v>
      </c>
      <c r="AP103" s="11">
        <f>44021</f>
        <v>44021</v>
      </c>
      <c r="AQ103" s="11">
        <v>0</v>
      </c>
      <c r="AR103" s="11"/>
      <c r="AS103" s="11">
        <v>20</v>
      </c>
      <c r="AT103" s="11" t="s">
        <v>948</v>
      </c>
    </row>
    <row r="104" spans="1:46" x14ac:dyDescent="0.15">
      <c r="A104" s="54">
        <v>40988</v>
      </c>
      <c r="B104" s="11" t="s">
        <v>979</v>
      </c>
      <c r="C104" s="11" t="s">
        <v>980</v>
      </c>
      <c r="D104" s="11" t="s">
        <v>981</v>
      </c>
      <c r="E104" s="11" t="s">
        <v>900</v>
      </c>
      <c r="F104" s="11" t="s">
        <v>982</v>
      </c>
      <c r="G104" s="11" t="s">
        <v>983</v>
      </c>
      <c r="H104" s="11" t="s">
        <v>969</v>
      </c>
      <c r="I104" s="11" t="s">
        <v>970</v>
      </c>
      <c r="J104" s="11" t="s">
        <v>969</v>
      </c>
      <c r="K104" s="11" t="s">
        <v>894</v>
      </c>
      <c r="L104" s="11"/>
      <c r="M104" s="11">
        <v>3701841.55</v>
      </c>
      <c r="N104" s="11">
        <f>673798.57+367818.86+862170.99+396606.7+2270162.53</f>
        <v>4570557.6500000004</v>
      </c>
      <c r="O104" s="11"/>
      <c r="P104" s="11"/>
      <c r="Q104" s="15" t="s">
        <v>984</v>
      </c>
      <c r="R104" s="16">
        <v>41026</v>
      </c>
      <c r="S104" s="11">
        <v>1049</v>
      </c>
      <c r="T104" s="11"/>
      <c r="U104" s="11" t="s">
        <v>985</v>
      </c>
      <c r="V104" s="17">
        <v>0.03</v>
      </c>
      <c r="W104" s="11">
        <f>(M104+N104)*V104</f>
        <v>248171.976</v>
      </c>
      <c r="X104" s="11">
        <f>19778+100000+60289+38105+30000</f>
        <v>248172</v>
      </c>
      <c r="Y104" s="11">
        <f>248172</f>
        <v>248172</v>
      </c>
      <c r="Z104" s="11">
        <v>0</v>
      </c>
      <c r="AA104" s="11">
        <f>128736.6+220691.31+301760+1295644.55+301762+373430.79+2059943.23+1362097.5+200000+150000+336899.28+331048.78+29775.08+160990.72+30700.46+33331.43</f>
        <v>7316811.7300000004</v>
      </c>
      <c r="AB104" s="11">
        <f>7316811.73</f>
        <v>7316811.7300000004</v>
      </c>
      <c r="AC104" s="11">
        <v>7294401.4500000002</v>
      </c>
      <c r="AD104" s="11">
        <v>7294401.4499999993</v>
      </c>
      <c r="AE104" s="18">
        <f t="shared" si="33"/>
        <v>0.88177580332438499</v>
      </c>
      <c r="AF104" s="11">
        <f>63729.19+29000+132091.41+99800+11240.8+155417.64+21419.52+264321+390323.02+199730.36+40000+15000+151962.19+80000+130570.34+200000+200000+209975+22789+34000+354741+548000+225058+9356+83580+182572+47000+333255.78+79000+1089794.61+154138+109569.6+10000+6000+10000+11000+8500+10000+16000+150000+49978+101600+22000+25000+36660+30000+318296.4+206225.76+43869.34+50000+60000</f>
        <v>6832563.96</v>
      </c>
      <c r="AG104" s="11">
        <f>6832563.96</f>
        <v>6832563.96</v>
      </c>
      <c r="AH104" s="11">
        <f>68106.19+7504+29000+132091.41+99800+11240.8+209729.64+21419.52+264321+390323.02+100000+40000+39912.56+251962.19+90260+130570.34+235336+12697+200000+209975+22789+34000+10614.3+424779+548000+225058+9356+83580+228883+47000+333255.78+79000+1089794.61+154138+3000+109569.6+10000+6000+10000+11000+8500+10000+6800+16000+5100+150000+49978+11455+101600+22000+25000+36660+30000+11256+318296.4+6486+206225.76+43869.34+50000+60000+2177</f>
        <v>7155469.46</v>
      </c>
      <c r="AI104" s="11"/>
      <c r="AJ104" s="11"/>
      <c r="AK104" s="11"/>
      <c r="AL104" s="11">
        <f>7153292.46+2177</f>
        <v>7155469.46</v>
      </c>
      <c r="AM104" s="17">
        <v>3.4000000000000002E-2</v>
      </c>
      <c r="AN104" s="17">
        <f t="shared" si="27"/>
        <v>248771.59882000004</v>
      </c>
      <c r="AO104" s="11">
        <f>4377+7504+10260+44052+10260+12697+70038+46311+6800+5100+11455+11256+1012+5474+2177</f>
        <v>248773</v>
      </c>
      <c r="AP104" s="11">
        <f>246596+2177</f>
        <v>248773</v>
      </c>
      <c r="AQ104" s="11">
        <v>0</v>
      </c>
      <c r="AR104" s="11"/>
      <c r="AS104" s="11">
        <v>57</v>
      </c>
      <c r="AT104" s="11" t="s">
        <v>971</v>
      </c>
    </row>
    <row r="105" spans="1:46" x14ac:dyDescent="0.15">
      <c r="A105" s="54">
        <v>40989</v>
      </c>
      <c r="B105" s="11" t="s">
        <v>986</v>
      </c>
      <c r="C105" s="11" t="s">
        <v>98</v>
      </c>
      <c r="D105" s="11" t="s">
        <v>987</v>
      </c>
      <c r="E105" s="11" t="s">
        <v>988</v>
      </c>
      <c r="F105" s="11" t="s">
        <v>989</v>
      </c>
      <c r="G105" s="11" t="s">
        <v>943</v>
      </c>
      <c r="H105" s="11" t="s">
        <v>990</v>
      </c>
      <c r="I105" s="11" t="s">
        <v>991</v>
      </c>
      <c r="J105" s="11" t="s">
        <v>992</v>
      </c>
      <c r="K105" s="11" t="s">
        <v>894</v>
      </c>
      <c r="L105" s="11"/>
      <c r="M105" s="11">
        <v>5578834.2999999998</v>
      </c>
      <c r="N105" s="11"/>
      <c r="O105" s="11"/>
      <c r="P105" s="11"/>
      <c r="Q105" s="15" t="s">
        <v>993</v>
      </c>
      <c r="R105" s="16">
        <v>40992</v>
      </c>
      <c r="S105" s="11">
        <v>1674</v>
      </c>
      <c r="T105" s="11"/>
      <c r="U105" s="11" t="s">
        <v>906</v>
      </c>
      <c r="V105" s="17">
        <v>3.5999999999999997E-2</v>
      </c>
      <c r="W105" s="11">
        <f t="shared" ref="W105:W125" si="34">(M105+N105)*V105</f>
        <v>200838.03479999996</v>
      </c>
      <c r="X105" s="11">
        <f>200838</f>
        <v>200838</v>
      </c>
      <c r="Y105" s="11">
        <f>200838</f>
        <v>200838</v>
      </c>
      <c r="Z105" s="11">
        <v>0</v>
      </c>
      <c r="AA105" s="11">
        <f>1613000+400000+1153000+250000</f>
        <v>3416000</v>
      </c>
      <c r="AB105" s="11">
        <f>3416000</f>
        <v>3416000</v>
      </c>
      <c r="AC105" s="11">
        <v>3416000</v>
      </c>
      <c r="AD105" s="11">
        <v>3416000</v>
      </c>
      <c r="AE105" s="18">
        <f t="shared" si="33"/>
        <v>0.61231429655474801</v>
      </c>
      <c r="AF105" s="11">
        <f>400000+6694.6+102870+30000.01+103028.7+68540.8+87722.4+510309.2-2448.6+123200+100000+8734.34+110468.4+194000+780189.4+379253.2+250000</f>
        <v>3252562.45</v>
      </c>
      <c r="AG105" s="11">
        <f>3252562.45</f>
        <v>3252562.45</v>
      </c>
      <c r="AH105" s="11">
        <f>400000+6694.6+102870+30000.01+190751.1+87609.99+565151.2-2448.6+123200+100000+11000+22334.34+110468.4+205000+39202+780189.4+379253.2+258500</f>
        <v>3409775.64</v>
      </c>
      <c r="AI105" s="11"/>
      <c r="AJ105" s="11"/>
      <c r="AK105" s="11"/>
      <c r="AL105" s="11">
        <f>3409775.64</f>
        <v>3409775.64</v>
      </c>
      <c r="AM105" s="17">
        <v>3.4000000000000002E-2</v>
      </c>
      <c r="AN105" s="17">
        <f t="shared" si="27"/>
        <v>116144.00000000001</v>
      </c>
      <c r="AO105" s="11">
        <f>54842+13600+39202+8500</f>
        <v>116144</v>
      </c>
      <c r="AP105" s="11">
        <f>116144</f>
        <v>116144</v>
      </c>
      <c r="AQ105" s="11">
        <f>AN105-AP105</f>
        <v>0</v>
      </c>
      <c r="AR105" s="11"/>
      <c r="AS105" s="11">
        <v>64</v>
      </c>
      <c r="AT105" s="11" t="s">
        <v>994</v>
      </c>
    </row>
    <row r="106" spans="1:46" x14ac:dyDescent="0.15">
      <c r="A106" s="54">
        <v>40998</v>
      </c>
      <c r="B106" s="11" t="s">
        <v>995</v>
      </c>
      <c r="C106" s="11" t="s">
        <v>101</v>
      </c>
      <c r="D106" s="11" t="s">
        <v>996</v>
      </c>
      <c r="E106" s="11" t="s">
        <v>988</v>
      </c>
      <c r="F106" s="11" t="s">
        <v>997</v>
      </c>
      <c r="G106" s="11" t="s">
        <v>998</v>
      </c>
      <c r="H106" s="11" t="s">
        <v>999</v>
      </c>
      <c r="I106" s="11" t="s">
        <v>1000</v>
      </c>
      <c r="J106" s="11"/>
      <c r="K106" s="11" t="s">
        <v>1001</v>
      </c>
      <c r="L106" s="11"/>
      <c r="M106" s="11">
        <v>5045600</v>
      </c>
      <c r="N106" s="11">
        <f>118800</f>
        <v>118800</v>
      </c>
      <c r="O106" s="11"/>
      <c r="P106" s="11"/>
      <c r="Q106" s="15" t="s">
        <v>1002</v>
      </c>
      <c r="R106" s="16">
        <v>41012</v>
      </c>
      <c r="S106" s="11">
        <v>1514</v>
      </c>
      <c r="T106" s="11"/>
      <c r="U106" s="11" t="s">
        <v>906</v>
      </c>
      <c r="V106" s="17">
        <v>3.5999999999999997E-2</v>
      </c>
      <c r="W106" s="11">
        <f t="shared" si="34"/>
        <v>185918.4</v>
      </c>
      <c r="X106" s="11">
        <f>100000+81642.85+4277</f>
        <v>185919.85</v>
      </c>
      <c r="Y106" s="11">
        <f>185919.85</f>
        <v>185919.85</v>
      </c>
      <c r="Z106" s="11">
        <v>0</v>
      </c>
      <c r="AA106" s="11">
        <f>1513680+1513680+1009120+504560+83160</f>
        <v>4624200</v>
      </c>
      <c r="AB106" s="11">
        <f>4624200</f>
        <v>4624200</v>
      </c>
      <c r="AC106" s="11">
        <v>4737414.8600000003</v>
      </c>
      <c r="AD106" s="11">
        <v>4737414.8600000003</v>
      </c>
      <c r="AE106" s="18">
        <f t="shared" si="33"/>
        <v>0.91732144295561935</v>
      </c>
      <c r="AF106" s="11">
        <f>1200000+100000+50000+97257.25+420200+225903.68+50000+140000+100000+308774.17+30000+620000+125498.57+350000+100000+25350+70000+52896.65+97117.61+40000+73214.86</f>
        <v>4276212.79</v>
      </c>
      <c r="AG106" s="11">
        <f>4276212.79</f>
        <v>4276212.79</v>
      </c>
      <c r="AH106" s="11">
        <f>1306054.72+50859.65+100000+20000+97257.25+100000+474843.85+225903.68+50000+140000+100000+308774.17+209643.85+620000+125498.57+280000+70000+100000+25350+70000+52896.65+97117.61+40000+73214.86</f>
        <v>4737414.8600000013</v>
      </c>
      <c r="AI106" s="11"/>
      <c r="AJ106" s="11"/>
      <c r="AK106" s="11"/>
      <c r="AL106" s="11">
        <f>4737414.86</f>
        <v>4737414.8600000003</v>
      </c>
      <c r="AM106" s="17"/>
      <c r="AN106" s="17">
        <f t="shared" si="27"/>
        <v>0</v>
      </c>
      <c r="AO106" s="11"/>
      <c r="AP106" s="11"/>
      <c r="AQ106" s="11">
        <f t="shared" ref="AQ106:AQ125" si="35">AN106-AP106</f>
        <v>0</v>
      </c>
      <c r="AR106" s="11"/>
      <c r="AS106" s="11">
        <v>54</v>
      </c>
      <c r="AT106" s="11" t="s">
        <v>1000</v>
      </c>
    </row>
    <row r="107" spans="1:46" x14ac:dyDescent="0.15">
      <c r="A107" s="54">
        <v>41006</v>
      </c>
      <c r="B107" s="11" t="s">
        <v>1003</v>
      </c>
      <c r="C107" s="11" t="s">
        <v>110</v>
      </c>
      <c r="D107" s="11" t="s">
        <v>1004</v>
      </c>
      <c r="E107" s="11" t="s">
        <v>900</v>
      </c>
      <c r="F107" s="11" t="s">
        <v>1005</v>
      </c>
      <c r="G107" s="11" t="s">
        <v>943</v>
      </c>
      <c r="H107" s="11" t="s">
        <v>1006</v>
      </c>
      <c r="I107" s="11" t="s">
        <v>1007</v>
      </c>
      <c r="J107" s="11" t="s">
        <v>1008</v>
      </c>
      <c r="K107" s="11" t="s">
        <v>894</v>
      </c>
      <c r="L107" s="11"/>
      <c r="M107" s="11">
        <v>4328546</v>
      </c>
      <c r="N107" s="11"/>
      <c r="O107" s="11"/>
      <c r="P107" s="11"/>
      <c r="Q107" s="15" t="s">
        <v>1009</v>
      </c>
      <c r="R107" s="16">
        <v>41100</v>
      </c>
      <c r="S107" s="11">
        <v>1299</v>
      </c>
      <c r="T107" s="11"/>
      <c r="U107" s="11" t="s">
        <v>906</v>
      </c>
      <c r="V107" s="17">
        <v>4.5999999999999999E-2</v>
      </c>
      <c r="W107" s="11">
        <f t="shared" si="34"/>
        <v>199113.11600000001</v>
      </c>
      <c r="X107" s="11">
        <f>60000+100000+39113</f>
        <v>199113</v>
      </c>
      <c r="Y107" s="11">
        <f>199113</f>
        <v>199113</v>
      </c>
      <c r="Z107" s="11">
        <v>0</v>
      </c>
      <c r="AA107" s="11">
        <f>346284+1038851+1731418+346284</f>
        <v>3462837</v>
      </c>
      <c r="AB107" s="11">
        <f>3462837</f>
        <v>3462837</v>
      </c>
      <c r="AC107" s="11">
        <v>3462837</v>
      </c>
      <c r="AD107" s="11">
        <v>3462837</v>
      </c>
      <c r="AE107" s="18">
        <f t="shared" si="33"/>
        <v>0.80000004620489185</v>
      </c>
      <c r="AF107" s="11">
        <f>5194.26+292000+27000+586600+191000+232400+438050+50000+499820+310000+250000+60000+11000+70000+35385+200000+14500+6000</f>
        <v>3278949.26</v>
      </c>
      <c r="AG107" s="11">
        <f>3278949.26</f>
        <v>3278949.26</v>
      </c>
      <c r="AH107" s="11">
        <f>308968.26+27000+35321+586600+191000+232400+496918+50000+499820+310000+250000+107612.5+13183.7+2000+81774+35385+200000+14500+15753.4-15753.4+14153.4+6000</f>
        <v>3462635.86</v>
      </c>
      <c r="AI107" s="11"/>
      <c r="AJ107" s="11"/>
      <c r="AK107" s="11"/>
      <c r="AL107" s="11">
        <f>3462635.86</f>
        <v>3462635.86</v>
      </c>
      <c r="AM107" s="17">
        <v>3.4000000000000002E-2</v>
      </c>
      <c r="AN107" s="17">
        <f t="shared" si="27"/>
        <v>117736.45800000001</v>
      </c>
      <c r="AO107" s="11">
        <f>11774+35321+58868+11774</f>
        <v>117737</v>
      </c>
      <c r="AP107" s="11">
        <f>117737</f>
        <v>117737</v>
      </c>
      <c r="AQ107" s="11">
        <v>0</v>
      </c>
      <c r="AR107" s="11"/>
      <c r="AS107" s="11">
        <v>55</v>
      </c>
      <c r="AT107" s="11" t="s">
        <v>948</v>
      </c>
    </row>
    <row r="108" spans="1:46" x14ac:dyDescent="0.15">
      <c r="A108" s="54">
        <v>41000</v>
      </c>
      <c r="B108" s="11" t="s">
        <v>1010</v>
      </c>
      <c r="C108" s="11" t="s">
        <v>108</v>
      </c>
      <c r="D108" s="11" t="s">
        <v>1011</v>
      </c>
      <c r="E108" s="11" t="s">
        <v>900</v>
      </c>
      <c r="F108" s="11" t="s">
        <v>1012</v>
      </c>
      <c r="G108" s="11" t="s">
        <v>943</v>
      </c>
      <c r="H108" s="11" t="s">
        <v>1013</v>
      </c>
      <c r="I108" s="11" t="s">
        <v>1014</v>
      </c>
      <c r="J108" s="11" t="s">
        <v>1015</v>
      </c>
      <c r="K108" s="11" t="s">
        <v>894</v>
      </c>
      <c r="L108" s="11"/>
      <c r="M108" s="11">
        <v>416950</v>
      </c>
      <c r="N108" s="11">
        <v>36973.599999999999</v>
      </c>
      <c r="O108" s="11"/>
      <c r="P108" s="11">
        <v>453923.6</v>
      </c>
      <c r="Q108" s="15" t="s">
        <v>1016</v>
      </c>
      <c r="R108" s="16">
        <v>41032</v>
      </c>
      <c r="S108" s="11">
        <v>126</v>
      </c>
      <c r="T108" s="11"/>
      <c r="U108" s="11" t="s">
        <v>906</v>
      </c>
      <c r="V108" s="17">
        <v>3.5999999999999997E-2</v>
      </c>
      <c r="W108" s="11">
        <f>P108*V108</f>
        <v>16341.249599999997</v>
      </c>
      <c r="X108" s="11">
        <f>15010</f>
        <v>15010</v>
      </c>
      <c r="Y108" s="11">
        <f>15010</f>
        <v>15010</v>
      </c>
      <c r="Z108" s="11">
        <f t="shared" ref="Z108:Z121" si="36">W108-Y108</f>
        <v>1331.2495999999974</v>
      </c>
      <c r="AA108" s="11">
        <f>304434+49974+76820</f>
        <v>431228</v>
      </c>
      <c r="AB108" s="11">
        <f>431228</f>
        <v>431228</v>
      </c>
      <c r="AC108" s="11">
        <v>431228</v>
      </c>
      <c r="AD108" s="11">
        <v>431228</v>
      </c>
      <c r="AE108" s="18">
        <f t="shared" si="33"/>
        <v>0.95000127774806165</v>
      </c>
      <c r="AF108" s="11">
        <f>60500+50000+75000+70000</f>
        <v>255500</v>
      </c>
      <c r="AG108" s="11">
        <f>255500</f>
        <v>255500</v>
      </c>
      <c r="AH108" s="11">
        <f>10351+160500+50000+75000+58557+72612</f>
        <v>427020</v>
      </c>
      <c r="AI108" s="11"/>
      <c r="AJ108" s="11"/>
      <c r="AK108" s="11"/>
      <c r="AL108" s="11">
        <f>427020</f>
        <v>427020</v>
      </c>
      <c r="AM108" s="17">
        <v>3.4000000000000002E-2</v>
      </c>
      <c r="AN108" s="17">
        <f t="shared" si="27"/>
        <v>14661.752</v>
      </c>
      <c r="AO108" s="11">
        <f>10351+2612+1699</f>
        <v>14662</v>
      </c>
      <c r="AP108" s="11">
        <f>14662</f>
        <v>14662</v>
      </c>
      <c r="AQ108" s="11">
        <v>0</v>
      </c>
      <c r="AR108" s="11"/>
      <c r="AS108" s="11"/>
      <c r="AT108" s="11"/>
    </row>
    <row r="109" spans="1:46" x14ac:dyDescent="0.15">
      <c r="A109" s="54">
        <v>41031</v>
      </c>
      <c r="B109" s="11" t="s">
        <v>1017</v>
      </c>
      <c r="C109" s="11" t="s">
        <v>116</v>
      </c>
      <c r="D109" s="11" t="s">
        <v>1018</v>
      </c>
      <c r="E109" s="11" t="s">
        <v>900</v>
      </c>
      <c r="F109" s="11" t="s">
        <v>1019</v>
      </c>
      <c r="G109" s="11" t="s">
        <v>943</v>
      </c>
      <c r="H109" s="11" t="s">
        <v>1015</v>
      </c>
      <c r="I109" s="11" t="s">
        <v>912</v>
      </c>
      <c r="J109" s="11" t="s">
        <v>1015</v>
      </c>
      <c r="K109" s="11" t="s">
        <v>894</v>
      </c>
      <c r="L109" s="11"/>
      <c r="M109" s="11">
        <v>1785000</v>
      </c>
      <c r="N109" s="11"/>
      <c r="O109" s="11"/>
      <c r="P109" s="11"/>
      <c r="Q109" s="15" t="s">
        <v>1020</v>
      </c>
      <c r="R109" s="16">
        <v>41032</v>
      </c>
      <c r="S109" s="11">
        <v>536</v>
      </c>
      <c r="T109" s="11"/>
      <c r="U109" s="11" t="s">
        <v>938</v>
      </c>
      <c r="V109" s="17">
        <v>3.5999999999999997E-2</v>
      </c>
      <c r="W109" s="11">
        <f t="shared" si="34"/>
        <v>64259.999999999993</v>
      </c>
      <c r="X109" s="11">
        <f>64260</f>
        <v>64260</v>
      </c>
      <c r="Y109" s="11">
        <f>64260</f>
        <v>64260</v>
      </c>
      <c r="Z109" s="11">
        <f t="shared" si="36"/>
        <v>0</v>
      </c>
      <c r="AA109" s="11">
        <f>500000</f>
        <v>500000</v>
      </c>
      <c r="AB109" s="11">
        <f>500000</f>
        <v>500000</v>
      </c>
      <c r="AC109" s="11">
        <v>500000</v>
      </c>
      <c r="AD109" s="11">
        <v>500000</v>
      </c>
      <c r="AE109" s="18">
        <f t="shared" si="33"/>
        <v>0.28011204481792717</v>
      </c>
      <c r="AF109" s="11">
        <f>2142+301400+19699+50000+5355+2400+15000</f>
        <v>395996</v>
      </c>
      <c r="AG109" s="11">
        <f>395996</f>
        <v>395996</v>
      </c>
      <c r="AH109" s="11">
        <f>2142+103045.97+301400+19699+50000+5355+2400+15000</f>
        <v>499041.97</v>
      </c>
      <c r="AI109" s="11"/>
      <c r="AJ109" s="11"/>
      <c r="AK109" s="11"/>
      <c r="AL109" s="11">
        <f>499041.97</f>
        <v>499041.97</v>
      </c>
      <c r="AM109" s="17">
        <v>3.4000000000000002E-2</v>
      </c>
      <c r="AN109" s="17">
        <f t="shared" si="27"/>
        <v>17000</v>
      </c>
      <c r="AO109" s="11">
        <f>17000</f>
        <v>17000</v>
      </c>
      <c r="AP109" s="11">
        <f>17000</f>
        <v>17000</v>
      </c>
      <c r="AQ109" s="11">
        <f t="shared" si="35"/>
        <v>0</v>
      </c>
      <c r="AR109" s="11"/>
      <c r="AS109" s="11">
        <v>20</v>
      </c>
      <c r="AT109" s="11" t="s">
        <v>948</v>
      </c>
    </row>
    <row r="110" spans="1:46" x14ac:dyDescent="0.15">
      <c r="A110" s="54">
        <v>41039</v>
      </c>
      <c r="B110" s="11" t="s">
        <v>1021</v>
      </c>
      <c r="C110" s="11" t="s">
        <v>118</v>
      </c>
      <c r="D110" s="11" t="s">
        <v>1022</v>
      </c>
      <c r="E110" s="11" t="s">
        <v>988</v>
      </c>
      <c r="F110" s="11" t="s">
        <v>1023</v>
      </c>
      <c r="G110" s="11" t="s">
        <v>943</v>
      </c>
      <c r="H110" s="11" t="s">
        <v>1024</v>
      </c>
      <c r="I110" s="11" t="s">
        <v>1025</v>
      </c>
      <c r="J110" s="11" t="s">
        <v>1026</v>
      </c>
      <c r="K110" s="11" t="s">
        <v>894</v>
      </c>
      <c r="L110" s="11"/>
      <c r="M110" s="11">
        <v>2220000</v>
      </c>
      <c r="N110" s="11">
        <v>351000</v>
      </c>
      <c r="O110" s="11"/>
      <c r="P110" s="11">
        <v>2571000</v>
      </c>
      <c r="Q110" s="15" t="s">
        <v>1027</v>
      </c>
      <c r="R110" s="16">
        <v>41075</v>
      </c>
      <c r="S110" s="11">
        <v>666</v>
      </c>
      <c r="T110" s="11"/>
      <c r="U110" s="11" t="s">
        <v>906</v>
      </c>
      <c r="V110" s="17">
        <v>3.5999999999999997E-2</v>
      </c>
      <c r="W110" s="11">
        <f>P110*V110</f>
        <v>92556</v>
      </c>
      <c r="X110" s="11">
        <f>79920+12636</f>
        <v>92556</v>
      </c>
      <c r="Y110" s="11">
        <f>92556</f>
        <v>92556</v>
      </c>
      <c r="Z110" s="11">
        <f t="shared" si="36"/>
        <v>0</v>
      </c>
      <c r="AA110" s="11">
        <f>300000+500000+300000+150000+150000+80000+70000</f>
        <v>1550000</v>
      </c>
      <c r="AB110" s="11">
        <f>1550000</f>
        <v>1550000</v>
      </c>
      <c r="AC110" s="11">
        <v>1530000</v>
      </c>
      <c r="AD110" s="11">
        <v>1530000</v>
      </c>
      <c r="AE110" s="18">
        <f t="shared" si="33"/>
        <v>0.59509918319719957</v>
      </c>
      <c r="AF110" s="11">
        <f>200000+57888.89+29370+93077.11+200000+100000+50000+79600+144900</f>
        <v>954836</v>
      </c>
      <c r="AG110" s="11">
        <f>954836</f>
        <v>954836</v>
      </c>
      <c r="AH110" s="11">
        <f>200000+2664+57888.89+29370+417000+93077.11+200000+10200+100000+50000+50000+10200+79600+80000+150000</f>
        <v>1530000</v>
      </c>
      <c r="AI110" s="11"/>
      <c r="AJ110" s="11"/>
      <c r="AK110" s="11"/>
      <c r="AL110" s="11">
        <f>1530000</f>
        <v>1530000</v>
      </c>
      <c r="AM110" s="17">
        <v>3.4000000000000002E-2</v>
      </c>
      <c r="AN110" s="17">
        <f t="shared" si="27"/>
        <v>52700.000000000007</v>
      </c>
      <c r="AO110" s="11">
        <f>10200+17000+10200+5100+5100+2720+2380</f>
        <v>52700</v>
      </c>
      <c r="AP110" s="11">
        <f>52700</f>
        <v>52700</v>
      </c>
      <c r="AQ110" s="11">
        <f t="shared" si="35"/>
        <v>0</v>
      </c>
      <c r="AR110" s="11"/>
      <c r="AS110" s="11">
        <v>26</v>
      </c>
      <c r="AT110" s="11" t="s">
        <v>948</v>
      </c>
    </row>
    <row r="111" spans="1:46" x14ac:dyDescent="0.15">
      <c r="A111" s="54">
        <v>41030</v>
      </c>
      <c r="B111" s="11" t="s">
        <v>1028</v>
      </c>
      <c r="C111" s="11" t="s">
        <v>114</v>
      </c>
      <c r="D111" s="11" t="s">
        <v>1029</v>
      </c>
      <c r="E111" s="11" t="s">
        <v>900</v>
      </c>
      <c r="F111" s="11" t="s">
        <v>1030</v>
      </c>
      <c r="G111" s="11" t="s">
        <v>1031</v>
      </c>
      <c r="H111" s="11" t="s">
        <v>1032</v>
      </c>
      <c r="I111" s="11" t="s">
        <v>1033</v>
      </c>
      <c r="J111" s="11" t="s">
        <v>1032</v>
      </c>
      <c r="K111" s="11" t="s">
        <v>1001</v>
      </c>
      <c r="L111" s="11"/>
      <c r="M111" s="11">
        <v>5473241</v>
      </c>
      <c r="N111" s="11">
        <v>47753</v>
      </c>
      <c r="O111" s="11"/>
      <c r="P111" s="11">
        <v>5520994</v>
      </c>
      <c r="Q111" s="15"/>
      <c r="R111" s="16"/>
      <c r="S111" s="11"/>
      <c r="T111" s="11"/>
      <c r="U111" s="11" t="s">
        <v>906</v>
      </c>
      <c r="V111" s="17">
        <v>0.03</v>
      </c>
      <c r="W111" s="11">
        <f t="shared" si="34"/>
        <v>165629.82</v>
      </c>
      <c r="X111" s="11">
        <f>90000+74197</f>
        <v>164197</v>
      </c>
      <c r="Y111" s="11">
        <f>164197</f>
        <v>164197</v>
      </c>
      <c r="Z111" s="11">
        <f t="shared" si="36"/>
        <v>1432.820000000007</v>
      </c>
      <c r="AA111" s="11">
        <f>1322945+1000000+2055647.8+1142401.2</f>
        <v>5520994</v>
      </c>
      <c r="AB111" s="11">
        <f>5520994</f>
        <v>5520994</v>
      </c>
      <c r="AC111" s="11">
        <v>5244944.3</v>
      </c>
      <c r="AD111" s="11">
        <v>5244944.3</v>
      </c>
      <c r="AE111" s="18">
        <f t="shared" si="33"/>
        <v>0.95</v>
      </c>
      <c r="AF111" s="11">
        <f>50000+23200+555000+300368.12+100000+100000+30000+200500+100000+200000+10124+999840+142554.07+99900+499500+190000+154571+258000+30000+200000+200000+139896</f>
        <v>4583453.1899999995</v>
      </c>
      <c r="AG111" s="11">
        <f>4583453.19</f>
        <v>4583453.1900000004</v>
      </c>
      <c r="AH111" s="11">
        <f>144847.83+73200+555000+300368.12+200000+33900+172286.6+30000+200500+100000-4000+200000+10124+69686.45+999840+142554.07+99900+200000+499500+190000+154571+258000+30000+200000+200000+178623.4</f>
        <v>5238901.4700000007</v>
      </c>
      <c r="AI111" s="11"/>
      <c r="AJ111" s="11"/>
      <c r="AK111" s="11"/>
      <c r="AL111" s="11">
        <f>5238901.47</f>
        <v>5238901.47</v>
      </c>
      <c r="AM111" s="17">
        <v>3.7400000000000003E-2</v>
      </c>
      <c r="AN111" s="17">
        <f t="shared" si="27"/>
        <v>206485.17560000002</v>
      </c>
      <c r="AO111" s="11"/>
      <c r="AP111" s="11"/>
      <c r="AQ111" s="11">
        <v>0</v>
      </c>
      <c r="AR111" s="11"/>
      <c r="AS111" s="11"/>
      <c r="AT111" s="11"/>
    </row>
    <row r="112" spans="1:46" x14ac:dyDescent="0.15">
      <c r="A112" s="54">
        <v>41050</v>
      </c>
      <c r="B112" s="11" t="s">
        <v>1034</v>
      </c>
      <c r="C112" s="11" t="s">
        <v>120</v>
      </c>
      <c r="D112" s="11" t="s">
        <v>1035</v>
      </c>
      <c r="E112" s="11" t="s">
        <v>900</v>
      </c>
      <c r="F112" s="11" t="s">
        <v>1036</v>
      </c>
      <c r="G112" s="11" t="s">
        <v>1031</v>
      </c>
      <c r="H112" s="11" t="s">
        <v>1037</v>
      </c>
      <c r="I112" s="11" t="s">
        <v>1038</v>
      </c>
      <c r="J112" s="11" t="s">
        <v>1037</v>
      </c>
      <c r="K112" s="11" t="s">
        <v>1001</v>
      </c>
      <c r="L112" s="11"/>
      <c r="M112" s="11">
        <v>36296483</v>
      </c>
      <c r="N112" s="11">
        <f>1253588+40000</f>
        <v>1293588</v>
      </c>
      <c r="O112" s="11"/>
      <c r="P112" s="11"/>
      <c r="Q112" s="15"/>
      <c r="R112" s="16"/>
      <c r="S112" s="11"/>
      <c r="T112" s="11"/>
      <c r="U112" s="11" t="s">
        <v>906</v>
      </c>
      <c r="V112" s="17">
        <v>0.03</v>
      </c>
      <c r="W112" s="11">
        <f t="shared" si="34"/>
        <v>1127702.1299999999</v>
      </c>
      <c r="X112" s="11">
        <f>490000+600000+37608</f>
        <v>1127608</v>
      </c>
      <c r="Y112" s="11">
        <f>1127608</f>
        <v>1127608</v>
      </c>
      <c r="Z112" s="11">
        <f t="shared" si="36"/>
        <v>94.129999999888241</v>
      </c>
      <c r="AA112" s="11">
        <f>5444472+2164382+4345789+2851726+6739403+4216458+2939846+3657865+947453</f>
        <v>33307394</v>
      </c>
      <c r="AB112" s="11">
        <f>33307394</f>
        <v>33307394</v>
      </c>
      <c r="AC112" s="11">
        <v>33307394</v>
      </c>
      <c r="AD112" s="11">
        <v>33307394</v>
      </c>
      <c r="AE112" s="18">
        <f t="shared" si="33"/>
        <v>0.88606893027682765</v>
      </c>
      <c r="AF112" s="11">
        <f>2023245.24+1809287.26+1259200+298474.2+686250+73710+2736836.36+1403852.66+1000000+300000+641649+4915194.1+186000+481000+200000+486000+1396224.28+150060+43540.3+986000+835180.6+1260950+490000+2063376.56+1432695.84+496000+976500</f>
        <v>28631226.400000002</v>
      </c>
      <c r="AG112" s="11">
        <f>28631226.4</f>
        <v>28631226.399999999</v>
      </c>
      <c r="AH112" s="11">
        <f>3402860.63+1809287.26+1259200+298474.2+686250+147082.54+2736836.36+1581174.91+1000000+300000+96673.51+1041649+5000+200000+150000+5515194.1+557403.69+494477.32+200000+486000+1696224.28+150060+800000+5000+43540.3+986000+835180.6+1260950+490000+2063376.56-155000+1432695.84+496000+223662.41+1008618.66-800000+800000-5000+135833</f>
        <v>33434705.170000002</v>
      </c>
      <c r="AI112" s="11"/>
      <c r="AJ112" s="11"/>
      <c r="AK112" s="11"/>
      <c r="AL112" s="11">
        <f>33434705.17</f>
        <v>33434705.170000002</v>
      </c>
      <c r="AM112" s="17">
        <v>3.7400000000000003E-2</v>
      </c>
      <c r="AN112" s="17">
        <f t="shared" si="27"/>
        <v>1245696.5356000001</v>
      </c>
      <c r="AO112" s="11"/>
      <c r="AP112" s="11"/>
      <c r="AQ112" s="11">
        <v>0</v>
      </c>
      <c r="AR112" s="11"/>
      <c r="AS112" s="11">
        <v>320</v>
      </c>
      <c r="AT112" s="11" t="s">
        <v>948</v>
      </c>
    </row>
    <row r="113" spans="1:46" x14ac:dyDescent="0.15">
      <c r="A113" s="54">
        <v>41030</v>
      </c>
      <c r="B113" s="11" t="s">
        <v>1039</v>
      </c>
      <c r="C113" s="11" t="s">
        <v>112</v>
      </c>
      <c r="D113" s="11" t="s">
        <v>1040</v>
      </c>
      <c r="E113" s="11" t="s">
        <v>900</v>
      </c>
      <c r="F113" s="11" t="s">
        <v>1041</v>
      </c>
      <c r="G113" s="11" t="s">
        <v>943</v>
      </c>
      <c r="H113" s="11" t="s">
        <v>1042</v>
      </c>
      <c r="I113" s="11" t="s">
        <v>1043</v>
      </c>
      <c r="J113" s="11" t="s">
        <v>1044</v>
      </c>
      <c r="K113" s="11" t="s">
        <v>894</v>
      </c>
      <c r="L113" s="11"/>
      <c r="M113" s="11">
        <v>3831227.57</v>
      </c>
      <c r="N113" s="11"/>
      <c r="O113" s="11"/>
      <c r="P113" s="11"/>
      <c r="Q113" s="15" t="s">
        <v>1045</v>
      </c>
      <c r="R113" s="16">
        <v>41094</v>
      </c>
      <c r="S113" s="11">
        <v>1150</v>
      </c>
      <c r="T113" s="11"/>
      <c r="U113" s="11" t="s">
        <v>906</v>
      </c>
      <c r="V113" s="17">
        <v>3.5999999999999997E-2</v>
      </c>
      <c r="W113" s="11">
        <f t="shared" si="34"/>
        <v>137924.19251999998</v>
      </c>
      <c r="X113" s="11">
        <f>137924</f>
        <v>137924</v>
      </c>
      <c r="Y113" s="11">
        <f>137924</f>
        <v>137924</v>
      </c>
      <c r="Z113" s="11">
        <v>0</v>
      </c>
      <c r="AA113" s="11">
        <f>2272947+1500000+58233</f>
        <v>3831180</v>
      </c>
      <c r="AB113" s="11">
        <f>3831180</f>
        <v>3831180</v>
      </c>
      <c r="AC113" s="11">
        <v>3030000</v>
      </c>
      <c r="AD113" s="11">
        <v>3030000</v>
      </c>
      <c r="AE113" s="18">
        <f t="shared" si="33"/>
        <v>0.79086923045920765</v>
      </c>
      <c r="AF113" s="11">
        <f>241200+90000+305345.5+278208.63+150000+63612.2+100000+334800+375200+187500+600000</f>
        <v>2725866.33</v>
      </c>
      <c r="AG113" s="11">
        <f>2725866.33</f>
        <v>2725866.33</v>
      </c>
      <c r="AH113" s="11">
        <f>128280+241200+90000+365345.5+328208.63+80000+21147.8+150000+63612.2+100000-60000+334800+375200+1980+187500+600000</f>
        <v>3007274.13</v>
      </c>
      <c r="AI113" s="11"/>
      <c r="AJ113" s="11"/>
      <c r="AK113" s="11"/>
      <c r="AL113" s="11">
        <f>3007274.13</f>
        <v>3007274.13</v>
      </c>
      <c r="AM113" s="17">
        <v>3.4000000000000002E-2</v>
      </c>
      <c r="AN113" s="17">
        <f t="shared" si="27"/>
        <v>130260.12000000001</v>
      </c>
      <c r="AO113" s="11">
        <f>77280+51000+1980</f>
        <v>130260</v>
      </c>
      <c r="AP113" s="11">
        <f>130260</f>
        <v>130260</v>
      </c>
      <c r="AQ113" s="11">
        <v>0</v>
      </c>
      <c r="AR113" s="11"/>
      <c r="AS113" s="11">
        <v>31</v>
      </c>
      <c r="AT113" s="11" t="s">
        <v>907</v>
      </c>
    </row>
    <row r="114" spans="1:46" x14ac:dyDescent="0.15">
      <c r="A114" s="54">
        <v>41073</v>
      </c>
      <c r="B114" s="11" t="s">
        <v>1046</v>
      </c>
      <c r="C114" s="11" t="s">
        <v>124</v>
      </c>
      <c r="D114" s="11" t="s">
        <v>1047</v>
      </c>
      <c r="E114" s="11" t="s">
        <v>900</v>
      </c>
      <c r="F114" s="11" t="s">
        <v>1048</v>
      </c>
      <c r="G114" s="11" t="s">
        <v>943</v>
      </c>
      <c r="H114" s="11" t="s">
        <v>969</v>
      </c>
      <c r="I114" s="11" t="s">
        <v>970</v>
      </c>
      <c r="J114" s="11" t="s">
        <v>969</v>
      </c>
      <c r="K114" s="11" t="s">
        <v>894</v>
      </c>
      <c r="L114" s="11"/>
      <c r="M114" s="11">
        <v>1444588.7</v>
      </c>
      <c r="N114" s="11">
        <f>848584.4+921636.07</f>
        <v>1770220.47</v>
      </c>
      <c r="O114" s="11"/>
      <c r="P114" s="11"/>
      <c r="Q114" s="15" t="s">
        <v>1049</v>
      </c>
      <c r="R114" s="16">
        <v>41101</v>
      </c>
      <c r="S114" s="11">
        <f>434+255+277</f>
        <v>966</v>
      </c>
      <c r="T114" s="11"/>
      <c r="U114" s="11" t="s">
        <v>906</v>
      </c>
      <c r="V114" s="17">
        <v>3.5999999999999997E-2</v>
      </c>
      <c r="W114" s="11">
        <f t="shared" si="34"/>
        <v>115733.13011999999</v>
      </c>
      <c r="X114" s="11">
        <f>50000+65733</f>
        <v>115733</v>
      </c>
      <c r="Y114" s="11">
        <f>115733</f>
        <v>115733</v>
      </c>
      <c r="Z114" s="11">
        <v>0</v>
      </c>
      <c r="AA114" s="11">
        <f>92163.61+144458.87+84858.44+212146.1+803702.3+374867.89+216688.31+92163.61+84858.44+144458.87+100000+150000</f>
        <v>2500366.4400000004</v>
      </c>
      <c r="AB114" s="11">
        <f>2500366.44</f>
        <v>2500366.44</v>
      </c>
      <c r="AC114" s="11">
        <v>2500366.44</v>
      </c>
      <c r="AD114" s="11">
        <v>2500366.44</v>
      </c>
      <c r="AE114" s="18">
        <f t="shared" si="33"/>
        <v>0.77776512003665832</v>
      </c>
      <c r="AF114" s="11">
        <f>195915.13+35000+40276.22+35000+166000+30000+288750+23900+300000+200000+269290.75+100000+300000+99600+143900+2700</f>
        <v>2230332.1</v>
      </c>
      <c r="AG114" s="11">
        <f>2230332.1</f>
        <v>2230332.1</v>
      </c>
      <c r="AH114" s="11">
        <f>206846.13+35000+40276.22+35000+173213+57326+288750+36025+300000+12746+200000+276657.75+164790+100000+310931+3400+100000+5100-100000+99600+143790+2700</f>
        <v>2492151.1</v>
      </c>
      <c r="AI114" s="11"/>
      <c r="AJ114" s="11"/>
      <c r="AK114" s="11"/>
      <c r="AL114" s="11">
        <f>2492151.1</f>
        <v>2492151.1</v>
      </c>
      <c r="AM114" s="17">
        <v>3.4000000000000002E-2</v>
      </c>
      <c r="AN114" s="17">
        <f t="shared" si="27"/>
        <v>85012.458960000004</v>
      </c>
      <c r="AO114" s="11">
        <f>3134+4912+2885+7213+27326+12746+7367+3134+2885+4912+3400+5100</f>
        <v>85014</v>
      </c>
      <c r="AP114" s="11">
        <f>85014</f>
        <v>85014</v>
      </c>
      <c r="AQ114" s="11">
        <v>0</v>
      </c>
      <c r="AR114" s="11"/>
      <c r="AS114" s="11">
        <v>31</v>
      </c>
      <c r="AT114" s="11" t="s">
        <v>971</v>
      </c>
    </row>
    <row r="115" spans="1:46" x14ac:dyDescent="0.15">
      <c r="A115" s="54">
        <v>41092</v>
      </c>
      <c r="B115" s="11" t="s">
        <v>1050</v>
      </c>
      <c r="C115" s="11" t="s">
        <v>133</v>
      </c>
      <c r="D115" s="11" t="s">
        <v>1051</v>
      </c>
      <c r="E115" s="11" t="s">
        <v>900</v>
      </c>
      <c r="F115" s="11" t="s">
        <v>1052</v>
      </c>
      <c r="G115" s="11" t="s">
        <v>943</v>
      </c>
      <c r="H115" s="11" t="s">
        <v>1053</v>
      </c>
      <c r="I115" s="19" t="s">
        <v>1054</v>
      </c>
      <c r="J115" s="19" t="s">
        <v>1055</v>
      </c>
      <c r="K115" s="19" t="s">
        <v>894</v>
      </c>
      <c r="L115" s="11"/>
      <c r="M115" s="11">
        <v>1508400</v>
      </c>
      <c r="N115" s="11"/>
      <c r="O115" s="11"/>
      <c r="P115" s="11"/>
      <c r="Q115" s="15" t="s">
        <v>1056</v>
      </c>
      <c r="R115" s="16">
        <v>41092</v>
      </c>
      <c r="S115" s="11">
        <v>453</v>
      </c>
      <c r="T115" s="11"/>
      <c r="U115" s="11" t="s">
        <v>906</v>
      </c>
      <c r="V115" s="17">
        <v>3.5999999999999997E-2</v>
      </c>
      <c r="W115" s="11">
        <f t="shared" si="34"/>
        <v>54302.399999999994</v>
      </c>
      <c r="X115" s="11">
        <f>54302</f>
        <v>54302</v>
      </c>
      <c r="Y115" s="11">
        <f>54302</f>
        <v>54302</v>
      </c>
      <c r="Z115" s="11">
        <v>0</v>
      </c>
      <c r="AA115" s="11">
        <f>1050000+140000</f>
        <v>1190000</v>
      </c>
      <c r="AB115" s="11">
        <f>1190000</f>
        <v>1190000</v>
      </c>
      <c r="AC115" s="11">
        <v>1199905</v>
      </c>
      <c r="AD115" s="11">
        <v>1199905</v>
      </c>
      <c r="AE115" s="18">
        <f t="shared" si="33"/>
        <v>0.79548196764783874</v>
      </c>
      <c r="AF115" s="11">
        <f>50000+156000+50000+60000+281156.93+52145+50000+100000+76530+50000+87360+139040</f>
        <v>1152231.93</v>
      </c>
      <c r="AG115" s="11">
        <f>1152231.93</f>
        <v>1152231.93</v>
      </c>
      <c r="AH115" s="11">
        <f>85700+156000+50000+60000+281156.93+52145+50000+100000+76530+50000+87360+4760+139040</f>
        <v>1192691.93</v>
      </c>
      <c r="AI115" s="11"/>
      <c r="AJ115" s="11"/>
      <c r="AK115" s="11"/>
      <c r="AL115" s="11">
        <f>1192691.93</f>
        <v>1192691.93</v>
      </c>
      <c r="AM115" s="17">
        <v>3.4000000000000002E-2</v>
      </c>
      <c r="AN115" s="17">
        <f t="shared" si="27"/>
        <v>40460</v>
      </c>
      <c r="AO115" s="11">
        <f>35700+4760</f>
        <v>40460</v>
      </c>
      <c r="AP115" s="11">
        <f>40460</f>
        <v>40460</v>
      </c>
      <c r="AQ115" s="11">
        <f t="shared" si="35"/>
        <v>0</v>
      </c>
      <c r="AR115" s="11"/>
      <c r="AS115" s="11">
        <v>7</v>
      </c>
      <c r="AT115" s="11" t="s">
        <v>948</v>
      </c>
    </row>
    <row r="116" spans="1:46" x14ac:dyDescent="0.15">
      <c r="A116" s="54">
        <v>41091</v>
      </c>
      <c r="B116" s="11" t="s">
        <v>1057</v>
      </c>
      <c r="C116" s="11" t="s">
        <v>129</v>
      </c>
      <c r="D116" s="11" t="s">
        <v>1058</v>
      </c>
      <c r="E116" s="11" t="s">
        <v>900</v>
      </c>
      <c r="F116" s="11" t="s">
        <v>1059</v>
      </c>
      <c r="G116" s="11" t="s">
        <v>943</v>
      </c>
      <c r="H116" s="11" t="s">
        <v>969</v>
      </c>
      <c r="I116" s="11" t="s">
        <v>970</v>
      </c>
      <c r="J116" s="11" t="s">
        <v>969</v>
      </c>
      <c r="K116" s="11" t="s">
        <v>894</v>
      </c>
      <c r="L116" s="11"/>
      <c r="M116" s="11">
        <v>742782.79</v>
      </c>
      <c r="N116" s="11">
        <f>144141.78+5000</f>
        <v>149141.78</v>
      </c>
      <c r="O116" s="11"/>
      <c r="P116" s="11"/>
      <c r="Q116" s="15" t="s">
        <v>1060</v>
      </c>
      <c r="R116" s="16">
        <v>41109</v>
      </c>
      <c r="S116" s="11">
        <v>223</v>
      </c>
      <c r="T116" s="11"/>
      <c r="U116" s="11" t="s">
        <v>906</v>
      </c>
      <c r="V116" s="17">
        <v>3.5999999999999997E-2</v>
      </c>
      <c r="W116" s="11">
        <f t="shared" si="34"/>
        <v>32109.284520000001</v>
      </c>
      <c r="X116" s="11">
        <f>26740+180</f>
        <v>26920</v>
      </c>
      <c r="Y116" s="11">
        <f>26920</f>
        <v>26920</v>
      </c>
      <c r="Z116" s="11">
        <f t="shared" si="36"/>
        <v>5189.2845200000011</v>
      </c>
      <c r="AA116" s="11">
        <f>222834.84+148556.56+259973.98+255559.19+5000</f>
        <v>891924.57000000007</v>
      </c>
      <c r="AB116" s="11">
        <f>891924.57</f>
        <v>891924.57</v>
      </c>
      <c r="AC116" s="11">
        <v>891924.57</v>
      </c>
      <c r="AD116" s="11">
        <v>891924.57</v>
      </c>
      <c r="AE116" s="18">
        <f t="shared" si="33"/>
        <v>0.99999999999999989</v>
      </c>
      <c r="AF116" s="11">
        <f>50829.4+50000+57415+207721+12932.58+48095.59</f>
        <v>426993.57000000007</v>
      </c>
      <c r="AG116" s="11">
        <f>426993.57</f>
        <v>426993.57</v>
      </c>
      <c r="AH116" s="11">
        <f>21200.54+13890+66995.56+50000+10000+57415+566410+39735.3+12932.58+250+48095.59</f>
        <v>886924.57</v>
      </c>
      <c r="AI116" s="11"/>
      <c r="AJ116" s="11"/>
      <c r="AK116" s="11"/>
      <c r="AL116" s="11">
        <f>886924.57</f>
        <v>886924.57</v>
      </c>
      <c r="AM116" s="17">
        <v>3.4000000000000002E-2</v>
      </c>
      <c r="AN116" s="17">
        <f t="shared" si="27"/>
        <v>30325.435379999999</v>
      </c>
      <c r="AO116" s="11">
        <f>7576+5051+8839+8689+250</f>
        <v>30405</v>
      </c>
      <c r="AP116" s="11">
        <f>30405</f>
        <v>30405</v>
      </c>
      <c r="AQ116" s="11">
        <f t="shared" si="35"/>
        <v>-79.564620000001014</v>
      </c>
      <c r="AR116" s="11"/>
      <c r="AS116" s="11">
        <v>8</v>
      </c>
      <c r="AT116" s="11" t="s">
        <v>971</v>
      </c>
    </row>
    <row r="117" spans="1:46" x14ac:dyDescent="0.15">
      <c r="A117" s="54">
        <v>41117</v>
      </c>
      <c r="B117" s="11" t="s">
        <v>1061</v>
      </c>
      <c r="C117" s="11" t="s">
        <v>141</v>
      </c>
      <c r="D117" s="11" t="s">
        <v>1062</v>
      </c>
      <c r="E117" s="11" t="s">
        <v>900</v>
      </c>
      <c r="F117" s="11" t="s">
        <v>1012</v>
      </c>
      <c r="G117" s="11" t="s">
        <v>943</v>
      </c>
      <c r="H117" s="11" t="s">
        <v>1013</v>
      </c>
      <c r="I117" s="11" t="s">
        <v>1014</v>
      </c>
      <c r="J117" s="11" t="s">
        <v>1013</v>
      </c>
      <c r="K117" s="11" t="s">
        <v>894</v>
      </c>
      <c r="L117" s="11"/>
      <c r="M117" s="11">
        <v>328000</v>
      </c>
      <c r="N117" s="11">
        <v>34031</v>
      </c>
      <c r="O117" s="11"/>
      <c r="P117" s="11"/>
      <c r="Q117" s="15" t="s">
        <v>1063</v>
      </c>
      <c r="R117" s="16">
        <v>41117</v>
      </c>
      <c r="S117" s="11">
        <v>99</v>
      </c>
      <c r="T117" s="11"/>
      <c r="U117" s="11" t="s">
        <v>906</v>
      </c>
      <c r="V117" s="17">
        <v>3.5999999999999997E-2</v>
      </c>
      <c r="W117" s="11">
        <f t="shared" si="34"/>
        <v>13033.115999999998</v>
      </c>
      <c r="X117" s="11">
        <f>11808+1225</f>
        <v>13033</v>
      </c>
      <c r="Y117" s="11">
        <f>13033</f>
        <v>13033</v>
      </c>
      <c r="Z117" s="11">
        <v>0</v>
      </c>
      <c r="AA117" s="11">
        <f>240168+38632+65130</f>
        <v>343930</v>
      </c>
      <c r="AB117" s="11">
        <f>343930</f>
        <v>343930</v>
      </c>
      <c r="AC117" s="11">
        <v>343930</v>
      </c>
      <c r="AD117" s="11">
        <v>343930</v>
      </c>
      <c r="AE117" s="18">
        <f t="shared" si="33"/>
        <v>0.95000151920691878</v>
      </c>
      <c r="AF117" s="11">
        <f>55635.82+12300+31500+15000</f>
        <v>114435.82</v>
      </c>
      <c r="AG117" s="11">
        <f>114435.82</f>
        <v>114435.82</v>
      </c>
      <c r="AH117" s="11">
        <f>158166+55635.82+64998.18+14514+31500+15000</f>
        <v>339814</v>
      </c>
      <c r="AI117" s="11"/>
      <c r="AJ117" s="11"/>
      <c r="AK117" s="11"/>
      <c r="AL117" s="11">
        <v>339814</v>
      </c>
      <c r="AM117" s="17">
        <v>3.4000000000000002E-2</v>
      </c>
      <c r="AN117" s="17">
        <f t="shared" si="27"/>
        <v>11693.62</v>
      </c>
      <c r="AO117" s="11">
        <f>8166+1313+2214</f>
        <v>11693</v>
      </c>
      <c r="AP117" s="11">
        <f>11693</f>
        <v>11693</v>
      </c>
      <c r="AQ117" s="11">
        <v>0</v>
      </c>
      <c r="AR117" s="11"/>
      <c r="AS117" s="11">
        <v>4</v>
      </c>
      <c r="AT117" s="11" t="s">
        <v>948</v>
      </c>
    </row>
    <row r="118" spans="1:46" x14ac:dyDescent="0.15">
      <c r="A118" s="54">
        <v>41091</v>
      </c>
      <c r="B118" s="11" t="s">
        <v>1064</v>
      </c>
      <c r="C118" s="11" t="s">
        <v>126</v>
      </c>
      <c r="D118" s="11" t="s">
        <v>923</v>
      </c>
      <c r="E118" s="11" t="s">
        <v>900</v>
      </c>
      <c r="F118" s="11" t="s">
        <v>1065</v>
      </c>
      <c r="G118" s="11" t="s">
        <v>943</v>
      </c>
      <c r="H118" s="11" t="s">
        <v>1066</v>
      </c>
      <c r="I118" s="25" t="s">
        <v>1067</v>
      </c>
      <c r="J118" s="25" t="s">
        <v>1068</v>
      </c>
      <c r="K118" s="25" t="s">
        <v>894</v>
      </c>
      <c r="L118" s="11"/>
      <c r="M118" s="11">
        <v>4400000</v>
      </c>
      <c r="N118" s="11"/>
      <c r="O118" s="11"/>
      <c r="P118" s="11"/>
      <c r="Q118" s="15" t="s">
        <v>1069</v>
      </c>
      <c r="R118" s="16">
        <v>41137</v>
      </c>
      <c r="S118" s="11">
        <v>1320</v>
      </c>
      <c r="T118" s="11"/>
      <c r="U118" s="11" t="s">
        <v>906</v>
      </c>
      <c r="V118" s="17">
        <v>0.03</v>
      </c>
      <c r="W118" s="11">
        <f t="shared" si="34"/>
        <v>132000</v>
      </c>
      <c r="X118" s="11">
        <f>76787+55213</f>
        <v>132000</v>
      </c>
      <c r="Y118" s="11">
        <f>132000</f>
        <v>132000</v>
      </c>
      <c r="Z118" s="11">
        <f t="shared" si="36"/>
        <v>0</v>
      </c>
      <c r="AA118" s="11">
        <f>1100000+880000+880000+440000+800000</f>
        <v>4100000</v>
      </c>
      <c r="AB118" s="11">
        <f>4100000</f>
        <v>4100000</v>
      </c>
      <c r="AC118" s="11">
        <v>3300000</v>
      </c>
      <c r="AD118" s="11">
        <v>3300000</v>
      </c>
      <c r="AE118" s="18">
        <f t="shared" si="33"/>
        <v>0.75</v>
      </c>
      <c r="AF118" s="11">
        <f>1048292.6+628563.8+223019.31+45126+435642+299980+199680+299800</f>
        <v>3180103.71</v>
      </c>
      <c r="AG118" s="11">
        <f>3180103.71</f>
        <v>3180103.71</v>
      </c>
      <c r="AH118" s="11">
        <f>37400+1048292.6+628563.8+252939.31+75046+435642+314940+199680+299800</f>
        <v>3292303.71</v>
      </c>
      <c r="AI118" s="11"/>
      <c r="AJ118" s="11"/>
      <c r="AK118" s="11"/>
      <c r="AL118" s="11">
        <f>3292303.71</f>
        <v>3292303.71</v>
      </c>
      <c r="AM118" s="17">
        <v>3.4000000000000002E-2</v>
      </c>
      <c r="AN118" s="17">
        <f t="shared" si="27"/>
        <v>139400</v>
      </c>
      <c r="AO118" s="11">
        <f>37400+29920+29920+14960</f>
        <v>112200</v>
      </c>
      <c r="AP118" s="11">
        <f>112200</f>
        <v>112200</v>
      </c>
      <c r="AQ118" s="11">
        <f t="shared" si="35"/>
        <v>27200</v>
      </c>
      <c r="AR118" s="11"/>
      <c r="AS118" s="11"/>
      <c r="AT118" s="11"/>
    </row>
    <row r="119" spans="1:46" x14ac:dyDescent="0.15">
      <c r="A119" s="54">
        <v>41091</v>
      </c>
      <c r="B119" s="11" t="s">
        <v>1070</v>
      </c>
      <c r="C119" s="11" t="s">
        <v>131</v>
      </c>
      <c r="D119" s="11" t="s">
        <v>1071</v>
      </c>
      <c r="E119" s="11" t="s">
        <v>900</v>
      </c>
      <c r="F119" s="11" t="s">
        <v>1072</v>
      </c>
      <c r="G119" s="11" t="s">
        <v>1031</v>
      </c>
      <c r="H119" s="11" t="s">
        <v>1073</v>
      </c>
      <c r="I119" s="11" t="s">
        <v>1074</v>
      </c>
      <c r="J119" s="11" t="s">
        <v>1075</v>
      </c>
      <c r="K119" s="11" t="s">
        <v>1001</v>
      </c>
      <c r="L119" s="11"/>
      <c r="M119" s="11">
        <v>5538662</v>
      </c>
      <c r="N119" s="11">
        <f>2667147+725824</f>
        <v>3392971</v>
      </c>
      <c r="O119" s="11"/>
      <c r="P119" s="11"/>
      <c r="Q119" s="15"/>
      <c r="R119" s="16"/>
      <c r="S119" s="11"/>
      <c r="T119" s="11"/>
      <c r="U119" s="11" t="s">
        <v>906</v>
      </c>
      <c r="V119" s="17">
        <v>0.03</v>
      </c>
      <c r="W119" s="11">
        <f t="shared" si="34"/>
        <v>267948.99</v>
      </c>
      <c r="X119" s="11">
        <f>166160+80014+21775</f>
        <v>267949</v>
      </c>
      <c r="Y119" s="11">
        <f>267949</f>
        <v>267949</v>
      </c>
      <c r="Z119" s="11">
        <v>0</v>
      </c>
      <c r="AA119" s="11">
        <f>200000+300000+1000000+1000000+200000+800000+1000000+470000+1150000+1260000+190000</f>
        <v>7570000</v>
      </c>
      <c r="AB119" s="11">
        <f>7570000</f>
        <v>7570000</v>
      </c>
      <c r="AC119" s="11">
        <v>7570000</v>
      </c>
      <c r="AD119" s="11">
        <v>7570000</v>
      </c>
      <c r="AE119" s="18">
        <f t="shared" si="33"/>
        <v>0.84754937870823843</v>
      </c>
      <c r="AF119" s="11">
        <f>317048.37+206600+428739.2+220922+300000+796906.04+81600+82951.62+84000+74081+157532.8+200000+400000+300000+61020+300000+88553.68+14400+174500+50000+387086.71+1600000+30000+1000000</f>
        <v>7355941.4200000009</v>
      </c>
      <c r="AG119" s="11">
        <f>7355941.42</f>
        <v>7355941.4199999999</v>
      </c>
      <c r="AH119" s="11">
        <f>200000+223550+33900+428739.2+220922+300000+33900+796906.04+81600+100000+107979.99+84000+74081+245890.27+500000+400000+300000+61020+300000-300000+88553.68+14400+174500+50000+403019.71+1600000+30000+1000000</f>
        <v>7552961.8899999997</v>
      </c>
      <c r="AI119" s="11"/>
      <c r="AJ119" s="11"/>
      <c r="AK119" s="11"/>
      <c r="AL119" s="11">
        <f>7552961.89</f>
        <v>7552961.8899999997</v>
      </c>
      <c r="AM119" s="17">
        <v>3.7400000000000003E-2</v>
      </c>
      <c r="AN119" s="17">
        <f t="shared" si="27"/>
        <v>283118</v>
      </c>
      <c r="AO119" s="11">
        <f>283118</f>
        <v>283118</v>
      </c>
      <c r="AP119" s="11">
        <f>283118</f>
        <v>283118</v>
      </c>
      <c r="AQ119" s="11">
        <f t="shared" si="35"/>
        <v>0</v>
      </c>
      <c r="AR119" s="11"/>
      <c r="AS119" s="11"/>
      <c r="AT119" s="11"/>
    </row>
    <row r="120" spans="1:46" x14ac:dyDescent="0.15">
      <c r="A120" s="54">
        <v>41108</v>
      </c>
      <c r="B120" s="11" t="s">
        <v>1076</v>
      </c>
      <c r="C120" s="11" t="s">
        <v>135</v>
      </c>
      <c r="D120" s="11" t="s">
        <v>1077</v>
      </c>
      <c r="E120" s="11" t="s">
        <v>988</v>
      </c>
      <c r="F120" s="11" t="s">
        <v>1078</v>
      </c>
      <c r="G120" s="11" t="s">
        <v>943</v>
      </c>
      <c r="H120" s="11" t="s">
        <v>1079</v>
      </c>
      <c r="I120" s="11" t="s">
        <v>1080</v>
      </c>
      <c r="J120" s="11" t="s">
        <v>1081</v>
      </c>
      <c r="K120" s="11" t="s">
        <v>894</v>
      </c>
      <c r="L120" s="11"/>
      <c r="M120" s="11">
        <v>8443771</v>
      </c>
      <c r="N120" s="11">
        <f>1126543.36</f>
        <v>1126543.3600000001</v>
      </c>
      <c r="O120" s="11"/>
      <c r="P120" s="11"/>
      <c r="Q120" s="15" t="s">
        <v>1082</v>
      </c>
      <c r="R120" s="16">
        <v>41127</v>
      </c>
      <c r="S120" s="11">
        <v>2534</v>
      </c>
      <c r="T120" s="11"/>
      <c r="U120" s="11" t="s">
        <v>938</v>
      </c>
      <c r="V120" s="17">
        <v>0.03</v>
      </c>
      <c r="W120" s="11">
        <f t="shared" si="34"/>
        <v>287109.43079999997</v>
      </c>
      <c r="X120" s="11">
        <f>253313+33796</f>
        <v>287109</v>
      </c>
      <c r="Y120" s="11">
        <f>287109</f>
        <v>287109</v>
      </c>
      <c r="Z120" s="11">
        <v>0</v>
      </c>
      <c r="AA120" s="11">
        <f>4000000+1000000+800000+899000+1400000+500000</f>
        <v>8599000</v>
      </c>
      <c r="AB120" s="11">
        <f>8599000</f>
        <v>8599000</v>
      </c>
      <c r="AC120" s="11">
        <v>8599000</v>
      </c>
      <c r="AD120" s="11">
        <v>8599000</v>
      </c>
      <c r="AE120" s="18">
        <f t="shared" si="33"/>
        <v>0.89850758047617574</v>
      </c>
      <c r="AF120" s="11">
        <f>10132.53+2000000+7943.73+294964+150000+181500+300000+163490+350000+700000+100000+1100000+600000</f>
        <v>5958030.2599999998</v>
      </c>
      <c r="AG120" s="11">
        <f>5958030.26</f>
        <v>5958030.2599999998</v>
      </c>
      <c r="AH120" s="11">
        <f>10132.53+2864800+294964+200000+150000+150000+50000+250000+918578+19695+27200+300000+163490+350000+30566+700000+100000-50000+47600+1100000+300000+17000+600000</f>
        <v>8594025.5299999993</v>
      </c>
      <c r="AI120" s="11"/>
      <c r="AJ120" s="11"/>
      <c r="AK120" s="11"/>
      <c r="AL120" s="11">
        <f>8594025.53</f>
        <v>8594025.5299999993</v>
      </c>
      <c r="AM120" s="17">
        <v>3.4000000000000002E-2</v>
      </c>
      <c r="AN120" s="17">
        <f t="shared" si="27"/>
        <v>292366</v>
      </c>
      <c r="AO120" s="11">
        <f>136000+34000+27200+30566+47600+17000</f>
        <v>292366</v>
      </c>
      <c r="AP120" s="11">
        <f>292366</f>
        <v>292366</v>
      </c>
      <c r="AQ120" s="11">
        <f t="shared" si="35"/>
        <v>0</v>
      </c>
      <c r="AR120" s="11"/>
      <c r="AS120" s="11">
        <v>72</v>
      </c>
      <c r="AT120" s="11" t="s">
        <v>907</v>
      </c>
    </row>
    <row r="121" spans="1:46" x14ac:dyDescent="0.15">
      <c r="A121" s="54">
        <v>41113</v>
      </c>
      <c r="B121" s="11" t="s">
        <v>1083</v>
      </c>
      <c r="C121" s="11" t="s">
        <v>137</v>
      </c>
      <c r="D121" s="11" t="s">
        <v>1084</v>
      </c>
      <c r="E121" s="11" t="s">
        <v>900</v>
      </c>
      <c r="F121" s="11" t="s">
        <v>1085</v>
      </c>
      <c r="G121" s="11" t="s">
        <v>983</v>
      </c>
      <c r="H121" s="11" t="s">
        <v>1086</v>
      </c>
      <c r="I121" s="11" t="s">
        <v>1087</v>
      </c>
      <c r="J121" s="11" t="s">
        <v>1088</v>
      </c>
      <c r="K121" s="11" t="s">
        <v>526</v>
      </c>
      <c r="L121" s="11"/>
      <c r="M121" s="11">
        <v>4520000</v>
      </c>
      <c r="N121" s="11"/>
      <c r="O121" s="11"/>
      <c r="P121" s="11"/>
      <c r="Q121" s="15" t="s">
        <v>1089</v>
      </c>
      <c r="R121" s="16">
        <v>41114</v>
      </c>
      <c r="S121" s="11">
        <v>1356</v>
      </c>
      <c r="T121" s="11"/>
      <c r="U121" s="11" t="s">
        <v>938</v>
      </c>
      <c r="V121" s="17">
        <v>3.5999999999999997E-2</v>
      </c>
      <c r="W121" s="11">
        <f t="shared" si="34"/>
        <v>162720</v>
      </c>
      <c r="X121" s="11">
        <f>100000+62720</f>
        <v>162720</v>
      </c>
      <c r="Y121" s="11">
        <f>162720</f>
        <v>162720</v>
      </c>
      <c r="Z121" s="11">
        <f t="shared" si="36"/>
        <v>0</v>
      </c>
      <c r="AA121" s="11">
        <f>1356000+1356000+904000+779540.75</f>
        <v>4395540.75</v>
      </c>
      <c r="AB121" s="11">
        <f>4395540.75</f>
        <v>4395540.75</v>
      </c>
      <c r="AC121" s="11">
        <v>3616000</v>
      </c>
      <c r="AD121" s="11">
        <v>3616000</v>
      </c>
      <c r="AE121" s="18">
        <f t="shared" si="33"/>
        <v>0.8</v>
      </c>
      <c r="AF121" s="11">
        <f>882756+320000+100000+1357716+824000+49264</f>
        <v>3533736</v>
      </c>
      <c r="AG121" s="11">
        <f>3533736</f>
        <v>3533736</v>
      </c>
      <c r="AH121" s="11">
        <f>934284+320000+100000+1357716+854736+49264</f>
        <v>3616000</v>
      </c>
      <c r="AI121" s="11"/>
      <c r="AJ121" s="11"/>
      <c r="AK121" s="11"/>
      <c r="AL121" s="11">
        <f>3616000</f>
        <v>3616000</v>
      </c>
      <c r="AM121" s="17">
        <v>3.4000000000000002E-2</v>
      </c>
      <c r="AN121" s="17">
        <f t="shared" si="27"/>
        <v>149448.3855</v>
      </c>
      <c r="AO121" s="11">
        <f>46104+46104+30736+26504</f>
        <v>149448</v>
      </c>
      <c r="AP121" s="11">
        <f>149448</f>
        <v>149448</v>
      </c>
      <c r="AQ121" s="11">
        <v>0</v>
      </c>
      <c r="AR121" s="11"/>
      <c r="AS121" s="11"/>
      <c r="AT121" s="11"/>
    </row>
    <row r="122" spans="1:46" x14ac:dyDescent="0.15">
      <c r="A122" s="54">
        <v>41113</v>
      </c>
      <c r="B122" s="11" t="s">
        <v>1090</v>
      </c>
      <c r="C122" s="11" t="s">
        <v>139</v>
      </c>
      <c r="D122" s="11" t="s">
        <v>1091</v>
      </c>
      <c r="E122" s="11" t="s">
        <v>900</v>
      </c>
      <c r="F122" s="11" t="s">
        <v>1092</v>
      </c>
      <c r="G122" s="11" t="s">
        <v>943</v>
      </c>
      <c r="H122" s="11" t="s">
        <v>1013</v>
      </c>
      <c r="I122" s="11" t="s">
        <v>1014</v>
      </c>
      <c r="J122" s="11" t="s">
        <v>1013</v>
      </c>
      <c r="K122" s="11" t="s">
        <v>894</v>
      </c>
      <c r="L122" s="11"/>
      <c r="M122" s="11">
        <v>8171765</v>
      </c>
      <c r="N122" s="11"/>
      <c r="O122" s="11"/>
      <c r="P122" s="11"/>
      <c r="Q122" s="15" t="s">
        <v>1093</v>
      </c>
      <c r="R122" s="16">
        <v>41135</v>
      </c>
      <c r="S122" s="11">
        <v>2452</v>
      </c>
      <c r="T122" s="11"/>
      <c r="U122" s="11" t="s">
        <v>906</v>
      </c>
      <c r="V122" s="17">
        <v>0.03</v>
      </c>
      <c r="W122" s="11">
        <f t="shared" si="34"/>
        <v>245152.94999999998</v>
      </c>
      <c r="X122" s="11">
        <f>245153</f>
        <v>245153</v>
      </c>
      <c r="Y122" s="11">
        <f>245153</f>
        <v>245153</v>
      </c>
      <c r="Z122" s="11">
        <v>0</v>
      </c>
      <c r="AA122" s="11">
        <f>3000000+2000000+1000000</f>
        <v>6000000</v>
      </c>
      <c r="AB122" s="11">
        <f>6000000</f>
        <v>6000000</v>
      </c>
      <c r="AC122" s="11">
        <v>6000000</v>
      </c>
      <c r="AD122" s="11">
        <v>6000000</v>
      </c>
      <c r="AE122" s="18">
        <f t="shared" si="33"/>
        <v>0.73423550481444344</v>
      </c>
      <c r="AF122" s="11">
        <f>800000+549940+599995+19064.7+499995+100000+16327+7778.75+73078+63360+62496+99999+999990+119033+99000+10112+299987+50000+499970+593488.9+50000</f>
        <v>5613614.3500000006</v>
      </c>
      <c r="AG122" s="11">
        <f>5613614.35</f>
        <v>5613614.3499999996</v>
      </c>
      <c r="AH122" s="11">
        <f>902000+558112+599995+63219.7+499995+100000+100000-100000+7778.75+73078+63360+62496+60000+1191342.25+159032+99000+41000+10112+299987+84000+499970+593488.9-41000+50000+2394+12400</f>
        <v>5991760.6000000006</v>
      </c>
      <c r="AI122" s="11"/>
      <c r="AJ122" s="11"/>
      <c r="AK122" s="11"/>
      <c r="AL122" s="11">
        <f>5991760.6</f>
        <v>5991760.5999999996</v>
      </c>
      <c r="AM122" s="17">
        <v>3.4000000000000002E-2</v>
      </c>
      <c r="AN122" s="17">
        <f t="shared" si="27"/>
        <v>204000.00000000003</v>
      </c>
      <c r="AO122" s="11">
        <f>102000+68000+34000</f>
        <v>204000</v>
      </c>
      <c r="AP122" s="11">
        <f>204000</f>
        <v>204000</v>
      </c>
      <c r="AQ122" s="11">
        <f t="shared" si="35"/>
        <v>0</v>
      </c>
      <c r="AR122" s="11"/>
      <c r="AS122" s="11">
        <v>100</v>
      </c>
      <c r="AT122" s="11" t="s">
        <v>948</v>
      </c>
    </row>
    <row r="123" spans="1:46" x14ac:dyDescent="0.15">
      <c r="A123" s="54">
        <v>41128</v>
      </c>
      <c r="B123" s="11" t="s">
        <v>1094</v>
      </c>
      <c r="C123" s="11" t="s">
        <v>145</v>
      </c>
      <c r="D123" s="11" t="s">
        <v>1095</v>
      </c>
      <c r="E123" s="11" t="s">
        <v>900</v>
      </c>
      <c r="F123" s="11" t="s">
        <v>1096</v>
      </c>
      <c r="G123" s="11" t="s">
        <v>943</v>
      </c>
      <c r="H123" s="11" t="s">
        <v>1097</v>
      </c>
      <c r="I123" s="11" t="s">
        <v>1098</v>
      </c>
      <c r="J123" s="11" t="s">
        <v>1097</v>
      </c>
      <c r="K123" s="11" t="s">
        <v>894</v>
      </c>
      <c r="L123" s="11"/>
      <c r="M123" s="11">
        <v>5170956.9400000004</v>
      </c>
      <c r="N123" s="11"/>
      <c r="O123" s="11"/>
      <c r="P123" s="11"/>
      <c r="Q123" s="15" t="s">
        <v>1099</v>
      </c>
      <c r="R123" s="16">
        <v>41150</v>
      </c>
      <c r="S123" s="11">
        <v>1552</v>
      </c>
      <c r="T123" s="11"/>
      <c r="U123" s="11" t="s">
        <v>906</v>
      </c>
      <c r="V123" s="17">
        <v>0.03</v>
      </c>
      <c r="W123" s="11">
        <f t="shared" si="34"/>
        <v>155128.70819999999</v>
      </c>
      <c r="X123" s="11">
        <f>80000+75129</f>
        <v>155129</v>
      </c>
      <c r="Y123" s="11">
        <f>155129</f>
        <v>155129</v>
      </c>
      <c r="Z123" s="11">
        <v>0</v>
      </c>
      <c r="AA123" s="11">
        <f>500000+500000+1000000+2136765.55+775643.54</f>
        <v>4912409.09</v>
      </c>
      <c r="AB123" s="11">
        <f>4912409.09</f>
        <v>4912409.09</v>
      </c>
      <c r="AC123" s="11">
        <v>4912409.09</v>
      </c>
      <c r="AD123" s="11">
        <v>4912409.09</v>
      </c>
      <c r="AE123" s="18">
        <f t="shared" si="33"/>
        <v>0.94999999941983648</v>
      </c>
      <c r="AF123" s="11">
        <f>88900+390795+432480+746378.45+170000+41200+2038329+18200+750000</f>
        <v>4676282.45</v>
      </c>
      <c r="AG123" s="11">
        <f>4676282.45</f>
        <v>4676282.45</v>
      </c>
      <c r="AH123" s="11">
        <f>105900+390795+449480+50000+780378.45+178800+41200+2110979+18200+776372</f>
        <v>4902104.45</v>
      </c>
      <c r="AI123" s="11"/>
      <c r="AJ123" s="11"/>
      <c r="AK123" s="11"/>
      <c r="AL123" s="11">
        <f>4902104.45</f>
        <v>4902104.45</v>
      </c>
      <c r="AM123" s="17">
        <v>3.4000000000000002E-2</v>
      </c>
      <c r="AN123" s="17">
        <f t="shared" si="27"/>
        <v>167021.90906000001</v>
      </c>
      <c r="AO123" s="11">
        <f>17000+17000+34000+72650+26372</f>
        <v>167022</v>
      </c>
      <c r="AP123" s="11">
        <f>167022</f>
        <v>167022</v>
      </c>
      <c r="AQ123" s="11">
        <v>0</v>
      </c>
      <c r="AR123" s="11"/>
      <c r="AS123" s="11">
        <v>16</v>
      </c>
      <c r="AT123" s="11" t="s">
        <v>907</v>
      </c>
    </row>
    <row r="124" spans="1:46" x14ac:dyDescent="0.15">
      <c r="A124" s="54">
        <v>41130</v>
      </c>
      <c r="B124" s="11" t="s">
        <v>1100</v>
      </c>
      <c r="C124" s="11" t="s">
        <v>147</v>
      </c>
      <c r="D124" s="11" t="s">
        <v>1101</v>
      </c>
      <c r="E124" s="11" t="s">
        <v>900</v>
      </c>
      <c r="F124" s="11" t="s">
        <v>1102</v>
      </c>
      <c r="G124" s="11" t="s">
        <v>943</v>
      </c>
      <c r="H124" s="11" t="s">
        <v>1103</v>
      </c>
      <c r="I124" s="11" t="s">
        <v>1104</v>
      </c>
      <c r="J124" s="11" t="s">
        <v>1105</v>
      </c>
      <c r="K124" s="11" t="s">
        <v>894</v>
      </c>
      <c r="L124" s="11"/>
      <c r="M124" s="11">
        <v>7737463.3499999996</v>
      </c>
      <c r="N124" s="11"/>
      <c r="O124" s="11"/>
      <c r="P124" s="11"/>
      <c r="Q124" s="15" t="s">
        <v>1106</v>
      </c>
      <c r="R124" s="16">
        <v>41171</v>
      </c>
      <c r="S124" s="11">
        <v>2321</v>
      </c>
      <c r="T124" s="11"/>
      <c r="U124" s="11" t="s">
        <v>906</v>
      </c>
      <c r="V124" s="17">
        <v>0.03</v>
      </c>
      <c r="W124" s="11">
        <f t="shared" si="34"/>
        <v>232123.90049999999</v>
      </c>
      <c r="X124" s="11">
        <f>70000+162124</f>
        <v>232124</v>
      </c>
      <c r="Y124" s="11">
        <f>232124</f>
        <v>232124</v>
      </c>
      <c r="Z124" s="11">
        <v>0</v>
      </c>
      <c r="AA124" s="11">
        <f>1547492.67+2321239.01+2321239.01+386873.17+773746.34+386873.16</f>
        <v>7737463.3599999994</v>
      </c>
      <c r="AB124" s="11">
        <f>7737463.36</f>
        <v>7737463.3600000003</v>
      </c>
      <c r="AC124" s="11">
        <v>7737463.3599999994</v>
      </c>
      <c r="AD124" s="11">
        <v>7737463.3600000003</v>
      </c>
      <c r="AE124" s="18">
        <f t="shared" si="33"/>
        <v>1.0000000012924133</v>
      </c>
      <c r="AF124" s="11">
        <f>323212.39+756000+250001.5+70000+1859895.5+200000+2198228.61+100000+181610+199980+300000+94863+142753.11+231000+1183</f>
        <v>6908727.1100000003</v>
      </c>
      <c r="AG124" s="11">
        <f>6908727.11</f>
        <v>6908727.1100000003</v>
      </c>
      <c r="AH124" s="11">
        <f>441254.49+756000+250001.5+148922+1859895.5+278922+2198228.61+200000+13154+400000+26307+181610+199980+300000+94863+155907.11+231000</f>
        <v>7736045.21</v>
      </c>
      <c r="AI124" s="11">
        <v>38</v>
      </c>
      <c r="AJ124" s="11">
        <v>402</v>
      </c>
      <c r="AK124" s="11">
        <v>743</v>
      </c>
      <c r="AL124" s="11">
        <f>7736045.21+38+402+743</f>
        <v>7737228.21</v>
      </c>
      <c r="AM124" s="17">
        <v>3.4000000000000002E-2</v>
      </c>
      <c r="AN124" s="17">
        <f t="shared" si="27"/>
        <v>263073.75424000004</v>
      </c>
      <c r="AO124" s="11">
        <f>52615+78922+78922+13154+26307+13154</f>
        <v>263074</v>
      </c>
      <c r="AP124" s="11">
        <f>263074</f>
        <v>263074</v>
      </c>
      <c r="AQ124" s="11">
        <v>0</v>
      </c>
      <c r="AR124" s="11"/>
      <c r="AS124" s="11">
        <v>10</v>
      </c>
      <c r="AT124" s="11" t="s">
        <v>948</v>
      </c>
    </row>
    <row r="125" spans="1:46" s="32" customFormat="1" x14ac:dyDescent="0.15">
      <c r="A125" s="57">
        <v>41130</v>
      </c>
      <c r="B125" s="11" t="s">
        <v>1107</v>
      </c>
      <c r="C125" s="26" t="s">
        <v>149</v>
      </c>
      <c r="D125" s="26" t="s">
        <v>1108</v>
      </c>
      <c r="E125" s="26" t="s">
        <v>900</v>
      </c>
      <c r="F125" s="26" t="s">
        <v>1109</v>
      </c>
      <c r="G125" s="26" t="s">
        <v>943</v>
      </c>
      <c r="H125" s="26" t="s">
        <v>1110</v>
      </c>
      <c r="I125" s="27" t="s">
        <v>1111</v>
      </c>
      <c r="J125" s="27" t="s">
        <v>1112</v>
      </c>
      <c r="K125" s="27" t="s">
        <v>894</v>
      </c>
      <c r="L125" s="26"/>
      <c r="M125" s="26">
        <v>1615034.9</v>
      </c>
      <c r="N125" s="26">
        <f>1527323.5+1503973.3+5590963.1+1918613.4+8500000+1929960.1</f>
        <v>20970833.399999999</v>
      </c>
      <c r="O125" s="26"/>
      <c r="P125" s="26"/>
      <c r="Q125" s="28" t="s">
        <v>1113</v>
      </c>
      <c r="R125" s="29">
        <v>41134</v>
      </c>
      <c r="S125" s="26">
        <v>485</v>
      </c>
      <c r="T125" s="26"/>
      <c r="U125" s="26" t="s">
        <v>906</v>
      </c>
      <c r="V125" s="30">
        <v>0.03</v>
      </c>
      <c r="W125" s="26">
        <f t="shared" si="34"/>
        <v>677576.04899999988</v>
      </c>
      <c r="X125" s="26">
        <f>58141+100000+100000+419435</f>
        <v>677576</v>
      </c>
      <c r="Y125" s="26">
        <f>677576</f>
        <v>677576</v>
      </c>
      <c r="Z125" s="26">
        <v>0</v>
      </c>
      <c r="AA125" s="26">
        <f>500000+300000+850000+1000000+200000+2000000+2000000+1500000+1500000+500000+2000000+2000000+500000+1500000+500000+1500000+700000+700000</f>
        <v>19750000</v>
      </c>
      <c r="AB125" s="26">
        <f>19750000</f>
        <v>19750000</v>
      </c>
      <c r="AC125" s="11">
        <v>18850000</v>
      </c>
      <c r="AD125" s="11">
        <v>18850000</v>
      </c>
      <c r="AE125" s="31">
        <f t="shared" si="33"/>
        <v>0.83459266429885282</v>
      </c>
      <c r="AF125" s="26">
        <f>1938+290649+99880+85000+896486.95+154000+1027843.48+85000+44152+600000+2186476.11+1420000+161298+241600+100000+150000+100000+340000+18227+1950481.81+1646000+150000+108000+150000+100000+858285.83+600000+484598+100000+76725.77+115086.95+97917+1731357.66+30000+12500+49641+200476.34+60000+13000+8724.5+23000</f>
        <v>16568345.399999999</v>
      </c>
      <c r="AG125" s="26">
        <f>16568345.4</f>
        <v>16568345.4</v>
      </c>
      <c r="AH125" s="26">
        <f>1938+17000+290640+99880+85000+39100+900000+188000+6800+1027843.48+85000+30000+44152+1036000+2186476.11+51000+1420000+161298+241600+100000+50000+51000+1442548.16-50000+100000+17000+340000+18227+136000+1950481.81+1646000+150000+108000+150000+51000+100000+858285.83+600000+17000+484598+100000+50000+76725.77-30000+115086.95+97917-50000+1829957.66+30000+12500+49641+200476.34+60000+13000+8724.5+23000</f>
        <v>18818897.609999999</v>
      </c>
      <c r="AI125" s="26"/>
      <c r="AJ125" s="26"/>
      <c r="AK125" s="26"/>
      <c r="AL125" s="26">
        <f>18818897.61</f>
        <v>18818897.609999999</v>
      </c>
      <c r="AM125" s="30">
        <v>3.4000000000000002E-2</v>
      </c>
      <c r="AN125" s="30">
        <f t="shared" si="27"/>
        <v>671500</v>
      </c>
      <c r="AO125" s="26">
        <f>17000+10200+28900+34000+6800+68000+68000+51000+51000+17000+68000+68000+17000+51000+17000+51000+23800+23800</f>
        <v>671500</v>
      </c>
      <c r="AP125" s="26">
        <f>671500</f>
        <v>671500</v>
      </c>
      <c r="AQ125" s="26">
        <f t="shared" si="35"/>
        <v>0</v>
      </c>
      <c r="AR125" s="26"/>
      <c r="AS125" s="26"/>
      <c r="AT125" s="26"/>
    </row>
    <row r="126" spans="1:46" x14ac:dyDescent="0.15">
      <c r="A126" s="54">
        <v>41155</v>
      </c>
      <c r="B126" s="11" t="s">
        <v>1114</v>
      </c>
      <c r="C126" s="11" t="s">
        <v>1115</v>
      </c>
      <c r="D126" s="11" t="s">
        <v>1116</v>
      </c>
      <c r="E126" s="11" t="s">
        <v>988</v>
      </c>
      <c r="F126" s="11" t="s">
        <v>1117</v>
      </c>
      <c r="G126" s="11" t="s">
        <v>943</v>
      </c>
      <c r="H126" s="11" t="s">
        <v>1118</v>
      </c>
      <c r="I126" s="11" t="s">
        <v>1119</v>
      </c>
      <c r="J126" s="11" t="s">
        <v>1120</v>
      </c>
      <c r="K126" s="11" t="s">
        <v>894</v>
      </c>
      <c r="L126" s="11"/>
      <c r="M126" s="11">
        <v>20572132.07</v>
      </c>
      <c r="N126" s="11"/>
      <c r="O126" s="11"/>
      <c r="P126" s="11"/>
      <c r="Q126" s="15" t="s">
        <v>1121</v>
      </c>
      <c r="R126" s="16">
        <v>41199</v>
      </c>
      <c r="S126" s="11">
        <v>6981</v>
      </c>
      <c r="T126" s="11"/>
      <c r="U126" s="11" t="s">
        <v>938</v>
      </c>
      <c r="V126" s="17">
        <v>0.03</v>
      </c>
      <c r="W126" s="11">
        <f>(M126+N126)*V126</f>
        <v>617163.9621</v>
      </c>
      <c r="X126" s="11">
        <f>160000+200000+200000+57164</f>
        <v>617164</v>
      </c>
      <c r="Y126" s="11">
        <f>617164</f>
        <v>617164</v>
      </c>
      <c r="Z126" s="11">
        <v>0</v>
      </c>
      <c r="AA126" s="11">
        <f>1500000+1000000+2000000+1000000+1350000+500000+500000+200000+300000+100000</f>
        <v>8450000</v>
      </c>
      <c r="AB126" s="11">
        <f>8450000</f>
        <v>8450000</v>
      </c>
      <c r="AC126" s="11">
        <v>11402300</v>
      </c>
      <c r="AD126" s="11">
        <v>11402300</v>
      </c>
      <c r="AE126" s="18">
        <f t="shared" si="33"/>
        <v>0.55425951773991311</v>
      </c>
      <c r="AF126" s="11">
        <f>1060000+100000+320000+500000+905000+365000+135000+891724+107450+158455.45+945898+200000+282568+250000+100000+340000+539036+549000+432800+100000+200000+110000+606576+98000+170000+9621</f>
        <v>9476128.4499999993</v>
      </c>
      <c r="AG126" s="11">
        <f>9476128.45</f>
        <v>9476128.4499999993</v>
      </c>
      <c r="AH126" s="11">
        <f>1111000+120942+250000+172000+500000+1305000+365000+135000+523429.22+925724-34000+107450+158455.45+1195898+200000+282568+250000+100000+340000+38200+539036+549000+432800+100000+34000+6800+200000+110000+616776+98000+120000+20000+30000+3400+9621</f>
        <v>10916099.67</v>
      </c>
      <c r="AI126" s="11"/>
      <c r="AJ126" s="11"/>
      <c r="AK126" s="11"/>
      <c r="AL126" s="11">
        <f>10916099.67</f>
        <v>10916099.67</v>
      </c>
      <c r="AM126" s="17">
        <v>3.4000000000000002E-2</v>
      </c>
      <c r="AN126" s="17">
        <f t="shared" si="27"/>
        <v>287300</v>
      </c>
      <c r="AO126" s="11">
        <f>51000+34000+68000+34000+45900+17000+17000+6800+10200+3400</f>
        <v>287300</v>
      </c>
      <c r="AP126" s="11">
        <f>287300</f>
        <v>287300</v>
      </c>
      <c r="AQ126" s="11">
        <v>0</v>
      </c>
      <c r="AR126" s="11"/>
      <c r="AS126" s="11">
        <v>55</v>
      </c>
      <c r="AT126" s="11" t="s">
        <v>948</v>
      </c>
    </row>
    <row r="127" spans="1:46" x14ac:dyDescent="0.15">
      <c r="A127" s="54">
        <v>41155</v>
      </c>
      <c r="B127" s="11" t="s">
        <v>1122</v>
      </c>
      <c r="C127" s="11" t="s">
        <v>155</v>
      </c>
      <c r="D127" s="11" t="s">
        <v>1123</v>
      </c>
      <c r="E127" s="11" t="s">
        <v>988</v>
      </c>
      <c r="F127" s="11" t="s">
        <v>1124</v>
      </c>
      <c r="G127" s="11" t="s">
        <v>943</v>
      </c>
      <c r="H127" s="25" t="s">
        <v>1125</v>
      </c>
      <c r="I127" s="25" t="s">
        <v>1067</v>
      </c>
      <c r="J127" s="25" t="s">
        <v>1068</v>
      </c>
      <c r="K127" s="25" t="s">
        <v>894</v>
      </c>
      <c r="L127" s="11"/>
      <c r="M127" s="11">
        <v>500000</v>
      </c>
      <c r="N127" s="11">
        <f>1448352.21+231798.88</f>
        <v>1680151.0899999999</v>
      </c>
      <c r="O127" s="11"/>
      <c r="P127" s="11"/>
      <c r="Q127" s="15" t="s">
        <v>1126</v>
      </c>
      <c r="R127" s="16">
        <v>41155</v>
      </c>
      <c r="S127" s="11">
        <f>150+70</f>
        <v>220</v>
      </c>
      <c r="T127" s="11"/>
      <c r="U127" s="11" t="s">
        <v>906</v>
      </c>
      <c r="V127" s="17">
        <v>0.03</v>
      </c>
      <c r="W127" s="11">
        <f>(M127+N127)*V127</f>
        <v>65404.532699999996</v>
      </c>
      <c r="X127" s="11">
        <f>15000+43451+6954</f>
        <v>65405</v>
      </c>
      <c r="Y127" s="11">
        <f>65405</f>
        <v>65405</v>
      </c>
      <c r="Z127" s="11">
        <v>0</v>
      </c>
      <c r="AA127" s="11">
        <f>200000+57949.72+362088.05+231736.35+75000+34769.83+200000+10000+292439.76+54407.22+92719.55+125000</f>
        <v>1736110.48</v>
      </c>
      <c r="AB127" s="11">
        <f>1736110.48</f>
        <v>1736110.48</v>
      </c>
      <c r="AC127" s="11">
        <v>1681703.26</v>
      </c>
      <c r="AD127" s="11">
        <v>1681703.26</v>
      </c>
      <c r="AE127" s="18">
        <f t="shared" si="33"/>
        <v>0.77137005215542198</v>
      </c>
      <c r="AF127" s="11">
        <f>47000+98000+193158.45+212580+200000+101457.16+27500+9900+100000+90000+210317.55</f>
        <v>1289913.1599999999</v>
      </c>
      <c r="AG127" s="11">
        <f>1289913.16</f>
        <v>1289913.1599999999</v>
      </c>
      <c r="AH127" s="11">
        <f>53800+1970+12311+98000+193158.45+7879+3732+212580+200000+101457.16+27500+9900+6800+100000+90000+340+9943+1850+3152+4250+210317.55</f>
        <v>1348940.16</v>
      </c>
      <c r="AI127" s="11"/>
      <c r="AJ127" s="11"/>
      <c r="AK127" s="11"/>
      <c r="AL127" s="11">
        <f>1348940.16</f>
        <v>1348940.16</v>
      </c>
      <c r="AM127" s="17">
        <v>3.4000000000000002E-2</v>
      </c>
      <c r="AN127" s="17">
        <f t="shared" si="27"/>
        <v>59027.75632</v>
      </c>
      <c r="AO127" s="11">
        <f>6800+1970+12311+7879+2550+1182+6800+340+9943+1850+4250+3152</f>
        <v>59027</v>
      </c>
      <c r="AP127" s="11">
        <f>59027</f>
        <v>59027</v>
      </c>
      <c r="AQ127" s="11">
        <v>0</v>
      </c>
      <c r="AR127" s="11"/>
      <c r="AS127" s="11">
        <v>63</v>
      </c>
      <c r="AT127" s="11" t="s">
        <v>1127</v>
      </c>
    </row>
    <row r="128" spans="1:46" x14ac:dyDescent="0.15">
      <c r="A128" s="54">
        <v>41172</v>
      </c>
      <c r="B128" s="11" t="s">
        <v>1128</v>
      </c>
      <c r="C128" s="11" t="s">
        <v>157</v>
      </c>
      <c r="D128" s="11" t="s">
        <v>1129</v>
      </c>
      <c r="E128" s="11" t="s">
        <v>900</v>
      </c>
      <c r="F128" s="11" t="s">
        <v>1130</v>
      </c>
      <c r="G128" s="11" t="s">
        <v>943</v>
      </c>
      <c r="H128" s="25" t="s">
        <v>1131</v>
      </c>
      <c r="I128" s="11" t="s">
        <v>1132</v>
      </c>
      <c r="J128" s="11" t="s">
        <v>1133</v>
      </c>
      <c r="K128" s="11" t="s">
        <v>894</v>
      </c>
      <c r="L128" s="11"/>
      <c r="M128" s="11">
        <v>7729248</v>
      </c>
      <c r="N128" s="11">
        <f>364302</f>
        <v>364302</v>
      </c>
      <c r="O128" s="11"/>
      <c r="P128" s="11"/>
      <c r="Q128" s="15" t="s">
        <v>1134</v>
      </c>
      <c r="R128" s="16">
        <v>41199</v>
      </c>
      <c r="S128" s="11">
        <v>2319</v>
      </c>
      <c r="T128" s="11"/>
      <c r="U128" s="11" t="s">
        <v>906</v>
      </c>
      <c r="V128" s="17">
        <v>0.03</v>
      </c>
      <c r="W128" s="11">
        <f t="shared" ref="W128:W143" si="37">(M128+N128)*V128</f>
        <v>242806.5</v>
      </c>
      <c r="X128" s="11">
        <f>100000+75400+56477+10929</f>
        <v>242806</v>
      </c>
      <c r="Y128" s="11">
        <f>242806</f>
        <v>242806</v>
      </c>
      <c r="Z128" s="11">
        <v>0</v>
      </c>
      <c r="AA128" s="11">
        <f>1000000+1000000+1000000+1000000+1000000+100000+270000</f>
        <v>5370000</v>
      </c>
      <c r="AB128" s="11">
        <f>5370000</f>
        <v>5370000</v>
      </c>
      <c r="AC128" s="11">
        <v>5370000</v>
      </c>
      <c r="AD128" s="11">
        <v>5370000</v>
      </c>
      <c r="AE128" s="18">
        <f t="shared" si="33"/>
        <v>0.66349129862668421</v>
      </c>
      <c r="AF128" s="11">
        <f>868357.38+31500+200000+85896+232143.7+239750.01+205800+948440+720000+55382+105000+60390+26000+372628.15+200000+312625.2+50000+60000+2440.06+100789.5+687+28562</f>
        <v>4906391</v>
      </c>
      <c r="AG128" s="11">
        <f>4906391</f>
        <v>4906391</v>
      </c>
      <c r="AH128" s="11">
        <f>916357.38+165500+100000+85896+232143.7+239750.01+239800+982440+720000+55382+105000+65090+84000+348628.15+200000+312625.2+50000+60000+2440.06+3400+100000+28560</f>
        <v>5097012.5</v>
      </c>
      <c r="AI128" s="11"/>
      <c r="AJ128" s="11">
        <f>111.5+400</f>
        <v>511.5</v>
      </c>
      <c r="AK128" s="11">
        <f>687+287</f>
        <v>974</v>
      </c>
      <c r="AL128" s="11">
        <f>5097012.5+511.5+974</f>
        <v>5098498</v>
      </c>
      <c r="AM128" s="17">
        <v>3.4000000000000002E-2</v>
      </c>
      <c r="AN128" s="17">
        <f t="shared" si="27"/>
        <v>182580</v>
      </c>
      <c r="AO128" s="11">
        <f>34000+34000+34000+34000+34000+3400</f>
        <v>173400</v>
      </c>
      <c r="AP128" s="11">
        <f>173400</f>
        <v>173400</v>
      </c>
      <c r="AQ128" s="11">
        <f>AN128-AP128</f>
        <v>9180</v>
      </c>
      <c r="AR128" s="11"/>
      <c r="AS128" s="11">
        <v>50</v>
      </c>
      <c r="AT128" s="11" t="s">
        <v>1135</v>
      </c>
    </row>
    <row r="129" spans="1:46" x14ac:dyDescent="0.15">
      <c r="A129" s="54">
        <v>41242</v>
      </c>
      <c r="B129" s="11" t="s">
        <v>1136</v>
      </c>
      <c r="C129" s="11" t="s">
        <v>165</v>
      </c>
      <c r="D129" s="11" t="s">
        <v>1137</v>
      </c>
      <c r="E129" s="11" t="s">
        <v>900</v>
      </c>
      <c r="F129" s="11" t="s">
        <v>1041</v>
      </c>
      <c r="G129" s="11" t="s">
        <v>943</v>
      </c>
      <c r="H129" s="25" t="s">
        <v>1042</v>
      </c>
      <c r="I129" s="11" t="s">
        <v>1043</v>
      </c>
      <c r="J129" s="11" t="s">
        <v>1044</v>
      </c>
      <c r="K129" s="11" t="s">
        <v>894</v>
      </c>
      <c r="L129" s="11"/>
      <c r="M129" s="11">
        <v>1947790</v>
      </c>
      <c r="N129" s="11">
        <f>1962080+1996240</f>
        <v>3958320</v>
      </c>
      <c r="O129" s="11"/>
      <c r="P129" s="11"/>
      <c r="Q129" s="15" t="s">
        <v>1138</v>
      </c>
      <c r="R129" s="16">
        <v>41247</v>
      </c>
      <c r="S129" s="11">
        <f>585+589+599</f>
        <v>1773</v>
      </c>
      <c r="T129" s="11"/>
      <c r="U129" s="11" t="s">
        <v>906</v>
      </c>
      <c r="V129" s="17">
        <v>0.03</v>
      </c>
      <c r="W129" s="11">
        <f t="shared" si="37"/>
        <v>177183.3</v>
      </c>
      <c r="X129" s="11">
        <f>100000+77183</f>
        <v>177183</v>
      </c>
      <c r="Y129" s="11">
        <f>177183</f>
        <v>177183</v>
      </c>
      <c r="Z129" s="11">
        <v>0</v>
      </c>
      <c r="AA129" s="11">
        <f>1180000+1256010+1282920+1210178.8</f>
        <v>4929108.8</v>
      </c>
      <c r="AB129" s="11">
        <f>4929108.8</f>
        <v>4929108.8</v>
      </c>
      <c r="AC129" s="11">
        <v>4679800</v>
      </c>
      <c r="AD129" s="11">
        <v>4679800</v>
      </c>
      <c r="AE129" s="18">
        <f t="shared" si="33"/>
        <v>0.79236587195294361</v>
      </c>
      <c r="AF129" s="11">
        <f>633623.41+390548+400000+150000+290500+205649.3+1500000</f>
        <v>3570320.71</v>
      </c>
      <c r="AG129" s="11">
        <f>3570320.71</f>
        <v>3570320.71</v>
      </c>
      <c r="AH129" s="11">
        <f>673743.41+390548+42704+400000+193619+378500+205649.3+80000+1500000+41146</f>
        <v>3905909.71</v>
      </c>
      <c r="AI129" s="11"/>
      <c r="AJ129" s="11"/>
      <c r="AK129" s="11"/>
      <c r="AL129" s="11">
        <f>3905909.71</f>
        <v>3905909.71</v>
      </c>
      <c r="AM129" s="17">
        <v>3.4000000000000002E-2</v>
      </c>
      <c r="AN129" s="17">
        <f t="shared" si="27"/>
        <v>167589.6992</v>
      </c>
      <c r="AO129" s="11">
        <f>40120+42704+43619+41146</f>
        <v>167589</v>
      </c>
      <c r="AP129" s="11">
        <f>167589</f>
        <v>167589</v>
      </c>
      <c r="AQ129" s="11">
        <v>0</v>
      </c>
      <c r="AR129" s="11"/>
      <c r="AS129" s="11"/>
      <c r="AT129" s="11"/>
    </row>
    <row r="130" spans="1:46" x14ac:dyDescent="0.15">
      <c r="A130" s="54">
        <v>41284</v>
      </c>
      <c r="B130" s="11" t="s">
        <v>1139</v>
      </c>
      <c r="C130" s="11" t="s">
        <v>1140</v>
      </c>
      <c r="D130" s="11" t="s">
        <v>1141</v>
      </c>
      <c r="E130" s="11" t="s">
        <v>900</v>
      </c>
      <c r="F130" s="11" t="s">
        <v>1142</v>
      </c>
      <c r="G130" s="11" t="s">
        <v>983</v>
      </c>
      <c r="H130" s="11" t="s">
        <v>1081</v>
      </c>
      <c r="I130" s="11" t="s">
        <v>1143</v>
      </c>
      <c r="J130" s="11" t="s">
        <v>1079</v>
      </c>
      <c r="K130" s="11" t="s">
        <v>526</v>
      </c>
      <c r="L130" s="11"/>
      <c r="M130" s="11">
        <v>1973264</v>
      </c>
      <c r="N130" s="11">
        <v>1837947</v>
      </c>
      <c r="O130" s="11"/>
      <c r="P130" s="11"/>
      <c r="Q130" s="15" t="s">
        <v>1144</v>
      </c>
      <c r="R130" s="16">
        <v>41461</v>
      </c>
      <c r="S130" s="11">
        <f>592+552</f>
        <v>1144</v>
      </c>
      <c r="T130" s="11"/>
      <c r="U130" s="11" t="s">
        <v>906</v>
      </c>
      <c r="V130" s="17">
        <v>3.5999999999999997E-2</v>
      </c>
      <c r="W130" s="11">
        <f t="shared" si="37"/>
        <v>137203.59599999999</v>
      </c>
      <c r="X130" s="11">
        <f>30310+106894</f>
        <v>137204</v>
      </c>
      <c r="Y130" s="11">
        <f>137204</f>
        <v>137204</v>
      </c>
      <c r="Z130" s="11">
        <v>0</v>
      </c>
      <c r="AA130" s="11">
        <v>1500000</v>
      </c>
      <c r="AB130" s="11">
        <v>1500000</v>
      </c>
      <c r="AC130" s="11">
        <v>1500000</v>
      </c>
      <c r="AD130" s="11">
        <v>1500000</v>
      </c>
      <c r="AE130" s="18">
        <f t="shared" si="33"/>
        <v>0.39357569024648598</v>
      </c>
      <c r="AF130" s="11">
        <f>523403.7+200000+500000+150000</f>
        <v>1373403.7</v>
      </c>
      <c r="AG130" s="11">
        <f>1373403.7</f>
        <v>1373403.7</v>
      </c>
      <c r="AH130" s="11">
        <f>51000+523403.7+200000+500000+150000</f>
        <v>1424403.7</v>
      </c>
      <c r="AI130" s="11"/>
      <c r="AJ130" s="11"/>
      <c r="AK130" s="11"/>
      <c r="AL130" s="11">
        <f>1424403.7</f>
        <v>1424403.7</v>
      </c>
      <c r="AM130" s="17">
        <v>3.4000000000000002E-2</v>
      </c>
      <c r="AN130" s="17">
        <f t="shared" si="27"/>
        <v>51000.000000000007</v>
      </c>
      <c r="AO130" s="11">
        <f>51000</f>
        <v>51000</v>
      </c>
      <c r="AP130" s="11">
        <f>51000</f>
        <v>51000</v>
      </c>
      <c r="AQ130" s="11">
        <f t="shared" ref="AQ130:AQ215" si="38">AN130-AP130</f>
        <v>0</v>
      </c>
      <c r="AR130" s="11"/>
      <c r="AS130" s="11">
        <v>20</v>
      </c>
      <c r="AT130" s="11" t="s">
        <v>907</v>
      </c>
    </row>
    <row r="131" spans="1:46" x14ac:dyDescent="0.15">
      <c r="A131" s="54">
        <v>41297</v>
      </c>
      <c r="B131" s="11" t="s">
        <v>1145</v>
      </c>
      <c r="C131" s="11" t="s">
        <v>1146</v>
      </c>
      <c r="D131" s="11" t="s">
        <v>1147</v>
      </c>
      <c r="E131" s="11" t="s">
        <v>900</v>
      </c>
      <c r="F131" s="11" t="s">
        <v>1148</v>
      </c>
      <c r="G131" s="11" t="s">
        <v>943</v>
      </c>
      <c r="H131" s="11" t="s">
        <v>1079</v>
      </c>
      <c r="I131" s="11" t="s">
        <v>1149</v>
      </c>
      <c r="J131" s="11" t="s">
        <v>1079</v>
      </c>
      <c r="K131" s="11" t="s">
        <v>894</v>
      </c>
      <c r="L131" s="11"/>
      <c r="M131" s="11">
        <v>478942</v>
      </c>
      <c r="N131" s="11">
        <f>19643</f>
        <v>19643</v>
      </c>
      <c r="O131" s="11"/>
      <c r="P131" s="11"/>
      <c r="Q131" s="15" t="s">
        <v>1150</v>
      </c>
      <c r="R131" s="16">
        <v>41471</v>
      </c>
      <c r="S131" s="11">
        <v>144</v>
      </c>
      <c r="T131" s="11"/>
      <c r="U131" s="11" t="s">
        <v>906</v>
      </c>
      <c r="V131" s="17">
        <v>3.5999999999999997E-2</v>
      </c>
      <c r="W131" s="11">
        <f t="shared" si="37"/>
        <v>17949.059999999998</v>
      </c>
      <c r="X131" s="11">
        <f>17242+589</f>
        <v>17831</v>
      </c>
      <c r="Y131" s="11">
        <f>17831</f>
        <v>17831</v>
      </c>
      <c r="Z131" s="11">
        <f>W131-Y131</f>
        <v>118.05999999999767</v>
      </c>
      <c r="AA131" s="11">
        <f>143000+143000+212585</f>
        <v>498585</v>
      </c>
      <c r="AB131" s="11">
        <f>498585</f>
        <v>498585</v>
      </c>
      <c r="AC131" s="11">
        <v>473655</v>
      </c>
      <c r="AD131" s="11">
        <v>473655</v>
      </c>
      <c r="AE131" s="18">
        <f t="shared" si="33"/>
        <v>0.94999849574295259</v>
      </c>
      <c r="AF131" s="11">
        <f>450000</f>
        <v>450000</v>
      </c>
      <c r="AG131" s="11">
        <f>450000</f>
        <v>450000</v>
      </c>
      <c r="AH131" s="11">
        <f>4862+12090+450000</f>
        <v>466952</v>
      </c>
      <c r="AI131" s="11"/>
      <c r="AJ131" s="11"/>
      <c r="AK131" s="11"/>
      <c r="AL131" s="11">
        <f>466952</f>
        <v>466952</v>
      </c>
      <c r="AM131" s="17">
        <v>3.4000000000000002E-2</v>
      </c>
      <c r="AN131" s="17">
        <f t="shared" si="27"/>
        <v>16951.89</v>
      </c>
      <c r="AO131" s="11">
        <f>4862+4862+7228</f>
        <v>16952</v>
      </c>
      <c r="AP131" s="11">
        <f>16952</f>
        <v>16952</v>
      </c>
      <c r="AQ131" s="11">
        <v>0</v>
      </c>
      <c r="AR131" s="11"/>
      <c r="AS131" s="11">
        <v>6</v>
      </c>
      <c r="AT131" s="11" t="s">
        <v>907</v>
      </c>
    </row>
    <row r="132" spans="1:46" x14ac:dyDescent="0.15">
      <c r="A132" s="54">
        <v>41294</v>
      </c>
      <c r="B132" s="11" t="s">
        <v>1151</v>
      </c>
      <c r="C132" s="11" t="s">
        <v>180</v>
      </c>
      <c r="D132" s="11" t="s">
        <v>1152</v>
      </c>
      <c r="E132" s="11" t="s">
        <v>900</v>
      </c>
      <c r="F132" s="11" t="s">
        <v>1153</v>
      </c>
      <c r="G132" s="11" t="s">
        <v>943</v>
      </c>
      <c r="H132" s="11" t="s">
        <v>1154</v>
      </c>
      <c r="I132" s="25" t="s">
        <v>1155</v>
      </c>
      <c r="J132" s="25" t="s">
        <v>1156</v>
      </c>
      <c r="K132" s="25" t="s">
        <v>894</v>
      </c>
      <c r="L132" s="11"/>
      <c r="M132" s="11">
        <v>5145173.21</v>
      </c>
      <c r="N132" s="11"/>
      <c r="O132" s="11"/>
      <c r="P132" s="11"/>
      <c r="Q132" s="15" t="s">
        <v>1157</v>
      </c>
      <c r="R132" s="16">
        <v>41453</v>
      </c>
      <c r="S132" s="11">
        <v>1544</v>
      </c>
      <c r="T132" s="11"/>
      <c r="U132" s="11" t="s">
        <v>906</v>
      </c>
      <c r="V132" s="17">
        <v>0.03</v>
      </c>
      <c r="W132" s="11">
        <f t="shared" si="37"/>
        <v>154355.19629999998</v>
      </c>
      <c r="X132" s="11">
        <f>50000+50000+54355</f>
        <v>154355</v>
      </c>
      <c r="Y132" s="11">
        <v>154355</v>
      </c>
      <c r="Z132" s="11">
        <v>0</v>
      </c>
      <c r="AA132" s="11">
        <f>300000+583000+1011000+700000+1300000+218000</f>
        <v>4112000</v>
      </c>
      <c r="AB132" s="11">
        <f>4112000</f>
        <v>4112000</v>
      </c>
      <c r="AC132" s="11">
        <v>4112000</v>
      </c>
      <c r="AD132" s="11">
        <v>4112000</v>
      </c>
      <c r="AE132" s="18">
        <f t="shared" si="33"/>
        <v>0.79919564068475746</v>
      </c>
      <c r="AF132" s="11">
        <f>210000+25350+50000+540000+25000+797999+149982+30000+240000+384000+881524.81+100000+100000+73230+4000+80000+20000+20000+52427+180000</f>
        <v>3963512.81</v>
      </c>
      <c r="AG132" s="11">
        <f>3963512.81</f>
        <v>3963512.81</v>
      </c>
      <c r="AH132" s="11">
        <f>220200+45172+50000+540000+25000+832373+149982+30000+263800+384000+44200+881524.81+100000+100000+73230+4000+80000+20000+20000+7412+52427+180000</f>
        <v>4103320.81</v>
      </c>
      <c r="AI132" s="11"/>
      <c r="AJ132" s="11"/>
      <c r="AK132" s="11"/>
      <c r="AL132" s="11">
        <f>4103320.81</f>
        <v>4103320.81</v>
      </c>
      <c r="AM132" s="17">
        <v>3.4000000000000002E-2</v>
      </c>
      <c r="AN132" s="17">
        <f t="shared" si="27"/>
        <v>139808</v>
      </c>
      <c r="AO132" s="11">
        <f>10200+19820+34374+23800+44200+7412</f>
        <v>139806</v>
      </c>
      <c r="AP132" s="11">
        <f>139806</f>
        <v>139806</v>
      </c>
      <c r="AQ132" s="11">
        <v>0</v>
      </c>
      <c r="AR132" s="11"/>
      <c r="AS132" s="11">
        <v>75</v>
      </c>
      <c r="AT132" s="11" t="s">
        <v>994</v>
      </c>
    </row>
    <row r="133" spans="1:46" x14ac:dyDescent="0.15">
      <c r="A133" s="54">
        <v>41299</v>
      </c>
      <c r="B133" s="11" t="s">
        <v>1158</v>
      </c>
      <c r="C133" s="11" t="s">
        <v>188</v>
      </c>
      <c r="D133" s="11" t="s">
        <v>1159</v>
      </c>
      <c r="E133" s="11" t="s">
        <v>900</v>
      </c>
      <c r="F133" s="11" t="s">
        <v>1160</v>
      </c>
      <c r="G133" s="11" t="s">
        <v>943</v>
      </c>
      <c r="H133" s="11" t="s">
        <v>963</v>
      </c>
      <c r="I133" s="11" t="s">
        <v>964</v>
      </c>
      <c r="J133" s="11" t="s">
        <v>904</v>
      </c>
      <c r="K133" s="11" t="s">
        <v>894</v>
      </c>
      <c r="L133" s="11"/>
      <c r="M133" s="11">
        <v>5903500</v>
      </c>
      <c r="N133" s="11"/>
      <c r="O133" s="11"/>
      <c r="P133" s="11"/>
      <c r="Q133" s="15" t="s">
        <v>1161</v>
      </c>
      <c r="R133" s="16">
        <v>41361</v>
      </c>
      <c r="S133" s="11">
        <v>1772</v>
      </c>
      <c r="T133" s="11"/>
      <c r="U133" s="11" t="s">
        <v>938</v>
      </c>
      <c r="V133" s="17">
        <v>0.04</v>
      </c>
      <c r="W133" s="11">
        <f t="shared" si="37"/>
        <v>236140</v>
      </c>
      <c r="X133" s="11">
        <f>236140</f>
        <v>236140</v>
      </c>
      <c r="Y133" s="11">
        <f>236140</f>
        <v>236140</v>
      </c>
      <c r="Z133" s="11">
        <f t="shared" ref="Z133:Z143" si="39">W133-Y133</f>
        <v>0</v>
      </c>
      <c r="AA133" s="11">
        <f>300000+800000+300000+1500000+1000000+1500000</f>
        <v>5400000</v>
      </c>
      <c r="AB133" s="11">
        <f>5400000</f>
        <v>5400000</v>
      </c>
      <c r="AC133" s="11">
        <v>4000000</v>
      </c>
      <c r="AD133" s="11">
        <v>4000000</v>
      </c>
      <c r="AE133" s="18">
        <f t="shared" si="33"/>
        <v>0.67756415685610227</v>
      </c>
      <c r="AF133" s="11">
        <f>28800+200155.74+300000+609077.08+500000+471466.5+597000</f>
        <v>2706499.32</v>
      </c>
      <c r="AG133" s="11">
        <f>2706499.32</f>
        <v>2706499.32</v>
      </c>
      <c r="AH133" s="11">
        <f>1066200+10200+310000+351000+609077.08+500000+34000+471466.5+648000</f>
        <v>3999943.58</v>
      </c>
      <c r="AI133" s="11"/>
      <c r="AJ133" s="11"/>
      <c r="AK133" s="11"/>
      <c r="AL133" s="11">
        <f>3999943.58</f>
        <v>3999943.58</v>
      </c>
      <c r="AM133" s="17">
        <v>3.4000000000000002E-2</v>
      </c>
      <c r="AN133" s="17">
        <f t="shared" si="27"/>
        <v>183600</v>
      </c>
      <c r="AO133" s="11">
        <f>10200+27200+10200+51000+34000+51000</f>
        <v>183600</v>
      </c>
      <c r="AP133" s="11">
        <f>183600</f>
        <v>183600</v>
      </c>
      <c r="AQ133" s="11">
        <f t="shared" si="38"/>
        <v>0</v>
      </c>
      <c r="AR133" s="11"/>
      <c r="AS133" s="11">
        <v>74</v>
      </c>
      <c r="AT133" s="11" t="s">
        <v>907</v>
      </c>
    </row>
    <row r="134" spans="1:46" x14ac:dyDescent="0.15">
      <c r="A134" s="54">
        <v>41294</v>
      </c>
      <c r="B134" s="11" t="s">
        <v>1162</v>
      </c>
      <c r="C134" s="11" t="s">
        <v>182</v>
      </c>
      <c r="D134" s="11" t="s">
        <v>1163</v>
      </c>
      <c r="E134" s="11" t="s">
        <v>900</v>
      </c>
      <c r="F134" s="11" t="s">
        <v>1164</v>
      </c>
      <c r="G134" s="11" t="s">
        <v>1165</v>
      </c>
      <c r="H134" s="11" t="s">
        <v>1166</v>
      </c>
      <c r="I134" s="11" t="s">
        <v>1167</v>
      </c>
      <c r="J134" s="11" t="s">
        <v>1166</v>
      </c>
      <c r="K134" s="11" t="s">
        <v>1001</v>
      </c>
      <c r="L134" s="11"/>
      <c r="M134" s="11">
        <v>8338455</v>
      </c>
      <c r="N134" s="11">
        <f>1516000</f>
        <v>1516000</v>
      </c>
      <c r="O134" s="11"/>
      <c r="P134" s="11"/>
      <c r="Q134" s="15" t="s">
        <v>1168</v>
      </c>
      <c r="R134" s="16">
        <v>41569</v>
      </c>
      <c r="S134" s="11">
        <v>2502</v>
      </c>
      <c r="T134" s="11"/>
      <c r="U134" s="11" t="s">
        <v>906</v>
      </c>
      <c r="V134" s="17">
        <v>0.03</v>
      </c>
      <c r="W134" s="11">
        <f t="shared" si="37"/>
        <v>295633.64999999997</v>
      </c>
      <c r="X134" s="11">
        <f>295634</f>
        <v>295634</v>
      </c>
      <c r="Y134" s="11">
        <f>295634</f>
        <v>295634</v>
      </c>
      <c r="Z134" s="11">
        <v>0</v>
      </c>
      <c r="AA134" s="11">
        <f>4000000</f>
        <v>4000000</v>
      </c>
      <c r="AB134" s="11">
        <f>4000000</f>
        <v>4000000</v>
      </c>
      <c r="AC134" s="11">
        <v>6000000</v>
      </c>
      <c r="AD134" s="11">
        <v>6000000</v>
      </c>
      <c r="AE134" s="18">
        <f t="shared" si="33"/>
        <v>0.60886167728200091</v>
      </c>
      <c r="AF134" s="11">
        <f>2302710+620+620+2865+2000+11342+30000+284389</f>
        <v>2634546</v>
      </c>
      <c r="AG134" s="11">
        <f>2350157+284389</f>
        <v>2634546</v>
      </c>
      <c r="AH134" s="11">
        <f>1500000+2302710-620+620+2865+132000+2000+11342+30000+284389</f>
        <v>4265306</v>
      </c>
      <c r="AI134" s="11"/>
      <c r="AJ134" s="11"/>
      <c r="AK134" s="11"/>
      <c r="AL134" s="11">
        <f>3980917+284389</f>
        <v>4265306</v>
      </c>
      <c r="AM134" s="17"/>
      <c r="AN134" s="17">
        <f t="shared" si="27"/>
        <v>0</v>
      </c>
      <c r="AO134" s="11"/>
      <c r="AP134" s="11"/>
      <c r="AQ134" s="11">
        <f t="shared" si="38"/>
        <v>0</v>
      </c>
      <c r="AR134" s="11"/>
      <c r="AS134" s="11">
        <v>75</v>
      </c>
      <c r="AT134" s="11" t="s">
        <v>907</v>
      </c>
    </row>
    <row r="135" spans="1:46" x14ac:dyDescent="0.15">
      <c r="A135" s="54">
        <v>41299</v>
      </c>
      <c r="B135" s="11" t="s">
        <v>1169</v>
      </c>
      <c r="C135" s="11" t="s">
        <v>186</v>
      </c>
      <c r="D135" s="11" t="s">
        <v>1170</v>
      </c>
      <c r="E135" s="11" t="s">
        <v>900</v>
      </c>
      <c r="F135" s="11" t="s">
        <v>1171</v>
      </c>
      <c r="G135" s="11" t="s">
        <v>943</v>
      </c>
      <c r="H135" s="11" t="s">
        <v>891</v>
      </c>
      <c r="I135" s="25" t="s">
        <v>892</v>
      </c>
      <c r="J135" s="25" t="s">
        <v>891</v>
      </c>
      <c r="K135" s="11" t="s">
        <v>894</v>
      </c>
      <c r="L135" s="11"/>
      <c r="M135" s="11">
        <v>1707600</v>
      </c>
      <c r="N135" s="11"/>
      <c r="O135" s="11"/>
      <c r="P135" s="11"/>
      <c r="Q135" s="15" t="s">
        <v>1172</v>
      </c>
      <c r="R135" s="16">
        <v>41366</v>
      </c>
      <c r="S135" s="11">
        <v>513</v>
      </c>
      <c r="T135" s="11"/>
      <c r="U135" s="11" t="s">
        <v>906</v>
      </c>
      <c r="V135" s="17">
        <v>0.03</v>
      </c>
      <c r="W135" s="11">
        <f t="shared" si="37"/>
        <v>51228</v>
      </c>
      <c r="X135" s="11">
        <f>51228</f>
        <v>51228</v>
      </c>
      <c r="Y135" s="11">
        <f>51228</f>
        <v>51228</v>
      </c>
      <c r="Z135" s="11">
        <f t="shared" si="39"/>
        <v>0</v>
      </c>
      <c r="AA135" s="11">
        <f>683040+512280+341520</f>
        <v>1536840</v>
      </c>
      <c r="AB135" s="11">
        <v>1536840</v>
      </c>
      <c r="AC135" s="11">
        <v>1536840</v>
      </c>
      <c r="AD135" s="11">
        <v>1536840</v>
      </c>
      <c r="AE135" s="18">
        <f t="shared" si="33"/>
        <v>0.9</v>
      </c>
      <c r="AF135" s="11">
        <f>182000+448651.7+511960+88520+99008+41790+2160+50000+60000</f>
        <v>1484089.7</v>
      </c>
      <c r="AG135" s="11">
        <f>1484089.7</f>
        <v>1484089.7</v>
      </c>
      <c r="AH135" s="11">
        <f>205223+448651.7+17418+11612+511960+88520+99008+41790+2160+50000+60000</f>
        <v>1536342.7</v>
      </c>
      <c r="AI135" s="11"/>
      <c r="AJ135" s="11"/>
      <c r="AK135" s="11"/>
      <c r="AL135" s="11">
        <f>1536342.7</f>
        <v>1536342.7</v>
      </c>
      <c r="AM135" s="17">
        <v>3.4000000000000002E-2</v>
      </c>
      <c r="AN135" s="17">
        <f t="shared" si="27"/>
        <v>52252.560000000005</v>
      </c>
      <c r="AO135" s="11">
        <f>23223+17418+11612</f>
        <v>52253</v>
      </c>
      <c r="AP135" s="11">
        <f>52253</f>
        <v>52253</v>
      </c>
      <c r="AQ135" s="11">
        <v>0</v>
      </c>
      <c r="AR135" s="11"/>
      <c r="AS135" s="11"/>
      <c r="AT135" s="11"/>
    </row>
    <row r="136" spans="1:46" x14ac:dyDescent="0.15">
      <c r="A136" s="54">
        <v>41303</v>
      </c>
      <c r="B136" s="11" t="s">
        <v>1173</v>
      </c>
      <c r="C136" s="11" t="s">
        <v>190</v>
      </c>
      <c r="D136" s="11" t="s">
        <v>1174</v>
      </c>
      <c r="E136" s="11" t="s">
        <v>900</v>
      </c>
      <c r="F136" s="11" t="s">
        <v>1175</v>
      </c>
      <c r="G136" s="11" t="s">
        <v>943</v>
      </c>
      <c r="H136" s="11" t="s">
        <v>963</v>
      </c>
      <c r="I136" s="11" t="s">
        <v>964</v>
      </c>
      <c r="J136" s="11" t="s">
        <v>904</v>
      </c>
      <c r="K136" s="11" t="s">
        <v>894</v>
      </c>
      <c r="L136" s="11"/>
      <c r="M136" s="11">
        <v>3171737</v>
      </c>
      <c r="N136" s="11"/>
      <c r="O136" s="11"/>
      <c r="P136" s="11"/>
      <c r="Q136" s="15" t="s">
        <v>1176</v>
      </c>
      <c r="R136" s="16">
        <v>41361</v>
      </c>
      <c r="S136" s="11">
        <v>952</v>
      </c>
      <c r="T136" s="11"/>
      <c r="U136" s="11" t="s">
        <v>906</v>
      </c>
      <c r="V136" s="17">
        <v>0.04</v>
      </c>
      <c r="W136" s="11">
        <f t="shared" si="37"/>
        <v>126869.48</v>
      </c>
      <c r="X136" s="11">
        <f>126870</f>
        <v>126870</v>
      </c>
      <c r="Y136" s="11">
        <f>126870</f>
        <v>126870</v>
      </c>
      <c r="Z136" s="11">
        <v>0</v>
      </c>
      <c r="AA136" s="11">
        <f>1200000+500000+1300000</f>
        <v>3000000</v>
      </c>
      <c r="AB136" s="11">
        <f>3000000</f>
        <v>3000000</v>
      </c>
      <c r="AC136" s="11">
        <v>3000000</v>
      </c>
      <c r="AD136" s="11">
        <v>3000000</v>
      </c>
      <c r="AE136" s="18">
        <f t="shared" si="33"/>
        <v>0.94585395951808116</v>
      </c>
      <c r="AF136" s="11">
        <f>950000+200000+9075.2+150000+900000</f>
        <v>2209075.2000000002</v>
      </c>
      <c r="AG136" s="11">
        <f>2209075.2</f>
        <v>2209075.2000000002</v>
      </c>
      <c r="AH136" s="11">
        <f>1110800+80000+9075.2+467000+1260337.34+20000</f>
        <v>2947212.54</v>
      </c>
      <c r="AI136" s="11"/>
      <c r="AJ136" s="11"/>
      <c r="AK136" s="11"/>
      <c r="AL136" s="11">
        <f>2947212.54</f>
        <v>2947212.54</v>
      </c>
      <c r="AM136" s="17">
        <v>3.4000000000000002E-2</v>
      </c>
      <c r="AN136" s="17">
        <f t="shared" si="27"/>
        <v>102000.00000000001</v>
      </c>
      <c r="AO136" s="11">
        <f>40800+17000+44200</f>
        <v>102000</v>
      </c>
      <c r="AP136" s="11">
        <f>102000</f>
        <v>102000</v>
      </c>
      <c r="AQ136" s="11">
        <f t="shared" si="38"/>
        <v>0</v>
      </c>
      <c r="AR136" s="11"/>
      <c r="AS136" s="11">
        <v>40</v>
      </c>
      <c r="AT136" s="11" t="s">
        <v>907</v>
      </c>
    </row>
    <row r="137" spans="1:46" x14ac:dyDescent="0.15">
      <c r="A137" s="54">
        <v>41304</v>
      </c>
      <c r="B137" s="11" t="s">
        <v>1177</v>
      </c>
      <c r="C137" s="11" t="s">
        <v>192</v>
      </c>
      <c r="D137" s="11" t="s">
        <v>1178</v>
      </c>
      <c r="E137" s="11" t="s">
        <v>900</v>
      </c>
      <c r="F137" s="11" t="s">
        <v>1179</v>
      </c>
      <c r="G137" s="11" t="s">
        <v>943</v>
      </c>
      <c r="H137" s="11" t="s">
        <v>963</v>
      </c>
      <c r="I137" s="11" t="s">
        <v>964</v>
      </c>
      <c r="J137" s="11" t="s">
        <v>904</v>
      </c>
      <c r="K137" s="11" t="s">
        <v>894</v>
      </c>
      <c r="L137" s="11"/>
      <c r="M137" s="11">
        <v>3688900</v>
      </c>
      <c r="N137" s="11">
        <f>2437951.61</f>
        <v>2437951.61</v>
      </c>
      <c r="O137" s="11"/>
      <c r="P137" s="11"/>
      <c r="Q137" s="15" t="s">
        <v>1180</v>
      </c>
      <c r="R137" s="16">
        <v>41361</v>
      </c>
      <c r="S137" s="11">
        <v>1107</v>
      </c>
      <c r="T137" s="11"/>
      <c r="U137" s="11" t="s">
        <v>906</v>
      </c>
      <c r="V137" s="17">
        <v>0.04</v>
      </c>
      <c r="W137" s="11">
        <f t="shared" si="37"/>
        <v>245074.06439999997</v>
      </c>
      <c r="X137" s="11">
        <f>147556+73139+24379</f>
        <v>245074</v>
      </c>
      <c r="Y137" s="11">
        <f>245074</f>
        <v>245074</v>
      </c>
      <c r="Z137" s="11">
        <v>0</v>
      </c>
      <c r="AA137" s="11">
        <f>500000+500000+500000+500000+100000+300000+1500000+500000</f>
        <v>4400000</v>
      </c>
      <c r="AB137" s="11">
        <f>4400000</f>
        <v>4400000</v>
      </c>
      <c r="AC137" s="11">
        <v>4400000</v>
      </c>
      <c r="AD137" s="11">
        <v>4400000</v>
      </c>
      <c r="AE137" s="18">
        <f t="shared" si="33"/>
        <v>0.71815024748085921</v>
      </c>
      <c r="AF137" s="11">
        <f>100000+400000+100000+300000+150000+150000+100000+600000+1165632.87+330236.2+104500+100000+210000+100000</f>
        <v>3910369.0700000003</v>
      </c>
      <c r="AG137" s="11">
        <f>3910369.07</f>
        <v>3910369.07</v>
      </c>
      <c r="AH137" s="11">
        <f>117000+317000+3118+400000+100000+17000+300000+150000+17000-150000+150000+3400+150000+10200+100000+600000+51000+1165632.87+330236.2+17000+104500+100000+210000+100000</f>
        <v>4363087.07</v>
      </c>
      <c r="AI137" s="11"/>
      <c r="AJ137" s="11"/>
      <c r="AK137" s="11"/>
      <c r="AL137" s="11">
        <f>4363087.07</f>
        <v>4363087.07</v>
      </c>
      <c r="AM137" s="17">
        <v>3.4000000000000002E-2</v>
      </c>
      <c r="AN137" s="17">
        <f t="shared" si="27"/>
        <v>149600</v>
      </c>
      <c r="AO137" s="11">
        <f>17000+17000+17000+17000+3400+10200+51000+17000</f>
        <v>149600</v>
      </c>
      <c r="AP137" s="11">
        <f>149600</f>
        <v>149600</v>
      </c>
      <c r="AQ137" s="11">
        <f t="shared" si="38"/>
        <v>0</v>
      </c>
      <c r="AR137" s="11"/>
      <c r="AS137" s="11">
        <v>78</v>
      </c>
      <c r="AT137" s="11" t="s">
        <v>870</v>
      </c>
    </row>
    <row r="138" spans="1:46" x14ac:dyDescent="0.15">
      <c r="A138" s="54">
        <v>41330</v>
      </c>
      <c r="B138" s="11" t="s">
        <v>1181</v>
      </c>
      <c r="C138" s="11" t="s">
        <v>196</v>
      </c>
      <c r="D138" s="11" t="s">
        <v>1182</v>
      </c>
      <c r="E138" s="11" t="s">
        <v>900</v>
      </c>
      <c r="F138" s="11" t="s">
        <v>1183</v>
      </c>
      <c r="G138" s="11" t="s">
        <v>943</v>
      </c>
      <c r="H138" s="11" t="s">
        <v>1184</v>
      </c>
      <c r="I138" s="11" t="s">
        <v>1185</v>
      </c>
      <c r="J138" s="11" t="s">
        <v>1186</v>
      </c>
      <c r="K138" s="11" t="s">
        <v>894</v>
      </c>
      <c r="L138" s="11"/>
      <c r="M138" s="11">
        <v>10242431.93</v>
      </c>
      <c r="N138" s="11"/>
      <c r="O138" s="11"/>
      <c r="P138" s="11"/>
      <c r="Q138" s="15" t="s">
        <v>1187</v>
      </c>
      <c r="R138" s="16">
        <v>41342</v>
      </c>
      <c r="S138" s="11">
        <v>3073</v>
      </c>
      <c r="T138" s="11"/>
      <c r="U138" s="11" t="s">
        <v>906</v>
      </c>
      <c r="V138" s="17">
        <v>0.03</v>
      </c>
      <c r="W138" s="11">
        <f t="shared" si="37"/>
        <v>307272.95789999998</v>
      </c>
      <c r="X138" s="11">
        <f>200000+107273</f>
        <v>307273</v>
      </c>
      <c r="Y138" s="11">
        <f>307273</f>
        <v>307273</v>
      </c>
      <c r="Z138" s="11">
        <v>0</v>
      </c>
      <c r="AA138" s="11">
        <f>2048486.39+1259000+1397513.61+650000</f>
        <v>5355000</v>
      </c>
      <c r="AB138" s="11">
        <f>5355000</f>
        <v>5355000</v>
      </c>
      <c r="AC138" s="11">
        <v>5355000</v>
      </c>
      <c r="AD138" s="11">
        <v>5355000</v>
      </c>
      <c r="AE138" s="18">
        <f t="shared" si="33"/>
        <v>0.52282505137429802</v>
      </c>
      <c r="AF138" s="11">
        <f>1113238.75+95564.8+282990.85+250000+100000+38784.85+1007350+138980+802000+300000+598000+19500</f>
        <v>4746409.25</v>
      </c>
      <c r="AG138" s="11">
        <f>4746409.25</f>
        <v>4746409.25</v>
      </c>
      <c r="AH138" s="11">
        <f>69649+1113238.75+95564.8+282990.85+250000+100000+38784.85+42806+1007350+138980+47515+802000+300000+620100+19500+77895.7</f>
        <v>5006374.95</v>
      </c>
      <c r="AI138" s="11"/>
      <c r="AJ138" s="11"/>
      <c r="AK138" s="11"/>
      <c r="AL138" s="11">
        <f>5006374.95</f>
        <v>5006374.95</v>
      </c>
      <c r="AM138" s="17">
        <v>3.4000000000000002E-2</v>
      </c>
      <c r="AN138" s="17">
        <f t="shared" si="27"/>
        <v>182070</v>
      </c>
      <c r="AO138" s="11">
        <f>69649+42806+47515+22100</f>
        <v>182070</v>
      </c>
      <c r="AP138" s="11">
        <f>182070</f>
        <v>182070</v>
      </c>
      <c r="AQ138" s="11">
        <f t="shared" si="38"/>
        <v>0</v>
      </c>
      <c r="AR138" s="11"/>
      <c r="AS138" s="11">
        <v>150</v>
      </c>
      <c r="AT138" s="11" t="s">
        <v>948</v>
      </c>
    </row>
    <row r="139" spans="1:46" x14ac:dyDescent="0.15">
      <c r="A139" s="54">
        <v>41334</v>
      </c>
      <c r="B139" s="11" t="s">
        <v>1188</v>
      </c>
      <c r="C139" s="11" t="s">
        <v>198</v>
      </c>
      <c r="D139" s="11" t="s">
        <v>1189</v>
      </c>
      <c r="E139" s="11" t="s">
        <v>900</v>
      </c>
      <c r="F139" s="11" t="s">
        <v>1190</v>
      </c>
      <c r="G139" s="11" t="s">
        <v>1191</v>
      </c>
      <c r="H139" s="11" t="s">
        <v>1192</v>
      </c>
      <c r="I139" s="11" t="s">
        <v>1193</v>
      </c>
      <c r="J139" s="11" t="s">
        <v>1194</v>
      </c>
      <c r="K139" s="11" t="s">
        <v>1001</v>
      </c>
      <c r="L139" s="11"/>
      <c r="M139" s="11">
        <v>10182154.199999999</v>
      </c>
      <c r="N139" s="11"/>
      <c r="O139" s="11"/>
      <c r="P139" s="11"/>
      <c r="Q139" s="15" t="s">
        <v>1195</v>
      </c>
      <c r="R139" s="16">
        <v>41351</v>
      </c>
      <c r="S139" s="11">
        <v>3055</v>
      </c>
      <c r="T139" s="11"/>
      <c r="U139" s="11" t="s">
        <v>906</v>
      </c>
      <c r="V139" s="17">
        <v>0.03</v>
      </c>
      <c r="W139" s="11">
        <f t="shared" si="37"/>
        <v>305464.62599999999</v>
      </c>
      <c r="X139" s="11">
        <f>100000+205465</f>
        <v>305465</v>
      </c>
      <c r="Y139" s="11">
        <f>305465</f>
        <v>305465</v>
      </c>
      <c r="Z139" s="11">
        <v>0</v>
      </c>
      <c r="AA139" s="11">
        <f>1018215+1527323.13+2545538.55+1567304.64</f>
        <v>6658381.3199999994</v>
      </c>
      <c r="AB139" s="11">
        <f>6658381.32</f>
        <v>6658381.3200000003</v>
      </c>
      <c r="AC139" s="11">
        <v>6658381.3199999994</v>
      </c>
      <c r="AD139" s="11">
        <v>6658381.3200000003</v>
      </c>
      <c r="AE139" s="18">
        <f t="shared" si="33"/>
        <v>0.65392658461212461</v>
      </c>
      <c r="AF139" s="11">
        <f>10350+319999+149999+159072+45000+50000+18000+70000+318528+988079+99999+950000+1020000+250000+179447.5+37845+55000+41712.9+60000+230000+44953+200000+220000+33000</f>
        <v>5550984.4000000004</v>
      </c>
      <c r="AG139" s="11">
        <f>5550984.4</f>
        <v>5550984.4000000004</v>
      </c>
      <c r="AH139" s="11">
        <f>10350+355229.24+149999+25455.39+159072+45000+50000+18000+70000+318528+988079+152844.37+950000+1020000+338075.63+179447.5+37845+800000+55000+41712.9+60000+230000+94953+200000+273131.63+33000+1097.1</f>
        <v>6656819.7599999998</v>
      </c>
      <c r="AI139" s="11"/>
      <c r="AJ139" s="11"/>
      <c r="AK139" s="11"/>
      <c r="AL139" s="11">
        <f>66566819.76</f>
        <v>66566819.759999998</v>
      </c>
      <c r="AM139" s="17"/>
      <c r="AN139" s="17">
        <f t="shared" si="27"/>
        <v>0</v>
      </c>
      <c r="AO139" s="11"/>
      <c r="AP139" s="11"/>
      <c r="AQ139" s="11">
        <f t="shared" si="38"/>
        <v>0</v>
      </c>
      <c r="AR139" s="11"/>
      <c r="AS139" s="11">
        <v>123</v>
      </c>
      <c r="AT139" s="11" t="s">
        <v>907</v>
      </c>
    </row>
    <row r="140" spans="1:46" x14ac:dyDescent="0.15">
      <c r="A140" s="54">
        <v>41361</v>
      </c>
      <c r="B140" s="11" t="s">
        <v>1196</v>
      </c>
      <c r="C140" s="11" t="s">
        <v>206</v>
      </c>
      <c r="D140" s="11" t="s">
        <v>1197</v>
      </c>
      <c r="E140" s="11" t="s">
        <v>900</v>
      </c>
      <c r="F140" s="11" t="s">
        <v>1198</v>
      </c>
      <c r="G140" s="11" t="s">
        <v>943</v>
      </c>
      <c r="H140" s="11" t="s">
        <v>977</v>
      </c>
      <c r="I140" s="11" t="s">
        <v>976</v>
      </c>
      <c r="J140" s="11" t="s">
        <v>977</v>
      </c>
      <c r="K140" s="11" t="s">
        <v>894</v>
      </c>
      <c r="L140" s="11"/>
      <c r="M140" s="11">
        <v>35281540.549999997</v>
      </c>
      <c r="N140" s="11">
        <f>214700+873089.19</f>
        <v>1087789.19</v>
      </c>
      <c r="O140" s="11"/>
      <c r="P140" s="11"/>
      <c r="Q140" s="15" t="s">
        <v>1199</v>
      </c>
      <c r="R140" s="16">
        <v>41410</v>
      </c>
      <c r="S140" s="11">
        <v>10585</v>
      </c>
      <c r="T140" s="11"/>
      <c r="U140" s="11" t="s">
        <v>938</v>
      </c>
      <c r="V140" s="17">
        <v>0.03</v>
      </c>
      <c r="W140" s="11">
        <f t="shared" si="37"/>
        <v>1091079.8921999999</v>
      </c>
      <c r="X140" s="11">
        <f>300000+400000+6441+358446</f>
        <v>1064887</v>
      </c>
      <c r="Y140" s="11">
        <f>1064887</f>
        <v>1064887</v>
      </c>
      <c r="Z140" s="11">
        <f t="shared" si="39"/>
        <v>26192.892199999886</v>
      </c>
      <c r="AA140" s="11">
        <f>3061870+3977905+7558668+214700+6514145+3722817</f>
        <v>25050105</v>
      </c>
      <c r="AB140" s="11">
        <f>25050105</f>
        <v>25050105</v>
      </c>
      <c r="AC140" s="11">
        <v>25050105</v>
      </c>
      <c r="AD140" s="11">
        <v>25050105</v>
      </c>
      <c r="AE140" s="18">
        <f t="shared" si="33"/>
        <v>0.68877004825440047</v>
      </c>
      <c r="AF140" s="11">
        <f>1044647+757241.28+499950+1260000+1809096.82+754561.9+1359970+504860+600000+40000+100000+50000+1628000+30000+1823150+100000+200000+1799920+950000+500000+1384935.73+3950.51+1099920+20068.57+100000+199800+499970+605403+158700+3647573.83-50000-399000+400000+57996</f>
        <v>23540714.640000001</v>
      </c>
      <c r="AG140" s="11">
        <f>23540714.64</f>
        <v>23540714.640000001</v>
      </c>
      <c r="AH140" s="11">
        <f>1148751+757241.28+635199+1260000+1809096.82+754561.9+650000+1616965+504860+600000+40000+100000+50000+1628000+30000+1823150+100000+200000+1028701+1950000+500000+1384935.73+3950.51+1099920+20068.57+100000+199800+499970+605403+158700+3774149.83-50000-399000+400000+57996</f>
        <v>25042419.640000001</v>
      </c>
      <c r="AI140" s="11"/>
      <c r="AJ140" s="11"/>
      <c r="AK140" s="11"/>
      <c r="AL140" s="11">
        <f>25042419.64</f>
        <v>25042419.640000001</v>
      </c>
      <c r="AM140" s="17">
        <v>3.4000000000000002E-2</v>
      </c>
      <c r="AN140" s="17">
        <f t="shared" si="27"/>
        <v>851703.57000000007</v>
      </c>
      <c r="AO140" s="11">
        <f>104104+135249+256995+7300+221481+126576</f>
        <v>851705</v>
      </c>
      <c r="AP140" s="11">
        <f>851705</f>
        <v>851705</v>
      </c>
      <c r="AQ140" s="11">
        <v>0</v>
      </c>
      <c r="AR140" s="11"/>
      <c r="AS140" s="11">
        <v>180</v>
      </c>
      <c r="AT140" s="11" t="s">
        <v>1200</v>
      </c>
    </row>
    <row r="141" spans="1:46" x14ac:dyDescent="0.15">
      <c r="A141" s="54">
        <v>41361</v>
      </c>
      <c r="B141" s="11" t="s">
        <v>1201</v>
      </c>
      <c r="C141" s="11" t="s">
        <v>202</v>
      </c>
      <c r="D141" s="11" t="s">
        <v>1202</v>
      </c>
      <c r="E141" s="11" t="s">
        <v>1203</v>
      </c>
      <c r="F141" s="11" t="s">
        <v>1204</v>
      </c>
      <c r="G141" s="11" t="s">
        <v>943</v>
      </c>
      <c r="H141" s="11" t="s">
        <v>1205</v>
      </c>
      <c r="I141" s="11" t="s">
        <v>1206</v>
      </c>
      <c r="J141" s="11" t="s">
        <v>1013</v>
      </c>
      <c r="K141" s="11" t="s">
        <v>1207</v>
      </c>
      <c r="L141" s="11"/>
      <c r="M141" s="11">
        <v>1995000</v>
      </c>
      <c r="N141" s="11"/>
      <c r="O141" s="11"/>
      <c r="P141" s="11"/>
      <c r="Q141" s="15" t="s">
        <v>1208</v>
      </c>
      <c r="R141" s="16">
        <v>41429</v>
      </c>
      <c r="S141" s="11">
        <v>599</v>
      </c>
      <c r="T141" s="11"/>
      <c r="U141" s="11"/>
      <c r="V141" s="17">
        <v>3.5999999999999997E-2</v>
      </c>
      <c r="W141" s="11">
        <f t="shared" si="37"/>
        <v>71820</v>
      </c>
      <c r="X141" s="11"/>
      <c r="Y141" s="11"/>
      <c r="Z141" s="11">
        <f t="shared" si="39"/>
        <v>71820</v>
      </c>
      <c r="AA141" s="11"/>
      <c r="AB141" s="11"/>
      <c r="AC141" s="11">
        <v>0</v>
      </c>
      <c r="AD141" s="11">
        <v>0</v>
      </c>
      <c r="AE141" s="18"/>
      <c r="AF141" s="11"/>
      <c r="AG141" s="11"/>
      <c r="AH141" s="11"/>
      <c r="AI141" s="11"/>
      <c r="AJ141" s="11"/>
      <c r="AK141" s="11"/>
      <c r="AL141" s="11"/>
      <c r="AM141" s="17">
        <v>3.4000000000000002E-2</v>
      </c>
      <c r="AN141" s="17">
        <f t="shared" si="27"/>
        <v>0</v>
      </c>
      <c r="AO141" s="11"/>
      <c r="AP141" s="11"/>
      <c r="AQ141" s="11">
        <f t="shared" si="38"/>
        <v>0</v>
      </c>
      <c r="AR141" s="11"/>
      <c r="AS141" s="11">
        <v>26</v>
      </c>
      <c r="AT141" s="11" t="s">
        <v>948</v>
      </c>
    </row>
    <row r="142" spans="1:46" x14ac:dyDescent="0.15">
      <c r="A142" s="54">
        <v>41361</v>
      </c>
      <c r="B142" s="11" t="s">
        <v>1209</v>
      </c>
      <c r="C142" s="11" t="s">
        <v>204</v>
      </c>
      <c r="D142" s="11" t="s">
        <v>1210</v>
      </c>
      <c r="E142" s="11" t="s">
        <v>900</v>
      </c>
      <c r="F142" s="11" t="s">
        <v>1211</v>
      </c>
      <c r="G142" s="11" t="s">
        <v>943</v>
      </c>
      <c r="H142" s="11" t="s">
        <v>1212</v>
      </c>
      <c r="I142" s="11" t="s">
        <v>1213</v>
      </c>
      <c r="J142" s="11" t="s">
        <v>1214</v>
      </c>
      <c r="K142" s="11" t="s">
        <v>1207</v>
      </c>
      <c r="L142" s="11"/>
      <c r="M142" s="11">
        <v>9000000</v>
      </c>
      <c r="N142" s="11"/>
      <c r="O142" s="11"/>
      <c r="P142" s="11"/>
      <c r="Q142" s="15" t="s">
        <v>1215</v>
      </c>
      <c r="R142" s="16">
        <v>41384</v>
      </c>
      <c r="S142" s="11">
        <v>2700</v>
      </c>
      <c r="T142" s="11"/>
      <c r="U142" s="11" t="s">
        <v>1216</v>
      </c>
      <c r="V142" s="17">
        <v>0.03</v>
      </c>
      <c r="W142" s="11">
        <f t="shared" si="37"/>
        <v>270000</v>
      </c>
      <c r="X142" s="11">
        <f>50000+50000+100000+10000</f>
        <v>210000</v>
      </c>
      <c r="Y142" s="11">
        <f>210000</f>
        <v>210000</v>
      </c>
      <c r="Z142" s="11">
        <f t="shared" si="39"/>
        <v>60000</v>
      </c>
      <c r="AA142" s="11">
        <f>1000000+1000000+2000000+5000000</f>
        <v>9000000</v>
      </c>
      <c r="AB142" s="11">
        <f>9000000</f>
        <v>9000000</v>
      </c>
      <c r="AC142" s="11">
        <v>4800000</v>
      </c>
      <c r="AD142" s="11">
        <v>4800000</v>
      </c>
      <c r="AE142" s="18">
        <f t="shared" ref="AE142:AE147" si="40">AC142/(M142+N142)</f>
        <v>0.53333333333333333</v>
      </c>
      <c r="AF142" s="11">
        <f>367213.64+288736.55+1098080+803000+14000</f>
        <v>2571030.19</v>
      </c>
      <c r="AG142" s="11">
        <f>2571030.19</f>
        <v>2571030.19</v>
      </c>
      <c r="AH142" s="11">
        <f>966000+963844.72+27454+2008701.28+820000+14000</f>
        <v>4800000</v>
      </c>
      <c r="AI142" s="11"/>
      <c r="AJ142" s="11"/>
      <c r="AK142" s="11"/>
      <c r="AL142" s="11">
        <f>4800000</f>
        <v>4800000</v>
      </c>
      <c r="AM142" s="17">
        <v>3.4000000000000002E-2</v>
      </c>
      <c r="AN142" s="17">
        <f t="shared" si="27"/>
        <v>306000</v>
      </c>
      <c r="AO142" s="11">
        <f>34000+34000+68000+170000</f>
        <v>306000</v>
      </c>
      <c r="AP142" s="11">
        <f>306000</f>
        <v>306000</v>
      </c>
      <c r="AQ142" s="11">
        <f t="shared" si="38"/>
        <v>0</v>
      </c>
      <c r="AR142" s="11"/>
      <c r="AS142" s="11">
        <v>10</v>
      </c>
      <c r="AT142" s="11" t="s">
        <v>1217</v>
      </c>
    </row>
    <row r="143" spans="1:46" x14ac:dyDescent="0.15">
      <c r="A143" s="54">
        <v>41377</v>
      </c>
      <c r="B143" s="11" t="s">
        <v>1218</v>
      </c>
      <c r="C143" s="11" t="s">
        <v>214</v>
      </c>
      <c r="D143" s="11" t="s">
        <v>1219</v>
      </c>
      <c r="E143" s="11" t="s">
        <v>1220</v>
      </c>
      <c r="F143" s="11" t="s">
        <v>1221</v>
      </c>
      <c r="G143" s="11" t="s">
        <v>943</v>
      </c>
      <c r="H143" s="11" t="s">
        <v>1222</v>
      </c>
      <c r="I143" s="11" t="s">
        <v>1223</v>
      </c>
      <c r="J143" s="11" t="s">
        <v>1224</v>
      </c>
      <c r="K143" s="11" t="s">
        <v>894</v>
      </c>
      <c r="L143" s="11"/>
      <c r="M143" s="11">
        <v>2600000</v>
      </c>
      <c r="N143" s="11"/>
      <c r="O143" s="11"/>
      <c r="P143" s="11"/>
      <c r="Q143" s="15" t="s">
        <v>1225</v>
      </c>
      <c r="R143" s="16">
        <v>41389</v>
      </c>
      <c r="S143" s="11">
        <v>780</v>
      </c>
      <c r="T143" s="11"/>
      <c r="U143" s="11" t="s">
        <v>906</v>
      </c>
      <c r="V143" s="17">
        <v>3.5999999999999997E-2</v>
      </c>
      <c r="W143" s="11">
        <f t="shared" si="37"/>
        <v>93600</v>
      </c>
      <c r="X143" s="11">
        <f>93600</f>
        <v>93600</v>
      </c>
      <c r="Y143" s="11">
        <f>93600</f>
        <v>93600</v>
      </c>
      <c r="Z143" s="11">
        <f t="shared" si="39"/>
        <v>0</v>
      </c>
      <c r="AA143" s="11">
        <f>780000+780000+650000+684471</f>
        <v>2894471</v>
      </c>
      <c r="AB143" s="11">
        <f>2894471</f>
        <v>2894471</v>
      </c>
      <c r="AC143" s="11">
        <v>2894471</v>
      </c>
      <c r="AD143" s="11">
        <v>2894471</v>
      </c>
      <c r="AE143" s="18">
        <f t="shared" si="40"/>
        <v>1.1132580769230769</v>
      </c>
      <c r="AF143" s="11">
        <f>100000+200000+899909.1+200000+700023.58+200000+200000+5681+200000</f>
        <v>2705613.68</v>
      </c>
      <c r="AG143" s="11">
        <f>2705613.68</f>
        <v>2705613.68</v>
      </c>
      <c r="AH143" s="11">
        <f>126520+100000+226520+899909.1+200000-100000+22100+700023.58+23272+200000+200000+5681+200000</f>
        <v>2804025.68</v>
      </c>
      <c r="AI143" s="11"/>
      <c r="AJ143" s="11"/>
      <c r="AK143" s="11"/>
      <c r="AL143" s="11">
        <f>2804025.68</f>
        <v>2804025.68</v>
      </c>
      <c r="AM143" s="17">
        <v>3.4000000000000002E-2</v>
      </c>
      <c r="AN143" s="17">
        <f t="shared" si="27"/>
        <v>98412.01400000001</v>
      </c>
      <c r="AO143" s="11">
        <f>26520+26520+22100+23272</f>
        <v>98412</v>
      </c>
      <c r="AP143" s="11">
        <f>98412</f>
        <v>98412</v>
      </c>
      <c r="AQ143" s="11">
        <v>0</v>
      </c>
      <c r="AR143" s="11"/>
      <c r="AS143" s="11"/>
      <c r="AT143" s="11"/>
    </row>
    <row r="144" spans="1:46" x14ac:dyDescent="0.15">
      <c r="A144" s="54">
        <v>41365</v>
      </c>
      <c r="B144" s="11" t="s">
        <v>1226</v>
      </c>
      <c r="C144" s="11" t="s">
        <v>1227</v>
      </c>
      <c r="D144" s="11" t="s">
        <v>1228</v>
      </c>
      <c r="E144" s="11" t="s">
        <v>900</v>
      </c>
      <c r="F144" s="11" t="s">
        <v>1229</v>
      </c>
      <c r="G144" s="11" t="s">
        <v>943</v>
      </c>
      <c r="H144" s="11" t="s">
        <v>1205</v>
      </c>
      <c r="I144" s="11" t="s">
        <v>1014</v>
      </c>
      <c r="J144" s="11" t="s">
        <v>1013</v>
      </c>
      <c r="K144" s="11" t="s">
        <v>894</v>
      </c>
      <c r="L144" s="11"/>
      <c r="M144" s="11">
        <v>12491680</v>
      </c>
      <c r="N144" s="11"/>
      <c r="O144" s="11"/>
      <c r="P144" s="11"/>
      <c r="Q144" s="15" t="s">
        <v>1230</v>
      </c>
      <c r="R144" s="16">
        <v>41429</v>
      </c>
      <c r="S144" s="11">
        <v>3748</v>
      </c>
      <c r="T144" s="11"/>
      <c r="U144" s="11" t="s">
        <v>985</v>
      </c>
      <c r="V144" s="17">
        <v>0.03</v>
      </c>
      <c r="W144" s="11">
        <f>(M144+N144)*V144</f>
        <v>374750.39999999997</v>
      </c>
      <c r="X144" s="11">
        <f>250000+124750</f>
        <v>374750</v>
      </c>
      <c r="Y144" s="11">
        <f>374750</f>
        <v>374750</v>
      </c>
      <c r="Z144" s="11">
        <v>0</v>
      </c>
      <c r="AA144" s="11">
        <f>3000000+2500000+2000000+1000000+1000000+1000000+700000</f>
        <v>11200000</v>
      </c>
      <c r="AB144" s="11">
        <f>11200000</f>
        <v>11200000</v>
      </c>
      <c r="AC144" s="11">
        <v>11200000</v>
      </c>
      <c r="AD144" s="11">
        <v>11200000</v>
      </c>
      <c r="AE144" s="18">
        <f t="shared" si="40"/>
        <v>0.89659677481331579</v>
      </c>
      <c r="AF144" s="11">
        <f>1965118.15+144967.59+649995+2926492+299997+157039.77+26088+850006+590000+299997+50000+500000+350000+150000+960000+300000+72000+288000</f>
        <v>10579700.51</v>
      </c>
      <c r="AG144" s="11">
        <f>10291700.51+288000</f>
        <v>10579700.51</v>
      </c>
      <c r="AH144" s="11">
        <f>2067118.15+194967.59+649995+1934992+299997+157039.77+26088+918006+250000+590000+299997+50000+34000+500000+350000+150000+994000+1000000+23800+334000+72000+288000</f>
        <v>11184000.51</v>
      </c>
      <c r="AI144" s="11"/>
      <c r="AJ144" s="11"/>
      <c r="AK144" s="11"/>
      <c r="AL144" s="11">
        <f>10896000.51+288000</f>
        <v>11184000.51</v>
      </c>
      <c r="AM144" s="17">
        <v>3.4000000000000002E-2</v>
      </c>
      <c r="AN144" s="17">
        <f t="shared" si="27"/>
        <v>380800</v>
      </c>
      <c r="AO144" s="11">
        <f>102000+85000+68000+34000+34000+34000+23800</f>
        <v>380800</v>
      </c>
      <c r="AP144" s="11">
        <f>380800</f>
        <v>380800</v>
      </c>
      <c r="AQ144" s="11">
        <v>0</v>
      </c>
      <c r="AR144" s="11"/>
      <c r="AS144" s="11">
        <v>145</v>
      </c>
      <c r="AT144" s="11" t="s">
        <v>971</v>
      </c>
    </row>
    <row r="145" spans="1:46" x14ac:dyDescent="0.15">
      <c r="A145" s="54">
        <v>41365</v>
      </c>
      <c r="B145" s="11" t="s">
        <v>1231</v>
      </c>
      <c r="C145" s="11" t="s">
        <v>212</v>
      </c>
      <c r="D145" s="11" t="s">
        <v>1232</v>
      </c>
      <c r="E145" s="11" t="s">
        <v>900</v>
      </c>
      <c r="F145" s="11" t="s">
        <v>1233</v>
      </c>
      <c r="G145" s="11" t="s">
        <v>943</v>
      </c>
      <c r="H145" s="11" t="s">
        <v>1234</v>
      </c>
      <c r="I145" s="11" t="s">
        <v>1235</v>
      </c>
      <c r="J145" s="11" t="s">
        <v>1236</v>
      </c>
      <c r="K145" s="11" t="s">
        <v>1237</v>
      </c>
      <c r="L145" s="11"/>
      <c r="M145" s="11">
        <v>1195559</v>
      </c>
      <c r="N145" s="11">
        <f>934441</f>
        <v>934441</v>
      </c>
      <c r="O145" s="11"/>
      <c r="P145" s="11"/>
      <c r="Q145" s="15" t="s">
        <v>1238</v>
      </c>
      <c r="R145" s="16">
        <v>41410</v>
      </c>
      <c r="S145" s="11">
        <v>359</v>
      </c>
      <c r="T145" s="11"/>
      <c r="U145" s="11" t="s">
        <v>1239</v>
      </c>
      <c r="V145" s="17">
        <v>3.5999999999999997E-2</v>
      </c>
      <c r="W145" s="11">
        <f>(M145+N145)*V145</f>
        <v>76680</v>
      </c>
      <c r="X145" s="11">
        <f>76680</f>
        <v>76680</v>
      </c>
      <c r="Y145" s="11">
        <f>76680</f>
        <v>76680</v>
      </c>
      <c r="Z145" s="11">
        <v>0</v>
      </c>
      <c r="AA145" s="11">
        <f>1065000+426000+532500+106500</f>
        <v>2130000</v>
      </c>
      <c r="AB145" s="11">
        <f>2130000</f>
        <v>2130000</v>
      </c>
      <c r="AC145" s="11">
        <v>2023500</v>
      </c>
      <c r="AD145" s="11">
        <v>2023500</v>
      </c>
      <c r="AE145" s="18">
        <f t="shared" si="40"/>
        <v>0.95</v>
      </c>
      <c r="AF145" s="11">
        <f>250000+50000+200000+200000+500000</f>
        <v>1200000</v>
      </c>
      <c r="AG145" s="11">
        <f>1200000</f>
        <v>1200000</v>
      </c>
      <c r="AH145" s="11">
        <f>999648.8+50000+200000+200000+18105+3621+500000</f>
        <v>1971374.8</v>
      </c>
      <c r="AI145" s="11"/>
      <c r="AJ145" s="11"/>
      <c r="AK145" s="11"/>
      <c r="AL145" s="11">
        <f>1971374.8</f>
        <v>1971374.8</v>
      </c>
      <c r="AM145" s="17">
        <v>3.4000000000000002E-2</v>
      </c>
      <c r="AN145" s="17">
        <f t="shared" si="27"/>
        <v>72420</v>
      </c>
      <c r="AO145" s="11">
        <f>36210+14484+18105+3621</f>
        <v>72420</v>
      </c>
      <c r="AP145" s="11">
        <f>72420</f>
        <v>72420</v>
      </c>
      <c r="AQ145" s="11">
        <v>0</v>
      </c>
      <c r="AR145" s="11"/>
      <c r="AS145" s="11">
        <v>16</v>
      </c>
      <c r="AT145" s="11" t="s">
        <v>1240</v>
      </c>
    </row>
    <row r="146" spans="1:46" x14ac:dyDescent="0.15">
      <c r="A146" s="54">
        <v>41396</v>
      </c>
      <c r="B146" s="11" t="s">
        <v>1241</v>
      </c>
      <c r="C146" s="11" t="s">
        <v>225</v>
      </c>
      <c r="D146" s="11" t="s">
        <v>1242</v>
      </c>
      <c r="E146" s="11" t="s">
        <v>1243</v>
      </c>
      <c r="F146" s="11" t="s">
        <v>1244</v>
      </c>
      <c r="G146" s="11" t="s">
        <v>1245</v>
      </c>
      <c r="H146" s="11" t="s">
        <v>1246</v>
      </c>
      <c r="I146" s="11" t="s">
        <v>1247</v>
      </c>
      <c r="J146" s="11" t="s">
        <v>1248</v>
      </c>
      <c r="K146" s="11" t="s">
        <v>894</v>
      </c>
      <c r="L146" s="11"/>
      <c r="M146" s="11">
        <v>1258749</v>
      </c>
      <c r="N146" s="11"/>
      <c r="O146" s="11"/>
      <c r="P146" s="11"/>
      <c r="Q146" s="15" t="s">
        <v>1249</v>
      </c>
      <c r="R146" s="16">
        <v>41410</v>
      </c>
      <c r="S146" s="11">
        <v>378</v>
      </c>
      <c r="T146" s="11"/>
      <c r="U146" s="11" t="s">
        <v>938</v>
      </c>
      <c r="V146" s="17">
        <v>3.5999999999999997E-2</v>
      </c>
      <c r="W146" s="11">
        <f t="shared" ref="W146:W153" si="41">(M146+N146)*V146</f>
        <v>45314.964</v>
      </c>
      <c r="X146" s="11">
        <f>45315</f>
        <v>45315</v>
      </c>
      <c r="Y146" s="11">
        <f>45315</f>
        <v>45315</v>
      </c>
      <c r="Z146" s="11">
        <v>0</v>
      </c>
      <c r="AA146" s="11">
        <f>125000+250000+377000+200000+100000</f>
        <v>1052000</v>
      </c>
      <c r="AB146" s="11">
        <f>1052000</f>
        <v>1052000</v>
      </c>
      <c r="AC146" s="11">
        <v>1052000</v>
      </c>
      <c r="AD146" s="11">
        <v>1052000</v>
      </c>
      <c r="AE146" s="18">
        <f t="shared" si="40"/>
        <v>0.83575041569049902</v>
      </c>
      <c r="AF146" s="11">
        <f>150000+14831+309969+139986+194500+80000+120000</f>
        <v>1009286</v>
      </c>
      <c r="AG146" s="11">
        <f>1009286</f>
        <v>1009286</v>
      </c>
      <c r="AH146" s="11">
        <f>12750+150000+12818+14831+309969+139986+6800+194500+80000+3400+120000</f>
        <v>1045054</v>
      </c>
      <c r="AI146" s="11"/>
      <c r="AJ146" s="11"/>
      <c r="AK146" s="11"/>
      <c r="AL146" s="11">
        <f>1045054</f>
        <v>1045054</v>
      </c>
      <c r="AM146" s="17">
        <v>3.4000000000000002E-2</v>
      </c>
      <c r="AN146" s="17">
        <f t="shared" si="27"/>
        <v>35768</v>
      </c>
      <c r="AO146" s="11">
        <f>4250+8500+12818+6800+3400</f>
        <v>35768</v>
      </c>
      <c r="AP146" s="11">
        <f>35768</f>
        <v>35768</v>
      </c>
      <c r="AQ146" s="11">
        <f>AN146-AP146</f>
        <v>0</v>
      </c>
      <c r="AR146" s="11"/>
      <c r="AS146" s="11"/>
      <c r="AT146" s="11"/>
    </row>
    <row r="147" spans="1:46" x14ac:dyDescent="0.15">
      <c r="A147" s="54">
        <v>41395</v>
      </c>
      <c r="B147" s="11" t="s">
        <v>1250</v>
      </c>
      <c r="C147" s="11" t="s">
        <v>218</v>
      </c>
      <c r="D147" s="11" t="s">
        <v>1251</v>
      </c>
      <c r="E147" s="11" t="s">
        <v>900</v>
      </c>
      <c r="F147" s="11" t="s">
        <v>1252</v>
      </c>
      <c r="G147" s="11" t="s">
        <v>1253</v>
      </c>
      <c r="H147" s="11" t="s">
        <v>1254</v>
      </c>
      <c r="I147" s="11" t="s">
        <v>1255</v>
      </c>
      <c r="J147" s="11" t="s">
        <v>1044</v>
      </c>
      <c r="K147" s="11" t="s">
        <v>894</v>
      </c>
      <c r="L147" s="11"/>
      <c r="M147" s="11">
        <v>2894611</v>
      </c>
      <c r="N147" s="11"/>
      <c r="O147" s="11"/>
      <c r="P147" s="11"/>
      <c r="Q147" s="15" t="s">
        <v>1256</v>
      </c>
      <c r="R147" s="16">
        <v>41463</v>
      </c>
      <c r="S147" s="11">
        <v>869</v>
      </c>
      <c r="T147" s="11"/>
      <c r="U147" s="11" t="s">
        <v>1257</v>
      </c>
      <c r="V147" s="17">
        <v>3.5999999999999997E-2</v>
      </c>
      <c r="W147" s="11">
        <f t="shared" si="41"/>
        <v>104205.996</v>
      </c>
      <c r="X147" s="11">
        <f>104206</f>
        <v>104206</v>
      </c>
      <c r="Y147" s="11">
        <f>104206</f>
        <v>104206</v>
      </c>
      <c r="Z147" s="11">
        <v>0</v>
      </c>
      <c r="AA147" s="11">
        <f>868383.3+330000+330000</f>
        <v>1528383.3</v>
      </c>
      <c r="AB147" s="11">
        <v>1528383.3</v>
      </c>
      <c r="AC147" s="11">
        <v>1528383.3</v>
      </c>
      <c r="AD147" s="11">
        <v>1528383.3</v>
      </c>
      <c r="AE147" s="18">
        <f t="shared" si="40"/>
        <v>0.52800991221272908</v>
      </c>
      <c r="AF147" s="11">
        <f>756000+400000+320000</f>
        <v>1476000</v>
      </c>
      <c r="AG147" s="11">
        <f>1476000</f>
        <v>1476000</v>
      </c>
      <c r="AH147" s="11">
        <f>756000+400000+51965+320000</f>
        <v>1527965</v>
      </c>
      <c r="AI147" s="11"/>
      <c r="AJ147" s="11"/>
      <c r="AK147" s="11"/>
      <c r="AL147" s="11">
        <f>1527965</f>
        <v>1527965</v>
      </c>
      <c r="AM147" s="17">
        <v>3.4000000000000002E-2</v>
      </c>
      <c r="AN147" s="17">
        <f t="shared" si="27"/>
        <v>51965.032200000009</v>
      </c>
      <c r="AO147" s="11">
        <f>29525+11220+11220</f>
        <v>51965</v>
      </c>
      <c r="AP147" s="11">
        <f>51965</f>
        <v>51965</v>
      </c>
      <c r="AQ147" s="11">
        <v>0</v>
      </c>
      <c r="AR147" s="11"/>
      <c r="AS147" s="11"/>
      <c r="AT147" s="11"/>
    </row>
    <row r="148" spans="1:46" x14ac:dyDescent="0.15">
      <c r="A148" s="54">
        <v>41395</v>
      </c>
      <c r="B148" s="11" t="s">
        <v>1258</v>
      </c>
      <c r="C148" s="11" t="s">
        <v>220</v>
      </c>
      <c r="D148" s="11" t="s">
        <v>1259</v>
      </c>
      <c r="E148" s="11" t="s">
        <v>900</v>
      </c>
      <c r="F148" s="11" t="s">
        <v>1260</v>
      </c>
      <c r="G148" s="11" t="s">
        <v>983</v>
      </c>
      <c r="H148" s="11" t="s">
        <v>1261</v>
      </c>
      <c r="I148" s="11" t="s">
        <v>1247</v>
      </c>
      <c r="J148" s="11" t="s">
        <v>1248</v>
      </c>
      <c r="K148" s="11" t="s">
        <v>526</v>
      </c>
      <c r="L148" s="11"/>
      <c r="M148" s="11">
        <v>1691837.01</v>
      </c>
      <c r="N148" s="11"/>
      <c r="O148" s="11"/>
      <c r="P148" s="11"/>
      <c r="Q148" s="15" t="s">
        <v>1262</v>
      </c>
      <c r="R148" s="16">
        <v>41431</v>
      </c>
      <c r="S148" s="11">
        <v>508</v>
      </c>
      <c r="T148" s="11"/>
      <c r="U148" s="11" t="s">
        <v>938</v>
      </c>
      <c r="V148" s="17">
        <v>3.5999999999999997E-2</v>
      </c>
      <c r="W148" s="11">
        <f t="shared" si="41"/>
        <v>60906.132359999996</v>
      </c>
      <c r="X148" s="11">
        <f>60906</f>
        <v>60906</v>
      </c>
      <c r="Y148" s="11">
        <f>60906</f>
        <v>60906</v>
      </c>
      <c r="Z148" s="11">
        <v>0</v>
      </c>
      <c r="AA148" s="11">
        <f>761326+507551+338367+285000</f>
        <v>1892244</v>
      </c>
      <c r="AB148" s="11">
        <f>1892244</f>
        <v>1892244</v>
      </c>
      <c r="AC148" s="11">
        <v>1892244</v>
      </c>
      <c r="AD148" s="11">
        <v>1892244</v>
      </c>
      <c r="AE148" s="18">
        <f t="shared" ref="AE148:AE159" si="42">AD148/(M148+N148)</f>
        <v>1.118455258287558</v>
      </c>
      <c r="AF148" s="11">
        <f>300000+354500+160401.7+290841.6+109989+309969+43938.7+100000+60000</f>
        <v>1729639.9999999998</v>
      </c>
      <c r="AG148" s="11">
        <f>1729640</f>
        <v>1729640</v>
      </c>
      <c r="AH148" s="11">
        <f>327915+354500+17257+160401.7+290841.6+109989+321473+9690+43938.7+100000+60000</f>
        <v>1796005.9999999998</v>
      </c>
      <c r="AI148" s="11"/>
      <c r="AJ148" s="11"/>
      <c r="AK148" s="11"/>
      <c r="AL148" s="11">
        <f>1796006</f>
        <v>1796006</v>
      </c>
      <c r="AM148" s="17">
        <v>3.4000000000000002E-2</v>
      </c>
      <c r="AN148" s="17">
        <f t="shared" si="27"/>
        <v>64336.296000000002</v>
      </c>
      <c r="AO148" s="11">
        <f>25885+17257+11504+9690</f>
        <v>64336</v>
      </c>
      <c r="AP148" s="11">
        <f>64336</f>
        <v>64336</v>
      </c>
      <c r="AQ148" s="11">
        <v>0</v>
      </c>
      <c r="AR148" s="11"/>
      <c r="AS148" s="11">
        <v>15</v>
      </c>
      <c r="AT148" s="11" t="s">
        <v>1263</v>
      </c>
    </row>
    <row r="149" spans="1:46" x14ac:dyDescent="0.15">
      <c r="A149" s="54">
        <v>41412</v>
      </c>
      <c r="B149" s="11" t="s">
        <v>1264</v>
      </c>
      <c r="C149" s="11" t="s">
        <v>227</v>
      </c>
      <c r="D149" s="11" t="s">
        <v>1265</v>
      </c>
      <c r="E149" s="11" t="s">
        <v>900</v>
      </c>
      <c r="F149" s="11" t="s">
        <v>1030</v>
      </c>
      <c r="G149" s="11" t="s">
        <v>1266</v>
      </c>
      <c r="H149" s="11" t="s">
        <v>1032</v>
      </c>
      <c r="I149" s="11" t="s">
        <v>1033</v>
      </c>
      <c r="J149" s="11" t="s">
        <v>1267</v>
      </c>
      <c r="K149" s="11" t="s">
        <v>1268</v>
      </c>
      <c r="L149" s="11"/>
      <c r="M149" s="11">
        <v>6498959</v>
      </c>
      <c r="N149" s="11"/>
      <c r="O149" s="11"/>
      <c r="P149" s="11"/>
      <c r="Q149" s="15"/>
      <c r="R149" s="16"/>
      <c r="S149" s="11"/>
      <c r="T149" s="11"/>
      <c r="U149" s="11" t="s">
        <v>1269</v>
      </c>
      <c r="V149" s="17">
        <v>0.03</v>
      </c>
      <c r="W149" s="11">
        <f t="shared" si="41"/>
        <v>194968.77</v>
      </c>
      <c r="X149" s="11">
        <f>70000+124969</f>
        <v>194969</v>
      </c>
      <c r="Y149" s="11">
        <f>194969</f>
        <v>194969</v>
      </c>
      <c r="Z149" s="11">
        <v>0</v>
      </c>
      <c r="AA149" s="11">
        <f>3335989.4+769844.1+1059365.7</f>
        <v>5165199.2</v>
      </c>
      <c r="AB149" s="11">
        <f>5165199.2</f>
        <v>5165199.2</v>
      </c>
      <c r="AC149" s="11">
        <v>4941545.5</v>
      </c>
      <c r="AD149" s="11">
        <v>4941545.5</v>
      </c>
      <c r="AE149" s="18">
        <f t="shared" si="42"/>
        <v>0.76035954373615833</v>
      </c>
      <c r="AF149" s="11">
        <f>199998+250000+1726769.35+399200+299400+100000+245998+100000+99990+200000+100000+584950+109993.85+196120</f>
        <v>4612419.1999999993</v>
      </c>
      <c r="AG149" s="11">
        <f>4612419.2</f>
        <v>4612419.2</v>
      </c>
      <c r="AH149" s="11">
        <f>206496+350000+1839859.39+399200+325497.71+100000+245998+100000+99990+200000+40000+100000+584950+109993.85+232032.5</f>
        <v>4934017.4499999993</v>
      </c>
      <c r="AI149" s="11"/>
      <c r="AJ149" s="11"/>
      <c r="AK149" s="11"/>
      <c r="AL149" s="11">
        <f>4934017.45</f>
        <v>4934017.45</v>
      </c>
      <c r="AM149" s="17">
        <v>3.7400000000000003E-2</v>
      </c>
      <c r="AN149" s="17">
        <f t="shared" si="27"/>
        <v>193178.45008000001</v>
      </c>
      <c r="AO149" s="11">
        <v>193178.45</v>
      </c>
      <c r="AP149" s="11">
        <f>193178.45</f>
        <v>193178.45</v>
      </c>
      <c r="AQ149" s="11">
        <f t="shared" ref="AQ149" si="43">AN149-AP149</f>
        <v>7.9999997979030013E-5</v>
      </c>
      <c r="AR149" s="11"/>
      <c r="AS149" s="11">
        <v>80</v>
      </c>
      <c r="AT149" s="11" t="s">
        <v>948</v>
      </c>
    </row>
    <row r="150" spans="1:46" x14ac:dyDescent="0.15">
      <c r="A150" s="54">
        <v>41417</v>
      </c>
      <c r="B150" s="11" t="s">
        <v>1270</v>
      </c>
      <c r="C150" s="11" t="s">
        <v>229</v>
      </c>
      <c r="D150" s="11" t="s">
        <v>1271</v>
      </c>
      <c r="E150" s="11" t="s">
        <v>900</v>
      </c>
      <c r="F150" s="11" t="s">
        <v>1272</v>
      </c>
      <c r="G150" s="11" t="s">
        <v>943</v>
      </c>
      <c r="H150" s="11" t="s">
        <v>1103</v>
      </c>
      <c r="I150" s="11" t="s">
        <v>1273</v>
      </c>
      <c r="J150" s="11" t="s">
        <v>1105</v>
      </c>
      <c r="K150" s="11" t="s">
        <v>894</v>
      </c>
      <c r="L150" s="11"/>
      <c r="M150" s="11">
        <v>6000000</v>
      </c>
      <c r="N150" s="11">
        <v>2023835.04</v>
      </c>
      <c r="O150" s="11"/>
      <c r="P150" s="11"/>
      <c r="Q150" s="15" t="s">
        <v>1274</v>
      </c>
      <c r="R150" s="16">
        <v>41424</v>
      </c>
      <c r="S150" s="11">
        <v>1800</v>
      </c>
      <c r="T150" s="11"/>
      <c r="U150" s="11" t="s">
        <v>906</v>
      </c>
      <c r="V150" s="17">
        <v>0.03</v>
      </c>
      <c r="W150" s="11">
        <f t="shared" si="41"/>
        <v>240715.05119999999</v>
      </c>
      <c r="X150" s="11">
        <f>180000+20715+40000</f>
        <v>240715</v>
      </c>
      <c r="Y150" s="11">
        <f>240715</f>
        <v>240715</v>
      </c>
      <c r="Z150" s="11">
        <v>0</v>
      </c>
      <c r="AA150" s="11">
        <f>3600000+600000+600000+600000+2623835.04</f>
        <v>8023835.04</v>
      </c>
      <c r="AB150" s="11">
        <f>8023835.04</f>
        <v>8023835.04</v>
      </c>
      <c r="AC150" s="11">
        <v>8023835.04</v>
      </c>
      <c r="AD150" s="11">
        <v>8023835.04</v>
      </c>
      <c r="AE150" s="18">
        <f t="shared" si="42"/>
        <v>1</v>
      </c>
      <c r="AF150" s="11">
        <f>1805292+320140.05+398998+799938+50000+567998+100000+302649+299990+499950+56400+9900+1000000+389990+218559.7+160000+500000</f>
        <v>7479804.75</v>
      </c>
      <c r="AG150" s="11">
        <f>7479804.75</f>
        <v>7479804.75</v>
      </c>
      <c r="AH150" s="11">
        <f>1927692+510140.05+398998-190000+799938+20400+567998+20400+20400+150000+302649+299990-2650+499950+56400+9900+1089210+389990+218559.7+160000+500000</f>
        <v>7749964.75</v>
      </c>
      <c r="AI150" s="11"/>
      <c r="AJ150" s="11"/>
      <c r="AK150" s="11"/>
      <c r="AL150" s="11">
        <f>7749964.75</f>
        <v>7749964.75</v>
      </c>
      <c r="AM150" s="17">
        <v>3.4000000000000002E-2</v>
      </c>
      <c r="AN150" s="17">
        <f t="shared" si="27"/>
        <v>272810.39136000001</v>
      </c>
      <c r="AO150" s="11">
        <f>122400+20400+20400+20400+89210</f>
        <v>272810</v>
      </c>
      <c r="AP150" s="11">
        <f>272810</f>
        <v>272810</v>
      </c>
      <c r="AQ150" s="11">
        <v>0</v>
      </c>
      <c r="AR150" s="11"/>
      <c r="AS150" s="11"/>
      <c r="AT150" s="11"/>
    </row>
    <row r="151" spans="1:46" s="13" customFormat="1" x14ac:dyDescent="0.15">
      <c r="A151" s="55">
        <v>41438</v>
      </c>
      <c r="B151" s="11" t="s">
        <v>1275</v>
      </c>
      <c r="C151" s="33" t="s">
        <v>233</v>
      </c>
      <c r="D151" s="34" t="s">
        <v>1276</v>
      </c>
      <c r="E151" s="34" t="s">
        <v>988</v>
      </c>
      <c r="F151" s="34" t="s">
        <v>1277</v>
      </c>
      <c r="G151" s="34" t="s">
        <v>983</v>
      </c>
      <c r="H151" s="34" t="s">
        <v>1278</v>
      </c>
      <c r="I151" s="34" t="s">
        <v>1279</v>
      </c>
      <c r="J151" s="34" t="s">
        <v>1278</v>
      </c>
      <c r="K151" s="34" t="s">
        <v>1280</v>
      </c>
      <c r="L151" s="34"/>
      <c r="M151" s="34">
        <v>15283442.58</v>
      </c>
      <c r="N151" s="34">
        <f>1303649.56</f>
        <v>1303649.56</v>
      </c>
      <c r="O151" s="34"/>
      <c r="P151" s="34"/>
      <c r="Q151" s="35" t="s">
        <v>1281</v>
      </c>
      <c r="R151" s="36">
        <v>41439</v>
      </c>
      <c r="S151" s="34">
        <v>4586</v>
      </c>
      <c r="T151" s="34"/>
      <c r="U151" s="34" t="s">
        <v>600</v>
      </c>
      <c r="V151" s="37">
        <v>0.04</v>
      </c>
      <c r="W151" s="33">
        <f>M151*0.04+N151*0.036</f>
        <v>658269.08736</v>
      </c>
      <c r="X151" s="34">
        <f>611338+46931</f>
        <v>658269</v>
      </c>
      <c r="Y151" s="34">
        <f>658269</f>
        <v>658269</v>
      </c>
      <c r="Z151" s="34">
        <v>0</v>
      </c>
      <c r="AA151" s="34">
        <f>3056688.52+130000+100000+6544953.88+1342643.66+230000+1678809.38+350000+902359.64</f>
        <v>14335455.080000002</v>
      </c>
      <c r="AB151" s="34">
        <f>13433095.44+902359.64</f>
        <v>14335455.08</v>
      </c>
      <c r="AC151" s="11">
        <v>13433095.440000001</v>
      </c>
      <c r="AD151" s="11">
        <v>13433095.439999999</v>
      </c>
      <c r="AE151" s="38">
        <f t="shared" si="42"/>
        <v>0.80985234341382273</v>
      </c>
      <c r="AF151" s="34">
        <f>2400000+12226+466357.36+5698233.68+611830+120000+500000+956787.5+1600000+147425+200000+922082.75+105074</f>
        <v>13740016.289999999</v>
      </c>
      <c r="AG151" s="34">
        <f>12712859.54+922082.75+105074</f>
        <v>13740016.289999999</v>
      </c>
      <c r="AH151" s="34">
        <f>2503927+12226+466357.36+230348+5698233.68+611830+120000+45650+7820+500000+956787.5+57080+11900+1600000+147425+200000+30680+922082.75+105074</f>
        <v>14227421.289999999</v>
      </c>
      <c r="AI151" s="34"/>
      <c r="AJ151" s="34"/>
      <c r="AK151" s="34"/>
      <c r="AL151" s="34">
        <f>13169584.54+30680+922082.75+105074</f>
        <v>14227421.289999999</v>
      </c>
      <c r="AM151" s="37">
        <v>3.4000000000000002E-2</v>
      </c>
      <c r="AN151" s="37">
        <f t="shared" si="27"/>
        <v>487405.47272000002</v>
      </c>
      <c r="AO151" s="34">
        <f>103927+4420+3400+222528+45650+7820+57080+11900+30680</f>
        <v>487405</v>
      </c>
      <c r="AP151" s="34">
        <f>456725+30680</f>
        <v>487405</v>
      </c>
      <c r="AQ151" s="34">
        <f>AN151-AP151</f>
        <v>0.47272000001976267</v>
      </c>
      <c r="AR151" s="34"/>
      <c r="AS151" s="34"/>
      <c r="AT151" s="34"/>
    </row>
    <row r="152" spans="1:46" x14ac:dyDescent="0.15">
      <c r="A152" s="54">
        <v>41439</v>
      </c>
      <c r="B152" s="11" t="s">
        <v>1282</v>
      </c>
      <c r="C152" s="11" t="s">
        <v>235</v>
      </c>
      <c r="D152" s="11" t="s">
        <v>1283</v>
      </c>
      <c r="E152" s="11" t="s">
        <v>900</v>
      </c>
      <c r="F152" s="11" t="s">
        <v>1284</v>
      </c>
      <c r="G152" s="11" t="s">
        <v>943</v>
      </c>
      <c r="H152" s="11" t="s">
        <v>969</v>
      </c>
      <c r="I152" s="11" t="s">
        <v>970</v>
      </c>
      <c r="J152" s="11" t="s">
        <v>969</v>
      </c>
      <c r="K152" s="11" t="s">
        <v>526</v>
      </c>
      <c r="L152" s="11"/>
      <c r="M152" s="11">
        <v>1712229.71</v>
      </c>
      <c r="N152" s="11"/>
      <c r="O152" s="11"/>
      <c r="P152" s="11"/>
      <c r="Q152" s="15" t="s">
        <v>1285</v>
      </c>
      <c r="R152" s="16">
        <v>41495</v>
      </c>
      <c r="S152" s="11">
        <v>514</v>
      </c>
      <c r="T152" s="11"/>
      <c r="U152" s="11" t="s">
        <v>600</v>
      </c>
      <c r="V152" s="17">
        <v>3.5999999999999997E-2</v>
      </c>
      <c r="W152" s="11">
        <f t="shared" si="41"/>
        <v>61640.269559999993</v>
      </c>
      <c r="X152" s="11">
        <f>61640</f>
        <v>61640</v>
      </c>
      <c r="Y152" s="11">
        <f>61640</f>
        <v>61640</v>
      </c>
      <c r="Z152" s="11">
        <v>0</v>
      </c>
      <c r="AA152" s="11"/>
      <c r="AB152" s="11"/>
      <c r="AC152" s="11">
        <v>0</v>
      </c>
      <c r="AD152" s="11">
        <v>0</v>
      </c>
      <c r="AE152" s="18">
        <f t="shared" si="42"/>
        <v>0</v>
      </c>
      <c r="AF152" s="11"/>
      <c r="AG152" s="11"/>
      <c r="AH152" s="11"/>
      <c r="AI152" s="11"/>
      <c r="AJ152" s="11"/>
      <c r="AK152" s="11"/>
      <c r="AL152" s="11"/>
      <c r="AM152" s="17">
        <v>3.4000000000000002E-2</v>
      </c>
      <c r="AN152" s="39">
        <f t="shared" si="27"/>
        <v>0</v>
      </c>
      <c r="AO152" s="11"/>
      <c r="AP152" s="11"/>
      <c r="AQ152" s="11"/>
      <c r="AR152" s="11"/>
      <c r="AS152" s="11">
        <v>19</v>
      </c>
      <c r="AT152" s="11" t="s">
        <v>1286</v>
      </c>
    </row>
    <row r="153" spans="1:46" x14ac:dyDescent="0.15">
      <c r="A153" s="54">
        <v>41443</v>
      </c>
      <c r="B153" s="11" t="s">
        <v>1287</v>
      </c>
      <c r="C153" s="11" t="s">
        <v>237</v>
      </c>
      <c r="D153" s="11" t="s">
        <v>1288</v>
      </c>
      <c r="E153" s="11" t="s">
        <v>988</v>
      </c>
      <c r="F153" s="11" t="s">
        <v>1289</v>
      </c>
      <c r="G153" s="11" t="s">
        <v>983</v>
      </c>
      <c r="H153" s="11" t="s">
        <v>1290</v>
      </c>
      <c r="I153" s="11" t="s">
        <v>1291</v>
      </c>
      <c r="J153" s="11" t="s">
        <v>1292</v>
      </c>
      <c r="K153" s="11" t="s">
        <v>526</v>
      </c>
      <c r="L153" s="11"/>
      <c r="M153" s="11">
        <v>7389748</v>
      </c>
      <c r="N153" s="11">
        <v>1116572</v>
      </c>
      <c r="O153" s="11"/>
      <c r="P153" s="11"/>
      <c r="Q153" s="15" t="s">
        <v>1293</v>
      </c>
      <c r="R153" s="16">
        <v>41484</v>
      </c>
      <c r="S153" s="11">
        <v>2217</v>
      </c>
      <c r="T153" s="11"/>
      <c r="U153" s="11" t="s">
        <v>600</v>
      </c>
      <c r="V153" s="17">
        <v>0.03</v>
      </c>
      <c r="W153" s="11">
        <f t="shared" si="41"/>
        <v>255189.59999999998</v>
      </c>
      <c r="X153" s="11">
        <f>92150+129542+15515.27+17985</f>
        <v>255192.27</v>
      </c>
      <c r="Y153" s="11">
        <f>255191.27</f>
        <v>255191.27</v>
      </c>
      <c r="Z153" s="11">
        <v>0</v>
      </c>
      <c r="AA153" s="11">
        <f>1477950+1451600+2106770+470000+3000000</f>
        <v>8506320</v>
      </c>
      <c r="AB153" s="11">
        <f>8506320</f>
        <v>8506320</v>
      </c>
      <c r="AC153" s="11">
        <v>8506320</v>
      </c>
      <c r="AD153" s="11">
        <v>8506320</v>
      </c>
      <c r="AE153" s="18">
        <f t="shared" si="42"/>
        <v>1</v>
      </c>
      <c r="AF153" s="11">
        <f>638356+174850+13545+235692.62+52176+280000+523292.84+267480+28578+558852.86+1095779.12+383558.81+219300+150000+60000+206342+4520+80995.27+591911+369130.63+347696.17+144623+101501.63+105200+1400000+3150</f>
        <v>8036530.9499999993</v>
      </c>
      <c r="AG153" s="11">
        <f>8036530.95</f>
        <v>8036530.9500000002</v>
      </c>
      <c r="AH153" s="11">
        <f>8867+938787.13+174850+13545+235692.62+52176+280000+523292.84+339110+28578+558852.86+1095779.12+383558.81+219300+150000+30000+222322+102000+4520+80995.27+591911+369130.63+347696.16+144623+101501.63+105200+1400000+3150</f>
        <v>8505439.0700000003</v>
      </c>
      <c r="AI153" s="11"/>
      <c r="AJ153" s="11"/>
      <c r="AK153" s="11"/>
      <c r="AL153" s="11">
        <f>8505439.07</f>
        <v>8505439.0700000003</v>
      </c>
      <c r="AM153" s="17">
        <v>3.4000000000000002E-2</v>
      </c>
      <c r="AN153" s="39">
        <f t="shared" si="27"/>
        <v>289214.88</v>
      </c>
      <c r="AO153" s="11">
        <f>50250+49354+71630+15980+102000</f>
        <v>289214</v>
      </c>
      <c r="AP153" s="11">
        <f>289214</f>
        <v>289214</v>
      </c>
      <c r="AQ153" s="11">
        <v>0</v>
      </c>
      <c r="AR153" s="11"/>
      <c r="AS153" s="11">
        <v>50</v>
      </c>
      <c r="AT153" s="11" t="s">
        <v>1294</v>
      </c>
    </row>
    <row r="154" spans="1:46" x14ac:dyDescent="0.15">
      <c r="A154" s="54">
        <v>41456</v>
      </c>
      <c r="B154" s="11" t="s">
        <v>1295</v>
      </c>
      <c r="C154" s="11" t="s">
        <v>1296</v>
      </c>
      <c r="D154" s="11" t="s">
        <v>1297</v>
      </c>
      <c r="E154" s="11" t="s">
        <v>1298</v>
      </c>
      <c r="F154" s="11" t="s">
        <v>1299</v>
      </c>
      <c r="G154" s="11" t="s">
        <v>1300</v>
      </c>
      <c r="H154" s="11" t="s">
        <v>1301</v>
      </c>
      <c r="I154" s="11" t="s">
        <v>1302</v>
      </c>
      <c r="J154" s="11" t="s">
        <v>1301</v>
      </c>
      <c r="K154" s="11" t="s">
        <v>894</v>
      </c>
      <c r="L154" s="11"/>
      <c r="M154" s="11">
        <v>205000</v>
      </c>
      <c r="N154" s="11"/>
      <c r="O154" s="11"/>
      <c r="P154" s="11"/>
      <c r="Q154" s="15"/>
      <c r="R154" s="16"/>
      <c r="S154" s="11"/>
      <c r="T154" s="11"/>
      <c r="U154" s="11" t="s">
        <v>985</v>
      </c>
      <c r="V154" s="17">
        <v>3.5999999999999997E-2</v>
      </c>
      <c r="W154" s="11">
        <f>(M154+N154)*V154</f>
        <v>7379.9999999999991</v>
      </c>
      <c r="X154" s="11">
        <v>7380</v>
      </c>
      <c r="Y154" s="11">
        <f>7380</f>
        <v>7380</v>
      </c>
      <c r="Z154" s="11">
        <v>0</v>
      </c>
      <c r="AA154" s="11">
        <v>194750</v>
      </c>
      <c r="AB154" s="11">
        <f>194750</f>
        <v>194750</v>
      </c>
      <c r="AC154" s="11">
        <v>194750</v>
      </c>
      <c r="AD154" s="11">
        <v>194750</v>
      </c>
      <c r="AE154" s="18">
        <f t="shared" si="42"/>
        <v>0.95</v>
      </c>
      <c r="AF154" s="11">
        <f>99990+4832.2+50625</f>
        <v>155447.20000000001</v>
      </c>
      <c r="AG154" s="11">
        <f>155447.2</f>
        <v>155447.20000000001</v>
      </c>
      <c r="AH154" s="11">
        <f>106612+4832.2+20000+50625+10000</f>
        <v>192069.2</v>
      </c>
      <c r="AI154" s="11"/>
      <c r="AJ154" s="11"/>
      <c r="AK154" s="11"/>
      <c r="AL154" s="11">
        <f>182069.2+10000</f>
        <v>192069.2</v>
      </c>
      <c r="AM154" s="17">
        <v>3.4000000000000002E-2</v>
      </c>
      <c r="AN154" s="17">
        <f t="shared" si="27"/>
        <v>6621.5000000000009</v>
      </c>
      <c r="AO154" s="11">
        <v>6622</v>
      </c>
      <c r="AP154" s="11">
        <f>6622</f>
        <v>6622</v>
      </c>
      <c r="AQ154" s="11">
        <v>0</v>
      </c>
      <c r="AR154" s="11"/>
      <c r="AS154" s="11"/>
      <c r="AT154" s="11"/>
    </row>
    <row r="155" spans="1:46" x14ac:dyDescent="0.15">
      <c r="A155" s="54">
        <v>41457</v>
      </c>
      <c r="B155" s="11" t="s">
        <v>1303</v>
      </c>
      <c r="C155" s="11" t="s">
        <v>243</v>
      </c>
      <c r="D155" s="11" t="s">
        <v>1304</v>
      </c>
      <c r="E155" s="11" t="s">
        <v>1305</v>
      </c>
      <c r="F155" s="11"/>
      <c r="G155" s="11" t="s">
        <v>1306</v>
      </c>
      <c r="H155" s="11" t="s">
        <v>1307</v>
      </c>
      <c r="I155" s="25" t="s">
        <v>1308</v>
      </c>
      <c r="J155" s="25" t="s">
        <v>1309</v>
      </c>
      <c r="K155" s="25" t="s">
        <v>559</v>
      </c>
      <c r="L155" s="11"/>
      <c r="M155" s="11">
        <v>5287718</v>
      </c>
      <c r="N155" s="11"/>
      <c r="O155" s="11"/>
      <c r="P155" s="11"/>
      <c r="Q155" s="15" t="s">
        <v>1310</v>
      </c>
      <c r="R155" s="16">
        <v>41531</v>
      </c>
      <c r="S155" s="11">
        <v>1587</v>
      </c>
      <c r="T155" s="11"/>
      <c r="U155" s="11" t="s">
        <v>573</v>
      </c>
      <c r="V155" s="17">
        <v>0.03</v>
      </c>
      <c r="W155" s="11">
        <f>(M155+N155)*V155</f>
        <v>158631.54</v>
      </c>
      <c r="X155" s="11"/>
      <c r="Y155" s="11"/>
      <c r="Z155" s="11">
        <f>W155-Y155</f>
        <v>158631.54</v>
      </c>
      <c r="AA155" s="11"/>
      <c r="AB155" s="11"/>
      <c r="AC155" s="11">
        <v>0</v>
      </c>
      <c r="AD155" s="11">
        <v>0</v>
      </c>
      <c r="AE155" s="18">
        <f t="shared" si="42"/>
        <v>0</v>
      </c>
      <c r="AF155" s="11"/>
      <c r="AG155" s="11"/>
      <c r="AH155" s="11"/>
      <c r="AI155" s="11"/>
      <c r="AJ155" s="11"/>
      <c r="AK155" s="11"/>
      <c r="AL155" s="11"/>
      <c r="AM155" s="17">
        <v>3.4000000000000002E-2</v>
      </c>
      <c r="AN155" s="17">
        <f t="shared" si="27"/>
        <v>0</v>
      </c>
      <c r="AO155" s="11"/>
      <c r="AP155" s="11"/>
      <c r="AQ155" s="11"/>
      <c r="AR155" s="11"/>
      <c r="AS155" s="11">
        <v>15</v>
      </c>
      <c r="AT155" s="11" t="s">
        <v>1311</v>
      </c>
    </row>
    <row r="156" spans="1:46" x14ac:dyDescent="0.15">
      <c r="A156" s="54">
        <v>41459</v>
      </c>
      <c r="B156" s="11" t="s">
        <v>1312</v>
      </c>
      <c r="C156" s="11" t="s">
        <v>245</v>
      </c>
      <c r="D156" s="11" t="s">
        <v>1313</v>
      </c>
      <c r="E156" s="11" t="s">
        <v>1305</v>
      </c>
      <c r="F156" s="11" t="s">
        <v>1314</v>
      </c>
      <c r="G156" s="11" t="s">
        <v>1315</v>
      </c>
      <c r="H156" s="11" t="s">
        <v>1316</v>
      </c>
      <c r="I156" s="11" t="s">
        <v>1317</v>
      </c>
      <c r="J156" s="11" t="s">
        <v>1318</v>
      </c>
      <c r="K156" s="11" t="s">
        <v>1319</v>
      </c>
      <c r="L156" s="11"/>
      <c r="M156" s="11">
        <v>2440063.9</v>
      </c>
      <c r="N156" s="11"/>
      <c r="O156" s="11"/>
      <c r="P156" s="11"/>
      <c r="Q156" s="15"/>
      <c r="R156" s="16"/>
      <c r="S156" s="11"/>
      <c r="T156" s="11"/>
      <c r="U156" s="11" t="s">
        <v>1320</v>
      </c>
      <c r="V156" s="17">
        <v>4.5999999999999999E-2</v>
      </c>
      <c r="W156" s="11">
        <f>(M156+N156)*V156</f>
        <v>112242.93939999999</v>
      </c>
      <c r="X156" s="11">
        <f>112243.75</f>
        <v>112243.75</v>
      </c>
      <c r="Y156" s="11">
        <f>112243.75</f>
        <v>112243.75</v>
      </c>
      <c r="Z156" s="11">
        <v>0</v>
      </c>
      <c r="AA156" s="11">
        <f>1952051.12+400705.2</f>
        <v>2352756.3200000003</v>
      </c>
      <c r="AB156" s="11">
        <f>2352756.32</f>
        <v>2352756.3199999998</v>
      </c>
      <c r="AC156" s="11">
        <v>1952051.12</v>
      </c>
      <c r="AD156" s="11">
        <v>1952051.12</v>
      </c>
      <c r="AE156" s="18">
        <f t="shared" si="42"/>
        <v>0.8</v>
      </c>
      <c r="AF156" s="11">
        <f>655732+200000+101200+150000+48797.75+175016+30500+29394+70000+17268+43710+32640</f>
        <v>1554257.75</v>
      </c>
      <c r="AG156" s="11">
        <f>1554257.75</f>
        <v>1554257.75</v>
      </c>
      <c r="AH156" s="11">
        <f>655732+200000+170334.26+150000+48797.75+175016+30500+329394+70000+17268+13583.92+43710+32640</f>
        <v>1936975.93</v>
      </c>
      <c r="AI156" s="11"/>
      <c r="AJ156" s="11"/>
      <c r="AK156" s="11"/>
      <c r="AL156" s="11">
        <f>1936975.93</f>
        <v>1936975.93</v>
      </c>
      <c r="AM156" s="17">
        <v>3.7400000000000003E-2</v>
      </c>
      <c r="AN156" s="17">
        <f t="shared" ref="AN156:AN183" si="44">AM156*AB156</f>
        <v>87993.086368000004</v>
      </c>
      <c r="AO156" s="11">
        <f>87993.09</f>
        <v>87993.09</v>
      </c>
      <c r="AP156" s="11">
        <f>87993.09</f>
        <v>87993.09</v>
      </c>
      <c r="AQ156" s="11">
        <v>0</v>
      </c>
      <c r="AR156" s="11"/>
      <c r="AS156" s="11"/>
      <c r="AT156" s="11"/>
    </row>
    <row r="157" spans="1:46" x14ac:dyDescent="0.15">
      <c r="A157" s="54">
        <v>41470</v>
      </c>
      <c r="B157" s="11" t="s">
        <v>1321</v>
      </c>
      <c r="C157" s="11" t="s">
        <v>247</v>
      </c>
      <c r="D157" s="11" t="s">
        <v>1322</v>
      </c>
      <c r="E157" s="11" t="s">
        <v>1323</v>
      </c>
      <c r="F157" s="11" t="s">
        <v>1324</v>
      </c>
      <c r="G157" s="11" t="s">
        <v>1325</v>
      </c>
      <c r="H157" s="11" t="s">
        <v>1326</v>
      </c>
      <c r="I157" s="11" t="s">
        <v>1327</v>
      </c>
      <c r="J157" s="11" t="s">
        <v>1328</v>
      </c>
      <c r="K157" s="11" t="s">
        <v>559</v>
      </c>
      <c r="L157" s="11"/>
      <c r="M157" s="11">
        <v>1457017.94</v>
      </c>
      <c r="N157" s="11"/>
      <c r="O157" s="11"/>
      <c r="P157" s="11"/>
      <c r="Q157" s="15" t="s">
        <v>1329</v>
      </c>
      <c r="R157" s="16">
        <v>41499</v>
      </c>
      <c r="S157" s="11">
        <v>438</v>
      </c>
      <c r="T157" s="11"/>
      <c r="U157" s="11" t="s">
        <v>1320</v>
      </c>
      <c r="V157" s="17">
        <v>3.5999999999999997E-2</v>
      </c>
      <c r="W157" s="11">
        <f>(M157+N157)*V157</f>
        <v>52452.645839999997</v>
      </c>
      <c r="X157" s="11">
        <f>52453</f>
        <v>52453</v>
      </c>
      <c r="Y157" s="11">
        <f>52453</f>
        <v>52453</v>
      </c>
      <c r="Z157" s="11">
        <v>0</v>
      </c>
      <c r="AA157" s="11">
        <f>300000+400000+700000</f>
        <v>1400000</v>
      </c>
      <c r="AB157" s="11">
        <f>1400000</f>
        <v>1400000</v>
      </c>
      <c r="AC157" s="11">
        <v>1400000</v>
      </c>
      <c r="AD157" s="11">
        <v>1400000</v>
      </c>
      <c r="AE157" s="18">
        <f t="shared" si="42"/>
        <v>0.96086668637724537</v>
      </c>
      <c r="AF157" s="11">
        <f>285000+350000+700000</f>
        <v>1335000</v>
      </c>
      <c r="AG157" s="11">
        <f>1335000</f>
        <v>1335000</v>
      </c>
      <c r="AH157" s="11">
        <f>296948+363600+23800+700000</f>
        <v>1384348</v>
      </c>
      <c r="AI157" s="11"/>
      <c r="AJ157" s="11"/>
      <c r="AK157" s="11"/>
      <c r="AL157" s="11">
        <f>1384348</f>
        <v>1384348</v>
      </c>
      <c r="AM157" s="17">
        <v>3.4000000000000002E-2</v>
      </c>
      <c r="AN157" s="17">
        <f t="shared" si="44"/>
        <v>47600</v>
      </c>
      <c r="AO157" s="11">
        <f>10200+13600+23800</f>
        <v>47600</v>
      </c>
      <c r="AP157" s="11">
        <f>47600</f>
        <v>47600</v>
      </c>
      <c r="AQ157" s="11">
        <v>0</v>
      </c>
      <c r="AR157" s="11"/>
      <c r="AS157" s="11"/>
      <c r="AT157" s="11"/>
    </row>
    <row r="158" spans="1:46" x14ac:dyDescent="0.15">
      <c r="A158" s="54">
        <v>41472</v>
      </c>
      <c r="B158" s="11" t="s">
        <v>1330</v>
      </c>
      <c r="C158" s="11" t="s">
        <v>1331</v>
      </c>
      <c r="D158" s="11" t="s">
        <v>1332</v>
      </c>
      <c r="E158" s="11" t="s">
        <v>988</v>
      </c>
      <c r="F158" s="11" t="s">
        <v>1333</v>
      </c>
      <c r="G158" s="11" t="s">
        <v>1306</v>
      </c>
      <c r="H158" s="11" t="s">
        <v>1334</v>
      </c>
      <c r="I158" s="11" t="s">
        <v>1335</v>
      </c>
      <c r="J158" s="11" t="s">
        <v>1334</v>
      </c>
      <c r="K158" s="11" t="s">
        <v>559</v>
      </c>
      <c r="L158" s="11"/>
      <c r="M158" s="11">
        <v>190000</v>
      </c>
      <c r="N158" s="11"/>
      <c r="O158" s="11"/>
      <c r="P158" s="11"/>
      <c r="Q158" s="15" t="s">
        <v>1336</v>
      </c>
      <c r="R158" s="16">
        <v>41515</v>
      </c>
      <c r="S158" s="11">
        <v>57</v>
      </c>
      <c r="T158" s="11"/>
      <c r="U158" s="11" t="s">
        <v>1320</v>
      </c>
      <c r="V158" s="17">
        <v>3.5999999999999997E-2</v>
      </c>
      <c r="W158" s="11">
        <f>(M158+N158)*V158</f>
        <v>6839.9999999999991</v>
      </c>
      <c r="X158" s="11"/>
      <c r="Y158" s="11"/>
      <c r="Z158" s="11">
        <f>W158-Y158</f>
        <v>6839.9999999999991</v>
      </c>
      <c r="AA158" s="11">
        <f>57000+123500</f>
        <v>180500</v>
      </c>
      <c r="AB158" s="11">
        <f>180500</f>
        <v>180500</v>
      </c>
      <c r="AC158" s="11">
        <v>57000</v>
      </c>
      <c r="AD158" s="11">
        <v>57000</v>
      </c>
      <c r="AE158" s="18">
        <f t="shared" si="42"/>
        <v>0.3</v>
      </c>
      <c r="AF158" s="11"/>
      <c r="AG158" s="11"/>
      <c r="AH158" s="11">
        <f>50000</f>
        <v>50000</v>
      </c>
      <c r="AI158" s="11"/>
      <c r="AJ158" s="11"/>
      <c r="AK158" s="11"/>
      <c r="AL158" s="11">
        <f>50000</f>
        <v>50000</v>
      </c>
      <c r="AM158" s="17">
        <v>3.4000000000000002E-2</v>
      </c>
      <c r="AN158" s="17">
        <f t="shared" si="44"/>
        <v>6137</v>
      </c>
      <c r="AO158" s="11"/>
      <c r="AP158" s="11"/>
      <c r="AQ158" s="11">
        <f t="shared" si="38"/>
        <v>6137</v>
      </c>
      <c r="AR158" s="11"/>
      <c r="AS158" s="11"/>
      <c r="AT158" s="11"/>
    </row>
    <row r="159" spans="1:46" s="24" customFormat="1" x14ac:dyDescent="0.15">
      <c r="A159" s="56">
        <v>41484</v>
      </c>
      <c r="B159" s="11" t="s">
        <v>1337</v>
      </c>
      <c r="C159" s="19" t="s">
        <v>251</v>
      </c>
      <c r="D159" s="19" t="s">
        <v>1338</v>
      </c>
      <c r="E159" s="19" t="s">
        <v>1305</v>
      </c>
      <c r="F159" s="19" t="s">
        <v>1339</v>
      </c>
      <c r="G159" s="19" t="s">
        <v>983</v>
      </c>
      <c r="H159" s="19" t="s">
        <v>1340</v>
      </c>
      <c r="I159" s="19" t="s">
        <v>1341</v>
      </c>
      <c r="J159" s="19" t="s">
        <v>1342</v>
      </c>
      <c r="K159" s="19" t="s">
        <v>559</v>
      </c>
      <c r="L159" s="19"/>
      <c r="M159" s="19">
        <v>2768475</v>
      </c>
      <c r="N159" s="19"/>
      <c r="O159" s="19"/>
      <c r="P159" s="19"/>
      <c r="Q159" s="20" t="s">
        <v>1343</v>
      </c>
      <c r="R159" s="21">
        <v>41521</v>
      </c>
      <c r="S159" s="19">
        <v>831</v>
      </c>
      <c r="T159" s="19"/>
      <c r="U159" s="19" t="s">
        <v>1344</v>
      </c>
      <c r="V159" s="22">
        <v>3.5999999999999997E-2</v>
      </c>
      <c r="W159" s="19">
        <f t="shared" ref="W159:W170" si="45">(M159+N159)*V159</f>
        <v>99665.099999999991</v>
      </c>
      <c r="X159" s="19">
        <f>96813+2852</f>
        <v>99665</v>
      </c>
      <c r="Y159" s="19">
        <f>99665</f>
        <v>99665</v>
      </c>
      <c r="Z159" s="19">
        <v>0</v>
      </c>
      <c r="AA159" s="19">
        <f>225439+352389+443844+584005+630726+116801</f>
        <v>2353204</v>
      </c>
      <c r="AB159" s="19">
        <f>2353204</f>
        <v>2353204</v>
      </c>
      <c r="AC159" s="11">
        <v>2353204</v>
      </c>
      <c r="AD159" s="11">
        <v>2353204</v>
      </c>
      <c r="AE159" s="23">
        <f t="shared" si="42"/>
        <v>0.85000009030242285</v>
      </c>
      <c r="AF159" s="19">
        <f>46131+3322+300000+9031.34+409787+284553.25+253404.4+55000+420000+200000+40000</f>
        <v>2021228.99</v>
      </c>
      <c r="AG159" s="19">
        <f>2021228.99</f>
        <v>2021228.99</v>
      </c>
      <c r="AH159" s="19">
        <f>183796+3322+311981+15091+9031.34+409787+304409.25+253404.4+12067+50000+21445+420000+200000+40000+3971+100000</f>
        <v>2338304.9900000002</v>
      </c>
      <c r="AI159" s="19"/>
      <c r="AJ159" s="19"/>
      <c r="AK159" s="19"/>
      <c r="AL159" s="19">
        <f>2338304.99</f>
        <v>2338304.9900000002</v>
      </c>
      <c r="AM159" s="22">
        <v>3.4000000000000002E-2</v>
      </c>
      <c r="AN159" s="22">
        <f t="shared" si="44"/>
        <v>80008.936000000002</v>
      </c>
      <c r="AO159" s="19">
        <f>7665+11981+15091+19856+21445+3971</f>
        <v>80009</v>
      </c>
      <c r="AP159" s="19">
        <f>80009</f>
        <v>80009</v>
      </c>
      <c r="AQ159" s="19">
        <v>0</v>
      </c>
      <c r="AR159" s="19"/>
      <c r="AS159" s="19"/>
      <c r="AT159" s="19"/>
    </row>
    <row r="160" spans="1:46" s="13" customFormat="1" x14ac:dyDescent="0.15">
      <c r="A160" s="55">
        <v>41484</v>
      </c>
      <c r="B160" s="11" t="s">
        <v>1345</v>
      </c>
      <c r="C160" s="33" t="s">
        <v>253</v>
      </c>
      <c r="D160" s="34" t="s">
        <v>1346</v>
      </c>
      <c r="E160" s="34" t="s">
        <v>1305</v>
      </c>
      <c r="F160" s="34" t="s">
        <v>1347</v>
      </c>
      <c r="G160" s="34" t="s">
        <v>1325</v>
      </c>
      <c r="H160" s="34" t="s">
        <v>1348</v>
      </c>
      <c r="I160" s="34" t="s">
        <v>1349</v>
      </c>
      <c r="J160" s="34" t="s">
        <v>1348</v>
      </c>
      <c r="K160" s="34" t="s">
        <v>1319</v>
      </c>
      <c r="L160" s="34"/>
      <c r="M160" s="34">
        <v>19543207.129999999</v>
      </c>
      <c r="N160" s="34"/>
      <c r="O160" s="34"/>
      <c r="P160" s="34"/>
      <c r="Q160" s="35" t="s">
        <v>1350</v>
      </c>
      <c r="R160" s="36">
        <v>41522</v>
      </c>
      <c r="S160" s="34">
        <v>5863</v>
      </c>
      <c r="T160" s="34"/>
      <c r="U160" s="34" t="s">
        <v>573</v>
      </c>
      <c r="V160" s="37">
        <v>0.03</v>
      </c>
      <c r="W160" s="34">
        <f t="shared" si="45"/>
        <v>586296.21389999997</v>
      </c>
      <c r="X160" s="34">
        <f>294137+48467+243693</f>
        <v>586297</v>
      </c>
      <c r="Y160" s="34">
        <f>586297</f>
        <v>586297</v>
      </c>
      <c r="Z160" s="34">
        <v>0</v>
      </c>
      <c r="AA160" s="34">
        <f>2900000+940000+1450000+1500000+1000000+5030000</f>
        <v>12820000</v>
      </c>
      <c r="AB160" s="34">
        <f>12820000</f>
        <v>12820000</v>
      </c>
      <c r="AC160" s="11">
        <v>7790000</v>
      </c>
      <c r="AD160" s="11">
        <v>7790000</v>
      </c>
      <c r="AE160" s="40">
        <f t="shared" ref="AE160:AE168" si="46">AC160/(M160+N160)</f>
        <v>0.39860397263261266</v>
      </c>
      <c r="AF160" s="34">
        <f>5000+42500+558500+11689.02+35406.47+101406.73+462741+683215.46+101172.29+17554.39+50000+70380+677467.99+6435.8+581885.85+316032+443506.69+63500+741521.85+5702+20000+520000+31943+158955.3+120000+201400+200000+109367.4+46877+408088.55+110000+51000+363362.82+20511+56588+2118539.91+7000+598000</f>
        <v>10117250.52</v>
      </c>
      <c r="AG160" s="34">
        <f>7393710.61+2118539.91+7000+598000</f>
        <v>10117250.52</v>
      </c>
      <c r="AH160" s="34">
        <f>119234+42500+558500+11689.02+35406.47+101406.73+462741+717250.76+101172.29+17554.39+50000+648+70380+677467.99+6435.8+49300+632885.85+316032+443506.69+63500+741521.85+5702+20000+520000+31943+158955.3+120000+201400+200000+143367.4+46877+408088.55+110000+51000+363362.82+20511+8150+56588+2118539.91+169008+7000+598000</f>
        <v>10577625.82</v>
      </c>
      <c r="AI160" s="34"/>
      <c r="AJ160" s="34"/>
      <c r="AK160" s="34"/>
      <c r="AL160" s="34">
        <f>7685077.91+2118539.91+169008+7000+598000</f>
        <v>10577625.82</v>
      </c>
      <c r="AM160" s="37">
        <v>3.4000000000000002E-2</v>
      </c>
      <c r="AN160" s="37">
        <f t="shared" si="44"/>
        <v>435880.00000000006</v>
      </c>
      <c r="AO160" s="34">
        <f>98600+49300+51000+34000</f>
        <v>232900</v>
      </c>
      <c r="AP160" s="34">
        <f>232900</f>
        <v>232900</v>
      </c>
      <c r="AQ160" s="34"/>
      <c r="AR160" s="34"/>
      <c r="AS160" s="34">
        <v>96</v>
      </c>
      <c r="AT160" s="34" t="s">
        <v>1311</v>
      </c>
    </row>
    <row r="161" spans="1:46" s="45" customFormat="1" x14ac:dyDescent="0.15">
      <c r="A161" s="58">
        <v>41494</v>
      </c>
      <c r="B161" s="11" t="s">
        <v>1351</v>
      </c>
      <c r="C161" s="41" t="s">
        <v>259</v>
      </c>
      <c r="D161" s="25" t="s">
        <v>1352</v>
      </c>
      <c r="E161" s="25" t="s">
        <v>1323</v>
      </c>
      <c r="F161" s="25"/>
      <c r="G161" s="25" t="s">
        <v>1353</v>
      </c>
      <c r="H161" s="25" t="s">
        <v>1354</v>
      </c>
      <c r="I161" s="11" t="s">
        <v>1355</v>
      </c>
      <c r="J161" s="11" t="s">
        <v>1354</v>
      </c>
      <c r="K161" s="11" t="s">
        <v>1356</v>
      </c>
      <c r="L161" s="25"/>
      <c r="M161" s="25">
        <v>8061172</v>
      </c>
      <c r="N161" s="25"/>
      <c r="O161" s="25"/>
      <c r="P161" s="25"/>
      <c r="Q161" s="42"/>
      <c r="R161" s="43"/>
      <c r="S161" s="25"/>
      <c r="T161" s="25"/>
      <c r="U161" s="25" t="s">
        <v>573</v>
      </c>
      <c r="V161" s="39">
        <v>0.03</v>
      </c>
      <c r="W161" s="25">
        <f t="shared" si="45"/>
        <v>241835.16</v>
      </c>
      <c r="X161" s="25">
        <f>240000</f>
        <v>240000</v>
      </c>
      <c r="Y161" s="25">
        <f>240000</f>
        <v>240000</v>
      </c>
      <c r="Z161" s="25">
        <f>W161-Y161</f>
        <v>1835.1600000000035</v>
      </c>
      <c r="AA161" s="25">
        <f>1100000+500000</f>
        <v>1600000</v>
      </c>
      <c r="AB161" s="25">
        <f>1100000+500000</f>
        <v>1600000</v>
      </c>
      <c r="AC161" s="11">
        <v>1040000</v>
      </c>
      <c r="AD161" s="11">
        <v>1040000</v>
      </c>
      <c r="AE161" s="44">
        <f t="shared" si="46"/>
        <v>0.12901349828536099</v>
      </c>
      <c r="AF161" s="25">
        <f>744809+257450</f>
        <v>1002259</v>
      </c>
      <c r="AG161" s="25">
        <f>1002259</f>
        <v>1002259</v>
      </c>
      <c r="AH161" s="25">
        <f>782099+257450</f>
        <v>1039549</v>
      </c>
      <c r="AI161" s="25"/>
      <c r="AJ161" s="25"/>
      <c r="AK161" s="25"/>
      <c r="AL161" s="25">
        <f>1039549</f>
        <v>1039549</v>
      </c>
      <c r="AM161" s="39">
        <v>3.7400000000000003E-2</v>
      </c>
      <c r="AN161" s="39">
        <f t="shared" si="44"/>
        <v>59840.000000000007</v>
      </c>
      <c r="AO161" s="25">
        <f>41140+18700</f>
        <v>59840</v>
      </c>
      <c r="AP161" s="25">
        <f>41140+18700</f>
        <v>59840</v>
      </c>
      <c r="AQ161" s="25">
        <v>0</v>
      </c>
      <c r="AR161" s="25"/>
      <c r="AS161" s="25">
        <v>105</v>
      </c>
      <c r="AT161" s="25" t="s">
        <v>1357</v>
      </c>
    </row>
    <row r="162" spans="1:46" s="45" customFormat="1" x14ac:dyDescent="0.15">
      <c r="A162" s="59">
        <v>41487</v>
      </c>
      <c r="B162" s="11" t="s">
        <v>1358</v>
      </c>
      <c r="C162" s="25" t="s">
        <v>257</v>
      </c>
      <c r="D162" s="25" t="s">
        <v>1359</v>
      </c>
      <c r="E162" s="25" t="s">
        <v>1323</v>
      </c>
      <c r="F162" s="25" t="s">
        <v>1360</v>
      </c>
      <c r="G162" s="25" t="s">
        <v>1315</v>
      </c>
      <c r="H162" s="11" t="s">
        <v>1361</v>
      </c>
      <c r="I162" s="11" t="s">
        <v>1362</v>
      </c>
      <c r="J162" s="11" t="s">
        <v>1361</v>
      </c>
      <c r="K162" s="11" t="s">
        <v>1319</v>
      </c>
      <c r="L162" s="25"/>
      <c r="M162" s="25">
        <v>3427568</v>
      </c>
      <c r="N162" s="25"/>
      <c r="O162" s="25"/>
      <c r="P162" s="25"/>
      <c r="Q162" s="42"/>
      <c r="R162" s="43"/>
      <c r="S162" s="25"/>
      <c r="T162" s="25"/>
      <c r="U162" s="25" t="s">
        <v>1320</v>
      </c>
      <c r="V162" s="39">
        <v>0.03</v>
      </c>
      <c r="W162" s="25">
        <f t="shared" si="45"/>
        <v>102827.04</v>
      </c>
      <c r="X162" s="25">
        <f>50000+52827</f>
        <v>102827</v>
      </c>
      <c r="Y162" s="25">
        <f>102827</f>
        <v>102827</v>
      </c>
      <c r="Z162" s="25">
        <v>0</v>
      </c>
      <c r="AA162" s="25">
        <f>342756.8+1199648.8+1199648.8</f>
        <v>2742054.4000000004</v>
      </c>
      <c r="AB162" s="25">
        <f>2742054.4</f>
        <v>2742054.4</v>
      </c>
      <c r="AC162" s="11">
        <v>2576919.6799999997</v>
      </c>
      <c r="AD162" s="11">
        <v>2576919.6800000002</v>
      </c>
      <c r="AE162" s="44">
        <f t="shared" si="46"/>
        <v>0.75182160645682294</v>
      </c>
      <c r="AF162" s="25">
        <f>41130+99990+20000+741940+70492+118190+255024.25+514360+100000+355370</f>
        <v>2316496.25</v>
      </c>
      <c r="AG162" s="25">
        <f>2316496.25</f>
        <v>2316496.25</v>
      </c>
      <c r="AH162" s="25">
        <f>204113+99990+20000+741940+70492+170477.53+295692.33+514360+100000+355370</f>
        <v>2572434.8600000003</v>
      </c>
      <c r="AI162" s="25"/>
      <c r="AJ162" s="25"/>
      <c r="AK162" s="25"/>
      <c r="AL162" s="25">
        <f>2572434.86</f>
        <v>2572434.86</v>
      </c>
      <c r="AM162" s="39">
        <v>3.7400000000000003E-2</v>
      </c>
      <c r="AN162" s="39">
        <f t="shared" si="44"/>
        <v>102552.83456</v>
      </c>
      <c r="AO162" s="25">
        <f>102552.83</f>
        <v>102552.83</v>
      </c>
      <c r="AP162" s="25">
        <v>102552.83</v>
      </c>
      <c r="AQ162" s="25">
        <f>AN162-AP162</f>
        <v>4.5600000012200326E-3</v>
      </c>
      <c r="AR162" s="25"/>
      <c r="AS162" s="25">
        <v>42</v>
      </c>
      <c r="AT162" s="25" t="s">
        <v>1311</v>
      </c>
    </row>
    <row r="163" spans="1:46" s="45" customFormat="1" x14ac:dyDescent="0.15">
      <c r="A163" s="59">
        <v>41496</v>
      </c>
      <c r="B163" s="11" t="s">
        <v>1363</v>
      </c>
      <c r="C163" s="25" t="s">
        <v>261</v>
      </c>
      <c r="D163" s="25" t="s">
        <v>1364</v>
      </c>
      <c r="E163" s="25" t="s">
        <v>1323</v>
      </c>
      <c r="F163" s="25" t="s">
        <v>1365</v>
      </c>
      <c r="G163" s="25" t="s">
        <v>1325</v>
      </c>
      <c r="H163" s="25" t="s">
        <v>1366</v>
      </c>
      <c r="I163" s="25" t="s">
        <v>1367</v>
      </c>
      <c r="J163" s="25" t="s">
        <v>1368</v>
      </c>
      <c r="K163" s="25" t="s">
        <v>1369</v>
      </c>
      <c r="L163" s="25"/>
      <c r="M163" s="25">
        <v>2823828.2</v>
      </c>
      <c r="N163" s="25"/>
      <c r="O163" s="25"/>
      <c r="P163" s="25"/>
      <c r="Q163" s="42" t="s">
        <v>1370</v>
      </c>
      <c r="R163" s="43">
        <v>41512</v>
      </c>
      <c r="S163" s="25">
        <v>848</v>
      </c>
      <c r="T163" s="25"/>
      <c r="U163" s="25" t="s">
        <v>600</v>
      </c>
      <c r="V163" s="39">
        <v>0.03</v>
      </c>
      <c r="W163" s="25">
        <f t="shared" si="45"/>
        <v>84714.846000000005</v>
      </c>
      <c r="X163" s="25">
        <f>42358+42357</f>
        <v>84715</v>
      </c>
      <c r="Y163" s="25">
        <f>84715</f>
        <v>84715</v>
      </c>
      <c r="Z163" s="25">
        <v>0</v>
      </c>
      <c r="AA163" s="25">
        <f>564765.64+564765.64+282382.82+16984.89+40432+564765.64</f>
        <v>2034096.63</v>
      </c>
      <c r="AB163" s="25">
        <f>2034096.63</f>
        <v>2034096.63</v>
      </c>
      <c r="AC163" s="11">
        <v>2034096.63</v>
      </c>
      <c r="AD163" s="11">
        <v>2034096.63</v>
      </c>
      <c r="AE163" s="44">
        <f t="shared" si="46"/>
        <v>0.72033299688699182</v>
      </c>
      <c r="AF163" s="25">
        <f>3388+219780+108026.24+100000+350000+51000+15160+32026.7+2125+200000+1510+152999.17+3057+89600+407250</f>
        <v>1735922.1099999999</v>
      </c>
      <c r="AG163" s="25">
        <f>1735922.11</f>
        <v>1735922.11</v>
      </c>
      <c r="AH163" s="25">
        <f>3388+238982+108026.24+100000+19202+350000+51000+15160+32026.7+2125+200000+1510+10179+152999.17+3057+89600+20577+407250</f>
        <v>1805082.1099999999</v>
      </c>
      <c r="AI163" s="25"/>
      <c r="AJ163" s="25"/>
      <c r="AK163" s="25"/>
      <c r="AL163" s="25">
        <f>1805082.11</f>
        <v>1805082.11</v>
      </c>
      <c r="AM163" s="39">
        <v>3.4000000000000002E-2</v>
      </c>
      <c r="AN163" s="39">
        <f t="shared" si="44"/>
        <v>69159.28542</v>
      </c>
      <c r="AO163" s="25">
        <f>19202+19202+9601+578+1375+19202</f>
        <v>69160</v>
      </c>
      <c r="AP163" s="25">
        <f>69160</f>
        <v>69160</v>
      </c>
      <c r="AQ163" s="25">
        <v>0</v>
      </c>
      <c r="AR163" s="25"/>
      <c r="AS163" s="25">
        <v>6</v>
      </c>
      <c r="AT163" s="25" t="s">
        <v>1311</v>
      </c>
    </row>
    <row r="164" spans="1:46" s="51" customFormat="1" x14ac:dyDescent="0.15">
      <c r="A164" s="60">
        <v>41506</v>
      </c>
      <c r="B164" s="11" t="s">
        <v>1371</v>
      </c>
      <c r="C164" s="46" t="s">
        <v>263</v>
      </c>
      <c r="D164" s="46" t="s">
        <v>1372</v>
      </c>
      <c r="E164" s="46" t="s">
        <v>1323</v>
      </c>
      <c r="F164" s="46" t="s">
        <v>1373</v>
      </c>
      <c r="G164" s="46" t="s">
        <v>1374</v>
      </c>
      <c r="H164" s="19" t="s">
        <v>1375</v>
      </c>
      <c r="I164" s="19" t="s">
        <v>1376</v>
      </c>
      <c r="J164" s="19" t="s">
        <v>1377</v>
      </c>
      <c r="K164" s="19" t="s">
        <v>1356</v>
      </c>
      <c r="L164" s="46"/>
      <c r="M164" s="46">
        <v>17411600</v>
      </c>
      <c r="N164" s="46">
        <f>14846</f>
        <v>14846</v>
      </c>
      <c r="O164" s="46"/>
      <c r="P164" s="46"/>
      <c r="Q164" s="47" t="s">
        <v>1378</v>
      </c>
      <c r="R164" s="48">
        <v>41521</v>
      </c>
      <c r="S164" s="46">
        <v>5224</v>
      </c>
      <c r="T164" s="46"/>
      <c r="U164" s="46" t="s">
        <v>1320</v>
      </c>
      <c r="V164" s="49">
        <v>0.03</v>
      </c>
      <c r="W164" s="46">
        <f t="shared" si="45"/>
        <v>522793.38</v>
      </c>
      <c r="X164" s="46">
        <f>300000+222348</f>
        <v>522348</v>
      </c>
      <c r="Y164" s="46">
        <f>522348</f>
        <v>522348</v>
      </c>
      <c r="Z164" s="46">
        <f t="shared" ref="Z164" si="47">W164-Y164</f>
        <v>445.38000000000466</v>
      </c>
      <c r="AA164" s="46">
        <f>7235029+4001023+3455157+2041627+693610</f>
        <v>17426446</v>
      </c>
      <c r="AB164" s="46">
        <f>17426446</f>
        <v>17426446</v>
      </c>
      <c r="AC164" s="11">
        <v>11880000</v>
      </c>
      <c r="AD164" s="11">
        <v>11880000</v>
      </c>
      <c r="AE164" s="50">
        <f t="shared" si="46"/>
        <v>0.68172248087762699</v>
      </c>
      <c r="AF164" s="46">
        <f>1495000+600000+1237500+520106.7+1500000+100000+1500000+300000+3199470+780000</f>
        <v>11232076.699999999</v>
      </c>
      <c r="AG164" s="46">
        <f>11232076.7</f>
        <v>11232076.699999999</v>
      </c>
      <c r="AH164" s="46">
        <f>1495000+600000+1237500+520106.7+1500000+100000+508315.83+1500000+300000+3294109.21+780000-100000</f>
        <v>11735031.74</v>
      </c>
      <c r="AI164" s="46"/>
      <c r="AJ164" s="46"/>
      <c r="AK164" s="46"/>
      <c r="AL164" s="46">
        <f>11735031.74</f>
        <v>11735031.74</v>
      </c>
      <c r="AM164" s="49"/>
      <c r="AN164" s="49">
        <f t="shared" si="44"/>
        <v>0</v>
      </c>
      <c r="AO164" s="46"/>
      <c r="AP164" s="46"/>
      <c r="AQ164" s="46">
        <f t="shared" ref="AQ164" si="48">AN164-AP164</f>
        <v>0</v>
      </c>
      <c r="AR164" s="46"/>
      <c r="AS164" s="46"/>
      <c r="AT164" s="46"/>
    </row>
    <row r="165" spans="1:46" s="45" customFormat="1" x14ac:dyDescent="0.15">
      <c r="A165" s="59">
        <v>41511</v>
      </c>
      <c r="B165" s="11" t="s">
        <v>1379</v>
      </c>
      <c r="C165" s="25" t="s">
        <v>265</v>
      </c>
      <c r="D165" s="25" t="s">
        <v>1380</v>
      </c>
      <c r="E165" s="25" t="s">
        <v>1323</v>
      </c>
      <c r="F165" s="25" t="s">
        <v>1381</v>
      </c>
      <c r="G165" s="25" t="s">
        <v>1325</v>
      </c>
      <c r="H165" s="19" t="s">
        <v>1375</v>
      </c>
      <c r="I165" s="19" t="s">
        <v>1382</v>
      </c>
      <c r="J165" s="19" t="s">
        <v>1383</v>
      </c>
      <c r="K165" s="25" t="s">
        <v>559</v>
      </c>
      <c r="L165" s="25"/>
      <c r="M165" s="25">
        <v>407310.98</v>
      </c>
      <c r="N165" s="25"/>
      <c r="O165" s="25"/>
      <c r="P165" s="25"/>
      <c r="Q165" s="42" t="s">
        <v>1384</v>
      </c>
      <c r="R165" s="43">
        <v>41523</v>
      </c>
      <c r="S165" s="25">
        <v>123</v>
      </c>
      <c r="T165" s="25"/>
      <c r="U165" s="25" t="s">
        <v>573</v>
      </c>
      <c r="V165" s="39">
        <v>3.5999999999999997E-2</v>
      </c>
      <c r="W165" s="25">
        <f t="shared" si="45"/>
        <v>14663.195279999998</v>
      </c>
      <c r="X165" s="25">
        <f>14663</f>
        <v>14663</v>
      </c>
      <c r="Y165" s="25">
        <f>14663</f>
        <v>14663</v>
      </c>
      <c r="Z165" s="25">
        <v>0</v>
      </c>
      <c r="AA165" s="25">
        <f>407310.98</f>
        <v>407310.98</v>
      </c>
      <c r="AB165" s="25">
        <f>407310.98</f>
        <v>407310.98</v>
      </c>
      <c r="AC165" s="11">
        <v>350000</v>
      </c>
      <c r="AD165" s="11">
        <v>350000</v>
      </c>
      <c r="AE165" s="44">
        <f t="shared" si="46"/>
        <v>0.85929429155089321</v>
      </c>
      <c r="AF165" s="25">
        <f>300000</f>
        <v>300000</v>
      </c>
      <c r="AG165" s="25">
        <f>300000</f>
        <v>300000</v>
      </c>
      <c r="AH165" s="25">
        <f>13849+300000</f>
        <v>313849</v>
      </c>
      <c r="AI165" s="25"/>
      <c r="AJ165" s="25"/>
      <c r="AK165" s="25"/>
      <c r="AL165" s="25">
        <f>313849</f>
        <v>313849</v>
      </c>
      <c r="AM165" s="39">
        <v>3.4000000000000002E-2</v>
      </c>
      <c r="AN165" s="39">
        <f t="shared" si="44"/>
        <v>13848.57332</v>
      </c>
      <c r="AO165" s="25">
        <f>13849</f>
        <v>13849</v>
      </c>
      <c r="AP165" s="25">
        <f>13849</f>
        <v>13849</v>
      </c>
      <c r="AQ165" s="25">
        <v>0</v>
      </c>
      <c r="AR165" s="25"/>
      <c r="AS165" s="25"/>
      <c r="AT165" s="25"/>
    </row>
    <row r="166" spans="1:46" s="45" customFormat="1" x14ac:dyDescent="0.15">
      <c r="A166" s="58">
        <v>41519</v>
      </c>
      <c r="B166" s="11" t="s">
        <v>1385</v>
      </c>
      <c r="C166" s="41" t="s">
        <v>1386</v>
      </c>
      <c r="D166" s="25" t="s">
        <v>1387</v>
      </c>
      <c r="E166" s="25" t="s">
        <v>1323</v>
      </c>
      <c r="F166" s="25" t="s">
        <v>1388</v>
      </c>
      <c r="G166" s="25" t="s">
        <v>1306</v>
      </c>
      <c r="H166" s="25" t="s">
        <v>1389</v>
      </c>
      <c r="I166" s="25" t="s">
        <v>1390</v>
      </c>
      <c r="J166" s="25" t="s">
        <v>1391</v>
      </c>
      <c r="K166" s="25" t="s">
        <v>1369</v>
      </c>
      <c r="L166" s="25"/>
      <c r="M166" s="25">
        <v>8700000</v>
      </c>
      <c r="N166" s="25">
        <f>7411961</f>
        <v>7411961</v>
      </c>
      <c r="O166" s="25"/>
      <c r="P166" s="25"/>
      <c r="Q166" s="42" t="s">
        <v>1392</v>
      </c>
      <c r="R166" s="43">
        <v>41647</v>
      </c>
      <c r="S166" s="25">
        <v>2610</v>
      </c>
      <c r="T166" s="25"/>
      <c r="U166" s="25" t="s">
        <v>1320</v>
      </c>
      <c r="V166" s="39">
        <v>0.03</v>
      </c>
      <c r="W166" s="25">
        <f t="shared" si="45"/>
        <v>483358.82999999996</v>
      </c>
      <c r="X166" s="25">
        <f>100000+161000+215853</f>
        <v>476853</v>
      </c>
      <c r="Y166" s="25">
        <f>476853</f>
        <v>476853</v>
      </c>
      <c r="Z166" s="25">
        <f>W166-Y166</f>
        <v>6505.8299999999581</v>
      </c>
      <c r="AA166" s="25">
        <f>870000+1807511+741196+943418.25+262358.92+1513947+750296.57+1557966+897006.31+964467.59</f>
        <v>10308167.640000001</v>
      </c>
      <c r="AB166" s="25">
        <f>10308167.64</f>
        <v>10308167.640000001</v>
      </c>
      <c r="AC166" s="11">
        <v>9343700.0500000007</v>
      </c>
      <c r="AD166" s="11">
        <v>9343700.0500000007</v>
      </c>
      <c r="AE166" s="44">
        <f t="shared" si="46"/>
        <v>0.57992320425800437</v>
      </c>
      <c r="AF166" s="25">
        <f>185363.8+400000+113137+100000+870412+550469+108775+130000+50000+213111+110000+517692.8+47483+1001642.88+1068541+10904.14+26179.6+215000+729247.18+160506.3+67770+400000+193580.09+40000+4800+890+5122+100000</f>
        <v>7420626.7899999982</v>
      </c>
      <c r="AG166" s="25">
        <f>7269814.79+40000+4800+890+5122+100000</f>
        <v>7420626.79</v>
      </c>
      <c r="AH166" s="25">
        <f>585363.8+113137+16200+100000+961447+550469+108775+155201+50000+400000+213111+32076+110000+517692.8+8920+124467+1001642.88+1068541+10904.14+26179.6+298469+729247.18+221758.3-4500+67770+400000+193580.09+41000+50812+100000</f>
        <v>8252263.7899999982</v>
      </c>
      <c r="AI166" s="25"/>
      <c r="AJ166" s="25"/>
      <c r="AK166" s="25"/>
      <c r="AL166" s="25">
        <f>8101451.79+50812+100000</f>
        <v>8252263.79</v>
      </c>
      <c r="AM166" s="39">
        <v>3.4000000000000002E-2</v>
      </c>
      <c r="AN166" s="39">
        <f t="shared" si="44"/>
        <v>350477.69976000005</v>
      </c>
      <c r="AO166" s="25">
        <f>29580+61455+25201+32076+8920+51474+25510+52971+30498+32792</f>
        <v>350477</v>
      </c>
      <c r="AP166" s="25">
        <f>350477</f>
        <v>350477</v>
      </c>
      <c r="AQ166" s="25">
        <v>0</v>
      </c>
      <c r="AR166" s="25"/>
      <c r="AS166" s="25">
        <v>90</v>
      </c>
      <c r="AT166" s="25" t="s">
        <v>1311</v>
      </c>
    </row>
    <row r="167" spans="1:46" s="45" customFormat="1" x14ac:dyDescent="0.15">
      <c r="A167" s="58">
        <v>41522</v>
      </c>
      <c r="B167" s="11" t="s">
        <v>1393</v>
      </c>
      <c r="C167" s="41" t="s">
        <v>271</v>
      </c>
      <c r="D167" s="25" t="s">
        <v>1394</v>
      </c>
      <c r="E167" s="25" t="s">
        <v>1323</v>
      </c>
      <c r="F167" s="25" t="s">
        <v>1395</v>
      </c>
      <c r="G167" s="25" t="s">
        <v>1325</v>
      </c>
      <c r="H167" s="25" t="s">
        <v>1396</v>
      </c>
      <c r="I167" s="25" t="s">
        <v>1367</v>
      </c>
      <c r="J167" s="25" t="s">
        <v>1368</v>
      </c>
      <c r="K167" s="25" t="s">
        <v>559</v>
      </c>
      <c r="L167" s="25"/>
      <c r="M167" s="25">
        <f>360000</f>
        <v>360000</v>
      </c>
      <c r="N167" s="25"/>
      <c r="O167" s="25"/>
      <c r="P167" s="25"/>
      <c r="Q167" s="42" t="s">
        <v>1397</v>
      </c>
      <c r="R167" s="43">
        <v>41540</v>
      </c>
      <c r="S167" s="25">
        <v>108</v>
      </c>
      <c r="T167" s="25"/>
      <c r="U167" s="25" t="s">
        <v>1398</v>
      </c>
      <c r="V167" s="39">
        <v>3.5999999999999997E-2</v>
      </c>
      <c r="W167" s="25">
        <f t="shared" si="45"/>
        <v>12959.999999999998</v>
      </c>
      <c r="X167" s="25">
        <f>12960</f>
        <v>12960</v>
      </c>
      <c r="Y167" s="25">
        <f>12960</f>
        <v>12960</v>
      </c>
      <c r="Z167" s="25">
        <v>0</v>
      </c>
      <c r="AA167" s="25">
        <f>108000+108000+35827</f>
        <v>251827</v>
      </c>
      <c r="AB167" s="25">
        <f>251827</f>
        <v>251827</v>
      </c>
      <c r="AC167" s="11">
        <v>250827</v>
      </c>
      <c r="AD167" s="11">
        <v>250827</v>
      </c>
      <c r="AE167" s="44">
        <f t="shared" si="46"/>
        <v>0.6967416666666667</v>
      </c>
      <c r="AF167" s="25">
        <f>39536.1+100000+99999</f>
        <v>239535.1</v>
      </c>
      <c r="AG167" s="25">
        <f>239535.1</f>
        <v>239535.1</v>
      </c>
      <c r="AH167" s="25">
        <f>43208.1+3672+100000+1218+99999</f>
        <v>248097.1</v>
      </c>
      <c r="AI167" s="25"/>
      <c r="AJ167" s="25"/>
      <c r="AK167" s="25"/>
      <c r="AL167" s="25">
        <f>248097.1</f>
        <v>248097.1</v>
      </c>
      <c r="AM167" s="39">
        <v>3.4000000000000002E-2</v>
      </c>
      <c r="AN167" s="39">
        <f t="shared" si="44"/>
        <v>8562.1180000000004</v>
      </c>
      <c r="AO167" s="25">
        <f>3672+3672+1218</f>
        <v>8562</v>
      </c>
      <c r="AP167" s="25">
        <f>8562</f>
        <v>8562</v>
      </c>
      <c r="AQ167" s="25">
        <v>0</v>
      </c>
      <c r="AR167" s="25"/>
      <c r="AS167" s="25"/>
      <c r="AT167" s="25"/>
    </row>
    <row r="168" spans="1:46" s="51" customFormat="1" x14ac:dyDescent="0.15">
      <c r="A168" s="61">
        <v>41588</v>
      </c>
      <c r="B168" s="11" t="s">
        <v>1399</v>
      </c>
      <c r="C168" s="52" t="s">
        <v>297</v>
      </c>
      <c r="D168" s="46" t="s">
        <v>1400</v>
      </c>
      <c r="E168" s="46" t="s">
        <v>1323</v>
      </c>
      <c r="F168" s="46" t="s">
        <v>1401</v>
      </c>
      <c r="G168" s="46" t="s">
        <v>1402</v>
      </c>
      <c r="H168" s="46" t="s">
        <v>1403</v>
      </c>
      <c r="I168" s="46" t="s">
        <v>1404</v>
      </c>
      <c r="J168" s="46" t="s">
        <v>1405</v>
      </c>
      <c r="K168" s="46" t="s">
        <v>1356</v>
      </c>
      <c r="L168" s="46"/>
      <c r="M168" s="46">
        <v>20420000</v>
      </c>
      <c r="N168" s="46"/>
      <c r="O168" s="46"/>
      <c r="P168" s="46"/>
      <c r="Q168" s="47" t="s">
        <v>1406</v>
      </c>
      <c r="R168" s="48">
        <v>41604</v>
      </c>
      <c r="S168" s="46">
        <v>6126</v>
      </c>
      <c r="T168" s="46"/>
      <c r="U168" s="46" t="s">
        <v>1320</v>
      </c>
      <c r="V168" s="49">
        <v>0.03</v>
      </c>
      <c r="W168" s="46">
        <f t="shared" si="45"/>
        <v>612600</v>
      </c>
      <c r="X168" s="46">
        <f>304982+197440+110178.5</f>
        <v>612600.5</v>
      </c>
      <c r="Y168" s="46">
        <f>612600.5</f>
        <v>612600.5</v>
      </c>
      <c r="Z168" s="46">
        <v>0</v>
      </c>
      <c r="AA168" s="46">
        <f>192567.45+3063000+4102272.91</f>
        <v>7357840.3600000003</v>
      </c>
      <c r="AB168" s="46">
        <f>7357840.36</f>
        <v>7357840.3600000003</v>
      </c>
      <c r="AC168" s="11">
        <v>7357840.3600000003</v>
      </c>
      <c r="AD168" s="11">
        <v>7357840.3600000003</v>
      </c>
      <c r="AE168" s="50">
        <f t="shared" si="46"/>
        <v>0.36032518903036242</v>
      </c>
      <c r="AF168" s="46">
        <f>795510.11+302080+1800000+2902+17400+133706.8+1900+180000+3025621.29+124664+6000+216225.5+400000</f>
        <v>7006009.6999999993</v>
      </c>
      <c r="AG168" s="46">
        <f>7006009.7</f>
        <v>7006009.7000000002</v>
      </c>
      <c r="AH168" s="46">
        <f>795510.11+302080+1800000+17400+133706.8+1900+180000+3169927.92+124664+6000+216225.5+400000</f>
        <v>7147414.3300000001</v>
      </c>
      <c r="AI168" s="46">
        <v>121</v>
      </c>
      <c r="AJ168" s="46">
        <v>956</v>
      </c>
      <c r="AK168" s="46">
        <v>1825</v>
      </c>
      <c r="AL168" s="46">
        <f>7147414.33+121+956+1825</f>
        <v>7150316.3300000001</v>
      </c>
      <c r="AM168" s="49">
        <v>3.56E-2</v>
      </c>
      <c r="AN168" s="49">
        <f t="shared" si="44"/>
        <v>261939.11681600002</v>
      </c>
      <c r="AO168" s="46"/>
      <c r="AP168" s="46"/>
      <c r="AQ168" s="46">
        <v>0</v>
      </c>
      <c r="AR168" s="46"/>
      <c r="AS168" s="46"/>
      <c r="AT168" s="46"/>
    </row>
    <row r="169" spans="1:46" s="51" customFormat="1" x14ac:dyDescent="0.15">
      <c r="A169" s="61">
        <v>41532</v>
      </c>
      <c r="B169" s="11" t="s">
        <v>1407</v>
      </c>
      <c r="C169" s="52" t="s">
        <v>273</v>
      </c>
      <c r="D169" s="46" t="s">
        <v>1408</v>
      </c>
      <c r="E169" s="46" t="s">
        <v>1323</v>
      </c>
      <c r="F169" s="46" t="s">
        <v>1409</v>
      </c>
      <c r="G169" s="46" t="s">
        <v>1402</v>
      </c>
      <c r="H169" s="46" t="s">
        <v>1403</v>
      </c>
      <c r="I169" s="46" t="s">
        <v>1404</v>
      </c>
      <c r="J169" s="46" t="s">
        <v>1410</v>
      </c>
      <c r="K169" s="46" t="s">
        <v>1319</v>
      </c>
      <c r="L169" s="46"/>
      <c r="M169" s="46">
        <v>26077738.800000001</v>
      </c>
      <c r="N169" s="46"/>
      <c r="O169" s="46"/>
      <c r="P169" s="46"/>
      <c r="Q169" s="47" t="s">
        <v>1411</v>
      </c>
      <c r="R169" s="48">
        <v>41604</v>
      </c>
      <c r="S169" s="46">
        <v>7824</v>
      </c>
      <c r="T169" s="46"/>
      <c r="U169" s="46" t="s">
        <v>1320</v>
      </c>
      <c r="V169" s="49">
        <v>0.03</v>
      </c>
      <c r="W169" s="46">
        <f t="shared" si="45"/>
        <v>782332.16399999999</v>
      </c>
      <c r="X169" s="46">
        <f>6047</f>
        <v>6047</v>
      </c>
      <c r="Y169" s="46">
        <f>6047</f>
        <v>6047</v>
      </c>
      <c r="Z169" s="46">
        <f>W169-Y169</f>
        <v>776285.16399999999</v>
      </c>
      <c r="AA169" s="46"/>
      <c r="AB169" s="46"/>
      <c r="AC169" s="11">
        <v>0</v>
      </c>
      <c r="AD169" s="11">
        <v>0</v>
      </c>
      <c r="AE169" s="50"/>
      <c r="AF169" s="46"/>
      <c r="AG169" s="46"/>
      <c r="AH169" s="46"/>
      <c r="AI169" s="46"/>
      <c r="AJ169" s="46"/>
      <c r="AK169" s="46"/>
      <c r="AL169" s="46"/>
      <c r="AM169" s="49">
        <v>3.56E-2</v>
      </c>
      <c r="AN169" s="49">
        <f t="shared" si="44"/>
        <v>0</v>
      </c>
      <c r="AO169" s="46"/>
      <c r="AP169" s="46"/>
      <c r="AQ169" s="46"/>
      <c r="AR169" s="46"/>
      <c r="AS169" s="46">
        <v>180</v>
      </c>
      <c r="AT169" s="46" t="s">
        <v>1357</v>
      </c>
    </row>
    <row r="170" spans="1:46" s="45" customFormat="1" x14ac:dyDescent="0.15">
      <c r="A170" s="58">
        <v>41535</v>
      </c>
      <c r="B170" s="11" t="s">
        <v>1412</v>
      </c>
      <c r="C170" s="41" t="s">
        <v>275</v>
      </c>
      <c r="D170" s="25" t="s">
        <v>1413</v>
      </c>
      <c r="E170" s="25" t="s">
        <v>1323</v>
      </c>
      <c r="F170" s="25" t="s">
        <v>1414</v>
      </c>
      <c r="G170" s="25" t="s">
        <v>1325</v>
      </c>
      <c r="H170" s="25" t="s">
        <v>1415</v>
      </c>
      <c r="I170" s="11" t="s">
        <v>1416</v>
      </c>
      <c r="J170" s="11" t="s">
        <v>1417</v>
      </c>
      <c r="K170" s="11" t="s">
        <v>559</v>
      </c>
      <c r="L170" s="25"/>
      <c r="M170" s="25">
        <v>937580</v>
      </c>
      <c r="N170" s="25"/>
      <c r="O170" s="25"/>
      <c r="P170" s="25"/>
      <c r="Q170" s="42" t="s">
        <v>1418</v>
      </c>
      <c r="R170" s="43">
        <v>41547</v>
      </c>
      <c r="S170" s="25">
        <v>282</v>
      </c>
      <c r="T170" s="25"/>
      <c r="U170" s="46" t="s">
        <v>1320</v>
      </c>
      <c r="V170" s="39">
        <v>3.5999999999999997E-2</v>
      </c>
      <c r="W170" s="25">
        <f t="shared" si="45"/>
        <v>33752.879999999997</v>
      </c>
      <c r="X170" s="25">
        <f>33753</f>
        <v>33753</v>
      </c>
      <c r="Y170" s="25">
        <f>33753</f>
        <v>33753</v>
      </c>
      <c r="Z170" s="46">
        <v>0</v>
      </c>
      <c r="AA170" s="25">
        <f>281274+177032+131261.2</f>
        <v>589567.19999999995</v>
      </c>
      <c r="AB170" s="25">
        <f>589567.2</f>
        <v>589567.19999999995</v>
      </c>
      <c r="AC170" s="11">
        <v>589567.19999999995</v>
      </c>
      <c r="AD170" s="11">
        <v>589567.19999999995</v>
      </c>
      <c r="AE170" s="44">
        <f t="shared" ref="AE170:AE180" si="49">AC170/(M170+N170)</f>
        <v>0.62881802086221972</v>
      </c>
      <c r="AF170" s="25">
        <f>200000+50000+12960+100000+200000</f>
        <v>562960</v>
      </c>
      <c r="AG170" s="25">
        <f>562960</f>
        <v>562960</v>
      </c>
      <c r="AH170" s="25">
        <f>9563+200000+50000+12960+106019+204463</f>
        <v>583005</v>
      </c>
      <c r="AI170" s="25"/>
      <c r="AJ170" s="25"/>
      <c r="AK170" s="25"/>
      <c r="AL170" s="25">
        <f>583005</f>
        <v>583005</v>
      </c>
      <c r="AM170" s="39">
        <v>3.4000000000000002E-2</v>
      </c>
      <c r="AN170" s="49">
        <f t="shared" si="44"/>
        <v>20045.284800000001</v>
      </c>
      <c r="AO170" s="25">
        <f>9563+6019+4463</f>
        <v>20045</v>
      </c>
      <c r="AP170" s="25">
        <f>20045</f>
        <v>20045</v>
      </c>
      <c r="AQ170" s="25">
        <v>0</v>
      </c>
      <c r="AR170" s="25"/>
      <c r="AS170" s="25"/>
      <c r="AT170" s="25"/>
    </row>
    <row r="171" spans="1:46" s="13" customFormat="1" x14ac:dyDescent="0.15">
      <c r="A171" s="55">
        <v>41557</v>
      </c>
      <c r="B171" s="11" t="s">
        <v>1419</v>
      </c>
      <c r="C171" s="33" t="s">
        <v>1420</v>
      </c>
      <c r="D171" s="34" t="s">
        <v>1421</v>
      </c>
      <c r="E171" s="34" t="s">
        <v>1323</v>
      </c>
      <c r="F171" s="34" t="s">
        <v>1422</v>
      </c>
      <c r="G171" s="34" t="s">
        <v>1423</v>
      </c>
      <c r="H171" s="34" t="s">
        <v>1424</v>
      </c>
      <c r="I171" s="34" t="s">
        <v>1425</v>
      </c>
      <c r="J171" s="34" t="s">
        <v>1426</v>
      </c>
      <c r="K171" s="34" t="s">
        <v>1369</v>
      </c>
      <c r="L171" s="34"/>
      <c r="M171" s="34">
        <v>7763574.6600000001</v>
      </c>
      <c r="N171" s="34"/>
      <c r="O171" s="34"/>
      <c r="P171" s="34"/>
      <c r="Q171" s="35" t="s">
        <v>1427</v>
      </c>
      <c r="R171" s="36">
        <v>41627</v>
      </c>
      <c r="S171" s="34">
        <v>2330</v>
      </c>
      <c r="T171" s="34"/>
      <c r="U171" s="34" t="s">
        <v>573</v>
      </c>
      <c r="V171" s="37">
        <v>0.03</v>
      </c>
      <c r="W171" s="34">
        <f t="shared" ref="W171:W187" si="50">M171*V171</f>
        <v>232907.23980000001</v>
      </c>
      <c r="X171" s="34">
        <v>92979</v>
      </c>
      <c r="Y171" s="34">
        <f>92979</f>
        <v>92979</v>
      </c>
      <c r="Z171" s="34">
        <f>W171-Y171</f>
        <v>139928.23980000001</v>
      </c>
      <c r="AA171" s="34">
        <f>408855+453122+775336+772266+1014198+1482456</f>
        <v>4906233</v>
      </c>
      <c r="AB171" s="34">
        <f>4906233</f>
        <v>4906233</v>
      </c>
      <c r="AC171" s="11">
        <v>3423677</v>
      </c>
      <c r="AD171" s="11">
        <v>3423677</v>
      </c>
      <c r="AE171" s="40">
        <f t="shared" si="49"/>
        <v>0.44099234565743195</v>
      </c>
      <c r="AF171" s="34">
        <f>179000+200000+277980.9+99990+50000+324272.32+341762+48000+4953+146314.53+423799+30000+701290+100000+18240+299874.5+12941+2228.94+3000</f>
        <v>3263646.19</v>
      </c>
      <c r="AG171" s="34">
        <f>3258417.25+2228.94+3000</f>
        <v>3263646.19</v>
      </c>
      <c r="AH171" s="34">
        <f>179000+213492.21+292933.92+99990+50000+324272.32+368123+48000+10000+4953+5100+20000+207054.53+423799+30000+701290+100000+18240+299874.5+12941+2228.94+3000</f>
        <v>3414292.42</v>
      </c>
      <c r="AI171" s="34"/>
      <c r="AJ171" s="34"/>
      <c r="AK171" s="34"/>
      <c r="AL171" s="34">
        <f>3409063.48+2228.94+3000</f>
        <v>3414292.42</v>
      </c>
      <c r="AM171" s="37">
        <v>3.4000000000000002E-2</v>
      </c>
      <c r="AN171" s="37">
        <f t="shared" si="44"/>
        <v>166811.92200000002</v>
      </c>
      <c r="AO171" s="34">
        <f>26361+26257+34483</f>
        <v>87101</v>
      </c>
      <c r="AP171" s="34">
        <f>87101</f>
        <v>87101</v>
      </c>
      <c r="AQ171" s="34"/>
      <c r="AR171" s="34"/>
      <c r="AS171" s="34">
        <v>100</v>
      </c>
      <c r="AT171" s="34" t="s">
        <v>1428</v>
      </c>
    </row>
    <row r="172" spans="1:46" s="45" customFormat="1" x14ac:dyDescent="0.15">
      <c r="A172" s="58">
        <v>41562</v>
      </c>
      <c r="B172" s="11" t="s">
        <v>1429</v>
      </c>
      <c r="C172" s="41" t="s">
        <v>283</v>
      </c>
      <c r="D172" s="25" t="s">
        <v>1430</v>
      </c>
      <c r="E172" s="25" t="s">
        <v>1305</v>
      </c>
      <c r="F172" s="25" t="s">
        <v>1431</v>
      </c>
      <c r="G172" s="25" t="s">
        <v>1325</v>
      </c>
      <c r="H172" s="25" t="s">
        <v>1432</v>
      </c>
      <c r="I172" s="25" t="s">
        <v>1308</v>
      </c>
      <c r="J172" s="25" t="s">
        <v>1309</v>
      </c>
      <c r="K172" s="25" t="s">
        <v>559</v>
      </c>
      <c r="L172" s="25"/>
      <c r="M172" s="25">
        <f>13700792.69-2000000</f>
        <v>11700792.689999999</v>
      </c>
      <c r="N172" s="25"/>
      <c r="O172" s="25"/>
      <c r="P172" s="25"/>
      <c r="Q172" s="42" t="s">
        <v>1433</v>
      </c>
      <c r="R172" s="43">
        <v>41782</v>
      </c>
      <c r="S172" s="25">
        <v>4111</v>
      </c>
      <c r="T172" s="25"/>
      <c r="U172" s="25" t="s">
        <v>573</v>
      </c>
      <c r="V172" s="39">
        <v>0.03</v>
      </c>
      <c r="W172" s="25">
        <f t="shared" si="50"/>
        <v>351023.78069999994</v>
      </c>
      <c r="X172" s="25">
        <v>351024</v>
      </c>
      <c r="Y172" s="25">
        <v>351024</v>
      </c>
      <c r="Z172" s="25">
        <v>0</v>
      </c>
      <c r="AA172" s="25">
        <f>3534362+2340159</f>
        <v>5874521</v>
      </c>
      <c r="AB172" s="25">
        <f>5874521</f>
        <v>5874521</v>
      </c>
      <c r="AC172" s="11">
        <v>5874521</v>
      </c>
      <c r="AD172" s="11">
        <v>5874521</v>
      </c>
      <c r="AE172" s="44">
        <f t="shared" si="49"/>
        <v>0.50206179663542094</v>
      </c>
      <c r="AF172" s="25">
        <f>334120.37+4071+32100+468239.8+604970+50000+1535324.89+54300+429990+699999.85+50517+250000+149990+44900+306227.22+100000+100000+25000+160000+2400</f>
        <v>5402150.129999999</v>
      </c>
      <c r="AG172" s="25">
        <f>5402150.13</f>
        <v>5402150.1299999999</v>
      </c>
      <c r="AH172" s="25">
        <f>454288.37+4071+32100+468239.8+604970+50000+1535324.89+50000+180000+79565+11000+429990+699999.85+50517+250000+159990+44900+306227.22+100000+100000+25000+160000+2400+1500</f>
        <v>5800083.129999999</v>
      </c>
      <c r="AI172" s="25"/>
      <c r="AJ172" s="25"/>
      <c r="AK172" s="25"/>
      <c r="AL172" s="25">
        <f>5800083.13</f>
        <v>5800083.1299999999</v>
      </c>
      <c r="AM172" s="39">
        <v>3.4000000000000002E-2</v>
      </c>
      <c r="AN172" s="39">
        <f t="shared" si="44"/>
        <v>199733.71400000001</v>
      </c>
      <c r="AO172" s="25">
        <f>120168+79565</f>
        <v>199733</v>
      </c>
      <c r="AP172" s="25">
        <f>199733</f>
        <v>199733</v>
      </c>
      <c r="AQ172" s="25">
        <v>0</v>
      </c>
      <c r="AR172" s="25"/>
      <c r="AS172" s="25">
        <v>85</v>
      </c>
      <c r="AT172" s="25" t="s">
        <v>1357</v>
      </c>
    </row>
    <row r="173" spans="1:46" s="45" customFormat="1" x14ac:dyDescent="0.15">
      <c r="A173" s="58">
        <v>41566</v>
      </c>
      <c r="B173" s="11" t="s">
        <v>1434</v>
      </c>
      <c r="C173" s="41" t="s">
        <v>289</v>
      </c>
      <c r="D173" s="25" t="s">
        <v>1435</v>
      </c>
      <c r="E173" s="25" t="s">
        <v>1305</v>
      </c>
      <c r="F173" s="25" t="s">
        <v>1436</v>
      </c>
      <c r="G173" s="25" t="s">
        <v>1325</v>
      </c>
      <c r="H173" s="25" t="s">
        <v>1437</v>
      </c>
      <c r="I173" s="11" t="s">
        <v>1438</v>
      </c>
      <c r="J173" s="11" t="s">
        <v>1437</v>
      </c>
      <c r="K173" s="11" t="s">
        <v>559</v>
      </c>
      <c r="L173" s="25"/>
      <c r="M173" s="25">
        <v>3443591.39</v>
      </c>
      <c r="N173" s="25"/>
      <c r="O173" s="25"/>
      <c r="P173" s="25"/>
      <c r="Q173" s="42" t="s">
        <v>1439</v>
      </c>
      <c r="R173" s="43">
        <v>41736</v>
      </c>
      <c r="S173" s="25">
        <v>1034</v>
      </c>
      <c r="T173" s="25"/>
      <c r="U173" s="25" t="s">
        <v>600</v>
      </c>
      <c r="V173" s="39">
        <v>3.5999999999999997E-2</v>
      </c>
      <c r="W173" s="25">
        <f t="shared" si="50"/>
        <v>123969.29003999999</v>
      </c>
      <c r="X173" s="25">
        <f>103969+20000</f>
        <v>123969</v>
      </c>
      <c r="Y173" s="25">
        <f>123969</f>
        <v>123969</v>
      </c>
      <c r="Z173" s="25">
        <v>0</v>
      </c>
      <c r="AA173" s="25">
        <f>688718+200000+833077.42+200000+500000</f>
        <v>2421795.42</v>
      </c>
      <c r="AB173" s="25">
        <f>2421795.42</f>
        <v>2421795.42</v>
      </c>
      <c r="AC173" s="11">
        <v>2421795.42</v>
      </c>
      <c r="AD173" s="11">
        <v>2421795.42</v>
      </c>
      <c r="AE173" s="44">
        <f t="shared" si="49"/>
        <v>0.70327607016115812</v>
      </c>
      <c r="AF173" s="25">
        <f>300337.98+153796.6+14887+150000+5613+150000+80000+570000+180000+30000+170740+450000+52500+5000</f>
        <v>2312874.58</v>
      </c>
      <c r="AG173" s="25">
        <f>2312874.58</f>
        <v>2312874.58</v>
      </c>
      <c r="AH173" s="25">
        <f>323753.98+153796.6+14887+15328.81+150000+6800+150000+40000+28325+570000+180000+36800+170740+17000+450000+52500</f>
        <v>2359931.3899999997</v>
      </c>
      <c r="AI173" s="25"/>
      <c r="AJ173" s="25"/>
      <c r="AK173" s="25">
        <f>5613+5000</f>
        <v>10613</v>
      </c>
      <c r="AL173" s="25">
        <f>2359931.39+10613</f>
        <v>2370544.39</v>
      </c>
      <c r="AM173" s="39">
        <v>3.4000000000000002E-2</v>
      </c>
      <c r="AN173" s="39">
        <f t="shared" si="44"/>
        <v>82341.044280000002</v>
      </c>
      <c r="AO173" s="25">
        <f>23416+6800+28325+6800+17000</f>
        <v>82341</v>
      </c>
      <c r="AP173" s="25">
        <f>82341</f>
        <v>82341</v>
      </c>
      <c r="AQ173" s="25">
        <v>0</v>
      </c>
      <c r="AR173" s="25"/>
      <c r="AS173" s="25">
        <v>52</v>
      </c>
      <c r="AT173" s="25" t="s">
        <v>1440</v>
      </c>
    </row>
    <row r="174" spans="1:46" x14ac:dyDescent="0.15">
      <c r="A174" s="54">
        <v>41552</v>
      </c>
      <c r="B174" s="11" t="s">
        <v>1441</v>
      </c>
      <c r="C174" s="11" t="s">
        <v>1442</v>
      </c>
      <c r="D174" s="11" t="s">
        <v>1443</v>
      </c>
      <c r="E174" s="11" t="s">
        <v>1323</v>
      </c>
      <c r="F174" s="11" t="s">
        <v>1444</v>
      </c>
      <c r="G174" s="11" t="s">
        <v>1325</v>
      </c>
      <c r="H174" s="11" t="s">
        <v>1445</v>
      </c>
      <c r="I174" s="11" t="s">
        <v>1446</v>
      </c>
      <c r="J174" s="11" t="s">
        <v>1447</v>
      </c>
      <c r="K174" s="11" t="s">
        <v>559</v>
      </c>
      <c r="L174" s="11"/>
      <c r="M174" s="11">
        <v>14920000</v>
      </c>
      <c r="N174" s="11">
        <f>28090783.74+23448433.68+1649187.29</f>
        <v>53188404.710000001</v>
      </c>
      <c r="O174" s="11"/>
      <c r="P174" s="11"/>
      <c r="Q174" s="15" t="s">
        <v>1448</v>
      </c>
      <c r="R174" s="16">
        <v>41739</v>
      </c>
      <c r="S174" s="11">
        <v>4476</v>
      </c>
      <c r="T174" s="11"/>
      <c r="U174" s="11" t="s">
        <v>573</v>
      </c>
      <c r="V174" s="17">
        <v>2.5000000000000001E-2</v>
      </c>
      <c r="W174" s="11">
        <f t="shared" ref="W174:W183" si="51">(M174+N174)*V174</f>
        <v>1702710.1177500002</v>
      </c>
      <c r="X174" s="11">
        <f>3347+300000+300000+500000</f>
        <v>1103347</v>
      </c>
      <c r="Y174" s="11">
        <f>1103347</f>
        <v>1103347</v>
      </c>
      <c r="Z174" s="11">
        <f>W174-Y174</f>
        <v>599363.11775000021</v>
      </c>
      <c r="AA174" s="11">
        <f>2984000+4016000+8000000</f>
        <v>15000000</v>
      </c>
      <c r="AB174" s="11">
        <f>15000000</f>
        <v>15000000</v>
      </c>
      <c r="AC174" s="11">
        <v>14978500</v>
      </c>
      <c r="AD174" s="11">
        <v>14978500</v>
      </c>
      <c r="AE174" s="18">
        <f t="shared" si="49"/>
        <v>0.2199214629057489</v>
      </c>
      <c r="AF174" s="11">
        <f>2799840+1011505+306677.36+100000+200000+500000+400000+3399384.4+100000+500000+300000+800000+100000+1169995.8+99600</f>
        <v>11787002.560000001</v>
      </c>
      <c r="AG174" s="11">
        <f>11787002.56</f>
        <v>11787002.560000001</v>
      </c>
      <c r="AH174" s="11">
        <f>2837840-2+1011505+306677.36+100000+200000+500000+400000+3671384.4+100000+500000+300000+800000+100000+1169995.8+99600</f>
        <v>12097000.560000001</v>
      </c>
      <c r="AI174" s="11"/>
      <c r="AJ174" s="11"/>
      <c r="AK174" s="11"/>
      <c r="AL174" s="11">
        <f>12097000.56</f>
        <v>12097000.560000001</v>
      </c>
      <c r="AM174" s="17">
        <v>3.4000000000000002E-2</v>
      </c>
      <c r="AN174" s="17">
        <f t="shared" si="44"/>
        <v>510000.00000000006</v>
      </c>
      <c r="AO174" s="11">
        <f>101456+136544+272000</f>
        <v>510000</v>
      </c>
      <c r="AP174" s="11">
        <f>510000</f>
        <v>510000</v>
      </c>
      <c r="AQ174" s="11">
        <f t="shared" si="38"/>
        <v>0</v>
      </c>
      <c r="AR174" s="11"/>
      <c r="AS174" s="11">
        <v>210</v>
      </c>
      <c r="AT174" s="11" t="s">
        <v>1311</v>
      </c>
    </row>
    <row r="175" spans="1:46" x14ac:dyDescent="0.15">
      <c r="A175" s="54">
        <v>41562</v>
      </c>
      <c r="B175" s="11" t="s">
        <v>1449</v>
      </c>
      <c r="C175" s="11" t="s">
        <v>285</v>
      </c>
      <c r="D175" s="11" t="s">
        <v>1450</v>
      </c>
      <c r="E175" s="11" t="s">
        <v>1323</v>
      </c>
      <c r="F175" s="11" t="s">
        <v>1324</v>
      </c>
      <c r="G175" s="11" t="s">
        <v>1306</v>
      </c>
      <c r="H175" s="11" t="s">
        <v>1451</v>
      </c>
      <c r="I175" s="11" t="s">
        <v>1452</v>
      </c>
      <c r="J175" s="11" t="s">
        <v>1453</v>
      </c>
      <c r="K175" s="11" t="s">
        <v>680</v>
      </c>
      <c r="L175" s="11"/>
      <c r="M175" s="11">
        <v>126591039.39</v>
      </c>
      <c r="N175" s="11"/>
      <c r="O175" s="11"/>
      <c r="P175" s="11"/>
      <c r="Q175" s="15"/>
      <c r="R175" s="16"/>
      <c r="S175" s="11"/>
      <c r="T175" s="11"/>
      <c r="U175" s="11" t="s">
        <v>573</v>
      </c>
      <c r="V175" s="17">
        <v>0.02</v>
      </c>
      <c r="W175" s="11">
        <f t="shared" si="51"/>
        <v>2531820.7878</v>
      </c>
      <c r="X175" s="11">
        <f>1339360.2+703496.86+39149.8+235277</f>
        <v>2317283.8600000003</v>
      </c>
      <c r="Y175" s="11">
        <f>2317283.86</f>
        <v>2317283.86</v>
      </c>
      <c r="Z175" s="11">
        <f>W175-Y175</f>
        <v>214536.92780000018</v>
      </c>
      <c r="AA175" s="11">
        <f>32318003.98+7487579.48+599890+2762001</f>
        <v>43167474.460000001</v>
      </c>
      <c r="AB175" s="11">
        <f>43167474.46</f>
        <v>43167474.460000001</v>
      </c>
      <c r="AC175" s="11">
        <v>43167473.980000004</v>
      </c>
      <c r="AD175" s="11">
        <v>43167473.979999997</v>
      </c>
      <c r="AE175" s="18">
        <f t="shared" si="49"/>
        <v>0.34099944346779726</v>
      </c>
      <c r="AF175" s="11">
        <f>199323.2+5003300+102990.62+10939520.43+564261.64+91962.38+55000+124528.5+200000+1692.31+2696+94548.36+5000000+100000+2470911.34+30638.5+48000+133861.59+48000+13249.2+47400+253446.7+404194.02+60000+132819.81+224650.12+210401.67+709000+122388+121500+168821+146733.06+1132694.12+60000+92032.7+58869+96739.43+485206.03+60952+20000+85277+25895.7+109915.02+1701463.9+1317911.4+101000+20000+41357+961000+28200+409572.33+361357+877304.12+136980.44</f>
        <v>36009565.639999986</v>
      </c>
      <c r="AG175" s="11">
        <f>35872585.2+136980.44</f>
        <v>36009565.640000001</v>
      </c>
      <c r="AH175" s="11">
        <f>1216305.63+352532.2+5003300+242990.62+10939520.43+150000+564261.64+91962.38+814741+65352+55000+124528.5+200000+1692.31+2696+680000+400000+231107.46+94548.36+5000000+207653+100100+2470911.34+291138.5+48000+133861.59+48000+13249.2+47400+253446.7+404194.02+60000+132819.81+224650.12+210401.67+360000+709000+122388+121500+57385.6+168821+146733.06+1132694.12+60000+92032.7+58869+96739.43+485206.03+267000+60952+20000+40000+85277+25895.7+109915.02+1701463.9+131791.14+7916.37+101000+20000+41357+961000+28200+409572.33+409157+400000+173234.34+877304.12+136980.44+411841.09</f>
        <v>40907590.870000005</v>
      </c>
      <c r="AI175" s="11"/>
      <c r="AJ175" s="11"/>
      <c r="AK175" s="11"/>
      <c r="AL175" s="11">
        <f>40358769.34+136980.44+411841.09</f>
        <v>40907590.870000005</v>
      </c>
      <c r="AM175" s="17">
        <v>3.3599999999999998E-2</v>
      </c>
      <c r="AN175" s="17">
        <f t="shared" si="44"/>
        <v>1450427.1418559998</v>
      </c>
      <c r="AO175" s="11"/>
      <c r="AP175" s="11"/>
      <c r="AQ175" s="11"/>
      <c r="AR175" s="11"/>
      <c r="AS175" s="11">
        <v>530</v>
      </c>
      <c r="AT175" s="11" t="s">
        <v>1357</v>
      </c>
    </row>
    <row r="176" spans="1:46" x14ac:dyDescent="0.15">
      <c r="A176" s="54">
        <v>41565</v>
      </c>
      <c r="B176" s="11" t="s">
        <v>1454</v>
      </c>
      <c r="C176" s="11" t="s">
        <v>287</v>
      </c>
      <c r="D176" s="11" t="s">
        <v>1455</v>
      </c>
      <c r="E176" s="11" t="s">
        <v>1305</v>
      </c>
      <c r="F176" s="11" t="s">
        <v>1360</v>
      </c>
      <c r="G176" s="11" t="s">
        <v>1315</v>
      </c>
      <c r="H176" s="11" t="s">
        <v>1361</v>
      </c>
      <c r="I176" s="11" t="s">
        <v>1362</v>
      </c>
      <c r="J176" s="11" t="s">
        <v>1361</v>
      </c>
      <c r="K176" s="11" t="s">
        <v>1356</v>
      </c>
      <c r="L176" s="11"/>
      <c r="M176" s="11">
        <v>5992383</v>
      </c>
      <c r="N176" s="11"/>
      <c r="O176" s="11"/>
      <c r="P176" s="11"/>
      <c r="Q176" s="15"/>
      <c r="R176" s="16"/>
      <c r="S176" s="11"/>
      <c r="T176" s="11"/>
      <c r="U176" s="11" t="s">
        <v>1320</v>
      </c>
      <c r="V176" s="17">
        <v>0.03</v>
      </c>
      <c r="W176" s="11">
        <f t="shared" si="51"/>
        <v>179771.49</v>
      </c>
      <c r="X176" s="11">
        <f>54370+75401</f>
        <v>129771</v>
      </c>
      <c r="Y176" s="11">
        <f>129771</f>
        <v>129771</v>
      </c>
      <c r="Z176" s="11">
        <f>W176-Y176</f>
        <v>50000.489999999991</v>
      </c>
      <c r="AA176" s="11">
        <f>599238.3+1153533.7+2441896</f>
        <v>4194668</v>
      </c>
      <c r="AB176" s="11">
        <f>4194668</f>
        <v>4194668</v>
      </c>
      <c r="AC176" s="11">
        <v>4194668</v>
      </c>
      <c r="AD176" s="11">
        <v>4194668</v>
      </c>
      <c r="AE176" s="18">
        <f t="shared" si="49"/>
        <v>0.69999998331214808</v>
      </c>
      <c r="AF176" s="11">
        <f>9000+432000+455000+233980+150000+40000+233980+759450+999900+199980+30000</f>
        <v>3543290</v>
      </c>
      <c r="AG176" s="11">
        <f>3313310+199980+30000</f>
        <v>3543290</v>
      </c>
      <c r="AH176" s="11">
        <f>129314.17+432000+494104.79+233980+150000+60000+40000+233980+842230.28+999900+199980+30000</f>
        <v>3845489.24</v>
      </c>
      <c r="AI176" s="11"/>
      <c r="AJ176" s="11"/>
      <c r="AK176" s="11"/>
      <c r="AL176" s="11">
        <f>3615509.24+199980+30000</f>
        <v>3845489.24</v>
      </c>
      <c r="AM176" s="17">
        <v>3.7400000000000003E-2</v>
      </c>
      <c r="AN176" s="17">
        <f t="shared" si="44"/>
        <v>156880.58320000002</v>
      </c>
      <c r="AO176" s="11"/>
      <c r="AP176" s="11"/>
      <c r="AQ176" s="11"/>
      <c r="AR176" s="11"/>
      <c r="AS176" s="11">
        <v>66</v>
      </c>
      <c r="AT176" s="11" t="s">
        <v>1357</v>
      </c>
    </row>
    <row r="177" spans="1:46" x14ac:dyDescent="0.15">
      <c r="A177" s="54">
        <v>41579</v>
      </c>
      <c r="B177" s="11" t="s">
        <v>1456</v>
      </c>
      <c r="C177" s="11" t="s">
        <v>293</v>
      </c>
      <c r="D177" s="11" t="s">
        <v>1457</v>
      </c>
      <c r="E177" s="11" t="s">
        <v>1305</v>
      </c>
      <c r="F177" s="11" t="s">
        <v>1458</v>
      </c>
      <c r="G177" s="11" t="s">
        <v>1325</v>
      </c>
      <c r="H177" s="11" t="s">
        <v>1459</v>
      </c>
      <c r="I177" s="11" t="s">
        <v>637</v>
      </c>
      <c r="J177" s="11" t="s">
        <v>1391</v>
      </c>
      <c r="K177" s="11" t="s">
        <v>559</v>
      </c>
      <c r="L177" s="11"/>
      <c r="M177" s="11">
        <v>3117195.98</v>
      </c>
      <c r="N177" s="11"/>
      <c r="O177" s="11"/>
      <c r="P177" s="11"/>
      <c r="Q177" s="15" t="s">
        <v>1460</v>
      </c>
      <c r="R177" s="16">
        <v>41627</v>
      </c>
      <c r="S177" s="11">
        <v>936</v>
      </c>
      <c r="T177" s="11"/>
      <c r="U177" s="11" t="s">
        <v>1320</v>
      </c>
      <c r="V177" s="17">
        <v>3.5999999999999997E-2</v>
      </c>
      <c r="W177" s="11">
        <f t="shared" si="51"/>
        <v>112219.05527999999</v>
      </c>
      <c r="X177" s="11">
        <f>112219</f>
        <v>112219</v>
      </c>
      <c r="Y177" s="11">
        <f>112219</f>
        <v>112219</v>
      </c>
      <c r="Z177" s="11">
        <v>0</v>
      </c>
      <c r="AA177" s="11">
        <f>620000+935000</f>
        <v>1555000</v>
      </c>
      <c r="AB177" s="11">
        <f>1555000</f>
        <v>1555000</v>
      </c>
      <c r="AC177" s="11">
        <v>1520000</v>
      </c>
      <c r="AD177" s="11">
        <v>1520000</v>
      </c>
      <c r="AE177" s="18">
        <f t="shared" si="49"/>
        <v>0.48761772110331031</v>
      </c>
      <c r="AF177" s="11">
        <f>3740+113280+20000+460000+708975.94+93503.7+50000</f>
        <v>1449499.64</v>
      </c>
      <c r="AG177" s="11">
        <f>1449499.64</f>
        <v>1449499.64</v>
      </c>
      <c r="AH177" s="11">
        <f>3740+21080+113280+100000-100000+20000+460000+740765.94+93503.7+50000</f>
        <v>1502369.64</v>
      </c>
      <c r="AI177" s="11"/>
      <c r="AJ177" s="11"/>
      <c r="AK177" s="11"/>
      <c r="AL177" s="11">
        <f>1502369.64</f>
        <v>1502369.64</v>
      </c>
      <c r="AM177" s="17">
        <v>3.4000000000000002E-2</v>
      </c>
      <c r="AN177" s="17">
        <f t="shared" si="44"/>
        <v>52870.000000000007</v>
      </c>
      <c r="AO177" s="11">
        <f>21080+31790</f>
        <v>52870</v>
      </c>
      <c r="AP177" s="11">
        <f>52870</f>
        <v>52870</v>
      </c>
      <c r="AQ177" s="11">
        <v>0</v>
      </c>
      <c r="AR177" s="11"/>
      <c r="AS177" s="11">
        <v>35</v>
      </c>
      <c r="AT177" s="11" t="s">
        <v>1461</v>
      </c>
    </row>
    <row r="178" spans="1:46" x14ac:dyDescent="0.15">
      <c r="A178" s="54">
        <v>41599</v>
      </c>
      <c r="B178" s="11" t="s">
        <v>1462</v>
      </c>
      <c r="C178" s="11" t="s">
        <v>1463</v>
      </c>
      <c r="D178" s="11" t="s">
        <v>1464</v>
      </c>
      <c r="E178" s="11" t="s">
        <v>1305</v>
      </c>
      <c r="F178" s="11" t="s">
        <v>1465</v>
      </c>
      <c r="G178" s="11" t="s">
        <v>1306</v>
      </c>
      <c r="H178" s="11" t="s">
        <v>1466</v>
      </c>
      <c r="I178" s="11" t="s">
        <v>1467</v>
      </c>
      <c r="J178" s="11" t="s">
        <v>1468</v>
      </c>
      <c r="K178" s="11" t="s">
        <v>559</v>
      </c>
      <c r="L178" s="11"/>
      <c r="M178" s="11">
        <v>5811890</v>
      </c>
      <c r="N178" s="11"/>
      <c r="O178" s="11"/>
      <c r="P178" s="11"/>
      <c r="Q178" s="15" t="s">
        <v>1469</v>
      </c>
      <c r="R178" s="16">
        <v>41599</v>
      </c>
      <c r="S178" s="11">
        <f>562+588+594</f>
        <v>1744</v>
      </c>
      <c r="T178" s="11"/>
      <c r="U178" s="11" t="s">
        <v>1344</v>
      </c>
      <c r="V178" s="17">
        <v>0.04</v>
      </c>
      <c r="W178" s="11">
        <f t="shared" si="51"/>
        <v>232475.6</v>
      </c>
      <c r="X178" s="11">
        <f>232476</f>
        <v>232476</v>
      </c>
      <c r="Y178" s="11">
        <f>232476</f>
        <v>232476</v>
      </c>
      <c r="Z178" s="11">
        <v>0</v>
      </c>
      <c r="AA178" s="11">
        <f>200000+2000000</f>
        <v>2200000</v>
      </c>
      <c r="AB178" s="11">
        <f>2200000</f>
        <v>2200000</v>
      </c>
      <c r="AC178" s="11">
        <v>2200000</v>
      </c>
      <c r="AD178" s="11">
        <v>2200000</v>
      </c>
      <c r="AE178" s="18">
        <f t="shared" si="49"/>
        <v>0.37853434941129305</v>
      </c>
      <c r="AF178" s="11">
        <f>6974+86000+100000+1431000</f>
        <v>1623974</v>
      </c>
      <c r="AG178" s="11">
        <f>192974+1431000</f>
        <v>1623974</v>
      </c>
      <c r="AH178" s="11">
        <f>13774+86000+100000+1499000</f>
        <v>1698774</v>
      </c>
      <c r="AI178" s="11"/>
      <c r="AJ178" s="11"/>
      <c r="AK178" s="11"/>
      <c r="AL178" s="11">
        <f>199774+1499000</f>
        <v>1698774</v>
      </c>
      <c r="AM178" s="17">
        <v>3.4000000000000002E-2</v>
      </c>
      <c r="AN178" s="17">
        <f t="shared" si="44"/>
        <v>74800</v>
      </c>
      <c r="AO178" s="11">
        <f>6800+68000</f>
        <v>74800</v>
      </c>
      <c r="AP178" s="11">
        <f>6800+68000</f>
        <v>74800</v>
      </c>
      <c r="AQ178" s="11">
        <f t="shared" si="38"/>
        <v>0</v>
      </c>
      <c r="AR178" s="11"/>
      <c r="AS178" s="11"/>
      <c r="AT178" s="11"/>
    </row>
    <row r="179" spans="1:46" x14ac:dyDescent="0.15">
      <c r="A179" s="54">
        <v>41583</v>
      </c>
      <c r="B179" s="11" t="s">
        <v>1470</v>
      </c>
      <c r="C179" s="11" t="s">
        <v>1471</v>
      </c>
      <c r="D179" s="11" t="s">
        <v>1472</v>
      </c>
      <c r="E179" s="11" t="s">
        <v>1323</v>
      </c>
      <c r="F179" s="11" t="s">
        <v>1473</v>
      </c>
      <c r="G179" s="11" t="s">
        <v>1325</v>
      </c>
      <c r="H179" s="11" t="s">
        <v>1340</v>
      </c>
      <c r="I179" s="11" t="s">
        <v>1474</v>
      </c>
      <c r="J179" s="11" t="s">
        <v>1340</v>
      </c>
      <c r="K179" s="11" t="s">
        <v>559</v>
      </c>
      <c r="L179" s="11"/>
      <c r="M179" s="11">
        <v>76467</v>
      </c>
      <c r="N179" s="11">
        <v>479</v>
      </c>
      <c r="O179" s="11"/>
      <c r="P179" s="11"/>
      <c r="Q179" s="15" t="s">
        <v>1475</v>
      </c>
      <c r="R179" s="16">
        <v>41657</v>
      </c>
      <c r="S179" s="11">
        <v>23</v>
      </c>
      <c r="T179" s="11"/>
      <c r="U179" s="11" t="s">
        <v>1344</v>
      </c>
      <c r="V179" s="17">
        <v>3.5999999999999997E-2</v>
      </c>
      <c r="W179" s="11">
        <f t="shared" si="51"/>
        <v>2770.0559999999996</v>
      </c>
      <c r="X179" s="11">
        <f>2753</f>
        <v>2753</v>
      </c>
      <c r="Y179" s="11">
        <f>2753</f>
        <v>2753</v>
      </c>
      <c r="Z179" s="11">
        <f>W179-Y179</f>
        <v>17.055999999999585</v>
      </c>
      <c r="AA179" s="11">
        <f>54000+22946</f>
        <v>76946</v>
      </c>
      <c r="AB179" s="11">
        <f>76946</f>
        <v>76946</v>
      </c>
      <c r="AC179" s="11">
        <v>54000</v>
      </c>
      <c r="AD179" s="11">
        <v>54000</v>
      </c>
      <c r="AE179" s="18">
        <f t="shared" si="49"/>
        <v>0.70179086632183607</v>
      </c>
      <c r="AF179" s="11">
        <f>50000</f>
        <v>50000</v>
      </c>
      <c r="AG179" s="11">
        <f>50000</f>
        <v>50000</v>
      </c>
      <c r="AH179" s="11">
        <f>1836+50000+780</f>
        <v>52616</v>
      </c>
      <c r="AI179" s="11"/>
      <c r="AJ179" s="11"/>
      <c r="AK179" s="11"/>
      <c r="AL179" s="11">
        <f>52616</f>
        <v>52616</v>
      </c>
      <c r="AM179" s="17">
        <v>3.4000000000000002E-2</v>
      </c>
      <c r="AN179" s="17">
        <f t="shared" si="44"/>
        <v>2616.1640000000002</v>
      </c>
      <c r="AO179" s="11">
        <f>1836+780</f>
        <v>2616</v>
      </c>
      <c r="AP179" s="11">
        <f>2616</f>
        <v>2616</v>
      </c>
      <c r="AQ179" s="11">
        <v>0</v>
      </c>
      <c r="AR179" s="11"/>
      <c r="AS179" s="11"/>
      <c r="AT179" s="11"/>
    </row>
    <row r="180" spans="1:46" x14ac:dyDescent="0.15">
      <c r="A180" s="54">
        <v>41592</v>
      </c>
      <c r="B180" s="11" t="s">
        <v>1476</v>
      </c>
      <c r="C180" s="11" t="s">
        <v>299</v>
      </c>
      <c r="D180" s="11" t="s">
        <v>1477</v>
      </c>
      <c r="E180" s="11" t="s">
        <v>1323</v>
      </c>
      <c r="F180" s="11" t="s">
        <v>1478</v>
      </c>
      <c r="G180" s="11" t="s">
        <v>1479</v>
      </c>
      <c r="H180" s="11" t="s">
        <v>1309</v>
      </c>
      <c r="I180" s="25" t="s">
        <v>1480</v>
      </c>
      <c r="J180" s="25" t="s">
        <v>1309</v>
      </c>
      <c r="K180" s="11" t="s">
        <v>1319</v>
      </c>
      <c r="L180" s="11"/>
      <c r="M180" s="11">
        <v>3058486</v>
      </c>
      <c r="N180" s="11"/>
      <c r="O180" s="11"/>
      <c r="P180" s="11"/>
      <c r="Q180" s="15" t="s">
        <v>1481</v>
      </c>
      <c r="R180" s="16">
        <v>41596</v>
      </c>
      <c r="S180" s="11">
        <v>918</v>
      </c>
      <c r="T180" s="11"/>
      <c r="U180" s="11" t="s">
        <v>1344</v>
      </c>
      <c r="V180" s="17">
        <v>3.5999999999999997E-2</v>
      </c>
      <c r="W180" s="11">
        <f t="shared" si="51"/>
        <v>110105.49599999998</v>
      </c>
      <c r="X180" s="11">
        <f>110105.36</f>
        <v>110105.36</v>
      </c>
      <c r="Y180" s="11">
        <f>110105.36</f>
        <v>110105.36</v>
      </c>
      <c r="Z180" s="11">
        <v>0</v>
      </c>
      <c r="AA180" s="11">
        <f>2140940.2</f>
        <v>2140940.2000000002</v>
      </c>
      <c r="AB180" s="11">
        <f>2140940.2</f>
        <v>2140940.2000000002</v>
      </c>
      <c r="AC180" s="11">
        <v>2140940.2000000002</v>
      </c>
      <c r="AD180" s="11">
        <v>2140940.2000000002</v>
      </c>
      <c r="AE180" s="18">
        <f t="shared" si="49"/>
        <v>0.70000000000000007</v>
      </c>
      <c r="AF180" s="11">
        <f>662597.44+76520+217382+144519+3713.5+549993.7+19281+101637+180000</f>
        <v>1955643.64</v>
      </c>
      <c r="AG180" s="11">
        <f>1955643.64</f>
        <v>1955643.64</v>
      </c>
      <c r="AH180" s="11">
        <f>662597.44+3670+147171.03+217387+144519+549993.7+17074+100000+180000</f>
        <v>2022412.17</v>
      </c>
      <c r="AI180" s="11">
        <f>714</f>
        <v>714</v>
      </c>
      <c r="AJ180" s="11">
        <f>2016.5+500+500</f>
        <v>3016.5</v>
      </c>
      <c r="AK180" s="11">
        <f>983+1137+1181+526</f>
        <v>3827</v>
      </c>
      <c r="AL180" s="11">
        <f>2022412.17+714+3016.5+3827</f>
        <v>2029969.67</v>
      </c>
      <c r="AM180" s="17"/>
      <c r="AN180" s="17">
        <f t="shared" si="44"/>
        <v>0</v>
      </c>
      <c r="AO180" s="11"/>
      <c r="AP180" s="11"/>
      <c r="AQ180" s="11"/>
      <c r="AR180" s="11"/>
      <c r="AS180" s="11">
        <v>30</v>
      </c>
      <c r="AT180" s="11" t="s">
        <v>1311</v>
      </c>
    </row>
    <row r="181" spans="1:46" x14ac:dyDescent="0.15">
      <c r="A181" s="54">
        <v>41596</v>
      </c>
      <c r="B181" s="11" t="s">
        <v>1482</v>
      </c>
      <c r="C181" s="11" t="s">
        <v>301</v>
      </c>
      <c r="D181" s="11" t="s">
        <v>1483</v>
      </c>
      <c r="E181" s="11" t="s">
        <v>1323</v>
      </c>
      <c r="F181" s="11" t="s">
        <v>1484</v>
      </c>
      <c r="G181" s="11" t="s">
        <v>1325</v>
      </c>
      <c r="H181" s="11" t="s">
        <v>1340</v>
      </c>
      <c r="I181" s="19" t="s">
        <v>1474</v>
      </c>
      <c r="J181" s="19" t="s">
        <v>1340</v>
      </c>
      <c r="K181" s="19" t="s">
        <v>559</v>
      </c>
      <c r="L181" s="11"/>
      <c r="M181" s="11">
        <v>12067070</v>
      </c>
      <c r="N181" s="11"/>
      <c r="O181" s="11"/>
      <c r="P181" s="11"/>
      <c r="Q181" s="15" t="s">
        <v>1485</v>
      </c>
      <c r="R181" s="16">
        <v>41795</v>
      </c>
      <c r="S181" s="11">
        <v>3621</v>
      </c>
      <c r="T181" s="11"/>
      <c r="U181" s="11" t="s">
        <v>600</v>
      </c>
      <c r="V181" s="17">
        <v>0.03</v>
      </c>
      <c r="W181" s="11">
        <f t="shared" si="51"/>
        <v>362012.1</v>
      </c>
      <c r="X181" s="11"/>
      <c r="Y181" s="11"/>
      <c r="Z181" s="11">
        <f>W181-Y181</f>
        <v>362012.1</v>
      </c>
      <c r="AA181" s="11"/>
      <c r="AB181" s="11"/>
      <c r="AC181" s="11">
        <v>0</v>
      </c>
      <c r="AD181" s="11">
        <v>0</v>
      </c>
      <c r="AE181" s="18"/>
      <c r="AF181" s="11"/>
      <c r="AG181" s="11"/>
      <c r="AH181" s="11"/>
      <c r="AI181" s="11"/>
      <c r="AJ181" s="11"/>
      <c r="AK181" s="11"/>
      <c r="AL181" s="11"/>
      <c r="AM181" s="17">
        <v>3.4000000000000002E-2</v>
      </c>
      <c r="AN181" s="17">
        <f t="shared" si="44"/>
        <v>0</v>
      </c>
      <c r="AO181" s="11"/>
      <c r="AP181" s="11"/>
      <c r="AQ181" s="11">
        <f>AN181-AP181</f>
        <v>0</v>
      </c>
      <c r="AR181" s="11"/>
      <c r="AS181" s="11">
        <v>140</v>
      </c>
      <c r="AT181" s="11" t="s">
        <v>1486</v>
      </c>
    </row>
    <row r="182" spans="1:46" x14ac:dyDescent="0.15">
      <c r="A182" s="54">
        <v>41609</v>
      </c>
      <c r="B182" s="11" t="s">
        <v>1487</v>
      </c>
      <c r="C182" s="11" t="s">
        <v>312</v>
      </c>
      <c r="D182" s="11" t="s">
        <v>1488</v>
      </c>
      <c r="E182" s="11" t="s">
        <v>1323</v>
      </c>
      <c r="F182" s="11" t="s">
        <v>1489</v>
      </c>
      <c r="G182" s="11" t="s">
        <v>1490</v>
      </c>
      <c r="H182" s="11" t="s">
        <v>1491</v>
      </c>
      <c r="I182" s="11" t="s">
        <v>1492</v>
      </c>
      <c r="J182" s="11" t="s">
        <v>1491</v>
      </c>
      <c r="K182" s="11" t="s">
        <v>1319</v>
      </c>
      <c r="L182" s="11"/>
      <c r="M182" s="11">
        <v>11000000</v>
      </c>
      <c r="N182" s="11"/>
      <c r="O182" s="11"/>
      <c r="P182" s="11"/>
      <c r="Q182" s="15" t="s">
        <v>1493</v>
      </c>
      <c r="R182" s="16">
        <v>41614</v>
      </c>
      <c r="S182" s="11">
        <v>3300</v>
      </c>
      <c r="T182" s="11"/>
      <c r="U182" s="11" t="s">
        <v>573</v>
      </c>
      <c r="V182" s="17">
        <v>0.03</v>
      </c>
      <c r="W182" s="11">
        <f t="shared" si="51"/>
        <v>330000</v>
      </c>
      <c r="X182" s="11">
        <f>330000</f>
        <v>330000</v>
      </c>
      <c r="Y182" s="11">
        <f>330000</f>
        <v>330000</v>
      </c>
      <c r="Z182" s="11">
        <v>0</v>
      </c>
      <c r="AA182" s="11">
        <f>500000+2000000+2000000+1000000</f>
        <v>5500000</v>
      </c>
      <c r="AB182" s="11">
        <f>5500000</f>
        <v>5500000</v>
      </c>
      <c r="AC182" s="11">
        <v>5000000</v>
      </c>
      <c r="AD182" s="11">
        <v>5000000</v>
      </c>
      <c r="AE182" s="18">
        <f t="shared" ref="AE182:AE189" si="52">AC182/(M182+N182)</f>
        <v>0.45454545454545453</v>
      </c>
      <c r="AF182" s="11">
        <f>480000+900000+420000+1000000+500000+150000+400000+500000+250000+80000</f>
        <v>4680000</v>
      </c>
      <c r="AG182" s="11">
        <f>4680000</f>
        <v>4680000</v>
      </c>
      <c r="AH182" s="11">
        <f>480000+900000+470000+1000000+500000+150000+484750+601700+250000+80000</f>
        <v>4916450</v>
      </c>
      <c r="AI182" s="11"/>
      <c r="AJ182" s="11"/>
      <c r="AK182" s="11"/>
      <c r="AL182" s="11">
        <f>4916450</f>
        <v>4916450</v>
      </c>
      <c r="AM182" s="17"/>
      <c r="AN182" s="17">
        <f t="shared" si="44"/>
        <v>0</v>
      </c>
      <c r="AO182" s="11"/>
      <c r="AP182" s="11"/>
      <c r="AQ182" s="11">
        <f t="shared" ref="AQ182:AQ183" si="53">AN182-AP182</f>
        <v>0</v>
      </c>
      <c r="AR182" s="11"/>
      <c r="AS182" s="11">
        <v>120</v>
      </c>
      <c r="AT182" s="11" t="s">
        <v>1494</v>
      </c>
    </row>
    <row r="183" spans="1:46" x14ac:dyDescent="0.15">
      <c r="A183" s="54">
        <v>41609</v>
      </c>
      <c r="B183" s="11" t="s">
        <v>1495</v>
      </c>
      <c r="C183" s="11" t="s">
        <v>324</v>
      </c>
      <c r="D183" s="11" t="s">
        <v>1496</v>
      </c>
      <c r="E183" s="11" t="s">
        <v>1323</v>
      </c>
      <c r="F183" s="11" t="s">
        <v>1324</v>
      </c>
      <c r="G183" s="11" t="s">
        <v>1325</v>
      </c>
      <c r="H183" s="11" t="s">
        <v>1497</v>
      </c>
      <c r="I183" s="11" t="s">
        <v>1498</v>
      </c>
      <c r="J183" s="11" t="s">
        <v>1497</v>
      </c>
      <c r="K183" s="11" t="s">
        <v>559</v>
      </c>
      <c r="L183" s="11"/>
      <c r="M183" s="11">
        <v>924545</v>
      </c>
      <c r="N183" s="11"/>
      <c r="O183" s="11"/>
      <c r="P183" s="11"/>
      <c r="Q183" s="15" t="s">
        <v>1499</v>
      </c>
      <c r="R183" s="16">
        <v>41625</v>
      </c>
      <c r="S183" s="11">
        <v>278</v>
      </c>
      <c r="T183" s="11"/>
      <c r="U183" s="11" t="s">
        <v>573</v>
      </c>
      <c r="V183" s="17">
        <v>0.03</v>
      </c>
      <c r="W183" s="11">
        <f t="shared" si="51"/>
        <v>27736.35</v>
      </c>
      <c r="X183" s="11">
        <f>2200</f>
        <v>2200</v>
      </c>
      <c r="Y183" s="11">
        <f>2200</f>
        <v>2200</v>
      </c>
      <c r="Z183" s="11">
        <f>W183-Y183</f>
        <v>25536.35</v>
      </c>
      <c r="AA183" s="11">
        <f>300000</f>
        <v>300000</v>
      </c>
      <c r="AB183" s="11">
        <f>300000</f>
        <v>300000</v>
      </c>
      <c r="AC183" s="11">
        <v>300000</v>
      </c>
      <c r="AD183" s="11">
        <v>300000</v>
      </c>
      <c r="AE183" s="18">
        <f t="shared" si="52"/>
        <v>0.32448393534116782</v>
      </c>
      <c r="AF183" s="11">
        <f>200000+2490</f>
        <v>202490</v>
      </c>
      <c r="AG183" s="11">
        <f>202490</f>
        <v>202490</v>
      </c>
      <c r="AH183" s="11">
        <f>10200+200000+9122.49</f>
        <v>219322.49</v>
      </c>
      <c r="AI183" s="11"/>
      <c r="AJ183" s="11"/>
      <c r="AK183" s="11">
        <v>2490</v>
      </c>
      <c r="AL183" s="11">
        <f>219322.49+2490</f>
        <v>221812.49</v>
      </c>
      <c r="AM183" s="17">
        <v>3.4000000000000002E-2</v>
      </c>
      <c r="AN183" s="17">
        <f t="shared" si="44"/>
        <v>10200</v>
      </c>
      <c r="AO183" s="11">
        <f>10200</f>
        <v>10200</v>
      </c>
      <c r="AP183" s="11">
        <f>10200</f>
        <v>10200</v>
      </c>
      <c r="AQ183" s="11">
        <f t="shared" si="53"/>
        <v>0</v>
      </c>
      <c r="AR183" s="11"/>
      <c r="AS183" s="11">
        <v>7</v>
      </c>
      <c r="AT183" s="11" t="s">
        <v>1500</v>
      </c>
    </row>
    <row r="184" spans="1:46" x14ac:dyDescent="0.15">
      <c r="A184" s="54">
        <v>41618</v>
      </c>
      <c r="B184" s="11" t="s">
        <v>1501</v>
      </c>
      <c r="C184" s="11" t="s">
        <v>1502</v>
      </c>
      <c r="D184" s="11" t="s">
        <v>1503</v>
      </c>
      <c r="E184" s="11" t="s">
        <v>1323</v>
      </c>
      <c r="F184" s="11" t="s">
        <v>1504</v>
      </c>
      <c r="G184" s="11" t="s">
        <v>1505</v>
      </c>
      <c r="H184" s="11" t="s">
        <v>1506</v>
      </c>
      <c r="I184" s="11" t="s">
        <v>1507</v>
      </c>
      <c r="J184" s="11" t="s">
        <v>1508</v>
      </c>
      <c r="K184" s="11" t="s">
        <v>1319</v>
      </c>
      <c r="L184" s="11"/>
      <c r="M184" s="11">
        <v>19413696.16</v>
      </c>
      <c r="N184" s="11"/>
      <c r="O184" s="11"/>
      <c r="P184" s="11"/>
      <c r="Q184" s="15" t="s">
        <v>1509</v>
      </c>
      <c r="R184" s="16">
        <v>41739</v>
      </c>
      <c r="S184" s="11">
        <v>5825</v>
      </c>
      <c r="T184" s="11"/>
      <c r="U184" s="11" t="s">
        <v>573</v>
      </c>
      <c r="V184" s="17">
        <v>0.03</v>
      </c>
      <c r="W184" s="11">
        <f t="shared" si="50"/>
        <v>582410.8848</v>
      </c>
      <c r="X184" s="11">
        <f>300000+282411</f>
        <v>582411</v>
      </c>
      <c r="Y184" s="11">
        <f>582411</f>
        <v>582411</v>
      </c>
      <c r="Z184" s="11">
        <v>0</v>
      </c>
      <c r="AA184" s="11">
        <f>7525280+3885465</f>
        <v>11410745</v>
      </c>
      <c r="AB184" s="11">
        <f>11410745</f>
        <v>11410745</v>
      </c>
      <c r="AC184" s="11">
        <v>12320000</v>
      </c>
      <c r="AD184" s="11">
        <v>12320000</v>
      </c>
      <c r="AE184" s="18">
        <f t="shared" si="52"/>
        <v>0.63460352415446475</v>
      </c>
      <c r="AF184" s="11">
        <f>4920213+2600000+3958215.55</f>
        <v>11478428.550000001</v>
      </c>
      <c r="AG184" s="11">
        <f>11478428.55</f>
        <v>11478428.550000001</v>
      </c>
      <c r="AH184" s="11">
        <f>4920213+2600000+3958215.55</f>
        <v>11478428.550000001</v>
      </c>
      <c r="AI184" s="11"/>
      <c r="AJ184" s="11"/>
      <c r="AK184" s="11"/>
      <c r="AL184" s="11">
        <f>11478428.55</f>
        <v>11478428.550000001</v>
      </c>
      <c r="AM184" s="17"/>
      <c r="AN184" s="17"/>
      <c r="AO184" s="11"/>
      <c r="AP184" s="11"/>
      <c r="AQ184" s="11">
        <f t="shared" si="38"/>
        <v>0</v>
      </c>
      <c r="AR184" s="11"/>
      <c r="AS184" s="11"/>
      <c r="AT184" s="11"/>
    </row>
    <row r="185" spans="1:46" x14ac:dyDescent="0.15">
      <c r="A185" s="54">
        <v>41626</v>
      </c>
      <c r="B185" s="11" t="s">
        <v>1510</v>
      </c>
      <c r="C185" s="11" t="s">
        <v>338</v>
      </c>
      <c r="D185" s="11" t="s">
        <v>1511</v>
      </c>
      <c r="E185" s="11" t="s">
        <v>1323</v>
      </c>
      <c r="F185" s="11" t="s">
        <v>1512</v>
      </c>
      <c r="G185" s="11"/>
      <c r="H185" s="11" t="s">
        <v>1326</v>
      </c>
      <c r="I185" s="11" t="s">
        <v>1327</v>
      </c>
      <c r="J185" s="11" t="s">
        <v>1513</v>
      </c>
      <c r="K185" s="11"/>
      <c r="L185" s="11"/>
      <c r="M185" s="11">
        <v>8060000</v>
      </c>
      <c r="N185" s="11"/>
      <c r="O185" s="11"/>
      <c r="P185" s="11"/>
      <c r="Q185" s="15"/>
      <c r="R185" s="16"/>
      <c r="S185" s="11"/>
      <c r="T185" s="11"/>
      <c r="U185" s="11" t="s">
        <v>573</v>
      </c>
      <c r="V185" s="17">
        <v>0.03</v>
      </c>
      <c r="W185" s="11">
        <f t="shared" si="50"/>
        <v>241800</v>
      </c>
      <c r="X185" s="11">
        <f>241800</f>
        <v>241800</v>
      </c>
      <c r="Y185" s="11">
        <f>241800</f>
        <v>241800</v>
      </c>
      <c r="Z185" s="11">
        <f>W185-Y185</f>
        <v>0</v>
      </c>
      <c r="AA185" s="11"/>
      <c r="AB185" s="11"/>
      <c r="AC185" s="11">
        <v>3057158</v>
      </c>
      <c r="AD185" s="11">
        <v>3057158</v>
      </c>
      <c r="AE185" s="18">
        <f t="shared" si="52"/>
        <v>0.37930000000000003</v>
      </c>
      <c r="AF185" s="11">
        <f>1710000+606500+100000+29500+259096.52+60000</f>
        <v>2765096.52</v>
      </c>
      <c r="AG185" s="11">
        <f>2765096.52</f>
        <v>2765096.52</v>
      </c>
      <c r="AH185" s="11">
        <f>1710000+606500+100000+29500+259096.52+60000</f>
        <v>2765096.52</v>
      </c>
      <c r="AI185" s="11"/>
      <c r="AJ185" s="11"/>
      <c r="AK185" s="11"/>
      <c r="AL185" s="11">
        <f>2765096.52</f>
        <v>2765096.52</v>
      </c>
      <c r="AM185" s="17"/>
      <c r="AN185" s="17"/>
      <c r="AO185" s="11"/>
      <c r="AP185" s="11"/>
      <c r="AQ185" s="11">
        <f t="shared" si="38"/>
        <v>0</v>
      </c>
      <c r="AR185" s="11"/>
      <c r="AS185" s="11">
        <v>104</v>
      </c>
      <c r="AT185" s="11" t="s">
        <v>1514</v>
      </c>
    </row>
    <row r="186" spans="1:46" x14ac:dyDescent="0.15">
      <c r="A186" s="54">
        <v>41626</v>
      </c>
      <c r="B186" s="11" t="s">
        <v>1515</v>
      </c>
      <c r="C186" s="11" t="s">
        <v>340</v>
      </c>
      <c r="D186" s="11" t="s">
        <v>1516</v>
      </c>
      <c r="E186" s="11" t="s">
        <v>1298</v>
      </c>
      <c r="F186" s="11" t="s">
        <v>1517</v>
      </c>
      <c r="G186" s="11" t="s">
        <v>1300</v>
      </c>
      <c r="H186" s="11" t="s">
        <v>1518</v>
      </c>
      <c r="I186" s="25" t="s">
        <v>1519</v>
      </c>
      <c r="J186" s="25" t="s">
        <v>1520</v>
      </c>
      <c r="K186" s="11" t="s">
        <v>1521</v>
      </c>
      <c r="L186" s="11"/>
      <c r="M186" s="11">
        <v>229276</v>
      </c>
      <c r="N186" s="11"/>
      <c r="O186" s="11"/>
      <c r="P186" s="11"/>
      <c r="Q186" s="15" t="s">
        <v>1522</v>
      </c>
      <c r="R186" s="16">
        <v>41782</v>
      </c>
      <c r="S186" s="11">
        <v>69</v>
      </c>
      <c r="T186" s="11"/>
      <c r="U186" s="11" t="s">
        <v>1523</v>
      </c>
      <c r="V186" s="17">
        <v>0.03</v>
      </c>
      <c r="W186" s="11">
        <f t="shared" si="50"/>
        <v>6878.28</v>
      </c>
      <c r="X186" s="11"/>
      <c r="Y186" s="11"/>
      <c r="Z186" s="11">
        <f t="shared" ref="Z186:Z187" si="54">W186-Y186</f>
        <v>6878.28</v>
      </c>
      <c r="AA186" s="11">
        <f>91710.76</f>
        <v>91710.76</v>
      </c>
      <c r="AB186" s="11">
        <f>91710.76</f>
        <v>91710.76</v>
      </c>
      <c r="AC186" s="11">
        <v>91710.76</v>
      </c>
      <c r="AD186" s="11">
        <v>91710.76</v>
      </c>
      <c r="AE186" s="18">
        <f t="shared" si="52"/>
        <v>0.40000157015998183</v>
      </c>
      <c r="AF186" s="11">
        <f>61818+1350+299-3118</f>
        <v>60349</v>
      </c>
      <c r="AG186" s="11">
        <f>60349</f>
        <v>60349</v>
      </c>
      <c r="AH186" s="11">
        <f>61818+1350+2990</f>
        <v>66158</v>
      </c>
      <c r="AI186" s="11"/>
      <c r="AJ186" s="11"/>
      <c r="AK186" s="11"/>
      <c r="AL186" s="11">
        <f>66158</f>
        <v>66158</v>
      </c>
      <c r="AM186" s="17">
        <v>3.4000000000000002E-2</v>
      </c>
      <c r="AN186" s="17">
        <f t="shared" ref="AN186:AN215" si="55">AM186*AB186</f>
        <v>3118.1658400000001</v>
      </c>
      <c r="AO186" s="11">
        <f>3118</f>
        <v>3118</v>
      </c>
      <c r="AP186" s="11">
        <f>3118</f>
        <v>3118</v>
      </c>
      <c r="AQ186" s="11">
        <v>0</v>
      </c>
      <c r="AR186" s="11"/>
      <c r="AS186" s="11">
        <v>2</v>
      </c>
      <c r="AT186" s="11" t="s">
        <v>1294</v>
      </c>
    </row>
    <row r="187" spans="1:46" x14ac:dyDescent="0.15">
      <c r="A187" s="54">
        <v>41628</v>
      </c>
      <c r="B187" s="11" t="s">
        <v>1524</v>
      </c>
      <c r="C187" s="11" t="s">
        <v>342</v>
      </c>
      <c r="D187" s="11" t="s">
        <v>1525</v>
      </c>
      <c r="E187" s="11" t="s">
        <v>988</v>
      </c>
      <c r="F187" s="11" t="s">
        <v>1526</v>
      </c>
      <c r="G187" s="11" t="s">
        <v>1527</v>
      </c>
      <c r="H187" s="11" t="s">
        <v>1528</v>
      </c>
      <c r="I187" s="11" t="s">
        <v>1529</v>
      </c>
      <c r="J187" s="11" t="s">
        <v>1530</v>
      </c>
      <c r="K187" s="11" t="s">
        <v>1531</v>
      </c>
      <c r="L187" s="11"/>
      <c r="M187" s="11">
        <v>330000</v>
      </c>
      <c r="N187" s="11"/>
      <c r="O187" s="11"/>
      <c r="P187" s="11"/>
      <c r="Q187" s="15" t="s">
        <v>1532</v>
      </c>
      <c r="R187" s="16">
        <v>41633</v>
      </c>
      <c r="S187" s="11">
        <v>99</v>
      </c>
      <c r="T187" s="11"/>
      <c r="U187" s="11" t="s">
        <v>938</v>
      </c>
      <c r="V187" s="17">
        <v>3.5999999999999997E-2</v>
      </c>
      <c r="W187" s="11">
        <f t="shared" si="50"/>
        <v>11880</v>
      </c>
      <c r="X187" s="11">
        <f>3405.5</f>
        <v>3405.5</v>
      </c>
      <c r="Y187" s="11">
        <f>3405.5</f>
        <v>3405.5</v>
      </c>
      <c r="Z187" s="11">
        <f t="shared" si="54"/>
        <v>8474.5</v>
      </c>
      <c r="AA187" s="11">
        <f>180000</f>
        <v>180000</v>
      </c>
      <c r="AB187" s="11">
        <f>180000</f>
        <v>180000</v>
      </c>
      <c r="AC187" s="11">
        <v>180000</v>
      </c>
      <c r="AD187" s="11">
        <v>180000</v>
      </c>
      <c r="AE187" s="18">
        <f t="shared" si="52"/>
        <v>0.54545454545454541</v>
      </c>
      <c r="AF187" s="11">
        <f>720+170000</f>
        <v>170720</v>
      </c>
      <c r="AG187" s="11">
        <f>170720</f>
        <v>170720</v>
      </c>
      <c r="AH187" s="11">
        <v>176120</v>
      </c>
      <c r="AI187" s="11"/>
      <c r="AJ187" s="11">
        <v>720</v>
      </c>
      <c r="AK187" s="11"/>
      <c r="AL187" s="11">
        <f>176120+720</f>
        <v>176840</v>
      </c>
      <c r="AM187" s="17">
        <v>3.4000000000000002E-2</v>
      </c>
      <c r="AN187" s="17">
        <f t="shared" si="55"/>
        <v>6120</v>
      </c>
      <c r="AO187" s="11">
        <f>6120</f>
        <v>6120</v>
      </c>
      <c r="AP187" s="11">
        <f>6120</f>
        <v>6120</v>
      </c>
      <c r="AQ187" s="11">
        <v>0</v>
      </c>
      <c r="AR187" s="11"/>
      <c r="AS187" s="11">
        <v>5</v>
      </c>
      <c r="AT187" s="11" t="s">
        <v>1494</v>
      </c>
    </row>
    <row r="188" spans="1:46" x14ac:dyDescent="0.15">
      <c r="A188" s="54">
        <v>41640</v>
      </c>
      <c r="B188" s="11" t="s">
        <v>1533</v>
      </c>
      <c r="C188" s="11" t="s">
        <v>1534</v>
      </c>
      <c r="D188" s="11" t="s">
        <v>1535</v>
      </c>
      <c r="E188" s="11" t="s">
        <v>1323</v>
      </c>
      <c r="F188" s="11" t="s">
        <v>1536</v>
      </c>
      <c r="G188" s="11" t="s">
        <v>1537</v>
      </c>
      <c r="H188" s="11" t="s">
        <v>1538</v>
      </c>
      <c r="I188" s="11" t="s">
        <v>1539</v>
      </c>
      <c r="J188" s="11" t="s">
        <v>1538</v>
      </c>
      <c r="K188" s="11" t="s">
        <v>1319</v>
      </c>
      <c r="L188" s="11"/>
      <c r="M188" s="11">
        <v>61225227</v>
      </c>
      <c r="N188" s="11"/>
      <c r="O188" s="11"/>
      <c r="P188" s="11"/>
      <c r="Q188" s="15">
        <v>1251022</v>
      </c>
      <c r="R188" s="16">
        <v>41697</v>
      </c>
      <c r="S188" s="11">
        <v>18368</v>
      </c>
      <c r="T188" s="11"/>
      <c r="U188" s="11" t="s">
        <v>573</v>
      </c>
      <c r="V188" s="17">
        <v>2.5000000000000001E-2</v>
      </c>
      <c r="W188" s="11">
        <f>M188*V188</f>
        <v>1530630.675</v>
      </c>
      <c r="X188" s="11">
        <v>790000</v>
      </c>
      <c r="Y188" s="11">
        <f>790000</f>
        <v>790000</v>
      </c>
      <c r="Z188" s="11">
        <f>W188-X188</f>
        <v>740630.67500000005</v>
      </c>
      <c r="AA188" s="11">
        <f>8100136.9+20024819.28</f>
        <v>28124956.18</v>
      </c>
      <c r="AB188" s="11">
        <f>28124956.18</f>
        <v>28124956.18</v>
      </c>
      <c r="AC188" s="11">
        <v>19687469.329999998</v>
      </c>
      <c r="AD188" s="11">
        <v>19687469.329999998</v>
      </c>
      <c r="AE188" s="18">
        <f t="shared" si="52"/>
        <v>0.32155812717525734</v>
      </c>
      <c r="AF188" s="11">
        <f>1236545.96+390000+1870800+41420+1031680+900000+4417606.38+107690.06+4701758.88</f>
        <v>14697501.280000001</v>
      </c>
      <c r="AG188" s="11">
        <f>9995742.4+4701758.88</f>
        <v>14697501.280000001</v>
      </c>
      <c r="AH188" s="11">
        <f>230000+1236545.96+390000+1870800+403420+700000+1597310.2+642854.78+900000+307403.7+4689770.98+107690.06+4701758.88</f>
        <v>17777554.560000002</v>
      </c>
      <c r="AI188" s="11"/>
      <c r="AJ188" s="11"/>
      <c r="AK188" s="11"/>
      <c r="AL188" s="11">
        <f>13075795.68+4701758.88</f>
        <v>17777554.559999999</v>
      </c>
      <c r="AM188" s="17">
        <v>3.56E-2</v>
      </c>
      <c r="AN188" s="17">
        <f t="shared" si="55"/>
        <v>1001248.440008</v>
      </c>
      <c r="AO188" s="11"/>
      <c r="AP188" s="11"/>
      <c r="AQ188" s="11"/>
      <c r="AR188" s="11"/>
      <c r="AS188" s="11"/>
      <c r="AT188" s="68" t="s">
        <v>1500</v>
      </c>
    </row>
    <row r="189" spans="1:46" x14ac:dyDescent="0.15">
      <c r="A189" s="54">
        <v>41640</v>
      </c>
      <c r="B189" s="11" t="s">
        <v>1540</v>
      </c>
      <c r="C189" s="11" t="s">
        <v>346</v>
      </c>
      <c r="D189" s="11" t="s">
        <v>1541</v>
      </c>
      <c r="E189" s="11" t="s">
        <v>1323</v>
      </c>
      <c r="F189" s="11" t="s">
        <v>1542</v>
      </c>
      <c r="G189" s="11" t="s">
        <v>1325</v>
      </c>
      <c r="H189" s="11" t="s">
        <v>1543</v>
      </c>
      <c r="I189" s="11" t="s">
        <v>1544</v>
      </c>
      <c r="J189" s="11" t="s">
        <v>1543</v>
      </c>
      <c r="K189" s="11" t="s">
        <v>559</v>
      </c>
      <c r="L189" s="11"/>
      <c r="M189" s="11">
        <v>14355608.07</v>
      </c>
      <c r="N189" s="11"/>
      <c r="O189" s="11"/>
      <c r="P189" s="11"/>
      <c r="Q189" s="15" t="s">
        <v>1545</v>
      </c>
      <c r="R189" s="16">
        <v>41703</v>
      </c>
      <c r="S189" s="11">
        <v>4307</v>
      </c>
      <c r="T189" s="11"/>
      <c r="U189" s="11" t="s">
        <v>573</v>
      </c>
      <c r="V189" s="17">
        <v>3.2000000000000001E-2</v>
      </c>
      <c r="W189" s="11">
        <f t="shared" ref="W189:W191" si="56">M189*V189</f>
        <v>459379.45824000001</v>
      </c>
      <c r="X189" s="11">
        <v>459379</v>
      </c>
      <c r="Y189" s="11">
        <v>459379</v>
      </c>
      <c r="Z189" s="11">
        <v>0</v>
      </c>
      <c r="AA189" s="11">
        <f>4306682+4593794.58+1866229</f>
        <v>10766705.58</v>
      </c>
      <c r="AB189" s="11">
        <v>10766705.58</v>
      </c>
      <c r="AC189" s="11">
        <v>10766705.58</v>
      </c>
      <c r="AD189" s="11">
        <v>10766705.58</v>
      </c>
      <c r="AE189" s="18">
        <f t="shared" si="52"/>
        <v>0.74999996708603367</v>
      </c>
      <c r="AF189" s="11">
        <f>200000+779000+732276.6+30310+600000+200000+500000+300000+650079.1+240100+1700000+495000+250000+300000+1063073.9-20000+217397.29</f>
        <v>8237236.8899999997</v>
      </c>
      <c r="AG189" s="11">
        <f>8019839.6+217397.29</f>
        <v>8237236.8899999997</v>
      </c>
      <c r="AH189" s="11">
        <f>996427+214355+779000+732276.6+30310+600000+50000+356189+500000+300000+650079.1+240100+1700000+495000+20000+467459.35+313452+300000+1063073.9-20000+217397.29</f>
        <v>10005119.239999998</v>
      </c>
      <c r="AI189" s="11"/>
      <c r="AJ189" s="11"/>
      <c r="AK189" s="11"/>
      <c r="AL189" s="11">
        <f>9787721.95+217397.29</f>
        <v>10005119.239999998</v>
      </c>
      <c r="AM189" s="17">
        <v>3.4000000000000002E-2</v>
      </c>
      <c r="AN189" s="17">
        <f t="shared" si="55"/>
        <v>366067.98972000001</v>
      </c>
      <c r="AO189" s="11">
        <f>146427+156189+63452</f>
        <v>366068</v>
      </c>
      <c r="AP189" s="11">
        <f>366068</f>
        <v>366068</v>
      </c>
      <c r="AQ189" s="11">
        <v>0</v>
      </c>
      <c r="AR189" s="11"/>
      <c r="AS189" s="11"/>
      <c r="AT189" s="11"/>
    </row>
    <row r="190" spans="1:46" x14ac:dyDescent="0.15">
      <c r="A190" s="54">
        <v>41640</v>
      </c>
      <c r="B190" s="11" t="s">
        <v>1546</v>
      </c>
      <c r="C190" s="11" t="s">
        <v>1547</v>
      </c>
      <c r="D190" s="11" t="s">
        <v>1548</v>
      </c>
      <c r="E190" s="11" t="s">
        <v>1323</v>
      </c>
      <c r="F190" s="11" t="s">
        <v>1549</v>
      </c>
      <c r="G190" s="11" t="s">
        <v>1325</v>
      </c>
      <c r="H190" s="11" t="s">
        <v>1550</v>
      </c>
      <c r="I190" s="11"/>
      <c r="J190" s="11"/>
      <c r="K190" s="11"/>
      <c r="L190" s="11"/>
      <c r="M190" s="11"/>
      <c r="N190" s="11"/>
      <c r="O190" s="11"/>
      <c r="P190" s="11"/>
      <c r="Q190" s="15"/>
      <c r="R190" s="16"/>
      <c r="S190" s="11"/>
      <c r="T190" s="11"/>
      <c r="U190" s="11" t="s">
        <v>573</v>
      </c>
      <c r="V190" s="17"/>
      <c r="W190" s="11">
        <f t="shared" si="56"/>
        <v>0</v>
      </c>
      <c r="X190" s="11"/>
      <c r="Y190" s="11"/>
      <c r="Z190" s="11">
        <f t="shared" ref="Z190:Z191" si="57">W190-X190</f>
        <v>0</v>
      </c>
      <c r="AA190" s="11"/>
      <c r="AB190" s="11"/>
      <c r="AC190" s="11">
        <v>0</v>
      </c>
      <c r="AD190" s="11">
        <v>0</v>
      </c>
      <c r="AE190" s="18"/>
      <c r="AF190" s="11"/>
      <c r="AG190" s="11"/>
      <c r="AH190" s="11"/>
      <c r="AI190" s="11"/>
      <c r="AJ190" s="11"/>
      <c r="AK190" s="11"/>
      <c r="AL190" s="11"/>
      <c r="AM190" s="17"/>
      <c r="AN190" s="17">
        <f t="shared" si="55"/>
        <v>0</v>
      </c>
      <c r="AO190" s="11"/>
      <c r="AP190" s="11"/>
      <c r="AQ190" s="11"/>
      <c r="AR190" s="11"/>
      <c r="AS190" s="11"/>
      <c r="AT190" s="11"/>
    </row>
    <row r="191" spans="1:46" x14ac:dyDescent="0.15">
      <c r="A191" s="54">
        <v>41640</v>
      </c>
      <c r="B191" s="11" t="s">
        <v>1551</v>
      </c>
      <c r="C191" s="11" t="s">
        <v>350</v>
      </c>
      <c r="D191" s="11" t="s">
        <v>1552</v>
      </c>
      <c r="E191" s="11" t="s">
        <v>1323</v>
      </c>
      <c r="F191" s="11" t="s">
        <v>1553</v>
      </c>
      <c r="G191" s="11" t="s">
        <v>1325</v>
      </c>
      <c r="H191" s="11" t="s">
        <v>1554</v>
      </c>
      <c r="I191" s="11" t="s">
        <v>1555</v>
      </c>
      <c r="J191" s="11" t="s">
        <v>1417</v>
      </c>
      <c r="K191" s="11" t="s">
        <v>1521</v>
      </c>
      <c r="L191" s="11"/>
      <c r="M191" s="11">
        <v>42615176.350000001</v>
      </c>
      <c r="N191" s="11"/>
      <c r="O191" s="11"/>
      <c r="P191" s="11"/>
      <c r="Q191" s="15"/>
      <c r="R191" s="16"/>
      <c r="S191" s="11"/>
      <c r="T191" s="11"/>
      <c r="U191" s="11" t="s">
        <v>573</v>
      </c>
      <c r="V191" s="17">
        <v>0.03</v>
      </c>
      <c r="W191" s="11">
        <f t="shared" si="56"/>
        <v>1278455.2904999999</v>
      </c>
      <c r="X191" s="11">
        <f>300000+200000+300000</f>
        <v>800000</v>
      </c>
      <c r="Y191" s="11">
        <f>800000</f>
        <v>800000</v>
      </c>
      <c r="Z191" s="11">
        <f t="shared" si="57"/>
        <v>478455.29049999989</v>
      </c>
      <c r="AA191" s="11">
        <f>2000000+1400000+3100000+3386113.5+8000000</f>
        <v>17886113.5</v>
      </c>
      <c r="AB191" s="11">
        <f>17886113.5</f>
        <v>17886113.5</v>
      </c>
      <c r="AC191" s="11">
        <v>17886113.5</v>
      </c>
      <c r="AD191" s="11">
        <v>17886113.5</v>
      </c>
      <c r="AE191" s="18">
        <f t="shared" ref="AE191:AE197" si="58">AC191/(M191+N191)</f>
        <v>0.41971229575822228</v>
      </c>
      <c r="AF191" s="11">
        <f>1699998.5+50000+935000+571220+93000+400000+937451.2+300000+397471.4+520000+1738100+500000+700000+400000+100000+7248+4143449+1030000+1300000+400000</f>
        <v>16222938.100000001</v>
      </c>
      <c r="AG191" s="11">
        <f>15822938.1+400000</f>
        <v>16222938.1</v>
      </c>
      <c r="AH191" s="11">
        <f>1767998.5+152276.42+1088000-153000+571220+47600+93000+400000+937451.2+300000+70506+502871.4+520000+1853228+500000+700000+400000+100000+7248+4415449+1030000+1300000+400000</f>
        <v>17003848.52</v>
      </c>
      <c r="AI191" s="11"/>
      <c r="AJ191" s="11"/>
      <c r="AK191" s="11"/>
      <c r="AL191" s="11">
        <f>16603848.52+400000</f>
        <v>17003848.52</v>
      </c>
      <c r="AM191" s="17">
        <v>3.4000000000000002E-2</v>
      </c>
      <c r="AN191" s="17">
        <f t="shared" si="55"/>
        <v>608127.85900000005</v>
      </c>
      <c r="AO191" s="11">
        <f>68000+47600+105400+115128+272000</f>
        <v>608128</v>
      </c>
      <c r="AP191" s="11">
        <f>608128</f>
        <v>608128</v>
      </c>
      <c r="AQ191" s="11">
        <v>0</v>
      </c>
      <c r="AR191" s="11"/>
      <c r="AS191" s="11">
        <v>150</v>
      </c>
      <c r="AT191" s="11" t="s">
        <v>1500</v>
      </c>
    </row>
    <row r="192" spans="1:46" x14ac:dyDescent="0.15">
      <c r="A192" s="54">
        <v>41699</v>
      </c>
      <c r="B192" s="11" t="s">
        <v>1556</v>
      </c>
      <c r="C192" s="11" t="s">
        <v>1557</v>
      </c>
      <c r="D192" s="11" t="s">
        <v>1558</v>
      </c>
      <c r="E192" s="11" t="s">
        <v>1323</v>
      </c>
      <c r="F192" s="11" t="s">
        <v>1559</v>
      </c>
      <c r="G192" s="11" t="s">
        <v>1325</v>
      </c>
      <c r="H192" s="11" t="s">
        <v>1334</v>
      </c>
      <c r="I192" s="11" t="s">
        <v>1560</v>
      </c>
      <c r="J192" s="11" t="s">
        <v>1334</v>
      </c>
      <c r="K192" s="11" t="s">
        <v>559</v>
      </c>
      <c r="L192" s="11"/>
      <c r="M192" s="11">
        <v>261648.41</v>
      </c>
      <c r="N192" s="11"/>
      <c r="O192" s="11"/>
      <c r="P192" s="11"/>
      <c r="Q192" s="15" t="s">
        <v>1561</v>
      </c>
      <c r="R192" s="16">
        <v>41724</v>
      </c>
      <c r="S192" s="11">
        <v>79</v>
      </c>
      <c r="T192" s="11"/>
      <c r="U192" s="11" t="s">
        <v>573</v>
      </c>
      <c r="V192" s="17">
        <v>3.5999999999999997E-2</v>
      </c>
      <c r="W192" s="11">
        <f>M192*V192</f>
        <v>9419.3427599999995</v>
      </c>
      <c r="X192" s="11">
        <v>9419</v>
      </c>
      <c r="Y192" s="11">
        <v>9419</v>
      </c>
      <c r="Z192" s="11">
        <v>0</v>
      </c>
      <c r="AA192" s="11">
        <v>248565.99</v>
      </c>
      <c r="AB192" s="11">
        <f>248565.99</f>
        <v>248565.99</v>
      </c>
      <c r="AC192" s="11">
        <v>248565.99</v>
      </c>
      <c r="AD192" s="11">
        <v>248565.99</v>
      </c>
      <c r="AE192" s="18">
        <f t="shared" si="58"/>
        <v>0.95000000191096134</v>
      </c>
      <c r="AF192" s="11">
        <v>109977</v>
      </c>
      <c r="AG192" s="11">
        <f>109977</f>
        <v>109977</v>
      </c>
      <c r="AH192" s="11">
        <f>8541+109977+130000</f>
        <v>248518</v>
      </c>
      <c r="AI192" s="11"/>
      <c r="AJ192" s="11"/>
      <c r="AK192" s="11"/>
      <c r="AL192" s="11">
        <f>118518+130000</f>
        <v>248518</v>
      </c>
      <c r="AM192" s="17">
        <v>3.4000000000000002E-2</v>
      </c>
      <c r="AN192" s="17">
        <f t="shared" si="55"/>
        <v>8451.2436600000001</v>
      </c>
      <c r="AO192" s="11">
        <v>8541</v>
      </c>
      <c r="AP192" s="11">
        <f>8541</f>
        <v>8541</v>
      </c>
      <c r="AQ192" s="11">
        <v>0</v>
      </c>
      <c r="AR192" s="11"/>
      <c r="AS192" s="11"/>
      <c r="AT192" s="11"/>
    </row>
    <row r="193" spans="1:46" x14ac:dyDescent="0.15">
      <c r="A193" s="54">
        <v>41699</v>
      </c>
      <c r="B193" s="11" t="s">
        <v>1562</v>
      </c>
      <c r="C193" s="11" t="s">
        <v>358</v>
      </c>
      <c r="D193" s="11" t="s">
        <v>1563</v>
      </c>
      <c r="E193" s="11" t="s">
        <v>1323</v>
      </c>
      <c r="F193" s="11" t="s">
        <v>1564</v>
      </c>
      <c r="G193" s="11" t="s">
        <v>1565</v>
      </c>
      <c r="H193" s="11" t="s">
        <v>1491</v>
      </c>
      <c r="I193" s="11" t="s">
        <v>1492</v>
      </c>
      <c r="J193" s="11" t="s">
        <v>1491</v>
      </c>
      <c r="K193" s="11"/>
      <c r="L193" s="11"/>
      <c r="M193" s="11">
        <v>1054353.53</v>
      </c>
      <c r="N193" s="11"/>
      <c r="O193" s="11"/>
      <c r="P193" s="11"/>
      <c r="Q193" s="15"/>
      <c r="R193" s="16"/>
      <c r="S193" s="11"/>
      <c r="T193" s="11"/>
      <c r="U193" s="11" t="s">
        <v>573</v>
      </c>
      <c r="V193" s="17">
        <v>0.03</v>
      </c>
      <c r="W193" s="11">
        <f t="shared" ref="W193:W196" si="59">M193*V193</f>
        <v>31630.605899999999</v>
      </c>
      <c r="X193" s="11">
        <f>31631</f>
        <v>31631</v>
      </c>
      <c r="Y193" s="11">
        <f>31631</f>
        <v>31631</v>
      </c>
      <c r="Z193" s="11">
        <v>0</v>
      </c>
      <c r="AA193" s="11">
        <v>200000</v>
      </c>
      <c r="AB193" s="11">
        <f>200000</f>
        <v>200000</v>
      </c>
      <c r="AC193" s="11">
        <v>200000</v>
      </c>
      <c r="AD193" s="11">
        <v>200000</v>
      </c>
      <c r="AE193" s="18">
        <f t="shared" si="58"/>
        <v>0.1896896954477878</v>
      </c>
      <c r="AF193" s="11">
        <f>80000</f>
        <v>80000</v>
      </c>
      <c r="AG193" s="11">
        <f>80000</f>
        <v>80000</v>
      </c>
      <c r="AH193" s="11">
        <f>80000+6800</f>
        <v>86800</v>
      </c>
      <c r="AI193" s="11"/>
      <c r="AJ193" s="11"/>
      <c r="AK193" s="11"/>
      <c r="AL193" s="11">
        <f>80000+6800</f>
        <v>86800</v>
      </c>
      <c r="AM193" s="17">
        <v>3.4000000000000002E-2</v>
      </c>
      <c r="AN193" s="17">
        <f t="shared" si="55"/>
        <v>6800.0000000000009</v>
      </c>
      <c r="AO193" s="11">
        <f>6800</f>
        <v>6800</v>
      </c>
      <c r="AP193" s="11">
        <f>6800</f>
        <v>6800</v>
      </c>
      <c r="AQ193" s="11">
        <f>AN193-AP193</f>
        <v>0</v>
      </c>
      <c r="AR193" s="11"/>
      <c r="AS193" s="11">
        <v>15</v>
      </c>
      <c r="AT193" s="11" t="s">
        <v>1494</v>
      </c>
    </row>
    <row r="194" spans="1:46" x14ac:dyDescent="0.15">
      <c r="A194" s="54">
        <v>41730</v>
      </c>
      <c r="B194" s="11" t="s">
        <v>1566</v>
      </c>
      <c r="C194" s="11" t="s">
        <v>364</v>
      </c>
      <c r="D194" s="11" t="s">
        <v>1567</v>
      </c>
      <c r="E194" s="11" t="s">
        <v>1323</v>
      </c>
      <c r="F194" s="11" t="s">
        <v>1568</v>
      </c>
      <c r="G194" s="11" t="s">
        <v>1569</v>
      </c>
      <c r="H194" s="11" t="s">
        <v>1437</v>
      </c>
      <c r="I194" s="11" t="s">
        <v>1438</v>
      </c>
      <c r="J194" s="11" t="s">
        <v>1437</v>
      </c>
      <c r="K194" s="11" t="s">
        <v>559</v>
      </c>
      <c r="L194" s="11"/>
      <c r="M194" s="11">
        <v>1393840</v>
      </c>
      <c r="N194" s="11">
        <f>429523.15+77938.15+345972.4</f>
        <v>853433.70000000007</v>
      </c>
      <c r="O194" s="11"/>
      <c r="P194" s="11"/>
      <c r="Q194" s="15" t="s">
        <v>1570</v>
      </c>
      <c r="R194" s="16">
        <v>41763</v>
      </c>
      <c r="S194" s="11">
        <v>419</v>
      </c>
      <c r="T194" s="11"/>
      <c r="U194" s="11" t="s">
        <v>573</v>
      </c>
      <c r="V194" s="17">
        <v>3.5999999999999997E-2</v>
      </c>
      <c r="W194" s="11">
        <f t="shared" si="59"/>
        <v>50178.239999999998</v>
      </c>
      <c r="X194" s="11">
        <f>45613+5000</f>
        <v>50613</v>
      </c>
      <c r="Y194" s="11">
        <f>50613</f>
        <v>50613</v>
      </c>
      <c r="Z194" s="11">
        <f>W194-Y194</f>
        <v>-434.76000000000204</v>
      </c>
      <c r="AA194" s="11">
        <f>335937+217744.38+24436.3+128856.94+19484.54+415975.55</f>
        <v>1142434.7100000002</v>
      </c>
      <c r="AB194" s="11">
        <f>1142434.71</f>
        <v>1142434.71</v>
      </c>
      <c r="AC194" s="11">
        <v>1142434.71</v>
      </c>
      <c r="AD194" s="11">
        <v>1142434.71</v>
      </c>
      <c r="AE194" s="18">
        <f t="shared" si="58"/>
        <v>0.50836473990684794</v>
      </c>
      <c r="AF194" s="11">
        <f>65000+220000+13300+40000+203700+390058.05</f>
        <v>932058.05</v>
      </c>
      <c r="AG194" s="11">
        <f>338300+203700+390058.05</f>
        <v>932058.05</v>
      </c>
      <c r="AH194" s="11">
        <f>78094+220000+7403+831+18343+54143+203700+390058.05</f>
        <v>972572.05</v>
      </c>
      <c r="AI194" s="11"/>
      <c r="AJ194" s="11"/>
      <c r="AK194" s="11"/>
      <c r="AL194" s="11">
        <f>378814+203700+390058.05</f>
        <v>972572.05</v>
      </c>
      <c r="AM194" s="17">
        <v>3.4000000000000002E-2</v>
      </c>
      <c r="AN194" s="17">
        <f t="shared" si="55"/>
        <v>38842.780140000003</v>
      </c>
      <c r="AO194" s="11">
        <f>11422+7403+831+4381+662+14143</f>
        <v>38842</v>
      </c>
      <c r="AP194" s="11">
        <f>38842</f>
        <v>38842</v>
      </c>
      <c r="AQ194" s="11">
        <v>0</v>
      </c>
      <c r="AR194" s="11"/>
      <c r="AS194" s="11">
        <v>20</v>
      </c>
      <c r="AT194" s="11" t="s">
        <v>1440</v>
      </c>
    </row>
    <row r="195" spans="1:46" x14ac:dyDescent="0.15">
      <c r="A195" s="54">
        <v>41730</v>
      </c>
      <c r="B195" s="11" t="s">
        <v>1571</v>
      </c>
      <c r="C195" s="11" t="s">
        <v>360</v>
      </c>
      <c r="D195" s="11" t="s">
        <v>1572</v>
      </c>
      <c r="E195" s="11" t="s">
        <v>1323</v>
      </c>
      <c r="F195" s="11" t="s">
        <v>1573</v>
      </c>
      <c r="G195" s="11" t="s">
        <v>1325</v>
      </c>
      <c r="H195" s="11" t="s">
        <v>1426</v>
      </c>
      <c r="I195" s="11" t="s">
        <v>1425</v>
      </c>
      <c r="J195" s="11" t="s">
        <v>1426</v>
      </c>
      <c r="K195" s="11" t="s">
        <v>559</v>
      </c>
      <c r="L195" s="11"/>
      <c r="M195" s="11">
        <v>1470000</v>
      </c>
      <c r="N195" s="11"/>
      <c r="O195" s="11"/>
      <c r="P195" s="11"/>
      <c r="Q195" s="15"/>
      <c r="R195" s="16"/>
      <c r="S195" s="11"/>
      <c r="T195" s="11"/>
      <c r="U195" s="11" t="s">
        <v>573</v>
      </c>
      <c r="V195" s="17">
        <v>3.5999999999999997E-2</v>
      </c>
      <c r="W195" s="11">
        <f t="shared" si="59"/>
        <v>52919.999999999993</v>
      </c>
      <c r="X195" s="11"/>
      <c r="Y195" s="11"/>
      <c r="Z195" s="11">
        <f>W195-Y195</f>
        <v>52919.999999999993</v>
      </c>
      <c r="AA195" s="11">
        <f>664033.28+511966.73</f>
        <v>1176000.01</v>
      </c>
      <c r="AB195" s="11">
        <f>1176000</f>
        <v>1176000</v>
      </c>
      <c r="AC195" s="11">
        <v>664033.28000000003</v>
      </c>
      <c r="AD195" s="11">
        <v>664033.28000000003</v>
      </c>
      <c r="AE195" s="18">
        <f t="shared" si="58"/>
        <v>0.45172331972789115</v>
      </c>
      <c r="AF195" s="11">
        <f>182910+58000+3028.24</f>
        <v>243938.24</v>
      </c>
      <c r="AG195" s="11">
        <f>182910+58000+3028.24</f>
        <v>243938.24</v>
      </c>
      <c r="AH195" s="11">
        <f>222894+58000+3028.24</f>
        <v>283922.24</v>
      </c>
      <c r="AI195" s="11"/>
      <c r="AJ195" s="11"/>
      <c r="AK195" s="11"/>
      <c r="AL195" s="11">
        <f>222894+58000+3028.24</f>
        <v>283922.24</v>
      </c>
      <c r="AM195" s="17">
        <v>3.4000000000000002E-2</v>
      </c>
      <c r="AN195" s="17">
        <f t="shared" si="55"/>
        <v>39984</v>
      </c>
      <c r="AO195" s="11">
        <f>22577+17407</f>
        <v>39984</v>
      </c>
      <c r="AP195" s="11">
        <f>39984</f>
        <v>39984</v>
      </c>
      <c r="AQ195" s="11">
        <v>0</v>
      </c>
      <c r="AR195" s="11"/>
      <c r="AS195" s="11">
        <v>1</v>
      </c>
      <c r="AT195" s="11" t="s">
        <v>1440</v>
      </c>
    </row>
    <row r="196" spans="1:46" x14ac:dyDescent="0.15">
      <c r="A196" s="54">
        <v>41745</v>
      </c>
      <c r="B196" s="11" t="s">
        <v>1574</v>
      </c>
      <c r="C196" s="11" t="s">
        <v>368</v>
      </c>
      <c r="D196" s="11" t="s">
        <v>1575</v>
      </c>
      <c r="E196" s="11" t="s">
        <v>1323</v>
      </c>
      <c r="F196" s="11" t="s">
        <v>1324</v>
      </c>
      <c r="G196" s="11" t="s">
        <v>1325</v>
      </c>
      <c r="H196" s="11" t="s">
        <v>1326</v>
      </c>
      <c r="I196" s="11" t="s">
        <v>1576</v>
      </c>
      <c r="J196" s="11" t="s">
        <v>1513</v>
      </c>
      <c r="K196" s="11" t="s">
        <v>559</v>
      </c>
      <c r="L196" s="11"/>
      <c r="M196" s="11">
        <v>1287679</v>
      </c>
      <c r="N196" s="11"/>
      <c r="O196" s="11"/>
      <c r="P196" s="11"/>
      <c r="Q196" s="15"/>
      <c r="R196" s="16"/>
      <c r="S196" s="11"/>
      <c r="T196" s="11"/>
      <c r="U196" s="11" t="s">
        <v>1577</v>
      </c>
      <c r="V196" s="17">
        <v>3.5999999999999997E-2</v>
      </c>
      <c r="W196" s="11">
        <f t="shared" si="59"/>
        <v>46356.443999999996</v>
      </c>
      <c r="X196" s="11">
        <f>46356</f>
        <v>46356</v>
      </c>
      <c r="Y196" s="11">
        <f>46356</f>
        <v>46356</v>
      </c>
      <c r="Z196" s="11">
        <v>0</v>
      </c>
      <c r="AA196" s="11">
        <f>400000</f>
        <v>400000</v>
      </c>
      <c r="AB196" s="11">
        <f>400000</f>
        <v>400000</v>
      </c>
      <c r="AC196" s="11">
        <v>400000</v>
      </c>
      <c r="AD196" s="11">
        <v>400000</v>
      </c>
      <c r="AE196" s="18">
        <f t="shared" si="58"/>
        <v>0.31063642413986714</v>
      </c>
      <c r="AF196" s="11">
        <f>100000+153418.72+100000</f>
        <v>353418.72</v>
      </c>
      <c r="AG196" s="11">
        <f>353418.72</f>
        <v>353418.72</v>
      </c>
      <c r="AH196" s="11">
        <f>113600+153418.72+100000</f>
        <v>367018.72</v>
      </c>
      <c r="AI196" s="11"/>
      <c r="AJ196" s="11"/>
      <c r="AK196" s="11"/>
      <c r="AL196" s="11">
        <f>367018.72</f>
        <v>367018.72</v>
      </c>
      <c r="AM196" s="17">
        <v>3.4000000000000002E-2</v>
      </c>
      <c r="AN196" s="17">
        <f t="shared" si="55"/>
        <v>13600.000000000002</v>
      </c>
      <c r="AO196" s="11">
        <f>13600</f>
        <v>13600</v>
      </c>
      <c r="AP196" s="11">
        <f>13600</f>
        <v>13600</v>
      </c>
      <c r="AQ196" s="11">
        <v>0</v>
      </c>
      <c r="AR196" s="11"/>
      <c r="AS196" s="11">
        <v>20</v>
      </c>
      <c r="AT196" s="11" t="s">
        <v>1578</v>
      </c>
    </row>
    <row r="197" spans="1:46" x14ac:dyDescent="0.15">
      <c r="A197" s="54">
        <v>41747</v>
      </c>
      <c r="B197" s="11" t="s">
        <v>1579</v>
      </c>
      <c r="C197" s="11" t="s">
        <v>1580</v>
      </c>
      <c r="D197" s="11" t="s">
        <v>1581</v>
      </c>
      <c r="E197" s="11" t="s">
        <v>1323</v>
      </c>
      <c r="F197" s="11" t="s">
        <v>1582</v>
      </c>
      <c r="G197" s="11" t="s">
        <v>1583</v>
      </c>
      <c r="H197" s="11" t="s">
        <v>1437</v>
      </c>
      <c r="I197" s="11" t="s">
        <v>1584</v>
      </c>
      <c r="J197" s="11" t="s">
        <v>1437</v>
      </c>
      <c r="K197" s="11" t="s">
        <v>1585</v>
      </c>
      <c r="L197" s="11"/>
      <c r="M197" s="11">
        <v>420488.3</v>
      </c>
      <c r="N197" s="11"/>
      <c r="O197" s="11"/>
      <c r="P197" s="11"/>
      <c r="Q197" s="15" t="s">
        <v>1586</v>
      </c>
      <c r="R197" s="16">
        <v>41789</v>
      </c>
      <c r="S197" s="11">
        <v>127</v>
      </c>
      <c r="T197" s="11"/>
      <c r="U197" s="11" t="s">
        <v>1587</v>
      </c>
      <c r="V197" s="17">
        <v>3.5999999999999997E-2</v>
      </c>
      <c r="W197" s="11">
        <f>V197*M197</f>
        <v>15137.578799999999</v>
      </c>
      <c r="X197" s="11"/>
      <c r="Y197" s="11"/>
      <c r="Z197" s="11">
        <f>W197-Y197</f>
        <v>15137.578799999999</v>
      </c>
      <c r="AA197" s="11">
        <f>378000</f>
        <v>378000</v>
      </c>
      <c r="AB197" s="11">
        <f>378000</f>
        <v>378000</v>
      </c>
      <c r="AC197" s="11">
        <v>378000</v>
      </c>
      <c r="AD197" s="11">
        <v>378000</v>
      </c>
      <c r="AE197" s="18">
        <f t="shared" si="58"/>
        <v>0.89895485795918695</v>
      </c>
      <c r="AF197" s="11">
        <f>138482+180202.49</f>
        <v>318684.49</v>
      </c>
      <c r="AG197" s="11">
        <f>318684.49</f>
        <v>318684.49</v>
      </c>
      <c r="AH197" s="11">
        <f>151334+190202.49+10000</f>
        <v>351536.49</v>
      </c>
      <c r="AI197" s="11"/>
      <c r="AJ197" s="11"/>
      <c r="AK197" s="11"/>
      <c r="AL197" s="11">
        <f>341536.49+10000</f>
        <v>351536.49</v>
      </c>
      <c r="AM197" s="17">
        <v>3.4000000000000002E-2</v>
      </c>
      <c r="AN197" s="17">
        <f t="shared" si="55"/>
        <v>12852.000000000002</v>
      </c>
      <c r="AO197" s="11">
        <f>12852</f>
        <v>12852</v>
      </c>
      <c r="AP197" s="11">
        <f>12852</f>
        <v>12852</v>
      </c>
      <c r="AQ197" s="11">
        <f t="shared" si="38"/>
        <v>0</v>
      </c>
      <c r="AR197" s="11"/>
      <c r="AS197" s="11">
        <v>5</v>
      </c>
      <c r="AT197" s="11" t="s">
        <v>1440</v>
      </c>
    </row>
    <row r="198" spans="1:46" x14ac:dyDescent="0.15">
      <c r="A198" s="54">
        <v>41744</v>
      </c>
      <c r="B198" s="11" t="s">
        <v>1588</v>
      </c>
      <c r="C198" s="11" t="s">
        <v>1589</v>
      </c>
      <c r="D198" s="11" t="s">
        <v>1590</v>
      </c>
      <c r="E198" s="11" t="s">
        <v>1323</v>
      </c>
      <c r="F198" s="11"/>
      <c r="G198" s="11"/>
      <c r="H198" s="11" t="s">
        <v>1309</v>
      </c>
      <c r="I198" s="25" t="s">
        <v>1480</v>
      </c>
      <c r="J198" s="25" t="s">
        <v>1309</v>
      </c>
      <c r="K198" s="11"/>
      <c r="L198" s="11"/>
      <c r="M198" s="11">
        <v>1414102.49</v>
      </c>
      <c r="N198" s="11"/>
      <c r="O198" s="11"/>
      <c r="P198" s="11"/>
      <c r="Q198" s="15"/>
      <c r="R198" s="16"/>
      <c r="S198" s="11"/>
      <c r="T198" s="11"/>
      <c r="U198" s="11" t="s">
        <v>573</v>
      </c>
      <c r="V198" s="17">
        <v>3.5999999999999997E-2</v>
      </c>
      <c r="W198" s="11">
        <f>V198*M198</f>
        <v>50907.689639999997</v>
      </c>
      <c r="X198" s="11">
        <f>50908</f>
        <v>50908</v>
      </c>
      <c r="Y198" s="11">
        <f>50908</f>
        <v>50908</v>
      </c>
      <c r="Z198" s="11">
        <v>0</v>
      </c>
      <c r="AA198" s="11"/>
      <c r="AB198" s="11"/>
      <c r="AC198" s="11">
        <v>0</v>
      </c>
      <c r="AD198" s="11">
        <v>0</v>
      </c>
      <c r="AE198" s="18"/>
      <c r="AF198" s="11"/>
      <c r="AG198" s="11"/>
      <c r="AH198" s="11"/>
      <c r="AI198" s="11"/>
      <c r="AJ198" s="11"/>
      <c r="AK198" s="11"/>
      <c r="AL198" s="11"/>
      <c r="AM198" s="17"/>
      <c r="AN198" s="17">
        <f t="shared" si="55"/>
        <v>0</v>
      </c>
      <c r="AO198" s="11"/>
      <c r="AP198" s="11"/>
      <c r="AQ198" s="11">
        <f t="shared" si="38"/>
        <v>0</v>
      </c>
      <c r="AR198" s="11"/>
      <c r="AS198" s="11">
        <v>15</v>
      </c>
      <c r="AT198" s="11" t="s">
        <v>1311</v>
      </c>
    </row>
    <row r="199" spans="1:46" x14ac:dyDescent="0.15">
      <c r="A199" s="54">
        <v>41760</v>
      </c>
      <c r="B199" s="11" t="s">
        <v>1591</v>
      </c>
      <c r="C199" s="11" t="s">
        <v>376</v>
      </c>
      <c r="D199" s="11" t="s">
        <v>1352</v>
      </c>
      <c r="E199" s="11" t="s">
        <v>1323</v>
      </c>
      <c r="F199" s="11" t="s">
        <v>1592</v>
      </c>
      <c r="G199" s="11" t="s">
        <v>1593</v>
      </c>
      <c r="H199" s="11" t="s">
        <v>1354</v>
      </c>
      <c r="I199" s="11" t="s">
        <v>1355</v>
      </c>
      <c r="J199" s="11" t="s">
        <v>1354</v>
      </c>
      <c r="K199" s="11" t="s">
        <v>1319</v>
      </c>
      <c r="L199" s="11"/>
      <c r="M199" s="11">
        <v>10118443</v>
      </c>
      <c r="N199" s="11"/>
      <c r="O199" s="11"/>
      <c r="P199" s="11"/>
      <c r="Q199" s="15"/>
      <c r="R199" s="16"/>
      <c r="S199" s="11"/>
      <c r="T199" s="11"/>
      <c r="U199" s="11" t="s">
        <v>573</v>
      </c>
      <c r="V199" s="17">
        <v>0.03</v>
      </c>
      <c r="W199" s="11">
        <f t="shared" ref="W199:W215" si="60">V199*M199</f>
        <v>303553.28999999998</v>
      </c>
      <c r="X199" s="11">
        <f>100000</f>
        <v>100000</v>
      </c>
      <c r="Y199" s="11">
        <f>100000</f>
        <v>100000</v>
      </c>
      <c r="Z199" s="11">
        <f t="shared" ref="Z199:Z215" si="61">W199-Y199</f>
        <v>203553.28999999998</v>
      </c>
      <c r="AA199" s="11">
        <f>1800000+3000000</f>
        <v>4800000</v>
      </c>
      <c r="AB199" s="11">
        <f>1800000+3000000</f>
        <v>4800000</v>
      </c>
      <c r="AC199" s="11">
        <v>1800000</v>
      </c>
      <c r="AD199" s="11">
        <v>1800000</v>
      </c>
      <c r="AE199" s="18">
        <f>AC199/(M199+N199)</f>
        <v>0.17789298215150295</v>
      </c>
      <c r="AF199" s="11">
        <f>1739791</f>
        <v>1739791</v>
      </c>
      <c r="AG199" s="11">
        <f>1739791</f>
        <v>1739791</v>
      </c>
      <c r="AH199" s="11">
        <f>1739791+61020</f>
        <v>1800811</v>
      </c>
      <c r="AI199" s="11"/>
      <c r="AJ199" s="11"/>
      <c r="AK199" s="11"/>
      <c r="AL199" s="11">
        <f>1800811</f>
        <v>1800811</v>
      </c>
      <c r="AM199" s="17">
        <v>3.7400000000000003E-2</v>
      </c>
      <c r="AN199" s="17">
        <f t="shared" si="55"/>
        <v>179520</v>
      </c>
      <c r="AO199" s="11">
        <f>67320+112200</f>
        <v>179520</v>
      </c>
      <c r="AP199" s="11">
        <f>67320+112200</f>
        <v>179520</v>
      </c>
      <c r="AQ199" s="11">
        <f t="shared" si="38"/>
        <v>0</v>
      </c>
      <c r="AR199" s="11"/>
      <c r="AS199" s="11">
        <v>132</v>
      </c>
      <c r="AT199" s="11" t="s">
        <v>1311</v>
      </c>
    </row>
    <row r="200" spans="1:46" x14ac:dyDescent="0.15">
      <c r="A200" s="54">
        <v>41767</v>
      </c>
      <c r="B200" s="11" t="s">
        <v>1594</v>
      </c>
      <c r="C200" s="11" t="s">
        <v>379</v>
      </c>
      <c r="D200" s="11" t="s">
        <v>1595</v>
      </c>
      <c r="E200" s="11" t="s">
        <v>1596</v>
      </c>
      <c r="F200" s="11" t="s">
        <v>1597</v>
      </c>
      <c r="G200" s="11" t="s">
        <v>1325</v>
      </c>
      <c r="H200" s="11" t="s">
        <v>1598</v>
      </c>
      <c r="I200" s="11" t="s">
        <v>1599</v>
      </c>
      <c r="J200" s="11" t="s">
        <v>1598</v>
      </c>
      <c r="K200" s="11" t="s">
        <v>1600</v>
      </c>
      <c r="L200" s="11"/>
      <c r="M200" s="11">
        <v>944953.41</v>
      </c>
      <c r="N200" s="11"/>
      <c r="O200" s="11"/>
      <c r="P200" s="11"/>
      <c r="Q200" s="15" t="s">
        <v>1601</v>
      </c>
      <c r="R200" s="16">
        <v>41773</v>
      </c>
      <c r="S200" s="11">
        <v>284</v>
      </c>
      <c r="T200" s="11"/>
      <c r="U200" s="11" t="s">
        <v>1602</v>
      </c>
      <c r="V200" s="17">
        <v>3.5999999999999997E-2</v>
      </c>
      <c r="W200" s="11">
        <f t="shared" si="60"/>
        <v>34018.322759999995</v>
      </c>
      <c r="X200" s="11">
        <f>19298.8</f>
        <v>19298.8</v>
      </c>
      <c r="Y200" s="11">
        <f>19298.8</f>
        <v>19298.8</v>
      </c>
      <c r="Z200" s="11">
        <f t="shared" si="61"/>
        <v>14719.522759999996</v>
      </c>
      <c r="AA200" s="11">
        <f>300000+200000</f>
        <v>500000</v>
      </c>
      <c r="AB200" s="11">
        <f>500000</f>
        <v>500000</v>
      </c>
      <c r="AC200" s="11">
        <v>500000</v>
      </c>
      <c r="AD200" s="11">
        <v>500000</v>
      </c>
      <c r="AE200" s="18">
        <f>AC200/(M200+N200)</f>
        <v>0.52912661588257559</v>
      </c>
      <c r="AF200" s="11">
        <f>4298.8+237666.29+13164+103300</f>
        <v>358429.08999999997</v>
      </c>
      <c r="AG200" s="11">
        <f>255129.09+103300</f>
        <v>358429.08999999997</v>
      </c>
      <c r="AH200" s="11">
        <f>15632.8+237666.29+13164+28000+110100</f>
        <v>404563.08999999997</v>
      </c>
      <c r="AI200" s="11"/>
      <c r="AJ200" s="11"/>
      <c r="AK200" s="11"/>
      <c r="AL200" s="11">
        <f>294463.09+110100</f>
        <v>404563.09</v>
      </c>
      <c r="AM200" s="17">
        <v>3.4000000000000002E-2</v>
      </c>
      <c r="AN200" s="17">
        <f t="shared" si="55"/>
        <v>17000</v>
      </c>
      <c r="AO200" s="11">
        <f>10200</f>
        <v>10200</v>
      </c>
      <c r="AP200" s="11">
        <f>10200</f>
        <v>10200</v>
      </c>
      <c r="AQ200" s="11">
        <f t="shared" si="38"/>
        <v>6800</v>
      </c>
      <c r="AR200" s="11"/>
      <c r="AS200" s="11">
        <v>4</v>
      </c>
      <c r="AT200" s="11" t="s">
        <v>1603</v>
      </c>
    </row>
    <row r="201" spans="1:46" x14ac:dyDescent="0.15">
      <c r="A201" s="54">
        <v>41760</v>
      </c>
      <c r="B201" s="11" t="s">
        <v>1604</v>
      </c>
      <c r="C201" s="11" t="s">
        <v>374</v>
      </c>
      <c r="D201" s="11" t="s">
        <v>1605</v>
      </c>
      <c r="E201" s="11" t="s">
        <v>1596</v>
      </c>
      <c r="F201" s="11" t="s">
        <v>1606</v>
      </c>
      <c r="G201" s="11" t="s">
        <v>1325</v>
      </c>
      <c r="H201" s="11" t="s">
        <v>1607</v>
      </c>
      <c r="I201" s="11" t="s">
        <v>1608</v>
      </c>
      <c r="J201" s="11" t="s">
        <v>1334</v>
      </c>
      <c r="K201" s="11" t="s">
        <v>559</v>
      </c>
      <c r="L201" s="11"/>
      <c r="M201" s="11">
        <v>14986416.529999999</v>
      </c>
      <c r="N201" s="11"/>
      <c r="O201" s="11"/>
      <c r="P201" s="11"/>
      <c r="Q201" s="15"/>
      <c r="R201" s="16"/>
      <c r="S201" s="11"/>
      <c r="T201" s="11"/>
      <c r="U201" s="11" t="s">
        <v>1602</v>
      </c>
      <c r="V201" s="17">
        <v>0.03</v>
      </c>
      <c r="W201" s="11">
        <f t="shared" si="60"/>
        <v>449592.49589999998</v>
      </c>
      <c r="X201" s="11"/>
      <c r="Y201" s="11"/>
      <c r="Z201" s="11">
        <f t="shared" si="61"/>
        <v>449592.49589999998</v>
      </c>
      <c r="AA201" s="11"/>
      <c r="AB201" s="11"/>
      <c r="AC201" s="11">
        <v>0</v>
      </c>
      <c r="AD201" s="11">
        <v>0</v>
      </c>
      <c r="AE201" s="18"/>
      <c r="AF201" s="11"/>
      <c r="AG201" s="11"/>
      <c r="AH201" s="11"/>
      <c r="AI201" s="11"/>
      <c r="AJ201" s="11"/>
      <c r="AK201" s="11"/>
      <c r="AL201" s="11"/>
      <c r="AM201" s="17"/>
      <c r="AN201" s="17">
        <f t="shared" si="55"/>
        <v>0</v>
      </c>
      <c r="AO201" s="11"/>
      <c r="AP201" s="11"/>
      <c r="AQ201" s="11">
        <f t="shared" si="38"/>
        <v>0</v>
      </c>
      <c r="AR201" s="11"/>
      <c r="AS201" s="11">
        <v>110</v>
      </c>
      <c r="AT201" s="11" t="s">
        <v>1440</v>
      </c>
    </row>
    <row r="202" spans="1:46" x14ac:dyDescent="0.15">
      <c r="A202" s="54">
        <v>41760</v>
      </c>
      <c r="B202" s="11" t="s">
        <v>1609</v>
      </c>
      <c r="C202" s="11" t="s">
        <v>1610</v>
      </c>
      <c r="D202" s="11" t="s">
        <v>1611</v>
      </c>
      <c r="E202" s="11" t="s">
        <v>1596</v>
      </c>
      <c r="F202" s="11"/>
      <c r="G202" s="11" t="s">
        <v>1612</v>
      </c>
      <c r="H202" s="11"/>
      <c r="I202" s="11"/>
      <c r="J202" s="11"/>
      <c r="K202" s="11"/>
      <c r="L202" s="11"/>
      <c r="M202" s="11"/>
      <c r="N202" s="11"/>
      <c r="O202" s="11"/>
      <c r="P202" s="11"/>
      <c r="Q202" s="15"/>
      <c r="R202" s="16"/>
      <c r="S202" s="11"/>
      <c r="T202" s="11"/>
      <c r="U202" s="11" t="s">
        <v>1602</v>
      </c>
      <c r="V202" s="17"/>
      <c r="W202" s="11">
        <f t="shared" si="60"/>
        <v>0</v>
      </c>
      <c r="X202" s="11"/>
      <c r="Y202" s="11"/>
      <c r="Z202" s="11">
        <f t="shared" si="61"/>
        <v>0</v>
      </c>
      <c r="AA202" s="11"/>
      <c r="AB202" s="11"/>
      <c r="AC202" s="11">
        <v>0</v>
      </c>
      <c r="AD202" s="11">
        <v>0</v>
      </c>
      <c r="AE202" s="18"/>
      <c r="AF202" s="11"/>
      <c r="AG202" s="11"/>
      <c r="AH202" s="11"/>
      <c r="AI202" s="11"/>
      <c r="AJ202" s="11"/>
      <c r="AK202" s="11"/>
      <c r="AL202" s="11"/>
      <c r="AM202" s="17"/>
      <c r="AN202" s="17">
        <f t="shared" si="55"/>
        <v>0</v>
      </c>
      <c r="AO202" s="11"/>
      <c r="AP202" s="11"/>
      <c r="AQ202" s="11">
        <f t="shared" si="38"/>
        <v>0</v>
      </c>
      <c r="AR202" s="11"/>
      <c r="AS202" s="11"/>
      <c r="AT202" s="11"/>
    </row>
    <row r="203" spans="1:46" x14ac:dyDescent="0.15">
      <c r="A203" s="54">
        <v>41760</v>
      </c>
      <c r="B203" s="11" t="s">
        <v>1613</v>
      </c>
      <c r="C203" s="11" t="s">
        <v>377</v>
      </c>
      <c r="D203" s="11" t="s">
        <v>1614</v>
      </c>
      <c r="E203" s="11" t="s">
        <v>1596</v>
      </c>
      <c r="F203" s="11"/>
      <c r="G203" s="11" t="s">
        <v>1615</v>
      </c>
      <c r="H203" s="11" t="s">
        <v>1616</v>
      </c>
      <c r="I203" s="11" t="s">
        <v>1617</v>
      </c>
      <c r="J203" s="11"/>
      <c r="K203" s="11"/>
      <c r="L203" s="11"/>
      <c r="M203" s="11">
        <v>769500</v>
      </c>
      <c r="N203" s="11"/>
      <c r="O203" s="11"/>
      <c r="P203" s="11"/>
      <c r="Q203" s="15" t="s">
        <v>1618</v>
      </c>
      <c r="R203" s="16">
        <v>41796</v>
      </c>
      <c r="S203" s="11">
        <v>231</v>
      </c>
      <c r="T203" s="11"/>
      <c r="U203" s="11" t="s">
        <v>1602</v>
      </c>
      <c r="V203" s="17">
        <v>4.5999999999999999E-2</v>
      </c>
      <c r="W203" s="11">
        <f t="shared" si="60"/>
        <v>35397</v>
      </c>
      <c r="X203" s="11">
        <f>35397</f>
        <v>35397</v>
      </c>
      <c r="Y203" s="11">
        <f>35397</f>
        <v>35397</v>
      </c>
      <c r="Z203" s="11">
        <f t="shared" si="61"/>
        <v>0</v>
      </c>
      <c r="AA203" s="11"/>
      <c r="AB203" s="11"/>
      <c r="AC203" s="11">
        <v>0</v>
      </c>
      <c r="AD203" s="11">
        <v>0</v>
      </c>
      <c r="AE203" s="18"/>
      <c r="AF203" s="11"/>
      <c r="AG203" s="11"/>
      <c r="AH203" s="11"/>
      <c r="AI203" s="11"/>
      <c r="AJ203" s="11"/>
      <c r="AK203" s="11"/>
      <c r="AL203" s="11"/>
      <c r="AM203" s="17"/>
      <c r="AN203" s="17">
        <f t="shared" si="55"/>
        <v>0</v>
      </c>
      <c r="AO203" s="11"/>
      <c r="AP203" s="11"/>
      <c r="AQ203" s="11">
        <f t="shared" si="38"/>
        <v>0</v>
      </c>
      <c r="AR203" s="11"/>
      <c r="AS203" s="11">
        <v>6</v>
      </c>
      <c r="AT203" s="11" t="s">
        <v>1619</v>
      </c>
    </row>
    <row r="204" spans="1:46" x14ac:dyDescent="0.15">
      <c r="A204" s="54">
        <v>41779</v>
      </c>
      <c r="B204" s="11" t="s">
        <v>1620</v>
      </c>
      <c r="C204" s="11" t="s">
        <v>381</v>
      </c>
      <c r="D204" s="11" t="s">
        <v>1621</v>
      </c>
      <c r="E204" s="11" t="s">
        <v>1596</v>
      </c>
      <c r="F204" s="11" t="s">
        <v>1622</v>
      </c>
      <c r="G204" s="11" t="s">
        <v>1615</v>
      </c>
      <c r="H204" s="11" t="s">
        <v>1623</v>
      </c>
      <c r="I204" s="11" t="s">
        <v>1624</v>
      </c>
      <c r="J204" s="11" t="s">
        <v>1623</v>
      </c>
      <c r="K204" s="11" t="s">
        <v>1600</v>
      </c>
      <c r="L204" s="11"/>
      <c r="M204" s="11">
        <v>520000</v>
      </c>
      <c r="N204" s="11"/>
      <c r="O204" s="11"/>
      <c r="P204" s="11"/>
      <c r="Q204" s="15" t="s">
        <v>1625</v>
      </c>
      <c r="R204" s="16">
        <v>41793</v>
      </c>
      <c r="S204" s="11">
        <v>156</v>
      </c>
      <c r="T204" s="11"/>
      <c r="U204" s="11" t="s">
        <v>1602</v>
      </c>
      <c r="V204" s="17">
        <v>3.5999999999999997E-2</v>
      </c>
      <c r="W204" s="11">
        <f t="shared" si="60"/>
        <v>18720</v>
      </c>
      <c r="X204" s="11">
        <f>18720</f>
        <v>18720</v>
      </c>
      <c r="Y204" s="11">
        <f>18720</f>
        <v>18720</v>
      </c>
      <c r="Z204" s="11">
        <f t="shared" si="61"/>
        <v>0</v>
      </c>
      <c r="AA204" s="11">
        <f>156000</f>
        <v>156000</v>
      </c>
      <c r="AB204" s="11">
        <f>156000</f>
        <v>156000</v>
      </c>
      <c r="AC204" s="11">
        <v>156000</v>
      </c>
      <c r="AD204" s="11">
        <v>156000</v>
      </c>
      <c r="AE204" s="18">
        <f>AC204/(M204+N204)</f>
        <v>0.3</v>
      </c>
      <c r="AF204" s="11">
        <f>140000</f>
        <v>140000</v>
      </c>
      <c r="AG204" s="11">
        <f>140000</f>
        <v>140000</v>
      </c>
      <c r="AH204" s="11">
        <f>145304</f>
        <v>145304</v>
      </c>
      <c r="AI204" s="11"/>
      <c r="AJ204" s="11"/>
      <c r="AK204" s="11"/>
      <c r="AL204" s="11">
        <f>145304</f>
        <v>145304</v>
      </c>
      <c r="AM204" s="17">
        <v>3.4000000000000002E-2</v>
      </c>
      <c r="AN204" s="17">
        <f t="shared" si="55"/>
        <v>5304</v>
      </c>
      <c r="AO204" s="11">
        <v>5304</v>
      </c>
      <c r="AP204" s="11">
        <v>5304</v>
      </c>
      <c r="AQ204" s="11">
        <f t="shared" si="38"/>
        <v>0</v>
      </c>
      <c r="AR204" s="11"/>
      <c r="AS204" s="11"/>
      <c r="AT204" s="11"/>
    </row>
    <row r="205" spans="1:46" x14ac:dyDescent="0.15">
      <c r="A205" s="54">
        <v>41791</v>
      </c>
      <c r="B205" s="11" t="s">
        <v>1626</v>
      </c>
      <c r="C205" s="11" t="s">
        <v>383</v>
      </c>
      <c r="D205" s="11" t="s">
        <v>1627</v>
      </c>
      <c r="E205" s="11" t="s">
        <v>1596</v>
      </c>
      <c r="F205" s="11" t="s">
        <v>1628</v>
      </c>
      <c r="G205" s="11" t="s">
        <v>1615</v>
      </c>
      <c r="H205" s="11" t="s">
        <v>1629</v>
      </c>
      <c r="I205" s="11" t="s">
        <v>1630</v>
      </c>
      <c r="J205" s="11" t="s">
        <v>1631</v>
      </c>
      <c r="K205" s="11" t="s">
        <v>1600</v>
      </c>
      <c r="L205" s="11"/>
      <c r="M205" s="11">
        <v>14800000</v>
      </c>
      <c r="N205" s="11"/>
      <c r="O205" s="11"/>
      <c r="P205" s="11"/>
      <c r="Q205" s="15"/>
      <c r="R205" s="16"/>
      <c r="S205" s="11"/>
      <c r="T205" s="11"/>
      <c r="U205" s="11" t="s">
        <v>573</v>
      </c>
      <c r="V205" s="17"/>
      <c r="W205" s="11">
        <f t="shared" si="60"/>
        <v>0</v>
      </c>
      <c r="X205" s="11"/>
      <c r="Y205" s="11"/>
      <c r="Z205" s="11">
        <f t="shared" si="61"/>
        <v>0</v>
      </c>
      <c r="AA205" s="11"/>
      <c r="AB205" s="11"/>
      <c r="AC205" s="11">
        <v>3300000</v>
      </c>
      <c r="AD205" s="11">
        <v>3300000</v>
      </c>
      <c r="AE205" s="18">
        <f>AC205/(M205+N205)</f>
        <v>0.22297297297297297</v>
      </c>
      <c r="AF205" s="11">
        <f>300000+361050+200000+400000</f>
        <v>1261050</v>
      </c>
      <c r="AG205" s="11">
        <f>861050+400000</f>
        <v>1261050</v>
      </c>
      <c r="AH205" s="11">
        <f>300000+361050+200000+400000</f>
        <v>1261050</v>
      </c>
      <c r="AI205" s="11"/>
      <c r="AJ205" s="11"/>
      <c r="AK205" s="11"/>
      <c r="AL205" s="11">
        <f>861050+400000</f>
        <v>1261050</v>
      </c>
      <c r="AM205" s="17">
        <v>3.4000000000000002E-2</v>
      </c>
      <c r="AN205" s="17">
        <f t="shared" si="55"/>
        <v>0</v>
      </c>
      <c r="AO205" s="11"/>
      <c r="AP205" s="11"/>
      <c r="AQ205" s="11">
        <f t="shared" si="38"/>
        <v>0</v>
      </c>
      <c r="AR205" s="11"/>
      <c r="AS205" s="11">
        <v>44</v>
      </c>
      <c r="AT205" s="11" t="s">
        <v>1494</v>
      </c>
    </row>
    <row r="206" spans="1:46" x14ac:dyDescent="0.15">
      <c r="A206" s="54">
        <v>41791</v>
      </c>
      <c r="B206" s="11" t="s">
        <v>1632</v>
      </c>
      <c r="C206" s="11" t="s">
        <v>387</v>
      </c>
      <c r="D206" s="11" t="s">
        <v>1633</v>
      </c>
      <c r="E206" s="11" t="s">
        <v>1596</v>
      </c>
      <c r="F206" s="11"/>
      <c r="G206" s="11" t="s">
        <v>1615</v>
      </c>
      <c r="H206" s="11" t="s">
        <v>1543</v>
      </c>
      <c r="I206" s="11" t="s">
        <v>1634</v>
      </c>
      <c r="J206" s="11" t="s">
        <v>1635</v>
      </c>
      <c r="K206" s="11" t="s">
        <v>559</v>
      </c>
      <c r="L206" s="11"/>
      <c r="M206" s="11">
        <v>3326070</v>
      </c>
      <c r="N206" s="11"/>
      <c r="O206" s="11"/>
      <c r="P206" s="11"/>
      <c r="Q206" s="15"/>
      <c r="R206" s="16"/>
      <c r="S206" s="11"/>
      <c r="T206" s="11"/>
      <c r="U206" s="11" t="s">
        <v>600</v>
      </c>
      <c r="V206" s="17">
        <v>3.5999999999999997E-2</v>
      </c>
      <c r="W206" s="11">
        <f t="shared" si="60"/>
        <v>119738.51999999999</v>
      </c>
      <c r="X206" s="11"/>
      <c r="Y206" s="11"/>
      <c r="Z206" s="11">
        <f t="shared" si="61"/>
        <v>119738.51999999999</v>
      </c>
      <c r="AA206" s="11">
        <f>300000</f>
        <v>300000</v>
      </c>
      <c r="AB206" s="11">
        <f>300000</f>
        <v>300000</v>
      </c>
      <c r="AC206" s="11">
        <v>0</v>
      </c>
      <c r="AD206" s="11">
        <v>0</v>
      </c>
      <c r="AE206" s="18"/>
      <c r="AF206" s="11"/>
      <c r="AG206" s="11"/>
      <c r="AH206" s="11"/>
      <c r="AI206" s="11"/>
      <c r="AJ206" s="11"/>
      <c r="AK206" s="11"/>
      <c r="AL206" s="11"/>
      <c r="AM206" s="17">
        <v>3.4000000000000002E-2</v>
      </c>
      <c r="AN206" s="17">
        <f t="shared" si="55"/>
        <v>10200</v>
      </c>
      <c r="AO206" s="11"/>
      <c r="AP206" s="11"/>
      <c r="AQ206" s="11">
        <f t="shared" si="38"/>
        <v>10200</v>
      </c>
      <c r="AR206" s="11"/>
      <c r="AS206" s="11">
        <v>35</v>
      </c>
      <c r="AT206" s="11" t="s">
        <v>870</v>
      </c>
    </row>
    <row r="207" spans="1:46" x14ac:dyDescent="0.15">
      <c r="A207" s="54">
        <v>41820</v>
      </c>
      <c r="B207" s="11" t="s">
        <v>1636</v>
      </c>
      <c r="C207" s="11" t="s">
        <v>389</v>
      </c>
      <c r="D207" s="11" t="s">
        <v>1637</v>
      </c>
      <c r="E207" s="11" t="s">
        <v>988</v>
      </c>
      <c r="F207" s="11"/>
      <c r="G207" s="11" t="s">
        <v>1615</v>
      </c>
      <c r="H207" s="11" t="s">
        <v>1638</v>
      </c>
      <c r="I207" s="11" t="s">
        <v>1639</v>
      </c>
      <c r="J207" s="11" t="s">
        <v>1638</v>
      </c>
      <c r="K207" s="11" t="s">
        <v>559</v>
      </c>
      <c r="L207" s="11"/>
      <c r="M207" s="11">
        <v>5305357.5999999996</v>
      </c>
      <c r="N207" s="11"/>
      <c r="O207" s="11"/>
      <c r="P207" s="11"/>
      <c r="Q207" s="15"/>
      <c r="R207" s="16"/>
      <c r="S207" s="11"/>
      <c r="T207" s="11"/>
      <c r="U207" s="11" t="s">
        <v>600</v>
      </c>
      <c r="V207" s="17">
        <v>0.03</v>
      </c>
      <c r="W207" s="11">
        <f t="shared" si="60"/>
        <v>159160.72799999997</v>
      </c>
      <c r="X207" s="11">
        <f>100000</f>
        <v>100000</v>
      </c>
      <c r="Y207" s="11">
        <f>100000</f>
        <v>100000</v>
      </c>
      <c r="Z207" s="11">
        <f t="shared" si="61"/>
        <v>59160.727999999974</v>
      </c>
      <c r="AA207" s="11">
        <f>1060000</f>
        <v>1060000</v>
      </c>
      <c r="AB207" s="11">
        <f>1060000</f>
        <v>1060000</v>
      </c>
      <c r="AC207" s="11">
        <v>1060000</v>
      </c>
      <c r="AD207" s="11">
        <v>1060000</v>
      </c>
      <c r="AE207" s="18">
        <f>AC207/(M207+N207)</f>
        <v>0.19979803057950327</v>
      </c>
      <c r="AF207" s="11">
        <f>200000+150000+6366.43</f>
        <v>356366.43</v>
      </c>
      <c r="AG207" s="11">
        <f>200000+150000+6366.43</f>
        <v>356366.43</v>
      </c>
      <c r="AH207" s="11">
        <f>236040+150000+36040+6366.43</f>
        <v>428446.43</v>
      </c>
      <c r="AI207" s="11"/>
      <c r="AJ207" s="11"/>
      <c r="AK207" s="11"/>
      <c r="AL207" s="11">
        <f>386040+36040+6366.43</f>
        <v>428446.43</v>
      </c>
      <c r="AM207" s="17">
        <v>3.4000000000000002E-2</v>
      </c>
      <c r="AN207" s="17">
        <f t="shared" si="55"/>
        <v>36040</v>
      </c>
      <c r="AO207" s="11">
        <f>36040</f>
        <v>36040</v>
      </c>
      <c r="AP207" s="11">
        <f>36040</f>
        <v>36040</v>
      </c>
      <c r="AQ207" s="11">
        <f t="shared" si="38"/>
        <v>0</v>
      </c>
      <c r="AR207" s="11"/>
      <c r="AS207" s="11">
        <v>72</v>
      </c>
      <c r="AT207" s="11" t="s">
        <v>1440</v>
      </c>
    </row>
    <row r="208" spans="1:46" x14ac:dyDescent="0.15">
      <c r="A208" s="54">
        <v>41821</v>
      </c>
      <c r="B208" s="11" t="s">
        <v>1640</v>
      </c>
      <c r="C208" s="11" t="s">
        <v>411</v>
      </c>
      <c r="D208" s="11" t="s">
        <v>1641</v>
      </c>
      <c r="E208" s="11" t="s">
        <v>1323</v>
      </c>
      <c r="F208" s="11"/>
      <c r="G208" s="11" t="s">
        <v>1593</v>
      </c>
      <c r="H208" s="11" t="s">
        <v>1642</v>
      </c>
      <c r="I208" s="11" t="s">
        <v>1425</v>
      </c>
      <c r="J208" s="11" t="s">
        <v>1642</v>
      </c>
      <c r="K208" s="11"/>
      <c r="L208" s="11"/>
      <c r="M208" s="11">
        <v>743283</v>
      </c>
      <c r="N208" s="11"/>
      <c r="O208" s="11"/>
      <c r="P208" s="11"/>
      <c r="Q208" s="15"/>
      <c r="R208" s="16"/>
      <c r="S208" s="11"/>
      <c r="T208" s="11"/>
      <c r="U208" s="11" t="s">
        <v>573</v>
      </c>
      <c r="V208" s="17">
        <v>3.5999999999999997E-2</v>
      </c>
      <c r="W208" s="11">
        <f t="shared" si="60"/>
        <v>26758.187999999998</v>
      </c>
      <c r="X208" s="11"/>
      <c r="Y208" s="11"/>
      <c r="Z208" s="11">
        <f t="shared" si="61"/>
        <v>26758.187999999998</v>
      </c>
      <c r="AA208" s="11">
        <f>631790.55</f>
        <v>631790.55000000005</v>
      </c>
      <c r="AB208" s="11">
        <f>631790.55</f>
        <v>631790.55000000005</v>
      </c>
      <c r="AC208" s="11">
        <v>0</v>
      </c>
      <c r="AD208" s="11">
        <v>0</v>
      </c>
      <c r="AE208" s="18"/>
      <c r="AF208" s="11"/>
      <c r="AG208" s="11"/>
      <c r="AH208" s="11"/>
      <c r="AI208" s="11"/>
      <c r="AJ208" s="11"/>
      <c r="AK208" s="11"/>
      <c r="AL208" s="11"/>
      <c r="AM208" s="17"/>
      <c r="AN208" s="17">
        <f t="shared" si="55"/>
        <v>0</v>
      </c>
      <c r="AO208" s="11"/>
      <c r="AP208" s="11"/>
      <c r="AQ208" s="11">
        <f t="shared" si="38"/>
        <v>0</v>
      </c>
      <c r="AR208" s="11"/>
      <c r="AS208" s="11">
        <v>10</v>
      </c>
      <c r="AT208" s="11" t="s">
        <v>1643</v>
      </c>
    </row>
    <row r="209" spans="1:46" x14ac:dyDescent="0.15">
      <c r="A209" s="54">
        <v>41837</v>
      </c>
      <c r="B209" s="11" t="s">
        <v>1644</v>
      </c>
      <c r="C209" s="11" t="s">
        <v>1645</v>
      </c>
      <c r="D209" s="11" t="s">
        <v>1646</v>
      </c>
      <c r="E209" s="11" t="s">
        <v>1647</v>
      </c>
      <c r="F209" s="11"/>
      <c r="G209" s="11"/>
      <c r="H209" s="11" t="s">
        <v>1648</v>
      </c>
      <c r="I209" s="25" t="s">
        <v>1649</v>
      </c>
      <c r="J209" s="25" t="s">
        <v>1309</v>
      </c>
      <c r="K209" s="11"/>
      <c r="L209" s="11"/>
      <c r="M209" s="11"/>
      <c r="N209" s="11"/>
      <c r="O209" s="11"/>
      <c r="P209" s="11"/>
      <c r="Q209" s="15"/>
      <c r="R209" s="16"/>
      <c r="S209" s="11"/>
      <c r="T209" s="11"/>
      <c r="U209" s="11" t="s">
        <v>1650</v>
      </c>
      <c r="V209" s="17"/>
      <c r="W209" s="11">
        <f t="shared" si="60"/>
        <v>0</v>
      </c>
      <c r="X209" s="11"/>
      <c r="Y209" s="11"/>
      <c r="Z209" s="11">
        <f t="shared" si="61"/>
        <v>0</v>
      </c>
      <c r="AA209" s="11"/>
      <c r="AB209" s="11"/>
      <c r="AC209" s="11">
        <v>0</v>
      </c>
      <c r="AD209" s="11">
        <v>0</v>
      </c>
      <c r="AE209" s="18"/>
      <c r="AF209" s="11"/>
      <c r="AG209" s="11"/>
      <c r="AH209" s="11"/>
      <c r="AI209" s="11"/>
      <c r="AJ209" s="11"/>
      <c r="AK209" s="11"/>
      <c r="AL209" s="11"/>
      <c r="AM209" s="17"/>
      <c r="AN209" s="17">
        <f t="shared" si="55"/>
        <v>0</v>
      </c>
      <c r="AO209" s="11"/>
      <c r="AP209" s="11"/>
      <c r="AQ209" s="11">
        <f t="shared" si="38"/>
        <v>0</v>
      </c>
      <c r="AR209" s="11"/>
      <c r="AS209" s="11"/>
      <c r="AT209" s="11"/>
    </row>
    <row r="210" spans="1:46" x14ac:dyDescent="0.15">
      <c r="A210" s="54">
        <v>41837</v>
      </c>
      <c r="B210" s="11" t="s">
        <v>1651</v>
      </c>
      <c r="C210" s="11" t="s">
        <v>461</v>
      </c>
      <c r="D210" s="11" t="s">
        <v>1652</v>
      </c>
      <c r="E210" s="11" t="s">
        <v>1653</v>
      </c>
      <c r="F210" s="11"/>
      <c r="G210" s="11" t="s">
        <v>1654</v>
      </c>
      <c r="H210" s="11" t="s">
        <v>1655</v>
      </c>
      <c r="I210" s="11" t="s">
        <v>1656</v>
      </c>
      <c r="J210" s="11" t="s">
        <v>1657</v>
      </c>
      <c r="K210" s="11" t="s">
        <v>559</v>
      </c>
      <c r="L210" s="11"/>
      <c r="M210" s="11">
        <v>5519500</v>
      </c>
      <c r="N210" s="11"/>
      <c r="O210" s="11"/>
      <c r="P210" s="11"/>
      <c r="Q210" s="15"/>
      <c r="R210" s="16"/>
      <c r="S210" s="11"/>
      <c r="T210" s="11"/>
      <c r="U210" s="11" t="s">
        <v>600</v>
      </c>
      <c r="V210" s="17">
        <v>0.03</v>
      </c>
      <c r="W210" s="11">
        <f t="shared" si="60"/>
        <v>165585</v>
      </c>
      <c r="X210" s="11">
        <f>50000</f>
        <v>50000</v>
      </c>
      <c r="Y210" s="11">
        <f>50000</f>
        <v>50000</v>
      </c>
      <c r="Z210" s="11">
        <f t="shared" si="61"/>
        <v>115585</v>
      </c>
      <c r="AA210" s="11">
        <f>1000000</f>
        <v>1000000</v>
      </c>
      <c r="AB210" s="11">
        <f>1000000</f>
        <v>1000000</v>
      </c>
      <c r="AC210" s="11">
        <v>1000000</v>
      </c>
      <c r="AD210" s="11">
        <v>1000000</v>
      </c>
      <c r="AE210" s="18">
        <f>AC210/(M210+N210)</f>
        <v>0.18117583114412536</v>
      </c>
      <c r="AF210" s="11">
        <f>300000+6623.4+394887.52</f>
        <v>701510.92</v>
      </c>
      <c r="AG210" s="11">
        <f>300000+6623.4+394887.52</f>
        <v>701510.92</v>
      </c>
      <c r="AH210" s="11">
        <f>300000+34000+6623.4+394887.52</f>
        <v>735510.92</v>
      </c>
      <c r="AI210" s="11"/>
      <c r="AJ210" s="11"/>
      <c r="AK210" s="11"/>
      <c r="AL210" s="11">
        <f>300000+6623.4+34000+394887.52</f>
        <v>735510.92</v>
      </c>
      <c r="AM210" s="17">
        <v>3.4000000000000002E-2</v>
      </c>
      <c r="AN210" s="17">
        <f t="shared" si="55"/>
        <v>34000</v>
      </c>
      <c r="AO210" s="11">
        <f>34000</f>
        <v>34000</v>
      </c>
      <c r="AP210" s="11">
        <f>34000</f>
        <v>34000</v>
      </c>
      <c r="AQ210" s="11">
        <f t="shared" si="38"/>
        <v>0</v>
      </c>
      <c r="AR210" s="11"/>
      <c r="AS210" s="11">
        <v>77</v>
      </c>
      <c r="AT210" s="11" t="s">
        <v>1127</v>
      </c>
    </row>
    <row r="211" spans="1:46" x14ac:dyDescent="0.15">
      <c r="A211" s="54">
        <v>41837</v>
      </c>
      <c r="B211" s="11" t="s">
        <v>1658</v>
      </c>
      <c r="C211" s="11" t="s">
        <v>459</v>
      </c>
      <c r="D211" s="11" t="s">
        <v>1659</v>
      </c>
      <c r="E211" s="11" t="s">
        <v>1323</v>
      </c>
      <c r="F211" s="11"/>
      <c r="G211" s="11" t="s">
        <v>1325</v>
      </c>
      <c r="H211" s="11" t="s">
        <v>1340</v>
      </c>
      <c r="I211" s="11" t="s">
        <v>912</v>
      </c>
      <c r="J211" s="11" t="s">
        <v>1340</v>
      </c>
      <c r="K211" s="11" t="s">
        <v>559</v>
      </c>
      <c r="L211" s="11"/>
      <c r="M211" s="11">
        <v>14892896.99</v>
      </c>
      <c r="N211" s="11"/>
      <c r="O211" s="11"/>
      <c r="P211" s="11"/>
      <c r="Q211" s="15"/>
      <c r="R211" s="16"/>
      <c r="S211" s="11"/>
      <c r="T211" s="11"/>
      <c r="U211" s="11" t="s">
        <v>573</v>
      </c>
      <c r="V211" s="17"/>
      <c r="W211" s="11">
        <f t="shared" si="60"/>
        <v>0</v>
      </c>
      <c r="X211" s="11"/>
      <c r="Y211" s="11"/>
      <c r="Z211" s="11">
        <f t="shared" si="61"/>
        <v>0</v>
      </c>
      <c r="AA211" s="11"/>
      <c r="AB211" s="11"/>
      <c r="AC211" s="11">
        <v>0</v>
      </c>
      <c r="AD211" s="11">
        <v>0</v>
      </c>
      <c r="AE211" s="18"/>
      <c r="AF211" s="11"/>
      <c r="AG211" s="11"/>
      <c r="AH211" s="11"/>
      <c r="AI211" s="11"/>
      <c r="AJ211" s="11"/>
      <c r="AK211" s="11"/>
      <c r="AL211" s="11"/>
      <c r="AM211" s="17">
        <v>3.4000000000000002E-2</v>
      </c>
      <c r="AN211" s="17">
        <f t="shared" si="55"/>
        <v>0</v>
      </c>
      <c r="AO211" s="11"/>
      <c r="AP211" s="11"/>
      <c r="AQ211" s="11">
        <f t="shared" si="38"/>
        <v>0</v>
      </c>
      <c r="AR211" s="11"/>
      <c r="AS211" s="11"/>
      <c r="AT211" s="11"/>
    </row>
    <row r="212" spans="1:46" x14ac:dyDescent="0.15">
      <c r="A212" s="54">
        <v>41821</v>
      </c>
      <c r="B212" s="11" t="s">
        <v>1660</v>
      </c>
      <c r="C212" s="11" t="s">
        <v>417</v>
      </c>
      <c r="D212" s="11" t="s">
        <v>1661</v>
      </c>
      <c r="E212" s="11" t="s">
        <v>1323</v>
      </c>
      <c r="F212" s="11" t="s">
        <v>1662</v>
      </c>
      <c r="G212" s="11" t="s">
        <v>983</v>
      </c>
      <c r="H212" s="11" t="s">
        <v>1543</v>
      </c>
      <c r="I212" s="11" t="s">
        <v>1544</v>
      </c>
      <c r="J212" s="11" t="s">
        <v>1543</v>
      </c>
      <c r="K212" s="11" t="s">
        <v>559</v>
      </c>
      <c r="L212" s="11"/>
      <c r="M212" s="11">
        <v>1885067.2</v>
      </c>
      <c r="N212" s="11"/>
      <c r="O212" s="11"/>
      <c r="P212" s="11"/>
      <c r="Q212" s="15"/>
      <c r="R212" s="16"/>
      <c r="S212" s="11"/>
      <c r="T212" s="11"/>
      <c r="U212" s="11" t="s">
        <v>600</v>
      </c>
      <c r="V212" s="17">
        <v>3.5999999999999997E-2</v>
      </c>
      <c r="W212" s="11">
        <f t="shared" si="60"/>
        <v>67862.419199999989</v>
      </c>
      <c r="X212" s="11"/>
      <c r="Y212" s="11"/>
      <c r="Z212" s="11">
        <f t="shared" si="61"/>
        <v>67862.419199999989</v>
      </c>
      <c r="AA212" s="11">
        <f>565520</f>
        <v>565520</v>
      </c>
      <c r="AB212" s="11">
        <f>565520</f>
        <v>565520</v>
      </c>
      <c r="AC212" s="11">
        <v>0</v>
      </c>
      <c r="AD212" s="11">
        <v>0</v>
      </c>
      <c r="AE212" s="18"/>
      <c r="AF212" s="11"/>
      <c r="AG212" s="11"/>
      <c r="AH212" s="11"/>
      <c r="AI212" s="11"/>
      <c r="AJ212" s="11"/>
      <c r="AK212" s="11"/>
      <c r="AL212" s="11"/>
      <c r="AM212" s="17">
        <v>3.4000000000000002E-2</v>
      </c>
      <c r="AN212" s="17">
        <f t="shared" si="55"/>
        <v>19227.68</v>
      </c>
      <c r="AO212" s="11"/>
      <c r="AP212" s="11"/>
      <c r="AQ212" s="11">
        <f t="shared" si="38"/>
        <v>19227.68</v>
      </c>
      <c r="AR212" s="11"/>
      <c r="AS212" s="11">
        <v>21</v>
      </c>
      <c r="AT212" s="11" t="s">
        <v>1500</v>
      </c>
    </row>
    <row r="213" spans="1:46" x14ac:dyDescent="0.15">
      <c r="A213" s="54">
        <v>41821</v>
      </c>
      <c r="B213" s="11" t="s">
        <v>1663</v>
      </c>
      <c r="C213" s="11" t="s">
        <v>441</v>
      </c>
      <c r="D213" s="11" t="s">
        <v>1664</v>
      </c>
      <c r="E213" s="11" t="s">
        <v>1323</v>
      </c>
      <c r="F213" s="11"/>
      <c r="G213" s="11" t="s">
        <v>1325</v>
      </c>
      <c r="H213" s="11" t="s">
        <v>1665</v>
      </c>
      <c r="I213" s="11" t="s">
        <v>1666</v>
      </c>
      <c r="J213" s="11" t="s">
        <v>1667</v>
      </c>
      <c r="K213" s="11" t="s">
        <v>1600</v>
      </c>
      <c r="L213" s="11"/>
      <c r="M213" s="11">
        <v>1679000</v>
      </c>
      <c r="N213" s="11"/>
      <c r="O213" s="11"/>
      <c r="P213" s="11"/>
      <c r="Q213" s="15"/>
      <c r="R213" s="16"/>
      <c r="S213" s="11"/>
      <c r="T213" s="11"/>
      <c r="U213" s="11" t="s">
        <v>600</v>
      </c>
      <c r="V213" s="17">
        <v>3.5999999999999997E-2</v>
      </c>
      <c r="W213" s="11">
        <f t="shared" si="60"/>
        <v>60443.999999999993</v>
      </c>
      <c r="X213" s="11"/>
      <c r="Y213" s="11"/>
      <c r="Z213" s="11">
        <f t="shared" si="61"/>
        <v>60443.999999999993</v>
      </c>
      <c r="AA213" s="11"/>
      <c r="AB213" s="11"/>
      <c r="AC213" s="11">
        <v>0</v>
      </c>
      <c r="AD213" s="11">
        <v>0</v>
      </c>
      <c r="AE213" s="18"/>
      <c r="AF213" s="11"/>
      <c r="AG213" s="11"/>
      <c r="AH213" s="11"/>
      <c r="AI213" s="11"/>
      <c r="AJ213" s="11"/>
      <c r="AK213" s="11"/>
      <c r="AL213" s="11"/>
      <c r="AM213" s="17">
        <v>3.4000000000000002E-2</v>
      </c>
      <c r="AN213" s="17">
        <f t="shared" si="55"/>
        <v>0</v>
      </c>
      <c r="AO213" s="11"/>
      <c r="AP213" s="11"/>
      <c r="AQ213" s="11">
        <f t="shared" si="38"/>
        <v>0</v>
      </c>
      <c r="AR213" s="11"/>
      <c r="AS213" s="11">
        <v>19</v>
      </c>
      <c r="AT213" s="11" t="s">
        <v>1500</v>
      </c>
    </row>
    <row r="214" spans="1:46" x14ac:dyDescent="0.15">
      <c r="A214" s="54">
        <v>41821</v>
      </c>
      <c r="B214" s="11" t="s">
        <v>1668</v>
      </c>
      <c r="C214" s="11" t="s">
        <v>397</v>
      </c>
      <c r="D214" s="11" t="s">
        <v>1669</v>
      </c>
      <c r="E214" s="11" t="s">
        <v>1323</v>
      </c>
      <c r="F214" s="11"/>
      <c r="G214" s="11" t="s">
        <v>1325</v>
      </c>
      <c r="H214" s="11" t="s">
        <v>1403</v>
      </c>
      <c r="I214" s="11" t="s">
        <v>1670</v>
      </c>
      <c r="J214" s="11" t="s">
        <v>1410</v>
      </c>
      <c r="K214" s="11" t="s">
        <v>1671</v>
      </c>
      <c r="L214" s="11"/>
      <c r="M214" s="11">
        <v>1758061</v>
      </c>
      <c r="N214" s="11"/>
      <c r="O214" s="11"/>
      <c r="P214" s="11"/>
      <c r="Q214" s="15"/>
      <c r="R214" s="16"/>
      <c r="S214" s="11"/>
      <c r="T214" s="11"/>
      <c r="U214" s="11" t="s">
        <v>600</v>
      </c>
      <c r="V214" s="17">
        <v>3.5999999999999997E-2</v>
      </c>
      <c r="W214" s="11">
        <f t="shared" si="60"/>
        <v>63290.195999999996</v>
      </c>
      <c r="X214" s="11"/>
      <c r="Y214" s="11"/>
      <c r="Z214" s="11">
        <f t="shared" si="61"/>
        <v>63290.195999999996</v>
      </c>
      <c r="AA214" s="11">
        <f>527418.3</f>
        <v>527418.30000000005</v>
      </c>
      <c r="AB214" s="11">
        <f>527418.3</f>
        <v>527418.30000000005</v>
      </c>
      <c r="AC214" s="11">
        <v>0</v>
      </c>
      <c r="AD214" s="11">
        <v>0</v>
      </c>
      <c r="AE214" s="18"/>
      <c r="AF214" s="11"/>
      <c r="AG214" s="11"/>
      <c r="AH214" s="11"/>
      <c r="AI214" s="11"/>
      <c r="AJ214" s="11"/>
      <c r="AK214" s="11"/>
      <c r="AL214" s="11"/>
      <c r="AM214" s="17">
        <v>3.4000000000000002E-2</v>
      </c>
      <c r="AN214" s="17">
        <f t="shared" si="55"/>
        <v>17932.222200000004</v>
      </c>
      <c r="AO214" s="11"/>
      <c r="AP214" s="11"/>
      <c r="AQ214" s="11">
        <f t="shared" si="38"/>
        <v>17932.222200000004</v>
      </c>
      <c r="AR214" s="11"/>
      <c r="AS214" s="11"/>
      <c r="AT214" s="11"/>
    </row>
    <row r="215" spans="1:46" x14ac:dyDescent="0.15">
      <c r="A215" s="54">
        <v>41855</v>
      </c>
      <c r="B215" s="11" t="s">
        <v>1672</v>
      </c>
      <c r="C215" s="11" t="s">
        <v>463</v>
      </c>
      <c r="D215" s="11" t="s">
        <v>1673</v>
      </c>
      <c r="E215" s="11" t="s">
        <v>1653</v>
      </c>
      <c r="F215" s="11" t="s">
        <v>1674</v>
      </c>
      <c r="G215" s="11" t="s">
        <v>1654</v>
      </c>
      <c r="H215" s="11" t="s">
        <v>1675</v>
      </c>
      <c r="I215" s="11" t="s">
        <v>1676</v>
      </c>
      <c r="J215" s="11" t="s">
        <v>1677</v>
      </c>
      <c r="K215" s="11" t="s">
        <v>1671</v>
      </c>
      <c r="L215" s="11"/>
      <c r="M215" s="11">
        <v>100000</v>
      </c>
      <c r="N215" s="11"/>
      <c r="O215" s="11"/>
      <c r="P215" s="11"/>
      <c r="Q215" s="15"/>
      <c r="R215" s="16"/>
      <c r="S215" s="11"/>
      <c r="T215" s="11"/>
      <c r="U215" s="11" t="s">
        <v>1678</v>
      </c>
      <c r="V215" s="17">
        <v>3.5999999999999997E-2</v>
      </c>
      <c r="W215" s="11">
        <f t="shared" si="60"/>
        <v>3599.9999999999995</v>
      </c>
      <c r="X215" s="11"/>
      <c r="Y215" s="11"/>
      <c r="Z215" s="11">
        <f t="shared" si="61"/>
        <v>3599.9999999999995</v>
      </c>
      <c r="AA215" s="11"/>
      <c r="AB215" s="11"/>
      <c r="AC215" s="11">
        <v>0</v>
      </c>
      <c r="AD215" s="11">
        <v>0</v>
      </c>
      <c r="AE215" s="18"/>
      <c r="AF215" s="11"/>
      <c r="AG215" s="11"/>
      <c r="AH215" s="11"/>
      <c r="AI215" s="11"/>
      <c r="AJ215" s="11"/>
      <c r="AK215" s="11"/>
      <c r="AL215" s="11"/>
      <c r="AM215" s="17">
        <v>3.4000000000000002E-2</v>
      </c>
      <c r="AN215" s="17">
        <f t="shared" si="55"/>
        <v>0</v>
      </c>
      <c r="AO215" s="11"/>
      <c r="AP215" s="11"/>
      <c r="AQ215" s="11">
        <f t="shared" si="38"/>
        <v>0</v>
      </c>
      <c r="AR215" s="11"/>
      <c r="AS215" s="11"/>
      <c r="AT215" s="11"/>
    </row>
  </sheetData>
  <sheetProtection formatCells="0" formatColumns="0" formatRows="0" insertRow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校对</vt:lpstr>
      <vt:lpstr>导出</vt:lpstr>
      <vt:lpstr>计算</vt:lpstr>
      <vt:lpstr>全部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dcterms:created xsi:type="dcterms:W3CDTF">2014-09-30T06:20:31Z</dcterms:created>
  <dcterms:modified xsi:type="dcterms:W3CDTF">2014-09-30T09:11:05Z</dcterms:modified>
</cp:coreProperties>
</file>