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0" windowHeight="11730"/>
  </bookViews>
  <sheets>
    <sheet name="00_数据初始化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7" i="3" l="1"/>
  <c r="X247" i="3"/>
  <c r="N247" i="3"/>
  <c r="Y298" i="3"/>
  <c r="X298" i="3"/>
  <c r="Y293" i="3"/>
  <c r="X293" i="3"/>
  <c r="Y301" i="3"/>
  <c r="X301" i="3"/>
  <c r="Y211" i="3"/>
  <c r="X211" i="3"/>
  <c r="Y245" i="3"/>
  <c r="X245" i="3"/>
  <c r="Y147" i="3"/>
  <c r="X147" i="3"/>
  <c r="Y267" i="3"/>
  <c r="X267" i="3"/>
  <c r="Y289" i="3"/>
  <c r="X289" i="3"/>
  <c r="Y278" i="3"/>
  <c r="X278" i="3"/>
  <c r="Y159" i="3"/>
  <c r="X159" i="3"/>
  <c r="Y115" i="3"/>
  <c r="X115" i="3"/>
  <c r="Y240" i="3"/>
  <c r="X240" i="3"/>
  <c r="Y287" i="3"/>
  <c r="X287" i="3"/>
  <c r="Y274" i="3"/>
  <c r="X274" i="3"/>
  <c r="Y290" i="3"/>
  <c r="X290" i="3"/>
  <c r="Y296" i="3"/>
  <c r="X296" i="3"/>
  <c r="Y273" i="3"/>
  <c r="X273" i="3"/>
  <c r="Y263" i="3"/>
  <c r="X263" i="3"/>
  <c r="Y128" i="3"/>
  <c r="X128" i="3"/>
  <c r="Y281" i="3"/>
  <c r="X281" i="3"/>
  <c r="AL282" i="3"/>
  <c r="AH282" i="3"/>
  <c r="AG282" i="3"/>
  <c r="AF282" i="3"/>
  <c r="AL281" i="3"/>
  <c r="AJ281" i="3"/>
  <c r="AI281" i="3"/>
  <c r="AG281" i="3"/>
  <c r="AF281" i="3"/>
  <c r="AL251" i="3"/>
  <c r="AH251" i="3"/>
  <c r="AG251" i="3"/>
  <c r="AF251" i="3"/>
  <c r="AL245" i="3"/>
  <c r="AK245" i="3"/>
  <c r="AJ245" i="3"/>
  <c r="AI245" i="3"/>
  <c r="AH245" i="3"/>
  <c r="AG245" i="3"/>
  <c r="AF245" i="3"/>
  <c r="AL243" i="3"/>
  <c r="AK243" i="3"/>
  <c r="AH243" i="3"/>
  <c r="AG243" i="3"/>
  <c r="AF243" i="3"/>
  <c r="AL237" i="3"/>
  <c r="AK237" i="3"/>
  <c r="AJ237" i="3"/>
  <c r="AI237" i="3"/>
  <c r="AG237" i="3"/>
  <c r="AF237" i="3"/>
  <c r="AL231" i="3"/>
  <c r="AK231" i="3"/>
  <c r="AJ231" i="3"/>
  <c r="AH231" i="3"/>
  <c r="AG231" i="3"/>
  <c r="AF231" i="3"/>
  <c r="AL278" i="3"/>
  <c r="AK278" i="3"/>
  <c r="AI278" i="3"/>
  <c r="AG278" i="3"/>
  <c r="AF278" i="3"/>
  <c r="AL244" i="3"/>
  <c r="AH244" i="3"/>
  <c r="AG244" i="3"/>
  <c r="AF244" i="3"/>
  <c r="AL240" i="3"/>
  <c r="AH240" i="3"/>
  <c r="AG240" i="3"/>
  <c r="AF240" i="3"/>
  <c r="AL239" i="3"/>
  <c r="AH239" i="3"/>
  <c r="AG239" i="3"/>
  <c r="AF239" i="3"/>
  <c r="AL221" i="3"/>
  <c r="AH221" i="3"/>
  <c r="AG221" i="3"/>
  <c r="AF221" i="3"/>
  <c r="AL211" i="3"/>
  <c r="AK211" i="3"/>
  <c r="AJ211" i="3"/>
  <c r="AI211" i="3"/>
  <c r="AG211" i="3"/>
  <c r="AF211" i="3"/>
  <c r="AP149" i="3"/>
  <c r="AO149" i="3"/>
  <c r="AL149" i="3"/>
  <c r="AH149" i="3"/>
  <c r="AK149" i="3"/>
  <c r="AJ149" i="3"/>
  <c r="AG149" i="3"/>
  <c r="AF149" i="3"/>
  <c r="AP240" i="3"/>
  <c r="AO240" i="3"/>
  <c r="AB240" i="3"/>
  <c r="AA240" i="3"/>
  <c r="AD149" i="3"/>
  <c r="AC149" i="3"/>
  <c r="AP262" i="3"/>
  <c r="AO262" i="3"/>
  <c r="AL262" i="3"/>
  <c r="AK262" i="3"/>
  <c r="AJ262" i="3"/>
  <c r="AI262" i="3"/>
  <c r="AH262" i="3"/>
  <c r="AG262" i="3"/>
  <c r="AF262" i="3"/>
  <c r="AL246" i="3"/>
  <c r="AH246" i="3"/>
  <c r="AG246" i="3"/>
  <c r="AF246" i="3"/>
  <c r="AL242" i="3"/>
  <c r="AH242" i="3"/>
  <c r="AG242" i="3"/>
  <c r="AF242" i="3"/>
  <c r="AL234" i="3"/>
  <c r="AH234" i="3"/>
  <c r="AG234" i="3"/>
  <c r="AF234" i="3"/>
  <c r="AP211" i="3"/>
  <c r="AO211" i="3"/>
  <c r="AH211" i="3"/>
  <c r="AL147" i="3"/>
  <c r="AH147" i="3"/>
  <c r="AG147" i="3"/>
  <c r="AF147" i="3"/>
  <c r="AP246" i="3"/>
  <c r="AO246" i="3"/>
  <c r="AB246" i="3"/>
  <c r="AA246" i="3"/>
  <c r="AB284" i="3"/>
  <c r="AA284" i="3"/>
  <c r="AB216" i="3"/>
  <c r="AA216" i="3"/>
  <c r="AD244" i="3"/>
  <c r="AC244" i="3"/>
  <c r="AD211" i="3"/>
  <c r="AC211" i="3"/>
  <c r="AL302" i="3"/>
  <c r="AH302" i="3"/>
  <c r="AG302" i="3"/>
  <c r="AF302" i="3"/>
  <c r="AL301" i="3"/>
  <c r="AH301" i="3"/>
  <c r="AG301" i="3"/>
  <c r="AF301" i="3"/>
  <c r="AJ301" i="3"/>
  <c r="AL293" i="3"/>
  <c r="AH293" i="3"/>
  <c r="AG293" i="3"/>
  <c r="AF293" i="3"/>
  <c r="AJ246" i="3"/>
  <c r="AJ244" i="3"/>
  <c r="AP239" i="3"/>
  <c r="AO239" i="3"/>
  <c r="AB239" i="3"/>
  <c r="AA239" i="3"/>
  <c r="AP301" i="3"/>
  <c r="AO301" i="3"/>
  <c r="AL253" i="3"/>
  <c r="AH253" i="3"/>
  <c r="AG253" i="3"/>
  <c r="AF253" i="3"/>
  <c r="AD253" i="3"/>
  <c r="AC253" i="3"/>
  <c r="AP155" i="3"/>
  <c r="AO155" i="3"/>
  <c r="AL155" i="3"/>
  <c r="AH155" i="3"/>
  <c r="AP299" i="3"/>
  <c r="AO299" i="3"/>
  <c r="AL299" i="3"/>
  <c r="AH299" i="3"/>
  <c r="AG299" i="3"/>
  <c r="AF299" i="3"/>
  <c r="AL277" i="3"/>
  <c r="AH277" i="3"/>
  <c r="AG277" i="3"/>
  <c r="AF277" i="3"/>
  <c r="AL267" i="3"/>
  <c r="AK267" i="3"/>
  <c r="AI267" i="3"/>
  <c r="AG267" i="3"/>
  <c r="AF267" i="3"/>
  <c r="AH254" i="3"/>
  <c r="AK246" i="3"/>
  <c r="AL215" i="3"/>
  <c r="AH215" i="3"/>
  <c r="AJ242" i="3"/>
  <c r="AG215" i="3"/>
  <c r="AF215" i="3"/>
  <c r="AP168" i="3"/>
  <c r="AO168" i="3"/>
  <c r="AL168" i="3"/>
  <c r="AH168" i="3"/>
  <c r="AP159" i="3"/>
  <c r="AO159" i="3"/>
  <c r="AL159" i="3"/>
  <c r="AH159" i="3"/>
  <c r="AG159" i="3"/>
  <c r="AF159" i="3"/>
  <c r="AL139" i="3"/>
  <c r="AH139" i="3"/>
  <c r="AG139" i="3"/>
  <c r="AF139" i="3"/>
  <c r="AD262" i="3"/>
  <c r="AC262" i="3"/>
  <c r="AD302" i="3"/>
  <c r="AC302" i="3"/>
  <c r="AD301" i="3"/>
  <c r="AC301" i="3"/>
  <c r="AD298" i="3"/>
  <c r="AC298" i="3"/>
  <c r="AD247" i="3"/>
  <c r="AC247" i="3"/>
  <c r="AD220" i="3"/>
  <c r="AC220" i="3"/>
  <c r="AB155" i="3"/>
  <c r="AA155" i="3"/>
  <c r="AB252" i="3"/>
  <c r="AA252" i="3"/>
  <c r="AD299" i="3"/>
  <c r="AC299" i="3"/>
  <c r="AJ293" i="3"/>
  <c r="AL279" i="3"/>
  <c r="AH279" i="3"/>
  <c r="AG279" i="3"/>
  <c r="AF279" i="3"/>
  <c r="AL260" i="3"/>
  <c r="AH260" i="3"/>
  <c r="AG260" i="3"/>
  <c r="AF260" i="3"/>
  <c r="AL259" i="3"/>
  <c r="AH259" i="3"/>
  <c r="AG259" i="3"/>
  <c r="AF259" i="3"/>
  <c r="AL247" i="3"/>
  <c r="AH247" i="3"/>
  <c r="AG247" i="3"/>
  <c r="AF247" i="3"/>
  <c r="AK244" i="3"/>
  <c r="AL144" i="3"/>
  <c r="AH144" i="3"/>
  <c r="AG144" i="3"/>
  <c r="AF144" i="3"/>
  <c r="AL118" i="3"/>
  <c r="AH118" i="3"/>
  <c r="AG118" i="3"/>
  <c r="AF118" i="3"/>
  <c r="AB124" i="3"/>
  <c r="AA124" i="3"/>
  <c r="AB149" i="3"/>
  <c r="AA149" i="3"/>
  <c r="AD273" i="3"/>
  <c r="AC273" i="3"/>
  <c r="AL295" i="3"/>
  <c r="AH295" i="3"/>
  <c r="AG295" i="3"/>
  <c r="AF295" i="3"/>
  <c r="AP284" i="3"/>
  <c r="AO284" i="3"/>
  <c r="AL284" i="3"/>
  <c r="AH284" i="3"/>
  <c r="AJ278" i="3"/>
  <c r="AP273" i="3"/>
  <c r="AO273" i="3"/>
  <c r="AL273" i="3"/>
  <c r="AH273" i="3"/>
  <c r="AG273" i="3"/>
  <c r="AF273" i="3"/>
  <c r="AL219" i="3"/>
  <c r="AH219" i="3"/>
  <c r="AG219" i="3"/>
  <c r="AF219" i="3"/>
  <c r="AL205" i="3"/>
  <c r="AH205" i="3"/>
  <c r="AG205" i="3"/>
  <c r="AF205" i="3"/>
  <c r="AB211" i="3"/>
  <c r="AA211" i="3"/>
  <c r="N221" i="3"/>
  <c r="N197" i="3"/>
  <c r="N188" i="3"/>
  <c r="N185" i="3"/>
  <c r="N175" i="3"/>
  <c r="N139" i="3"/>
  <c r="M118" i="3"/>
  <c r="N118" i="3"/>
  <c r="Y302" i="3"/>
  <c r="X302" i="3"/>
  <c r="Y295" i="3"/>
  <c r="X295" i="3"/>
  <c r="Y139" i="3"/>
  <c r="X139" i="3"/>
  <c r="Y242" i="3"/>
  <c r="X242" i="3"/>
  <c r="Y252" i="3"/>
  <c r="X252" i="3"/>
  <c r="Y297" i="3"/>
  <c r="X297" i="3"/>
  <c r="Y221" i="3"/>
  <c r="X221" i="3"/>
  <c r="Y188" i="3"/>
  <c r="X188" i="3"/>
  <c r="Y175" i="3"/>
  <c r="X175" i="3"/>
  <c r="Y250" i="3"/>
  <c r="X250" i="3"/>
  <c r="Y185" i="3"/>
  <c r="X185" i="3"/>
  <c r="Y229" i="3"/>
  <c r="X229" i="3"/>
  <c r="Y291" i="3"/>
  <c r="X291" i="3"/>
  <c r="Y163" i="3"/>
  <c r="X163" i="3"/>
  <c r="Y294" i="3"/>
  <c r="X294" i="3"/>
  <c r="Y148" i="3"/>
  <c r="X148" i="3"/>
  <c r="Y277" i="3"/>
  <c r="X277" i="3"/>
  <c r="Y286" i="3"/>
  <c r="X286" i="3"/>
  <c r="Y224" i="3"/>
  <c r="X224" i="3"/>
  <c r="Y271" i="3"/>
  <c r="X271" i="3"/>
  <c r="Y285" i="3"/>
  <c r="X285" i="3"/>
  <c r="Y288" i="3"/>
  <c r="X288" i="3"/>
  <c r="Y262" i="3"/>
  <c r="X262" i="3"/>
  <c r="Y232" i="3"/>
  <c r="X232" i="3"/>
  <c r="Y202" i="3"/>
  <c r="X202" i="3"/>
  <c r="Y195" i="3"/>
  <c r="X195" i="3"/>
  <c r="Y284" i="3"/>
  <c r="X284" i="3"/>
  <c r="Y86" i="3"/>
  <c r="X86" i="3"/>
  <c r="Y76" i="3"/>
  <c r="X76" i="3"/>
  <c r="Y279" i="3"/>
  <c r="X279" i="3"/>
  <c r="Y197" i="3"/>
  <c r="X197" i="3"/>
  <c r="Y118" i="3"/>
  <c r="X118" i="3"/>
  <c r="Y92" i="3"/>
  <c r="X92" i="3"/>
  <c r="Y91" i="3"/>
  <c r="X91" i="3"/>
  <c r="Y282" i="3"/>
  <c r="X282" i="3"/>
  <c r="Y280" i="3"/>
  <c r="X280" i="3"/>
  <c r="Y246" i="3"/>
  <c r="X246" i="3"/>
  <c r="AP183" i="3"/>
  <c r="AO183" i="3"/>
  <c r="Y3" i="3"/>
  <c r="X3" i="3"/>
  <c r="Y237" i="3"/>
  <c r="X237" i="3"/>
  <c r="Y214" i="3"/>
  <c r="X214" i="3"/>
  <c r="Y162" i="3"/>
  <c r="X162" i="3"/>
  <c r="Y272" i="3"/>
  <c r="X272" i="3"/>
  <c r="Y269" i="3"/>
  <c r="X269" i="3"/>
  <c r="Y266" i="3"/>
  <c r="X266" i="3"/>
  <c r="Y254" i="3"/>
  <c r="X254" i="3"/>
  <c r="Y259" i="3"/>
  <c r="X259" i="3"/>
  <c r="AP130" i="3"/>
  <c r="AO130" i="3"/>
  <c r="Y23" i="3"/>
  <c r="X23" i="3"/>
  <c r="N294" i="3"/>
  <c r="W292" i="3"/>
  <c r="W291" i="3"/>
  <c r="AP261" i="3"/>
  <c r="AO261" i="3"/>
  <c r="AL261" i="3"/>
  <c r="AH261" i="3"/>
  <c r="AG261" i="3"/>
  <c r="AF261" i="3"/>
  <c r="AD261" i="3"/>
  <c r="AC261" i="3"/>
  <c r="AE261" i="3" s="1"/>
  <c r="AB261" i="3"/>
  <c r="AA261" i="3"/>
  <c r="Y261" i="3"/>
  <c r="X261" i="3"/>
  <c r="AL115" i="3"/>
  <c r="AH115" i="3"/>
  <c r="AD115" i="3"/>
  <c r="AC115" i="3"/>
  <c r="AP7" i="3"/>
  <c r="AO7" i="3"/>
  <c r="AL7" i="3"/>
  <c r="AH7" i="3"/>
  <c r="AG7" i="3"/>
  <c r="AF7" i="3"/>
  <c r="AD7" i="3"/>
  <c r="AC7" i="3"/>
  <c r="AB7" i="3"/>
  <c r="AA7" i="3"/>
  <c r="Y7" i="3"/>
  <c r="X7" i="3"/>
  <c r="M7" i="3"/>
  <c r="W7" i="3" s="1"/>
  <c r="Z7" i="3" s="1"/>
  <c r="AP5" i="3"/>
  <c r="AO5" i="3"/>
  <c r="AL5" i="3"/>
  <c r="AH5" i="3"/>
  <c r="AG5" i="3"/>
  <c r="AF5" i="3"/>
  <c r="AD5" i="3"/>
  <c r="AE5" i="3" s="1"/>
  <c r="AC5" i="3"/>
  <c r="AB5" i="3"/>
  <c r="AN5" i="3" s="1"/>
  <c r="AA5" i="3"/>
  <c r="Y5" i="3"/>
  <c r="X5" i="3"/>
  <c r="W5" i="3"/>
  <c r="Z5" i="3" s="1"/>
  <c r="AP6" i="3"/>
  <c r="AO6" i="3"/>
  <c r="AN7" i="3"/>
  <c r="AQ7" i="3" s="1"/>
  <c r="AL6" i="3"/>
  <c r="AH6" i="3"/>
  <c r="AG6" i="3"/>
  <c r="AF6" i="3"/>
  <c r="AD6" i="3"/>
  <c r="AE6" i="3" s="1"/>
  <c r="AC6" i="3"/>
  <c r="AB6" i="3"/>
  <c r="AN6" i="3" s="1"/>
  <c r="AQ6" i="3" s="1"/>
  <c r="AA6" i="3"/>
  <c r="Y6" i="3"/>
  <c r="X6" i="3"/>
  <c r="W6" i="3"/>
  <c r="Z6" i="3" s="1"/>
  <c r="AL300" i="3"/>
  <c r="AH300" i="3"/>
  <c r="AG300" i="3"/>
  <c r="AF300" i="3"/>
  <c r="AL298" i="3"/>
  <c r="AH298" i="3"/>
  <c r="AG298" i="3"/>
  <c r="AF298" i="3"/>
  <c r="AL249" i="3"/>
  <c r="AH249" i="3"/>
  <c r="AG249" i="3"/>
  <c r="AF249" i="3"/>
  <c r="AL105" i="3"/>
  <c r="AH105" i="3"/>
  <c r="AG105" i="3"/>
  <c r="AF105" i="3"/>
  <c r="AB273" i="3"/>
  <c r="AN273" i="3" s="1"/>
  <c r="AA273" i="3"/>
  <c r="AD277" i="3"/>
  <c r="AC277" i="3"/>
  <c r="AD234" i="3"/>
  <c r="AC234" i="3"/>
  <c r="AD231" i="3"/>
  <c r="AC231" i="3"/>
  <c r="AP298" i="3"/>
  <c r="AO298" i="3"/>
  <c r="AL290" i="3"/>
  <c r="AJ290" i="3"/>
  <c r="AH290" i="3"/>
  <c r="AG290" i="3"/>
  <c r="AF290" i="3"/>
  <c r="AH281" i="3"/>
  <c r="AB296" i="3"/>
  <c r="AA296" i="3"/>
  <c r="AD281" i="3"/>
  <c r="AE281" i="3" s="1"/>
  <c r="AC281" i="3"/>
  <c r="AD245" i="3"/>
  <c r="AC245" i="3"/>
  <c r="AP4" i="3"/>
  <c r="AO4" i="3"/>
  <c r="AL4" i="3"/>
  <c r="AH4" i="3"/>
  <c r="AG4" i="3"/>
  <c r="AF4" i="3"/>
  <c r="AD4" i="3"/>
  <c r="AC4" i="3"/>
  <c r="AB4" i="3"/>
  <c r="AN4" i="3" s="1"/>
  <c r="AQ4" i="3" s="1"/>
  <c r="AA4" i="3"/>
  <c r="Y4" i="3"/>
  <c r="X4" i="3"/>
  <c r="N4" i="3"/>
  <c r="M4" i="3"/>
  <c r="AP16" i="3"/>
  <c r="AO16" i="3"/>
  <c r="AL16" i="3"/>
  <c r="AH16" i="3"/>
  <c r="AG16" i="3"/>
  <c r="AF16" i="3"/>
  <c r="AD16" i="3"/>
  <c r="AE16" i="3" s="1"/>
  <c r="AC16" i="3"/>
  <c r="AB16" i="3"/>
  <c r="AN16" i="3" s="1"/>
  <c r="AQ16" i="3" s="1"/>
  <c r="AA16" i="3"/>
  <c r="Y16" i="3"/>
  <c r="X16" i="3"/>
  <c r="W16" i="3"/>
  <c r="Z16" i="3" s="1"/>
  <c r="AP13" i="3"/>
  <c r="AO13" i="3"/>
  <c r="AL13" i="3"/>
  <c r="AH13" i="3"/>
  <c r="AG13" i="3"/>
  <c r="AF13" i="3"/>
  <c r="AD13" i="3"/>
  <c r="AE13" i="3" s="1"/>
  <c r="AC13" i="3"/>
  <c r="AB13" i="3"/>
  <c r="AN13" i="3" s="1"/>
  <c r="AQ13" i="3" s="1"/>
  <c r="AA13" i="3"/>
  <c r="Y13" i="3"/>
  <c r="X13" i="3"/>
  <c r="W13" i="3"/>
  <c r="Z13" i="3" s="1"/>
  <c r="AP12" i="3"/>
  <c r="AO12" i="3"/>
  <c r="AL12" i="3"/>
  <c r="AH12" i="3"/>
  <c r="AG12" i="3"/>
  <c r="AF12" i="3"/>
  <c r="AD12" i="3"/>
  <c r="AB12" i="3"/>
  <c r="AA12" i="3"/>
  <c r="AC12" i="3"/>
  <c r="Y12" i="3"/>
  <c r="X12" i="3"/>
  <c r="N12" i="3"/>
  <c r="W12" i="3" s="1"/>
  <c r="Z12" i="3" s="1"/>
  <c r="AP11" i="3"/>
  <c r="AO11" i="3"/>
  <c r="AN12" i="3"/>
  <c r="AL11" i="3"/>
  <c r="AH11" i="3"/>
  <c r="AG11" i="3"/>
  <c r="AF11" i="3"/>
  <c r="AE12" i="3"/>
  <c r="AD11" i="3"/>
  <c r="AE11" i="3" s="1"/>
  <c r="AC11" i="3"/>
  <c r="AB11" i="3"/>
  <c r="AN11" i="3" s="1"/>
  <c r="AA11" i="3"/>
  <c r="Y11" i="3"/>
  <c r="X11" i="3"/>
  <c r="W11" i="3"/>
  <c r="Z11" i="3" s="1"/>
  <c r="AP9" i="3"/>
  <c r="AO9" i="3"/>
  <c r="AL9" i="3"/>
  <c r="AH9" i="3"/>
  <c r="AG9" i="3"/>
  <c r="AF9" i="3"/>
  <c r="AD9" i="3"/>
  <c r="AE9" i="3" s="1"/>
  <c r="AC9" i="3"/>
  <c r="AB9" i="3"/>
  <c r="AN9" i="3" s="1"/>
  <c r="AQ9" i="3" s="1"/>
  <c r="AA9" i="3"/>
  <c r="Y9" i="3"/>
  <c r="X9" i="3"/>
  <c r="W9" i="3"/>
  <c r="Z9" i="3" s="1"/>
  <c r="AP39" i="3"/>
  <c r="AO39" i="3"/>
  <c r="AL39" i="3"/>
  <c r="AH39" i="3"/>
  <c r="AG39" i="3"/>
  <c r="AF39" i="3"/>
  <c r="AD39" i="3"/>
  <c r="AE39" i="3" s="1"/>
  <c r="AC39" i="3"/>
  <c r="AB39" i="3"/>
  <c r="AA39" i="3"/>
  <c r="Y39" i="3"/>
  <c r="X39" i="3"/>
  <c r="W39" i="3"/>
  <c r="Z39" i="3" s="1"/>
  <c r="AP38" i="3"/>
  <c r="AO38" i="3"/>
  <c r="AL38" i="3"/>
  <c r="AH38" i="3"/>
  <c r="AG38" i="3"/>
  <c r="AF38" i="3"/>
  <c r="AD38" i="3"/>
  <c r="AE38" i="3" s="1"/>
  <c r="AC38" i="3"/>
  <c r="AB38" i="3"/>
  <c r="AA38" i="3"/>
  <c r="Y38" i="3"/>
  <c r="X38" i="3"/>
  <c r="W38" i="3"/>
  <c r="AP37" i="3"/>
  <c r="AN38" i="3"/>
  <c r="AQ38" i="3" s="1"/>
  <c r="AN39" i="3"/>
  <c r="AO37" i="3"/>
  <c r="AL37" i="3"/>
  <c r="AH37" i="3"/>
  <c r="AG37" i="3"/>
  <c r="AF37" i="3"/>
  <c r="AD37" i="3"/>
  <c r="AC37" i="3"/>
  <c r="AB37" i="3"/>
  <c r="AN37" i="3" s="1"/>
  <c r="AQ37" i="3" s="1"/>
  <c r="AA37" i="3"/>
  <c r="Y37" i="3"/>
  <c r="X37" i="3"/>
  <c r="W37" i="3"/>
  <c r="N37" i="3"/>
  <c r="AG284" i="3"/>
  <c r="AF284" i="3"/>
  <c r="AH278" i="3"/>
  <c r="AL274" i="3"/>
  <c r="AH274" i="3"/>
  <c r="AG274" i="3"/>
  <c r="AF274" i="3"/>
  <c r="AI246" i="3"/>
  <c r="AL233" i="3"/>
  <c r="AH233" i="3"/>
  <c r="AG233" i="3"/>
  <c r="AF233" i="3"/>
  <c r="AL220" i="3"/>
  <c r="AH220" i="3"/>
  <c r="AL197" i="3"/>
  <c r="AH197" i="3"/>
  <c r="AG197" i="3"/>
  <c r="AF197" i="3"/>
  <c r="AG115" i="3"/>
  <c r="AF115" i="3"/>
  <c r="AP289" i="3"/>
  <c r="AO289" i="3"/>
  <c r="AB289" i="3"/>
  <c r="AA289" i="3"/>
  <c r="AB224" i="3"/>
  <c r="AA224" i="3"/>
  <c r="AB298" i="3"/>
  <c r="AA298" i="3"/>
  <c r="AP36" i="3"/>
  <c r="AO36" i="3"/>
  <c r="AL36" i="3"/>
  <c r="AH36" i="3"/>
  <c r="AG36" i="3"/>
  <c r="AF36" i="3"/>
  <c r="AD36" i="3"/>
  <c r="AB36" i="3"/>
  <c r="AN36" i="3" s="1"/>
  <c r="AA36" i="3"/>
  <c r="AC36" i="3"/>
  <c r="Z37" i="3"/>
  <c r="Z38" i="3"/>
  <c r="Y36" i="3"/>
  <c r="N36" i="3"/>
  <c r="X36" i="3"/>
  <c r="W36" i="3"/>
  <c r="AP34" i="3"/>
  <c r="AO34" i="3"/>
  <c r="AL34" i="3"/>
  <c r="AH34" i="3"/>
  <c r="AG34" i="3"/>
  <c r="AF34" i="3"/>
  <c r="AD34" i="3"/>
  <c r="AE34" i="3" s="1"/>
  <c r="AC34" i="3"/>
  <c r="AB34" i="3"/>
  <c r="AN34" i="3" s="1"/>
  <c r="AA34" i="3"/>
  <c r="Y34" i="3"/>
  <c r="X34" i="3"/>
  <c r="W34" i="3"/>
  <c r="Z34" i="3" s="1"/>
  <c r="AP33" i="3"/>
  <c r="AO33" i="3"/>
  <c r="AL33" i="3"/>
  <c r="AH33" i="3"/>
  <c r="AG33" i="3"/>
  <c r="AF33" i="3"/>
  <c r="AD33" i="3"/>
  <c r="AE33" i="3" s="1"/>
  <c r="AC33" i="3"/>
  <c r="AB33" i="3"/>
  <c r="AN33" i="3" s="1"/>
  <c r="AA33" i="3"/>
  <c r="Y33" i="3"/>
  <c r="X33" i="3"/>
  <c r="W33" i="3"/>
  <c r="Z33" i="3" s="1"/>
  <c r="AP32" i="3"/>
  <c r="AO32" i="3"/>
  <c r="AL32" i="3"/>
  <c r="AH32" i="3"/>
  <c r="AG32" i="3"/>
  <c r="AF32" i="3"/>
  <c r="N32" i="3"/>
  <c r="W32" i="3" s="1"/>
  <c r="AD32" i="3"/>
  <c r="AC32" i="3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E31" i="3" s="1"/>
  <c r="AC31" i="3"/>
  <c r="AB31" i="3"/>
  <c r="AN31" i="3" s="1"/>
  <c r="AA31" i="3"/>
  <c r="Y31" i="3"/>
  <c r="X31" i="3"/>
  <c r="W31" i="3"/>
  <c r="Z31" i="3" s="1"/>
  <c r="AP29" i="3"/>
  <c r="AO29" i="3"/>
  <c r="AL29" i="3"/>
  <c r="AH29" i="3"/>
  <c r="AG29" i="3"/>
  <c r="AF29" i="3"/>
  <c r="AD29" i="3"/>
  <c r="AC29" i="3"/>
  <c r="AB29" i="3"/>
  <c r="AN29" i="3" s="1"/>
  <c r="AQ29" i="3" s="1"/>
  <c r="AA29" i="3"/>
  <c r="Y29" i="3"/>
  <c r="X29" i="3"/>
  <c r="N29" i="3"/>
  <c r="W29" i="3" s="1"/>
  <c r="AP28" i="3"/>
  <c r="AO28" i="3"/>
  <c r="AL28" i="3"/>
  <c r="AH28" i="3"/>
  <c r="AG28" i="3"/>
  <c r="AF28" i="3"/>
  <c r="AD28" i="3"/>
  <c r="AC28" i="3"/>
  <c r="AB28" i="3"/>
  <c r="AA28" i="3"/>
  <c r="Y28" i="3"/>
  <c r="X28" i="3"/>
  <c r="N28" i="3"/>
  <c r="W28" i="3" s="1"/>
  <c r="Z28" i="3" s="1"/>
  <c r="W289" i="3"/>
  <c r="Z289" i="3" s="1"/>
  <c r="AL238" i="3"/>
  <c r="AJ238" i="3"/>
  <c r="AG238" i="3"/>
  <c r="AF238" i="3"/>
  <c r="AP234" i="3"/>
  <c r="AO234" i="3"/>
  <c r="AI234" i="3"/>
  <c r="AJ234" i="3"/>
  <c r="AP302" i="3"/>
  <c r="AO302" i="3"/>
  <c r="AE302" i="3"/>
  <c r="AB302" i="3"/>
  <c r="AN302" i="3" s="1"/>
  <c r="AA302" i="3"/>
  <c r="AB234" i="3"/>
  <c r="AA234" i="3"/>
  <c r="AB238" i="3"/>
  <c r="AA238" i="3"/>
  <c r="W302" i="3"/>
  <c r="Z302" i="3" s="1"/>
  <c r="AP27" i="3"/>
  <c r="AO27" i="3"/>
  <c r="AL27" i="3"/>
  <c r="AH27" i="3"/>
  <c r="AG27" i="3"/>
  <c r="AF27" i="3"/>
  <c r="AD27" i="3"/>
  <c r="AC27" i="3"/>
  <c r="AB27" i="3"/>
  <c r="N27" i="3"/>
  <c r="W27" i="3" s="1"/>
  <c r="AA27" i="3"/>
  <c r="Y27" i="3"/>
  <c r="X27" i="3"/>
  <c r="AL26" i="3"/>
  <c r="AH26" i="3"/>
  <c r="AG26" i="3"/>
  <c r="AF26" i="3"/>
  <c r="AD26" i="3"/>
  <c r="AE26" i="3" s="1"/>
  <c r="AC26" i="3"/>
  <c r="Y26" i="3"/>
  <c r="X26" i="3"/>
  <c r="AP25" i="3"/>
  <c r="AO25" i="3"/>
  <c r="AN26" i="3"/>
  <c r="AQ26" i="3" s="1"/>
  <c r="AN27" i="3"/>
  <c r="AQ27" i="3" s="1"/>
  <c r="AL25" i="3"/>
  <c r="AH25" i="3"/>
  <c r="AG25" i="3"/>
  <c r="AF25" i="3"/>
  <c r="AD25" i="3"/>
  <c r="AC25" i="3"/>
  <c r="AB25" i="3"/>
  <c r="AN25" i="3" s="1"/>
  <c r="AA25" i="3"/>
  <c r="Y25" i="3"/>
  <c r="X25" i="3"/>
  <c r="W26" i="3"/>
  <c r="M25" i="3"/>
  <c r="W25" i="3" s="1"/>
  <c r="AO24" i="3"/>
  <c r="AL24" i="3"/>
  <c r="AH24" i="3"/>
  <c r="AG24" i="3"/>
  <c r="AF24" i="3"/>
  <c r="AD24" i="3"/>
  <c r="AE24" i="3" s="1"/>
  <c r="AC24" i="3"/>
  <c r="AB24" i="3"/>
  <c r="AN24" i="3" s="1"/>
  <c r="AQ24" i="3" s="1"/>
  <c r="AA24" i="3"/>
  <c r="Y24" i="3"/>
  <c r="X24" i="3"/>
  <c r="W24" i="3"/>
  <c r="Z24" i="3" s="1"/>
  <c r="AP22" i="3"/>
  <c r="AO22" i="3"/>
  <c r="AL22" i="3"/>
  <c r="AH22" i="3"/>
  <c r="AG22" i="3"/>
  <c r="AF22" i="3"/>
  <c r="AD22" i="3"/>
  <c r="AE22" i="3" s="1"/>
  <c r="AC22" i="3"/>
  <c r="AB22" i="3"/>
  <c r="AA22" i="3"/>
  <c r="Y22" i="3"/>
  <c r="X22" i="3"/>
  <c r="AP21" i="3"/>
  <c r="AO21" i="3"/>
  <c r="AL21" i="3"/>
  <c r="AH21" i="3"/>
  <c r="AG21" i="3"/>
  <c r="AF21" i="3"/>
  <c r="AD21" i="3"/>
  <c r="AE21" i="3" s="1"/>
  <c r="AC21" i="3"/>
  <c r="AB21" i="3"/>
  <c r="AA21" i="3"/>
  <c r="Y21" i="3"/>
  <c r="X21" i="3"/>
  <c r="AP19" i="3"/>
  <c r="AO19" i="3"/>
  <c r="AL19" i="3"/>
  <c r="AH19" i="3"/>
  <c r="AL255" i="3"/>
  <c r="AH255" i="3"/>
  <c r="AG255" i="3"/>
  <c r="AF255" i="3"/>
  <c r="AP231" i="3"/>
  <c r="AO231" i="3"/>
  <c r="AB231" i="3"/>
  <c r="AA231" i="3"/>
  <c r="AG19" i="3"/>
  <c r="AF19" i="3"/>
  <c r="AD19" i="3"/>
  <c r="AC19" i="3"/>
  <c r="AB19" i="3"/>
  <c r="AA19" i="3"/>
  <c r="N19" i="3"/>
  <c r="AE19" i="3" s="1"/>
  <c r="Y19" i="3"/>
  <c r="X19" i="3"/>
  <c r="AP18" i="3"/>
  <c r="AO18" i="3"/>
  <c r="AL18" i="3"/>
  <c r="AH18" i="3"/>
  <c r="AG18" i="3"/>
  <c r="AF18" i="3"/>
  <c r="AD18" i="3"/>
  <c r="AE18" i="3" s="1"/>
  <c r="AC18" i="3"/>
  <c r="AB18" i="3"/>
  <c r="AA18" i="3"/>
  <c r="Y18" i="3"/>
  <c r="X18" i="3"/>
  <c r="W18" i="3"/>
  <c r="AP17" i="3"/>
  <c r="AO17" i="3"/>
  <c r="AL17" i="3"/>
  <c r="AH17" i="3"/>
  <c r="AG17" i="3"/>
  <c r="AF17" i="3"/>
  <c r="AD17" i="3"/>
  <c r="AC17" i="3"/>
  <c r="AB17" i="3"/>
  <c r="AA17" i="3"/>
  <c r="AP296" i="3"/>
  <c r="AO296" i="3"/>
  <c r="AL296" i="3"/>
  <c r="AH296" i="3"/>
  <c r="AG296" i="3"/>
  <c r="AF296" i="3"/>
  <c r="AL266" i="3"/>
  <c r="AG266" i="3"/>
  <c r="AF266" i="3"/>
  <c r="AP244" i="3"/>
  <c r="AO244" i="3"/>
  <c r="AB244" i="3"/>
  <c r="AA244" i="3"/>
  <c r="AB262" i="3"/>
  <c r="AA262" i="3"/>
  <c r="AD274" i="3"/>
  <c r="AC274" i="3"/>
  <c r="AD240" i="3"/>
  <c r="AC240" i="3"/>
  <c r="AD209" i="3"/>
  <c r="AC209" i="3"/>
  <c r="AP263" i="3"/>
  <c r="AO263" i="3"/>
  <c r="AL263" i="3"/>
  <c r="AH263" i="3"/>
  <c r="AG263" i="3"/>
  <c r="AF263" i="3"/>
  <c r="AL254" i="3"/>
  <c r="AG254" i="3"/>
  <c r="AF254" i="3"/>
  <c r="AL214" i="3"/>
  <c r="AH214" i="3"/>
  <c r="AG214" i="3"/>
  <c r="AF214" i="3"/>
  <c r="AB299" i="3"/>
  <c r="AA299" i="3"/>
  <c r="AB168" i="3"/>
  <c r="AA168" i="3"/>
  <c r="AB159" i="3"/>
  <c r="AA159" i="3"/>
  <c r="AD246" i="3"/>
  <c r="AC246" i="3"/>
  <c r="AD233" i="3"/>
  <c r="AC233" i="3"/>
  <c r="AB158" i="3"/>
  <c r="AA158" i="3"/>
  <c r="AB301" i="3"/>
  <c r="AA301" i="3"/>
  <c r="AN301" i="3"/>
  <c r="AQ301" i="3" s="1"/>
  <c r="W301" i="3"/>
  <c r="Z301" i="3" s="1"/>
  <c r="AL271" i="3"/>
  <c r="AH271" i="3"/>
  <c r="AG271" i="3"/>
  <c r="AF271" i="3"/>
  <c r="AL252" i="3"/>
  <c r="AH252" i="3"/>
  <c r="AG252" i="3"/>
  <c r="AF252" i="3"/>
  <c r="AL100" i="3"/>
  <c r="AH100" i="3"/>
  <c r="AG100" i="3"/>
  <c r="AF100" i="3"/>
  <c r="AP93" i="3"/>
  <c r="AO93" i="3"/>
  <c r="AL93" i="3"/>
  <c r="AH93" i="3"/>
  <c r="AG93" i="3"/>
  <c r="AF93" i="3"/>
  <c r="AD110" i="3"/>
  <c r="AC110" i="3"/>
  <c r="AD93" i="3"/>
  <c r="AC93" i="3"/>
  <c r="AB259" i="3"/>
  <c r="AA259" i="3"/>
  <c r="AL287" i="3"/>
  <c r="AH287" i="3"/>
  <c r="AG287" i="3"/>
  <c r="AF287" i="3"/>
  <c r="AK239" i="3"/>
  <c r="AJ239" i="3"/>
  <c r="AI239" i="3"/>
  <c r="AP259" i="3"/>
  <c r="AO259" i="3"/>
  <c r="AP295" i="3"/>
  <c r="AO295" i="3"/>
  <c r="AL210" i="3"/>
  <c r="AH210" i="3"/>
  <c r="AG210" i="3"/>
  <c r="AF210" i="3"/>
  <c r="AP294" i="3"/>
  <c r="AO294" i="3"/>
  <c r="AB294" i="3"/>
  <c r="AA294" i="3"/>
  <c r="AD295" i="3"/>
  <c r="AC295" i="3"/>
  <c r="AB293" i="3"/>
  <c r="AA293" i="3"/>
  <c r="AD278" i="3"/>
  <c r="AC278" i="3"/>
  <c r="AD271" i="3"/>
  <c r="AC271" i="3"/>
  <c r="AD263" i="3"/>
  <c r="AC263" i="3"/>
  <c r="AD237" i="3"/>
  <c r="AC237" i="3"/>
  <c r="AD222" i="3"/>
  <c r="AC222" i="3"/>
  <c r="AD296" i="3"/>
  <c r="AC296" i="3"/>
  <c r="AP281" i="3"/>
  <c r="AO281" i="3"/>
  <c r="AL186" i="3"/>
  <c r="AH186" i="3"/>
  <c r="AG186" i="3"/>
  <c r="AF186" i="3"/>
  <c r="AG163" i="3"/>
  <c r="AF163" i="3"/>
  <c r="AB295" i="3"/>
  <c r="AA295" i="3"/>
  <c r="AH237" i="3"/>
  <c r="AP242" i="3"/>
  <c r="AO242" i="3"/>
  <c r="AB242" i="3"/>
  <c r="AA242" i="3"/>
  <c r="AP207" i="3"/>
  <c r="AO207" i="3"/>
  <c r="AL207" i="3"/>
  <c r="AH207" i="3"/>
  <c r="AB281" i="3"/>
  <c r="AA281" i="3"/>
  <c r="AB207" i="3"/>
  <c r="AA207" i="3"/>
  <c r="AL232" i="3"/>
  <c r="AH232" i="3"/>
  <c r="AL268" i="3"/>
  <c r="AH268" i="3"/>
  <c r="AG268" i="3"/>
  <c r="AF268" i="3"/>
  <c r="AL198" i="3"/>
  <c r="AK198" i="3"/>
  <c r="AI198" i="3"/>
  <c r="AJ198" i="3"/>
  <c r="AB93" i="3"/>
  <c r="AA93" i="3"/>
  <c r="AD279" i="3"/>
  <c r="AC279" i="3"/>
  <c r="AD147" i="3"/>
  <c r="AC147" i="3"/>
  <c r="AK263" i="3"/>
  <c r="AD284" i="3"/>
  <c r="AC284" i="3"/>
  <c r="AD268" i="3"/>
  <c r="AC268" i="3"/>
  <c r="AD255" i="3"/>
  <c r="AC255" i="3"/>
  <c r="AL97" i="3"/>
  <c r="AH97" i="3"/>
  <c r="AD293" i="3"/>
  <c r="AC293" i="3"/>
  <c r="AD239" i="3"/>
  <c r="AC239" i="3"/>
  <c r="AD210" i="3"/>
  <c r="AC210" i="3"/>
  <c r="AD15" i="3"/>
  <c r="AC15" i="3"/>
  <c r="AK293" i="3"/>
  <c r="AK266" i="3"/>
  <c r="AL99" i="3"/>
  <c r="AH99" i="3"/>
  <c r="AG99" i="3"/>
  <c r="AF99" i="3"/>
  <c r="AP35" i="3"/>
  <c r="AO35" i="3"/>
  <c r="AL35" i="3"/>
  <c r="AH35" i="3"/>
  <c r="AG35" i="3"/>
  <c r="AF35" i="3"/>
  <c r="AD35" i="3"/>
  <c r="AC35" i="3"/>
  <c r="AB35" i="3"/>
  <c r="AA35" i="3"/>
  <c r="Y35" i="3"/>
  <c r="X35" i="3"/>
  <c r="N35" i="3"/>
  <c r="W35" i="3" s="1"/>
  <c r="Z35" i="3" s="1"/>
  <c r="AL14" i="3"/>
  <c r="AH14" i="3"/>
  <c r="AG14" i="3"/>
  <c r="AF14" i="3"/>
  <c r="AD14" i="3"/>
  <c r="AE14" i="3" s="1"/>
  <c r="AC14" i="3"/>
  <c r="AB14" i="3"/>
  <c r="AA14" i="3"/>
  <c r="Y14" i="3"/>
  <c r="X14" i="3"/>
  <c r="W14" i="3"/>
  <c r="Z14" i="3" s="1"/>
  <c r="AP293" i="3"/>
  <c r="AO293" i="3"/>
  <c r="AL270" i="3"/>
  <c r="AH270" i="3"/>
  <c r="AG270" i="3"/>
  <c r="AF270" i="3"/>
  <c r="AK242" i="3"/>
  <c r="AI242" i="3"/>
  <c r="AP139" i="3"/>
  <c r="AO139" i="3"/>
  <c r="AB201" i="3"/>
  <c r="AA201" i="3"/>
  <c r="AP287" i="3"/>
  <c r="AO287" i="3"/>
  <c r="AL248" i="3"/>
  <c r="AH248" i="3"/>
  <c r="AG248" i="3"/>
  <c r="AF248" i="3"/>
  <c r="AP198" i="3"/>
  <c r="AO198" i="3"/>
  <c r="AH198" i="3"/>
  <c r="AG198" i="3"/>
  <c r="AF198" i="3"/>
  <c r="AL191" i="3"/>
  <c r="AJ191" i="3"/>
  <c r="AG191" i="3"/>
  <c r="AF191" i="3"/>
  <c r="AP76" i="3"/>
  <c r="AO76" i="3"/>
  <c r="AL76" i="3"/>
  <c r="AH76" i="3"/>
  <c r="AG76" i="3"/>
  <c r="AF76" i="3"/>
  <c r="AO271" i="3"/>
  <c r="AP271" i="3"/>
  <c r="AB271" i="3"/>
  <c r="AA271" i="3"/>
  <c r="AB110" i="3"/>
  <c r="AA110" i="3"/>
  <c r="AL70" i="3"/>
  <c r="AH70" i="3"/>
  <c r="AF70" i="3"/>
  <c r="AG70" i="3"/>
  <c r="AP15" i="3"/>
  <c r="AO15" i="3"/>
  <c r="AL15" i="3"/>
  <c r="AH15" i="3"/>
  <c r="AG15" i="3"/>
  <c r="AF15" i="3"/>
  <c r="AB15" i="3"/>
  <c r="AA15" i="3"/>
  <c r="Y15" i="3"/>
  <c r="X15" i="3"/>
  <c r="W15" i="3"/>
  <c r="AH267" i="3"/>
  <c r="AG181" i="3"/>
  <c r="AF181" i="3"/>
  <c r="AL181" i="3"/>
  <c r="AH181" i="3"/>
  <c r="AL163" i="3"/>
  <c r="AH163" i="3"/>
  <c r="AC163" i="3"/>
  <c r="AH266" i="3"/>
  <c r="N255" i="3"/>
  <c r="W255" i="3" s="1"/>
  <c r="AP252" i="3"/>
  <c r="AO252" i="3"/>
  <c r="AF202" i="3"/>
  <c r="AG202" i="3"/>
  <c r="AL230" i="3"/>
  <c r="AH230" i="3"/>
  <c r="AG230" i="3"/>
  <c r="AF230" i="3"/>
  <c r="P224" i="3"/>
  <c r="W224" i="3" s="1"/>
  <c r="AO10" i="3"/>
  <c r="AL10" i="3"/>
  <c r="AH10" i="3"/>
  <c r="AG10" i="3"/>
  <c r="AF10" i="3"/>
  <c r="AD10" i="3"/>
  <c r="AC10" i="3"/>
  <c r="AB10" i="3"/>
  <c r="AA10" i="3"/>
  <c r="Y10" i="3"/>
  <c r="X10" i="3"/>
  <c r="P10" i="3"/>
  <c r="N10" i="3"/>
  <c r="AP40" i="3"/>
  <c r="AO40" i="3"/>
  <c r="AQ39" i="3"/>
  <c r="AL40" i="3"/>
  <c r="AH40" i="3"/>
  <c r="AG40" i="3"/>
  <c r="AF40" i="3"/>
  <c r="AD40" i="3"/>
  <c r="AC40" i="3"/>
  <c r="AB40" i="3"/>
  <c r="AN40" i="3" s="1"/>
  <c r="AA40" i="3"/>
  <c r="Y40" i="3"/>
  <c r="X40" i="3"/>
  <c r="P40" i="3"/>
  <c r="W40" i="3" s="1"/>
  <c r="Z40" i="3" s="1"/>
  <c r="P129" i="3"/>
  <c r="W129" i="3" s="1"/>
  <c r="W163" i="3"/>
  <c r="P115" i="3"/>
  <c r="W115" i="3" s="1"/>
  <c r="N115" i="3"/>
  <c r="AE7" i="3" l="1"/>
  <c r="W4" i="3"/>
  <c r="Z4" i="3" s="1"/>
  <c r="AE4" i="3"/>
  <c r="AQ11" i="3"/>
  <c r="AQ12" i="3"/>
  <c r="AE36" i="3"/>
  <c r="AE25" i="3"/>
  <c r="AE37" i="3"/>
  <c r="AQ36" i="3"/>
  <c r="Z27" i="3"/>
  <c r="Z25" i="3"/>
  <c r="AN28" i="3"/>
  <c r="AQ28" i="3" s="1"/>
  <c r="AQ40" i="3"/>
  <c r="AQ34" i="3"/>
  <c r="AN35" i="3"/>
  <c r="AQ35" i="3" s="1"/>
  <c r="Z36" i="3"/>
  <c r="AE32" i="3"/>
  <c r="AQ32" i="3"/>
  <c r="AE28" i="3"/>
  <c r="AE29" i="3"/>
  <c r="AQ31" i="3"/>
  <c r="Z32" i="3"/>
  <c r="AE27" i="3"/>
  <c r="AQ302" i="3"/>
  <c r="AQ33" i="3"/>
  <c r="Z29" i="3"/>
  <c r="Z26" i="3"/>
  <c r="AQ25" i="3"/>
  <c r="W10" i="3"/>
  <c r="Z10" i="3" s="1"/>
  <c r="AE40" i="3"/>
  <c r="AE35" i="3"/>
  <c r="AK260" i="3"/>
  <c r="AJ260" i="3"/>
  <c r="AI260" i="3"/>
  <c r="AB263" i="3"/>
  <c r="AA263" i="3"/>
  <c r="AD300" i="3"/>
  <c r="AC300" i="3"/>
  <c r="AE300" i="3" s="1"/>
  <c r="AL272" i="3"/>
  <c r="AH272" i="3"/>
  <c r="AG272" i="3"/>
  <c r="AF272" i="3"/>
  <c r="AP210" i="3"/>
  <c r="AO210" i="3"/>
  <c r="AB210" i="3"/>
  <c r="AA210" i="3"/>
  <c r="AN300" i="3"/>
  <c r="AQ300" i="3" s="1"/>
  <c r="AE299" i="3"/>
  <c r="AD123" i="3"/>
  <c r="AE123" i="3" s="1"/>
  <c r="AC123" i="3"/>
  <c r="AP268" i="3"/>
  <c r="AO268" i="3"/>
  <c r="AB268" i="3"/>
  <c r="AA268" i="3"/>
  <c r="AP230" i="3"/>
  <c r="AO230" i="3"/>
  <c r="AN296" i="3"/>
  <c r="AQ296" i="3" s="1"/>
  <c r="AP209" i="3"/>
  <c r="AO209" i="3"/>
  <c r="AL209" i="3"/>
  <c r="AH209" i="3"/>
  <c r="AL106" i="3"/>
  <c r="AH106" i="3"/>
  <c r="AH107" i="3"/>
  <c r="AL119" i="3"/>
  <c r="AH119" i="3"/>
  <c r="AG119" i="3"/>
  <c r="AF119" i="3"/>
  <c r="AG106" i="3"/>
  <c r="AF106" i="3"/>
  <c r="AB209" i="3"/>
  <c r="AA209" i="3"/>
  <c r="AN297" i="3"/>
  <c r="AQ297" i="3" s="1"/>
  <c r="AN298" i="3"/>
  <c r="AQ298" i="3" s="1"/>
  <c r="AN299" i="3"/>
  <c r="AQ299" i="3" s="1"/>
  <c r="AE296" i="3"/>
  <c r="AE297" i="3"/>
  <c r="AE298" i="3"/>
  <c r="AE301" i="3"/>
  <c r="W294" i="3"/>
  <c r="W295" i="3"/>
  <c r="W296" i="3"/>
  <c r="W297" i="3"/>
  <c r="W298" i="3"/>
  <c r="Z298" i="3" s="1"/>
  <c r="W299" i="3"/>
  <c r="Z299" i="3" s="1"/>
  <c r="W300" i="3"/>
  <c r="Z300" i="3" s="1"/>
  <c r="Z291" i="3"/>
  <c r="Z292" i="3"/>
  <c r="Z294" i="3"/>
  <c r="Z295" i="3"/>
  <c r="Z296" i="3"/>
  <c r="Z297" i="3"/>
  <c r="W293" i="3"/>
  <c r="Z293" i="3" s="1"/>
  <c r="AP278" i="3"/>
  <c r="AO278" i="3"/>
  <c r="AP266" i="3"/>
  <c r="AO266" i="3"/>
  <c r="AL92" i="3"/>
  <c r="AH92" i="3"/>
  <c r="AG92" i="3"/>
  <c r="AF92" i="3"/>
  <c r="AB278" i="3"/>
  <c r="AA278" i="3"/>
  <c r="AP245" i="3"/>
  <c r="AO245" i="3"/>
  <c r="AP237" i="3"/>
  <c r="AO237" i="3"/>
  <c r="AL222" i="3"/>
  <c r="AL187" i="3"/>
  <c r="AH187" i="3"/>
  <c r="AG187" i="3"/>
  <c r="AF187" i="3"/>
  <c r="AB115" i="3"/>
  <c r="AA115" i="3"/>
  <c r="AB237" i="3"/>
  <c r="AA237" i="3"/>
  <c r="AB44" i="3"/>
  <c r="AN44" i="3" s="1"/>
  <c r="AA44" i="3"/>
  <c r="AD266" i="3"/>
  <c r="AC266" i="3"/>
  <c r="AK259" i="3"/>
  <c r="AI259" i="3"/>
  <c r="AG232" i="3"/>
  <c r="AF232" i="3"/>
  <c r="AD205" i="3"/>
  <c r="AC205" i="3"/>
  <c r="AP274" i="3"/>
  <c r="AO274" i="3"/>
  <c r="AB274" i="3"/>
  <c r="AA274" i="3"/>
  <c r="AB123" i="3"/>
  <c r="AN123" i="3" s="1"/>
  <c r="AA123" i="3"/>
  <c r="AL265" i="3"/>
  <c r="AH265" i="3"/>
  <c r="AG265" i="3"/>
  <c r="AF265" i="3"/>
  <c r="AD265" i="3"/>
  <c r="AC265" i="3"/>
  <c r="AP248" i="3"/>
  <c r="AO248" i="3"/>
  <c r="AK234" i="3"/>
  <c r="AH222" i="3"/>
  <c r="AG222" i="3"/>
  <c r="AF222" i="3"/>
  <c r="AJ187" i="3"/>
  <c r="AC119" i="3"/>
  <c r="AD248" i="3"/>
  <c r="AC248" i="3"/>
  <c r="AD52" i="3"/>
  <c r="AC52" i="3"/>
  <c r="AD288" i="3"/>
  <c r="AC288" i="3"/>
  <c r="AE288" i="3" s="1"/>
  <c r="AD290" i="3"/>
  <c r="AC290" i="3"/>
  <c r="AD260" i="3"/>
  <c r="AD259" i="3"/>
  <c r="AC259" i="3"/>
  <c r="AN291" i="3"/>
  <c r="AQ291" i="3" s="1"/>
  <c r="AN292" i="3"/>
  <c r="AQ292" i="3" s="1"/>
  <c r="AN293" i="3"/>
  <c r="AQ293" i="3" s="1"/>
  <c r="AN294" i="3"/>
  <c r="AQ294" i="3" s="1"/>
  <c r="AN295" i="3"/>
  <c r="AQ295" i="3" s="1"/>
  <c r="AB266" i="3"/>
  <c r="AA266" i="3"/>
  <c r="AB255" i="3"/>
  <c r="AA255" i="3"/>
  <c r="AE291" i="3"/>
  <c r="AE292" i="3"/>
  <c r="AE293" i="3"/>
  <c r="AE294" i="3"/>
  <c r="AE295" i="3"/>
  <c r="AP282" i="3"/>
  <c r="AO282" i="3"/>
  <c r="AP161" i="3"/>
  <c r="AO161" i="3"/>
  <c r="AL161" i="3"/>
  <c r="AH161" i="3"/>
  <c r="AG161" i="3"/>
  <c r="AF161" i="3"/>
  <c r="AD282" i="3"/>
  <c r="AC282" i="3"/>
  <c r="AD161" i="3"/>
  <c r="AC161" i="3"/>
  <c r="AP222" i="3"/>
  <c r="AO222" i="3"/>
  <c r="AL86" i="3"/>
  <c r="AH86" i="3"/>
  <c r="AG86" i="3"/>
  <c r="AF86" i="3"/>
  <c r="AL73" i="3"/>
  <c r="AH73" i="3"/>
  <c r="AG73" i="3"/>
  <c r="AF73" i="3"/>
  <c r="AB230" i="3"/>
  <c r="AA230" i="3"/>
  <c r="AB222" i="3"/>
  <c r="AA222" i="3"/>
  <c r="AB198" i="3"/>
  <c r="AA198" i="3"/>
  <c r="AD272" i="3"/>
  <c r="AC272" i="3"/>
  <c r="AD86" i="3"/>
  <c r="AC86" i="3"/>
  <c r="AL288" i="3"/>
  <c r="AH288" i="3"/>
  <c r="AG288" i="3"/>
  <c r="AF288" i="3"/>
  <c r="AL208" i="3"/>
  <c r="AH208" i="3"/>
  <c r="AG208" i="3"/>
  <c r="AF208" i="3"/>
  <c r="AP147" i="3"/>
  <c r="AO147" i="3"/>
  <c r="AL133" i="3"/>
  <c r="AH133" i="3"/>
  <c r="AG133" i="3"/>
  <c r="AF133" i="3"/>
  <c r="AL71" i="3"/>
  <c r="AH71" i="3"/>
  <c r="AG71" i="3"/>
  <c r="AF71" i="3"/>
  <c r="AP30" i="3"/>
  <c r="AO30" i="3"/>
  <c r="AL30" i="3"/>
  <c r="AH30" i="3"/>
  <c r="AG30" i="3"/>
  <c r="AF30" i="3"/>
  <c r="AD30" i="3"/>
  <c r="AC30" i="3"/>
  <c r="AB30" i="3"/>
  <c r="AN30" i="3" s="1"/>
  <c r="AA30" i="3"/>
  <c r="Y30" i="3"/>
  <c r="X30" i="3"/>
  <c r="W30" i="3"/>
  <c r="Z30" i="3" s="1"/>
  <c r="AP2" i="3"/>
  <c r="AO2" i="3"/>
  <c r="AL2" i="3"/>
  <c r="AH2" i="3"/>
  <c r="AG2" i="3"/>
  <c r="AF2" i="3"/>
  <c r="AD2" i="3"/>
  <c r="AN2" i="3" s="1"/>
  <c r="AC2" i="3"/>
  <c r="AB3" i="3"/>
  <c r="AB2" i="3"/>
  <c r="AA2" i="3"/>
  <c r="Y2" i="3"/>
  <c r="X2" i="3"/>
  <c r="W2" i="3"/>
  <c r="AP3" i="3"/>
  <c r="AO3" i="3"/>
  <c r="AL3" i="3"/>
  <c r="AH3" i="3"/>
  <c r="AG3" i="3"/>
  <c r="AF3" i="3"/>
  <c r="AD3" i="3"/>
  <c r="AC3" i="3"/>
  <c r="AN3" i="3"/>
  <c r="AQ3" i="3" s="1"/>
  <c r="AA3" i="3"/>
  <c r="P3" i="3"/>
  <c r="W3" i="3" s="1"/>
  <c r="Z3" i="3" s="1"/>
  <c r="AB147" i="3"/>
  <c r="AA147" i="3"/>
  <c r="AL286" i="3"/>
  <c r="AH286" i="3"/>
  <c r="AG286" i="3"/>
  <c r="AF286" i="3"/>
  <c r="AL132" i="3"/>
  <c r="AH132" i="3"/>
  <c r="AG132" i="3"/>
  <c r="AF132" i="3"/>
  <c r="AL52" i="3"/>
  <c r="AH52" i="3"/>
  <c r="AG52" i="3"/>
  <c r="AF52" i="3"/>
  <c r="AB161" i="3"/>
  <c r="AA161" i="3"/>
  <c r="AL285" i="3"/>
  <c r="AF285" i="3"/>
  <c r="AP279" i="3"/>
  <c r="AO279" i="3"/>
  <c r="AL194" i="3"/>
  <c r="AH194" i="3"/>
  <c r="AG194" i="3"/>
  <c r="AF194" i="3"/>
  <c r="AP86" i="3"/>
  <c r="AO86" i="3"/>
  <c r="AB279" i="3"/>
  <c r="AA279" i="3"/>
  <c r="AP288" i="3"/>
  <c r="AO288" i="3"/>
  <c r="AL136" i="3"/>
  <c r="AH136" i="3"/>
  <c r="AG136" i="3"/>
  <c r="AF136" i="3"/>
  <c r="AL185" i="3"/>
  <c r="AH185" i="3"/>
  <c r="AG185" i="3"/>
  <c r="AF185" i="3"/>
  <c r="AB282" i="3"/>
  <c r="AA282" i="3"/>
  <c r="AD252" i="3"/>
  <c r="AC252" i="3"/>
  <c r="AC215" i="3"/>
  <c r="AP290" i="3"/>
  <c r="AO290" i="3"/>
  <c r="AN289" i="3"/>
  <c r="AQ289" i="3" s="1"/>
  <c r="AB241" i="3"/>
  <c r="AA241" i="3"/>
  <c r="AB86" i="3"/>
  <c r="AA86" i="3"/>
  <c r="AB248" i="3"/>
  <c r="AA248" i="3"/>
  <c r="AD194" i="3"/>
  <c r="AC194" i="3"/>
  <c r="AB290" i="3"/>
  <c r="AN290" i="3" s="1"/>
  <c r="AA290" i="3"/>
  <c r="W290" i="3"/>
  <c r="Z290" i="3" s="1"/>
  <c r="AE290" i="3"/>
  <c r="AG209" i="3"/>
  <c r="AF209" i="3"/>
  <c r="AD186" i="3"/>
  <c r="AC186" i="3"/>
  <c r="AD287" i="3"/>
  <c r="AC287" i="3"/>
  <c r="AL83" i="3"/>
  <c r="AH83" i="3"/>
  <c r="AG83" i="3"/>
  <c r="AF83" i="3"/>
  <c r="AP272" i="3"/>
  <c r="AO272" i="3"/>
  <c r="AB272" i="3"/>
  <c r="AA272" i="3"/>
  <c r="AP247" i="3"/>
  <c r="AO247" i="3"/>
  <c r="AB247" i="3"/>
  <c r="AA247" i="3"/>
  <c r="AP233" i="3"/>
  <c r="AO233" i="3"/>
  <c r="AB233" i="3"/>
  <c r="AA233" i="3"/>
  <c r="AP220" i="3"/>
  <c r="AO220" i="3"/>
  <c r="AB220" i="3"/>
  <c r="AA220" i="3"/>
  <c r="AP141" i="3"/>
  <c r="AO141" i="3"/>
  <c r="AB141" i="3"/>
  <c r="AN141" i="3" s="1"/>
  <c r="AQ141" i="3" s="1"/>
  <c r="AA141" i="3"/>
  <c r="AP115" i="3"/>
  <c r="AO115" i="3"/>
  <c r="AP232" i="3"/>
  <c r="AO232" i="3"/>
  <c r="AB232" i="3"/>
  <c r="AA232" i="3"/>
  <c r="AN263" i="3"/>
  <c r="AQ263" i="3" s="1"/>
  <c r="W263" i="3"/>
  <c r="Z263" i="3" s="1"/>
  <c r="S263" i="3"/>
  <c r="N263" i="3"/>
  <c r="AE263" i="3" s="1"/>
  <c r="Y17" i="3"/>
  <c r="X17" i="3"/>
  <c r="N17" i="3"/>
  <c r="AE17" i="3" s="1"/>
  <c r="AP85" i="3"/>
  <c r="AO85" i="3"/>
  <c r="AL85" i="3"/>
  <c r="AH85" i="3"/>
  <c r="AG85" i="3"/>
  <c r="AF85" i="3"/>
  <c r="AD85" i="3"/>
  <c r="AE85" i="3" s="1"/>
  <c r="AC85" i="3"/>
  <c r="AB85" i="3"/>
  <c r="AN85" i="3" s="1"/>
  <c r="AQ85" i="3" s="1"/>
  <c r="AA85" i="3"/>
  <c r="W85" i="3"/>
  <c r="Y85" i="3"/>
  <c r="X85" i="3"/>
  <c r="AP84" i="3"/>
  <c r="AO84" i="3"/>
  <c r="AL84" i="3"/>
  <c r="AH84" i="3"/>
  <c r="AG84" i="3"/>
  <c r="AF84" i="3"/>
  <c r="AD84" i="3"/>
  <c r="AE84" i="3" s="1"/>
  <c r="AC84" i="3"/>
  <c r="AB84" i="3"/>
  <c r="AN84" i="3" s="1"/>
  <c r="AA84" i="3"/>
  <c r="Y84" i="3"/>
  <c r="X84" i="3"/>
  <c r="W84" i="3"/>
  <c r="Z84" i="3" s="1"/>
  <c r="AP82" i="3"/>
  <c r="AO82" i="3"/>
  <c r="AL82" i="3"/>
  <c r="AH82" i="3"/>
  <c r="AG82" i="3"/>
  <c r="AF82" i="3"/>
  <c r="AD82" i="3"/>
  <c r="AC82" i="3"/>
  <c r="AB82" i="3"/>
  <c r="AN82" i="3" s="1"/>
  <c r="AQ82" i="3" s="1"/>
  <c r="AA82" i="3"/>
  <c r="N82" i="3"/>
  <c r="W82" i="3" s="1"/>
  <c r="Y82" i="3"/>
  <c r="X82" i="3"/>
  <c r="AL81" i="3"/>
  <c r="W81" i="3"/>
  <c r="AH81" i="3"/>
  <c r="AG81" i="3"/>
  <c r="AF81" i="3"/>
  <c r="AD81" i="3"/>
  <c r="AE81" i="3" s="1"/>
  <c r="AC81" i="3"/>
  <c r="Y81" i="3"/>
  <c r="X81" i="3"/>
  <c r="AP80" i="3"/>
  <c r="AO80" i="3"/>
  <c r="AL80" i="3"/>
  <c r="AH80" i="3"/>
  <c r="AG80" i="3"/>
  <c r="AF80" i="3"/>
  <c r="AD80" i="3"/>
  <c r="AC80" i="3"/>
  <c r="AB80" i="3"/>
  <c r="AN80" i="3" s="1"/>
  <c r="AQ80" i="3" s="1"/>
  <c r="AA80" i="3"/>
  <c r="Y80" i="3"/>
  <c r="X80" i="3"/>
  <c r="AP79" i="3"/>
  <c r="AO79" i="3"/>
  <c r="AL79" i="3"/>
  <c r="AH79" i="3"/>
  <c r="AG79" i="3"/>
  <c r="AF79" i="3"/>
  <c r="AE80" i="3"/>
  <c r="AD79" i="3"/>
  <c r="AE79" i="3" s="1"/>
  <c r="AC79" i="3"/>
  <c r="AB79" i="3"/>
  <c r="AN79" i="3" s="1"/>
  <c r="AA79" i="3"/>
  <c r="Y79" i="3"/>
  <c r="X79" i="3"/>
  <c r="AP78" i="3"/>
  <c r="AO78" i="3"/>
  <c r="AL78" i="3"/>
  <c r="AH78" i="3"/>
  <c r="AG78" i="3"/>
  <c r="AF78" i="3"/>
  <c r="AD78" i="3"/>
  <c r="AE78" i="3" s="1"/>
  <c r="AC78" i="3"/>
  <c r="AB78" i="3"/>
  <c r="AN78" i="3" s="1"/>
  <c r="AQ78" i="3" s="1"/>
  <c r="AA78" i="3"/>
  <c r="Y78" i="3"/>
  <c r="X78" i="3"/>
  <c r="W78" i="3"/>
  <c r="AP77" i="3"/>
  <c r="AO77" i="3"/>
  <c r="AL77" i="3"/>
  <c r="AH77" i="3"/>
  <c r="AG77" i="3"/>
  <c r="AF77" i="3"/>
  <c r="AD77" i="3"/>
  <c r="AE77" i="3" s="1"/>
  <c r="AC77" i="3"/>
  <c r="AB77" i="3"/>
  <c r="AN77" i="3" s="1"/>
  <c r="AQ77" i="3" s="1"/>
  <c r="AA77" i="3"/>
  <c r="Y77" i="3"/>
  <c r="X77" i="3"/>
  <c r="W77" i="3"/>
  <c r="Z77" i="3" s="1"/>
  <c r="Z78" i="3"/>
  <c r="W79" i="3"/>
  <c r="W80" i="3"/>
  <c r="AP75" i="3"/>
  <c r="AO75" i="3"/>
  <c r="AL75" i="3"/>
  <c r="AH75" i="3"/>
  <c r="AG75" i="3"/>
  <c r="AF75" i="3"/>
  <c r="AD75" i="3"/>
  <c r="AC75" i="3"/>
  <c r="AE75" i="3" s="1"/>
  <c r="AB75" i="3"/>
  <c r="AN75" i="3" s="1"/>
  <c r="AQ75" i="3" s="1"/>
  <c r="AA75" i="3"/>
  <c r="Y75" i="3"/>
  <c r="X75" i="3"/>
  <c r="W75" i="3"/>
  <c r="Z75" i="3" s="1"/>
  <c r="AP73" i="3"/>
  <c r="AO73" i="3"/>
  <c r="AD73" i="3"/>
  <c r="AC73" i="3"/>
  <c r="AB73" i="3"/>
  <c r="AN73" i="3" s="1"/>
  <c r="AQ73" i="3" s="1"/>
  <c r="AA73" i="3"/>
  <c r="Y73" i="3"/>
  <c r="X73" i="3"/>
  <c r="N73" i="3"/>
  <c r="W73" i="3" s="1"/>
  <c r="Z73" i="3" s="1"/>
  <c r="AH285" i="3"/>
  <c r="AG285" i="3"/>
  <c r="AL113" i="3"/>
  <c r="AH113" i="3"/>
  <c r="AG113" i="3"/>
  <c r="AF113" i="3"/>
  <c r="AP72" i="3"/>
  <c r="AO72" i="3"/>
  <c r="AL72" i="3"/>
  <c r="AH72" i="3"/>
  <c r="AG72" i="3"/>
  <c r="AF72" i="3"/>
  <c r="AD72" i="3"/>
  <c r="AC72" i="3"/>
  <c r="AE72" i="3" s="1"/>
  <c r="AB72" i="3"/>
  <c r="AN72" i="3" s="1"/>
  <c r="AQ72" i="3" s="1"/>
  <c r="AA72" i="3"/>
  <c r="Y72" i="3"/>
  <c r="X72" i="3"/>
  <c r="AP71" i="3"/>
  <c r="AO71" i="3"/>
  <c r="AD71" i="3"/>
  <c r="AC71" i="3"/>
  <c r="AB71" i="3"/>
  <c r="AN71" i="3" s="1"/>
  <c r="AQ71" i="3" s="1"/>
  <c r="AA71" i="3"/>
  <c r="Y71" i="3"/>
  <c r="X71" i="3"/>
  <c r="AP70" i="3"/>
  <c r="AO70" i="3"/>
  <c r="AD70" i="3"/>
  <c r="AC70" i="3"/>
  <c r="AE70" i="3" s="1"/>
  <c r="AB70" i="3"/>
  <c r="AN70" i="3" s="1"/>
  <c r="AQ70" i="3" s="1"/>
  <c r="AA70" i="3"/>
  <c r="Y70" i="3"/>
  <c r="X70" i="3"/>
  <c r="AL69" i="3"/>
  <c r="AH69" i="3"/>
  <c r="AG69" i="3"/>
  <c r="AF69" i="3"/>
  <c r="AD69" i="3"/>
  <c r="AC69" i="3"/>
  <c r="AE69" i="3" s="1"/>
  <c r="AB69" i="3"/>
  <c r="AA69" i="3"/>
  <c r="Y69" i="3"/>
  <c r="X69" i="3"/>
  <c r="W69" i="3"/>
  <c r="Z69" i="3" s="1"/>
  <c r="W70" i="3"/>
  <c r="W71" i="3"/>
  <c r="Z71" i="3" s="1"/>
  <c r="W72" i="3"/>
  <c r="AL264" i="3"/>
  <c r="AH264" i="3"/>
  <c r="AG264" i="3"/>
  <c r="AF264" i="3"/>
  <c r="AL250" i="3"/>
  <c r="AH250" i="3"/>
  <c r="AG250" i="3"/>
  <c r="AF250" i="3"/>
  <c r="AP186" i="3"/>
  <c r="AO186" i="3"/>
  <c r="AP185" i="3"/>
  <c r="AO185" i="3"/>
  <c r="AB186" i="3"/>
  <c r="AA186" i="3"/>
  <c r="AL65" i="3"/>
  <c r="AH65" i="3"/>
  <c r="AD185" i="3"/>
  <c r="AC185" i="3"/>
  <c r="AC260" i="3"/>
  <c r="AN66" i="3"/>
  <c r="AP68" i="3"/>
  <c r="AO68" i="3"/>
  <c r="AN69" i="3"/>
  <c r="AQ69" i="3" s="1"/>
  <c r="AL68" i="3"/>
  <c r="AH68" i="3"/>
  <c r="AG68" i="3"/>
  <c r="AF68" i="3"/>
  <c r="AE71" i="3"/>
  <c r="AD68" i="3"/>
  <c r="AC68" i="3"/>
  <c r="AE68" i="3" s="1"/>
  <c r="AB68" i="3"/>
  <c r="AN68" i="3" s="1"/>
  <c r="AA68" i="3"/>
  <c r="Y68" i="3"/>
  <c r="X68" i="3"/>
  <c r="W68" i="3"/>
  <c r="Z68" i="3" s="1"/>
  <c r="Y66" i="3"/>
  <c r="X66" i="3"/>
  <c r="W66" i="3"/>
  <c r="Z66" i="3" s="1"/>
  <c r="AL64" i="3"/>
  <c r="AH64" i="3"/>
  <c r="AG64" i="3"/>
  <c r="AF64" i="3"/>
  <c r="AD64" i="3"/>
  <c r="AC64" i="3"/>
  <c r="AB64" i="3"/>
  <c r="AN64" i="3" s="1"/>
  <c r="AA64" i="3"/>
  <c r="Y64" i="3"/>
  <c r="X64" i="3"/>
  <c r="W64" i="3"/>
  <c r="Z64" i="3" s="1"/>
  <c r="AP63" i="3"/>
  <c r="AO63" i="3"/>
  <c r="AL63" i="3"/>
  <c r="AH63" i="3"/>
  <c r="AG63" i="3"/>
  <c r="AF63" i="3"/>
  <c r="AD63" i="3"/>
  <c r="AC63" i="3"/>
  <c r="AB63" i="3"/>
  <c r="AN63" i="3" s="1"/>
  <c r="AA63" i="3"/>
  <c r="Y63" i="3"/>
  <c r="X63" i="3"/>
  <c r="N63" i="3"/>
  <c r="W63" i="3" s="1"/>
  <c r="Z63" i="3" s="1"/>
  <c r="AD62" i="3"/>
  <c r="AC62" i="3"/>
  <c r="AB62" i="3"/>
  <c r="AN62" i="3" s="1"/>
  <c r="AA62" i="3"/>
  <c r="AP60" i="3"/>
  <c r="AO60" i="3"/>
  <c r="AL60" i="3"/>
  <c r="AH60" i="3"/>
  <c r="AG60" i="3"/>
  <c r="AF60" i="3"/>
  <c r="W60" i="3"/>
  <c r="AD60" i="3"/>
  <c r="AC60" i="3"/>
  <c r="AE60" i="3" s="1"/>
  <c r="AB60" i="3"/>
  <c r="AN60" i="3" s="1"/>
  <c r="AA60" i="3"/>
  <c r="Y60" i="3"/>
  <c r="X60" i="3"/>
  <c r="AP59" i="3"/>
  <c r="AO59" i="3"/>
  <c r="AL59" i="3"/>
  <c r="AH59" i="3"/>
  <c r="AG59" i="3"/>
  <c r="AF59" i="3"/>
  <c r="AD59" i="3"/>
  <c r="AC59" i="3"/>
  <c r="AB59" i="3"/>
  <c r="AN59" i="3" s="1"/>
  <c r="AA59" i="3"/>
  <c r="Y59" i="3"/>
  <c r="X59" i="3"/>
  <c r="AP58" i="3"/>
  <c r="AO58" i="3"/>
  <c r="AL58" i="3"/>
  <c r="AH58" i="3"/>
  <c r="AG58" i="3"/>
  <c r="AF58" i="3"/>
  <c r="AD58" i="3"/>
  <c r="P58" i="3"/>
  <c r="W58" i="3" s="1"/>
  <c r="AC58" i="3"/>
  <c r="AB58" i="3"/>
  <c r="AN58" i="3" s="1"/>
  <c r="Y58" i="3"/>
  <c r="X58" i="3"/>
  <c r="AP57" i="3"/>
  <c r="AO57" i="3"/>
  <c r="AL57" i="3"/>
  <c r="AH57" i="3"/>
  <c r="AG57" i="3"/>
  <c r="AF57" i="3"/>
  <c r="AD57" i="3"/>
  <c r="AC57" i="3"/>
  <c r="AE57" i="3" s="1"/>
  <c r="AB57" i="3"/>
  <c r="AN57" i="3" s="1"/>
  <c r="AA57" i="3"/>
  <c r="Y57" i="3"/>
  <c r="X57" i="3"/>
  <c r="W57" i="3"/>
  <c r="Z57" i="3" s="1"/>
  <c r="AP56" i="3"/>
  <c r="AO56" i="3"/>
  <c r="AL56" i="3"/>
  <c r="AH56" i="3"/>
  <c r="AD232" i="3"/>
  <c r="AC232" i="3"/>
  <c r="AP215" i="3"/>
  <c r="AO215" i="3"/>
  <c r="AG56" i="3"/>
  <c r="AF56" i="3"/>
  <c r="AD56" i="3"/>
  <c r="AC56" i="3"/>
  <c r="AB56" i="3"/>
  <c r="AN56" i="3" s="1"/>
  <c r="AA56" i="3"/>
  <c r="Y56" i="3"/>
  <c r="X56" i="3"/>
  <c r="W59" i="3"/>
  <c r="W56" i="3"/>
  <c r="AP55" i="3"/>
  <c r="AO55" i="3"/>
  <c r="AL55" i="3"/>
  <c r="AH55" i="3"/>
  <c r="AG55" i="3"/>
  <c r="AF55" i="3"/>
  <c r="AD55" i="3"/>
  <c r="AC55" i="3"/>
  <c r="AB55" i="3"/>
  <c r="AN55" i="3" s="1"/>
  <c r="AA55" i="3"/>
  <c r="Y55" i="3"/>
  <c r="X55" i="3"/>
  <c r="W55" i="3"/>
  <c r="Z55" i="3" s="1"/>
  <c r="AP54" i="3"/>
  <c r="AO54" i="3"/>
  <c r="AL54" i="3"/>
  <c r="AH54" i="3"/>
  <c r="AG54" i="3"/>
  <c r="AF54" i="3"/>
  <c r="AD54" i="3"/>
  <c r="AC54" i="3"/>
  <c r="AE54" i="3" s="1"/>
  <c r="AB54" i="3"/>
  <c r="AA54" i="3"/>
  <c r="Y54" i="3"/>
  <c r="X54" i="3"/>
  <c r="W54" i="3"/>
  <c r="Z54" i="3" s="1"/>
  <c r="N54" i="3"/>
  <c r="AP53" i="3"/>
  <c r="AO53" i="3"/>
  <c r="AL53" i="3"/>
  <c r="AH53" i="3"/>
  <c r="AG53" i="3"/>
  <c r="AF53" i="3"/>
  <c r="AD53" i="3"/>
  <c r="AC53" i="3"/>
  <c r="AE53" i="3" s="1"/>
  <c r="AB53" i="3"/>
  <c r="AA53" i="3"/>
  <c r="Y53" i="3"/>
  <c r="X53" i="3"/>
  <c r="W53" i="3"/>
  <c r="Z53" i="3" s="1"/>
  <c r="AP52" i="3"/>
  <c r="AO52" i="3"/>
  <c r="AE52" i="3"/>
  <c r="AB52" i="3"/>
  <c r="AA52" i="3"/>
  <c r="Y52" i="3"/>
  <c r="X52" i="3"/>
  <c r="W52" i="3"/>
  <c r="Z52" i="3" s="1"/>
  <c r="Y51" i="3"/>
  <c r="X51" i="3"/>
  <c r="AD50" i="3"/>
  <c r="AC50" i="3"/>
  <c r="Y50" i="3"/>
  <c r="X50" i="3"/>
  <c r="AP49" i="3"/>
  <c r="AO49" i="3"/>
  <c r="AL49" i="3"/>
  <c r="AH49" i="3"/>
  <c r="AG49" i="3"/>
  <c r="AF49" i="3"/>
  <c r="AD49" i="3"/>
  <c r="AC49" i="3"/>
  <c r="AB49" i="3"/>
  <c r="AA49" i="3"/>
  <c r="Y49" i="3"/>
  <c r="X49" i="3"/>
  <c r="AL48" i="3"/>
  <c r="AH48" i="3"/>
  <c r="AG48" i="3"/>
  <c r="AF48" i="3"/>
  <c r="AD48" i="3"/>
  <c r="AC48" i="3"/>
  <c r="Y48" i="3"/>
  <c r="X48" i="3"/>
  <c r="AP47" i="3"/>
  <c r="AO47" i="3"/>
  <c r="AL47" i="3"/>
  <c r="AH47" i="3"/>
  <c r="AG47" i="3"/>
  <c r="AF47" i="3"/>
  <c r="AD47" i="3"/>
  <c r="AC47" i="3"/>
  <c r="AB47" i="3"/>
  <c r="AN47" i="3" s="1"/>
  <c r="AA47" i="3"/>
  <c r="Y47" i="3"/>
  <c r="N47" i="3"/>
  <c r="W47" i="3" s="1"/>
  <c r="M47" i="3"/>
  <c r="X47" i="3"/>
  <c r="W48" i="3"/>
  <c r="Z48" i="3" s="1"/>
  <c r="W49" i="3"/>
  <c r="W50" i="3"/>
  <c r="W51" i="3"/>
  <c r="AP45" i="3"/>
  <c r="AO45" i="3"/>
  <c r="AL45" i="3"/>
  <c r="AH45" i="3"/>
  <c r="AP265" i="3"/>
  <c r="AO265" i="3"/>
  <c r="AG216" i="3"/>
  <c r="AF216" i="3"/>
  <c r="AL112" i="3"/>
  <c r="AH112" i="3"/>
  <c r="AG112" i="3"/>
  <c r="AF112" i="3"/>
  <c r="AB265" i="3"/>
  <c r="AA265" i="3"/>
  <c r="AB287" i="3"/>
  <c r="AA287" i="3"/>
  <c r="AD215" i="3"/>
  <c r="AP280" i="3"/>
  <c r="AO280" i="3"/>
  <c r="AL280" i="3"/>
  <c r="AH280" i="3"/>
  <c r="AG280" i="3"/>
  <c r="AF280" i="3"/>
  <c r="AL165" i="3"/>
  <c r="AG165" i="3"/>
  <c r="AF165" i="3"/>
  <c r="AL151" i="3"/>
  <c r="AH151" i="3"/>
  <c r="AG224" i="3"/>
  <c r="AF224" i="3"/>
  <c r="AL224" i="3"/>
  <c r="AK224" i="3"/>
  <c r="AJ224" i="3"/>
  <c r="AP224" i="3"/>
  <c r="AO224" i="3"/>
  <c r="AH224" i="3"/>
  <c r="AL148" i="3"/>
  <c r="AK148" i="3"/>
  <c r="AJ148" i="3"/>
  <c r="AD286" i="3"/>
  <c r="AC286" i="3"/>
  <c r="AD197" i="3"/>
  <c r="AC197" i="3"/>
  <c r="AD118" i="3"/>
  <c r="AE118" i="3" s="1"/>
  <c r="AC118" i="3"/>
  <c r="AD224" i="3"/>
  <c r="AC224" i="3"/>
  <c r="AB185" i="3"/>
  <c r="AA185" i="3"/>
  <c r="AB215" i="3"/>
  <c r="AA215" i="3"/>
  <c r="AG45" i="3"/>
  <c r="AF45" i="3"/>
  <c r="AD45" i="3"/>
  <c r="AB45" i="3"/>
  <c r="AN45" i="3" s="1"/>
  <c r="AQ45" i="3" s="1"/>
  <c r="AA45" i="3"/>
  <c r="AC45" i="3"/>
  <c r="Y45" i="3"/>
  <c r="X45" i="3"/>
  <c r="P45" i="3"/>
  <c r="W45" i="3" s="1"/>
  <c r="Z45" i="3" s="1"/>
  <c r="AP44" i="3"/>
  <c r="AO44" i="3"/>
  <c r="AL44" i="3"/>
  <c r="AH44" i="3"/>
  <c r="AG44" i="3"/>
  <c r="AF44" i="3"/>
  <c r="AG65" i="3"/>
  <c r="AF65" i="3"/>
  <c r="AL61" i="3"/>
  <c r="AG61" i="3"/>
  <c r="AF61" i="3"/>
  <c r="AH61" i="3"/>
  <c r="AP61" i="3"/>
  <c r="AO61" i="3"/>
  <c r="AD61" i="3"/>
  <c r="AC61" i="3"/>
  <c r="AE61" i="3" s="1"/>
  <c r="AB61" i="3"/>
  <c r="AN61" i="3" s="1"/>
  <c r="AA61" i="3"/>
  <c r="Y61" i="3"/>
  <c r="X61" i="3"/>
  <c r="W61" i="3"/>
  <c r="Z61" i="3" s="1"/>
  <c r="AL128" i="3"/>
  <c r="AH128" i="3"/>
  <c r="AG128" i="3"/>
  <c r="AF128" i="3"/>
  <c r="AB245" i="3"/>
  <c r="AA245" i="3"/>
  <c r="AD76" i="3"/>
  <c r="AC76" i="3"/>
  <c r="AL229" i="3"/>
  <c r="AH229" i="3"/>
  <c r="AG229" i="3"/>
  <c r="AF229" i="3"/>
  <c r="AL202" i="3"/>
  <c r="AH202" i="3"/>
  <c r="AL201" i="3"/>
  <c r="AH201" i="3"/>
  <c r="AG201" i="3"/>
  <c r="AF201" i="3"/>
  <c r="AD221" i="3"/>
  <c r="AC221" i="3"/>
  <c r="AD187" i="3"/>
  <c r="AC187" i="3"/>
  <c r="AD285" i="3"/>
  <c r="AC285" i="3"/>
  <c r="AL74" i="3"/>
  <c r="AH74" i="3"/>
  <c r="AG74" i="3"/>
  <c r="AF74" i="3"/>
  <c r="AP285" i="3"/>
  <c r="AO285" i="3"/>
  <c r="AN81" i="3"/>
  <c r="AQ81" i="3" s="1"/>
  <c r="AB76" i="3"/>
  <c r="AN76" i="3" s="1"/>
  <c r="AQ76" i="3" s="1"/>
  <c r="AA76" i="3"/>
  <c r="N76" i="3"/>
  <c r="AL125" i="3"/>
  <c r="AH125" i="3"/>
  <c r="AG125" i="3"/>
  <c r="AF125" i="3"/>
  <c r="AD44" i="3"/>
  <c r="AC44" i="3"/>
  <c r="Y44" i="3"/>
  <c r="X44" i="3"/>
  <c r="P44" i="3"/>
  <c r="W44" i="3" s="1"/>
  <c r="Z44" i="3" s="1"/>
  <c r="AP43" i="3"/>
  <c r="AO43" i="3"/>
  <c r="AL43" i="3"/>
  <c r="AH43" i="3"/>
  <c r="AG43" i="3"/>
  <c r="AF43" i="3"/>
  <c r="N43" i="3"/>
  <c r="W43" i="3" s="1"/>
  <c r="AD43" i="3"/>
  <c r="AC43" i="3"/>
  <c r="AB43" i="3"/>
  <c r="AN43" i="3" s="1"/>
  <c r="AA43" i="3"/>
  <c r="Y43" i="3"/>
  <c r="X43" i="3"/>
  <c r="AP42" i="3"/>
  <c r="AO42" i="3"/>
  <c r="AL42" i="3"/>
  <c r="AH42" i="3"/>
  <c r="AG42" i="3"/>
  <c r="AF42" i="3"/>
  <c r="AD42" i="3"/>
  <c r="AC42" i="3"/>
  <c r="AB42" i="3"/>
  <c r="AN42" i="3" s="1"/>
  <c r="AA42" i="3"/>
  <c r="Y42" i="3"/>
  <c r="X42" i="3"/>
  <c r="N42" i="3"/>
  <c r="AE42" i="3" s="1"/>
  <c r="AP41" i="3"/>
  <c r="AO41" i="3"/>
  <c r="AL41" i="3"/>
  <c r="AH41" i="3"/>
  <c r="AG41" i="3"/>
  <c r="AF41" i="3"/>
  <c r="AD41" i="3"/>
  <c r="AE41" i="3" s="1"/>
  <c r="AC41" i="3"/>
  <c r="AB41" i="3"/>
  <c r="AN41" i="3" s="1"/>
  <c r="AQ41" i="3" s="1"/>
  <c r="AA41" i="3"/>
  <c r="Y41" i="3"/>
  <c r="X41" i="3"/>
  <c r="W41" i="3"/>
  <c r="Z41" i="3" s="1"/>
  <c r="AD163" i="3"/>
  <c r="AD65" i="3"/>
  <c r="AC65" i="3"/>
  <c r="AD113" i="3"/>
  <c r="AE113" i="3" s="1"/>
  <c r="AC113" i="3"/>
  <c r="AL269" i="3"/>
  <c r="AH269" i="3"/>
  <c r="AD280" i="3"/>
  <c r="AC280" i="3"/>
  <c r="AP221" i="3"/>
  <c r="AO221" i="3"/>
  <c r="AG148" i="3"/>
  <c r="AF148" i="3"/>
  <c r="AB221" i="3"/>
  <c r="AA221" i="3"/>
  <c r="AL200" i="3"/>
  <c r="AH200" i="3"/>
  <c r="AG200" i="3"/>
  <c r="AF200" i="3"/>
  <c r="AL235" i="3"/>
  <c r="AH235" i="3"/>
  <c r="AG235" i="3"/>
  <c r="AF235" i="3"/>
  <c r="AL195" i="3"/>
  <c r="AH195" i="3"/>
  <c r="AG195" i="3"/>
  <c r="AF195" i="3"/>
  <c r="AO197" i="3"/>
  <c r="AP197" i="3"/>
  <c r="AP118" i="3"/>
  <c r="AO118" i="3"/>
  <c r="AB197" i="3"/>
  <c r="AA197" i="3"/>
  <c r="AB118" i="3"/>
  <c r="AN118" i="3" s="1"/>
  <c r="AQ118" i="3" s="1"/>
  <c r="AA118" i="3"/>
  <c r="AD92" i="3"/>
  <c r="AC92" i="3"/>
  <c r="AH148" i="3"/>
  <c r="AP143" i="3"/>
  <c r="AO143" i="3"/>
  <c r="AL143" i="3"/>
  <c r="AH143" i="3"/>
  <c r="AG143" i="3"/>
  <c r="AF143" i="3"/>
  <c r="AD143" i="3"/>
  <c r="AC143" i="3"/>
  <c r="AE143" i="3" s="1"/>
  <c r="AB143" i="3"/>
  <c r="AN143" i="3" s="1"/>
  <c r="AQ143" i="3" s="1"/>
  <c r="AA143" i="3"/>
  <c r="Y143" i="3"/>
  <c r="X143" i="3"/>
  <c r="AP142" i="3"/>
  <c r="AO142" i="3"/>
  <c r="AL142" i="3"/>
  <c r="AH142" i="3"/>
  <c r="AG142" i="3"/>
  <c r="AF142" i="3"/>
  <c r="AD142" i="3"/>
  <c r="AC142" i="3"/>
  <c r="AE142" i="3" s="1"/>
  <c r="AB142" i="3"/>
  <c r="AN142" i="3" s="1"/>
  <c r="AQ142" i="3" s="1"/>
  <c r="AA142" i="3"/>
  <c r="Y142" i="3"/>
  <c r="X142" i="3"/>
  <c r="AL141" i="3"/>
  <c r="AH141" i="3"/>
  <c r="AG141" i="3"/>
  <c r="AF141" i="3"/>
  <c r="AD141" i="3"/>
  <c r="AC141" i="3"/>
  <c r="AE141" i="3" s="1"/>
  <c r="Y141" i="3"/>
  <c r="X141" i="3"/>
  <c r="AP140" i="3"/>
  <c r="AO140" i="3"/>
  <c r="AL140" i="3"/>
  <c r="AH140" i="3"/>
  <c r="AG140" i="3"/>
  <c r="AF140" i="3"/>
  <c r="AD140" i="3"/>
  <c r="AC140" i="3"/>
  <c r="AE140" i="3" s="1"/>
  <c r="AB140" i="3"/>
  <c r="AN140" i="3" s="1"/>
  <c r="AA140" i="3"/>
  <c r="Y140" i="3"/>
  <c r="W140" i="3"/>
  <c r="Z140" i="3" s="1"/>
  <c r="W141" i="3"/>
  <c r="W142" i="3"/>
  <c r="W143" i="3"/>
  <c r="S140" i="3"/>
  <c r="AP138" i="3"/>
  <c r="AO138" i="3"/>
  <c r="AP229" i="3"/>
  <c r="AO229" i="3"/>
  <c r="AL225" i="3"/>
  <c r="AH225" i="3"/>
  <c r="AL8" i="3"/>
  <c r="AH8" i="3"/>
  <c r="AD74" i="3"/>
  <c r="AC74" i="3"/>
  <c r="AL138" i="3"/>
  <c r="AH138" i="3"/>
  <c r="AG138" i="3"/>
  <c r="AF138" i="3"/>
  <c r="AD138" i="3"/>
  <c r="AC138" i="3"/>
  <c r="AB138" i="3"/>
  <c r="AA138" i="3"/>
  <c r="Y138" i="3"/>
  <c r="X138" i="3"/>
  <c r="S138" i="3"/>
  <c r="N138" i="3"/>
  <c r="AP137" i="3"/>
  <c r="AO137" i="3"/>
  <c r="AL137" i="3"/>
  <c r="AH137" i="3"/>
  <c r="AG137" i="3"/>
  <c r="AF137" i="3"/>
  <c r="AD137" i="3"/>
  <c r="AC137" i="3"/>
  <c r="AB137" i="3"/>
  <c r="AA137" i="3"/>
  <c r="Y137" i="3"/>
  <c r="X137" i="3"/>
  <c r="AP136" i="3"/>
  <c r="AO136" i="3"/>
  <c r="AD136" i="3"/>
  <c r="AC136" i="3"/>
  <c r="AB136" i="3"/>
  <c r="AA136" i="3"/>
  <c r="Y136" i="3"/>
  <c r="X136" i="3"/>
  <c r="AP135" i="3"/>
  <c r="AO135" i="3"/>
  <c r="AL135" i="3"/>
  <c r="AH135" i="3"/>
  <c r="AG135" i="3"/>
  <c r="AF135" i="3"/>
  <c r="AD135" i="3"/>
  <c r="AC135" i="3"/>
  <c r="AB135" i="3"/>
  <c r="AA135" i="3"/>
  <c r="Y135" i="3"/>
  <c r="X135" i="3"/>
  <c r="AP134" i="3"/>
  <c r="AO134" i="3"/>
  <c r="AL134" i="3"/>
  <c r="AH134" i="3"/>
  <c r="AG134" i="3"/>
  <c r="AF134" i="3"/>
  <c r="AD134" i="3"/>
  <c r="AC134" i="3"/>
  <c r="AB134" i="3"/>
  <c r="AA134" i="3"/>
  <c r="Y134" i="3"/>
  <c r="X134" i="3"/>
  <c r="AP133" i="3"/>
  <c r="AO133" i="3"/>
  <c r="AD133" i="3"/>
  <c r="AC133" i="3"/>
  <c r="AB133" i="3"/>
  <c r="AA133" i="3"/>
  <c r="Y133" i="3"/>
  <c r="X133" i="3"/>
  <c r="N133" i="3"/>
  <c r="AP132" i="3"/>
  <c r="AO132" i="3"/>
  <c r="AD132" i="3"/>
  <c r="AC132" i="3"/>
  <c r="AB132" i="3"/>
  <c r="AA132" i="3"/>
  <c r="Y132" i="3"/>
  <c r="W132" i="3"/>
  <c r="X132" i="3"/>
  <c r="N132" i="3"/>
  <c r="AP131" i="3"/>
  <c r="AO131" i="3"/>
  <c r="AL131" i="3"/>
  <c r="AH131" i="3"/>
  <c r="AP191" i="3"/>
  <c r="AO191" i="3"/>
  <c r="AH191" i="3"/>
  <c r="AB288" i="3"/>
  <c r="AN288" i="3" s="1"/>
  <c r="AQ288" i="3" s="1"/>
  <c r="AA288" i="3"/>
  <c r="W288" i="3"/>
  <c r="Z288" i="3" s="1"/>
  <c r="AG131" i="3"/>
  <c r="AF131" i="3"/>
  <c r="AD131" i="3"/>
  <c r="AC131" i="3"/>
  <c r="AB131" i="3"/>
  <c r="AA131" i="3"/>
  <c r="Y131" i="3"/>
  <c r="X131" i="3"/>
  <c r="AL130" i="3"/>
  <c r="AH130" i="3"/>
  <c r="AG130" i="3"/>
  <c r="AF130" i="3"/>
  <c r="AD130" i="3"/>
  <c r="AC130" i="3"/>
  <c r="AB130" i="3"/>
  <c r="AA130" i="3"/>
  <c r="Y130" i="3"/>
  <c r="X130" i="3"/>
  <c r="AP129" i="3"/>
  <c r="AO129" i="3"/>
  <c r="AL129" i="3"/>
  <c r="AH129" i="3"/>
  <c r="AG129" i="3"/>
  <c r="AF129" i="3"/>
  <c r="AD129" i="3"/>
  <c r="AC129" i="3"/>
  <c r="AB129" i="3"/>
  <c r="AA129" i="3"/>
  <c r="Y129" i="3"/>
  <c r="X129" i="3"/>
  <c r="N129" i="3"/>
  <c r="AP127" i="3"/>
  <c r="AO127" i="3"/>
  <c r="AL127" i="3"/>
  <c r="AH127" i="3"/>
  <c r="AG127" i="3"/>
  <c r="AF127" i="3"/>
  <c r="AD127" i="3"/>
  <c r="AE127" i="3" s="1"/>
  <c r="AC127" i="3"/>
  <c r="AB127" i="3"/>
  <c r="AN127" i="3" s="1"/>
  <c r="AQ127" i="3" s="1"/>
  <c r="AA127" i="3"/>
  <c r="Y127" i="3"/>
  <c r="X127" i="3"/>
  <c r="AP126" i="3"/>
  <c r="AO126" i="3"/>
  <c r="AL126" i="3"/>
  <c r="AH126" i="3"/>
  <c r="AG126" i="3"/>
  <c r="AF126" i="3"/>
  <c r="AD126" i="3"/>
  <c r="AE126" i="3" s="1"/>
  <c r="AC126" i="3"/>
  <c r="AB126" i="3"/>
  <c r="AN126" i="3" s="1"/>
  <c r="AQ126" i="3" s="1"/>
  <c r="AA126" i="3"/>
  <c r="Y126" i="3"/>
  <c r="X126" i="3"/>
  <c r="AP125" i="3"/>
  <c r="AO125" i="3"/>
  <c r="AD125" i="3"/>
  <c r="AE125" i="3" s="1"/>
  <c r="AC125" i="3"/>
  <c r="AB125" i="3"/>
  <c r="AN125" i="3" s="1"/>
  <c r="AQ125" i="3" s="1"/>
  <c r="AA125" i="3"/>
  <c r="Y125" i="3"/>
  <c r="X125" i="3"/>
  <c r="AP124" i="3"/>
  <c r="AO124" i="3"/>
  <c r="AL124" i="3"/>
  <c r="AH124" i="3"/>
  <c r="AG124" i="3"/>
  <c r="AF124" i="3"/>
  <c r="AD124" i="3"/>
  <c r="AE124" i="3" s="1"/>
  <c r="AC124" i="3"/>
  <c r="AN124" i="3"/>
  <c r="AQ124" i="3" s="1"/>
  <c r="Y124" i="3"/>
  <c r="X124" i="3"/>
  <c r="AP123" i="3"/>
  <c r="AO123" i="3"/>
  <c r="AL123" i="3"/>
  <c r="AH123" i="3"/>
  <c r="AG123" i="3"/>
  <c r="AF123" i="3"/>
  <c r="Y123" i="3"/>
  <c r="X123" i="3"/>
  <c r="AP122" i="3"/>
  <c r="AO122" i="3"/>
  <c r="AL122" i="3"/>
  <c r="AH122" i="3"/>
  <c r="AJ122" i="3"/>
  <c r="AG122" i="3"/>
  <c r="AF122" i="3"/>
  <c r="AD122" i="3"/>
  <c r="AC122" i="3"/>
  <c r="AB122" i="3"/>
  <c r="AN122" i="3" s="1"/>
  <c r="AA122" i="3"/>
  <c r="N122" i="3"/>
  <c r="W122" i="3" s="1"/>
  <c r="Y122" i="3"/>
  <c r="X122" i="3"/>
  <c r="AL121" i="3"/>
  <c r="AH121" i="3"/>
  <c r="AG121" i="3"/>
  <c r="AF121" i="3"/>
  <c r="AD121" i="3"/>
  <c r="AC121" i="3"/>
  <c r="AB121" i="3"/>
  <c r="AN121" i="3" s="1"/>
  <c r="AQ121" i="3" s="1"/>
  <c r="AA121" i="3"/>
  <c r="N121" i="3"/>
  <c r="Y121" i="3"/>
  <c r="W121" i="3"/>
  <c r="X121" i="3"/>
  <c r="AP120" i="3"/>
  <c r="AO120" i="3"/>
  <c r="AL120" i="3"/>
  <c r="AH120" i="3"/>
  <c r="AG120" i="3"/>
  <c r="AF120" i="3"/>
  <c r="AD120" i="3"/>
  <c r="AE120" i="3" s="1"/>
  <c r="AC120" i="3"/>
  <c r="AB120" i="3"/>
  <c r="AN120" i="3" s="1"/>
  <c r="AQ120" i="3" s="1"/>
  <c r="AA120" i="3"/>
  <c r="AP92" i="3"/>
  <c r="AO92" i="3"/>
  <c r="AB195" i="3"/>
  <c r="AA195" i="3"/>
  <c r="AB92" i="3"/>
  <c r="AA92" i="3"/>
  <c r="Y120" i="3"/>
  <c r="X120" i="3"/>
  <c r="AP119" i="3"/>
  <c r="AO119" i="3"/>
  <c r="AD119" i="3"/>
  <c r="AB119" i="3"/>
  <c r="AN119" i="3" s="1"/>
  <c r="AA119" i="3"/>
  <c r="W120" i="3"/>
  <c r="W123" i="3"/>
  <c r="W124" i="3"/>
  <c r="W125" i="3"/>
  <c r="W126" i="3"/>
  <c r="W127" i="3"/>
  <c r="Z127" i="3" s="1"/>
  <c r="P119" i="3"/>
  <c r="W119" i="3" s="1"/>
  <c r="Y119" i="3"/>
  <c r="X119" i="3"/>
  <c r="N119" i="3"/>
  <c r="M119" i="3"/>
  <c r="Z123" i="3"/>
  <c r="W118" i="3"/>
  <c r="Z118" i="3" s="1"/>
  <c r="AP117" i="3"/>
  <c r="AO117" i="3"/>
  <c r="AL117" i="3"/>
  <c r="AH117" i="3"/>
  <c r="AG117" i="3"/>
  <c r="AF117" i="3"/>
  <c r="AD117" i="3"/>
  <c r="AE117" i="3" s="1"/>
  <c r="AC117" i="3"/>
  <c r="AB117" i="3"/>
  <c r="AN117" i="3" s="1"/>
  <c r="AQ117" i="3" s="1"/>
  <c r="AA117" i="3"/>
  <c r="Y117" i="3"/>
  <c r="X117" i="3"/>
  <c r="W117" i="3"/>
  <c r="Z117" i="3" s="1"/>
  <c r="AP116" i="3"/>
  <c r="AO116" i="3"/>
  <c r="AL116" i="3"/>
  <c r="AH116" i="3"/>
  <c r="AG116" i="3"/>
  <c r="AF116" i="3"/>
  <c r="AD116" i="3"/>
  <c r="AE116" i="3" s="1"/>
  <c r="AC116" i="3"/>
  <c r="AB116" i="3"/>
  <c r="AN116" i="3" s="1"/>
  <c r="AQ116" i="3" s="1"/>
  <c r="AA116" i="3"/>
  <c r="Y116" i="3"/>
  <c r="X116" i="3"/>
  <c r="W116" i="3"/>
  <c r="AP114" i="3"/>
  <c r="AO114" i="3"/>
  <c r="AL114" i="3"/>
  <c r="AH114" i="3"/>
  <c r="AG114" i="3"/>
  <c r="AF114" i="3"/>
  <c r="AD114" i="3"/>
  <c r="AC114" i="3"/>
  <c r="AB114" i="3"/>
  <c r="AN114" i="3" s="1"/>
  <c r="AQ114" i="3" s="1"/>
  <c r="AA114" i="3"/>
  <c r="Y114" i="3"/>
  <c r="X114" i="3"/>
  <c r="N114" i="3"/>
  <c r="W114" i="3" s="1"/>
  <c r="AP113" i="3"/>
  <c r="AO113" i="3"/>
  <c r="AB113" i="3"/>
  <c r="AN113" i="3" s="1"/>
  <c r="AA113" i="3"/>
  <c r="W113" i="3"/>
  <c r="Y113" i="3"/>
  <c r="X113" i="3"/>
  <c r="AP112" i="3"/>
  <c r="AO112" i="3"/>
  <c r="AN111" i="3"/>
  <c r="AQ111" i="3" s="1"/>
  <c r="AD112" i="3"/>
  <c r="AE112" i="3" s="1"/>
  <c r="AC112" i="3"/>
  <c r="AB112" i="3"/>
  <c r="AN112" i="3" s="1"/>
  <c r="AA112" i="3"/>
  <c r="Y112" i="3"/>
  <c r="W112" i="3"/>
  <c r="X112" i="3"/>
  <c r="AP110" i="3"/>
  <c r="AO110" i="3"/>
  <c r="AL110" i="3"/>
  <c r="AH110" i="3"/>
  <c r="AG110" i="3"/>
  <c r="AF110" i="3"/>
  <c r="AN110" i="3"/>
  <c r="AQ110" i="3" s="1"/>
  <c r="Y110" i="3"/>
  <c r="X110" i="3"/>
  <c r="AP109" i="3"/>
  <c r="AO109" i="3"/>
  <c r="AL109" i="3"/>
  <c r="AH109" i="3"/>
  <c r="AG109" i="3"/>
  <c r="AF109" i="3"/>
  <c r="AD109" i="3"/>
  <c r="AE109" i="3" s="1"/>
  <c r="AC109" i="3"/>
  <c r="AB109" i="3"/>
  <c r="AN109" i="3" s="1"/>
  <c r="AQ109" i="3" s="1"/>
  <c r="AA109" i="3"/>
  <c r="Y109" i="3"/>
  <c r="X109" i="3"/>
  <c r="AP108" i="3"/>
  <c r="AO108" i="3"/>
  <c r="AL108" i="3"/>
  <c r="AH108" i="3"/>
  <c r="AG108" i="3"/>
  <c r="AF108" i="3"/>
  <c r="AD108" i="3"/>
  <c r="AE108" i="3" s="1"/>
  <c r="AC108" i="3"/>
  <c r="AB108" i="3"/>
  <c r="AN108" i="3" s="1"/>
  <c r="AQ108" i="3" s="1"/>
  <c r="AA108" i="3"/>
  <c r="Y108" i="3"/>
  <c r="X108" i="3"/>
  <c r="AP107" i="3"/>
  <c r="AO107" i="3"/>
  <c r="AL107" i="3"/>
  <c r="AG107" i="3"/>
  <c r="AF107" i="3"/>
  <c r="AE110" i="3"/>
  <c r="AE111" i="3"/>
  <c r="AD107" i="3"/>
  <c r="AE107" i="3" s="1"/>
  <c r="AC107" i="3"/>
  <c r="AB107" i="3"/>
  <c r="AN107" i="3" s="1"/>
  <c r="AA107" i="3"/>
  <c r="Y107" i="3"/>
  <c r="X107" i="3"/>
  <c r="W108" i="3"/>
  <c r="W109" i="3"/>
  <c r="W110" i="3"/>
  <c r="W111" i="3"/>
  <c r="Z111" i="3" s="1"/>
  <c r="W107" i="3"/>
  <c r="AP260" i="3"/>
  <c r="AO260" i="3"/>
  <c r="AB260" i="3"/>
  <c r="AA260" i="3"/>
  <c r="AG23" i="3"/>
  <c r="AF23" i="3"/>
  <c r="AG97" i="3"/>
  <c r="AF97" i="3"/>
  <c r="AL23" i="3"/>
  <c r="AH23" i="3"/>
  <c r="AB286" i="3"/>
  <c r="AA286" i="3"/>
  <c r="AD242" i="3"/>
  <c r="AC242" i="3"/>
  <c r="AD105" i="3"/>
  <c r="AC105" i="3"/>
  <c r="AB105" i="3"/>
  <c r="AA105" i="3"/>
  <c r="Y105" i="3"/>
  <c r="X105" i="3"/>
  <c r="N105" i="3"/>
  <c r="AP104" i="3"/>
  <c r="AO104" i="3"/>
  <c r="AL104" i="3"/>
  <c r="AH104" i="3"/>
  <c r="AG104" i="3"/>
  <c r="AF104" i="3"/>
  <c r="AD104" i="3"/>
  <c r="AC104" i="3"/>
  <c r="AB104" i="3"/>
  <c r="AA104" i="3"/>
  <c r="N104" i="3"/>
  <c r="Y104" i="3"/>
  <c r="X104" i="3"/>
  <c r="AP103" i="3"/>
  <c r="AO103" i="3"/>
  <c r="AL103" i="3"/>
  <c r="AH103" i="3"/>
  <c r="AG103" i="3"/>
  <c r="AF103" i="3"/>
  <c r="AD103" i="3"/>
  <c r="AE103" i="3" s="1"/>
  <c r="AC103" i="3"/>
  <c r="AB103" i="3"/>
  <c r="AA103" i="3"/>
  <c r="Y103" i="3"/>
  <c r="X103" i="3"/>
  <c r="W103" i="3"/>
  <c r="N103" i="3"/>
  <c r="AP102" i="3"/>
  <c r="AO102" i="3"/>
  <c r="AL102" i="3"/>
  <c r="AH102" i="3"/>
  <c r="AG102" i="3"/>
  <c r="AF102" i="3"/>
  <c r="AD102" i="3"/>
  <c r="AC102" i="3"/>
  <c r="AB102" i="3"/>
  <c r="AA102" i="3"/>
  <c r="Y102" i="3"/>
  <c r="X102" i="3"/>
  <c r="N102" i="3"/>
  <c r="AN115" i="3"/>
  <c r="AQ115" i="3" s="1"/>
  <c r="Z115" i="3"/>
  <c r="AP83" i="3"/>
  <c r="AO83" i="3"/>
  <c r="AD83" i="3"/>
  <c r="AC83" i="3"/>
  <c r="AB83" i="3"/>
  <c r="AN83" i="3" s="1"/>
  <c r="AQ83" i="3" s="1"/>
  <c r="AA83" i="3"/>
  <c r="Y83" i="3"/>
  <c r="X83" i="3"/>
  <c r="P83" i="3"/>
  <c r="W83" i="3" s="1"/>
  <c r="Z83" i="3" s="1"/>
  <c r="M83" i="3"/>
  <c r="Z114" i="3" l="1"/>
  <c r="Z116" i="3"/>
  <c r="AQ30" i="3"/>
  <c r="AQ122" i="3"/>
  <c r="Z113" i="3"/>
  <c r="AE82" i="3"/>
  <c r="Z80" i="3"/>
  <c r="AQ79" i="3"/>
  <c r="AQ68" i="3"/>
  <c r="Z72" i="3"/>
  <c r="Z70" i="3"/>
  <c r="Z50" i="3"/>
  <c r="AE73" i="3"/>
  <c r="Z85" i="3"/>
  <c r="AQ112" i="3"/>
  <c r="AQ123" i="3"/>
  <c r="AQ44" i="3"/>
  <c r="Z56" i="3"/>
  <c r="Z81" i="3"/>
  <c r="Z125" i="3"/>
  <c r="Z59" i="3"/>
  <c r="Z79" i="3"/>
  <c r="Z120" i="3"/>
  <c r="AQ119" i="3"/>
  <c r="AE30" i="3"/>
  <c r="AE76" i="3"/>
  <c r="Z82" i="3"/>
  <c r="AQ84" i="3"/>
  <c r="AE2" i="3"/>
  <c r="AE3" i="3"/>
  <c r="Z121" i="3"/>
  <c r="Z124" i="3"/>
  <c r="Z126" i="3"/>
  <c r="AQ140" i="3"/>
  <c r="Z60" i="3"/>
  <c r="AE58" i="3"/>
  <c r="Z58" i="3"/>
  <c r="W76" i="3"/>
  <c r="Z76" i="3" s="1"/>
  <c r="Z51" i="3"/>
  <c r="Z49" i="3"/>
  <c r="AQ43" i="3"/>
  <c r="Z132" i="3"/>
  <c r="Z47" i="3"/>
  <c r="AE47" i="3"/>
  <c r="Z43" i="3"/>
  <c r="AE44" i="3"/>
  <c r="AE45" i="3"/>
  <c r="Z143" i="3"/>
  <c r="Z141" i="3"/>
  <c r="W42" i="3"/>
  <c r="Z42" i="3" s="1"/>
  <c r="AQ42" i="3"/>
  <c r="AE43" i="3"/>
  <c r="Z119" i="3"/>
  <c r="Z142" i="3"/>
  <c r="Z110" i="3"/>
  <c r="Z108" i="3"/>
  <c r="AQ107" i="3"/>
  <c r="Z122" i="3"/>
  <c r="AE121" i="3"/>
  <c r="AE122" i="3"/>
  <c r="AE119" i="3"/>
  <c r="Z112" i="3"/>
  <c r="AQ113" i="3"/>
  <c r="AE114" i="3"/>
  <c r="Z107" i="3"/>
  <c r="Z109" i="3"/>
  <c r="AE115" i="3"/>
  <c r="AE83" i="3"/>
  <c r="AG155" i="3" l="1"/>
  <c r="AF155" i="3"/>
  <c r="AP23" i="3"/>
  <c r="AO23" i="3"/>
  <c r="AN10" i="3"/>
  <c r="AQ10" i="3" s="1"/>
  <c r="AN15" i="3"/>
  <c r="AQ15" i="3" s="1"/>
  <c r="AN17" i="3"/>
  <c r="AQ17" i="3" s="1"/>
  <c r="AN18" i="3"/>
  <c r="AQ18" i="3" s="1"/>
  <c r="AN19" i="3"/>
  <c r="AQ19" i="3" s="1"/>
  <c r="AN21" i="3"/>
  <c r="AQ21" i="3" s="1"/>
  <c r="AN22" i="3"/>
  <c r="AQ22" i="3" s="1"/>
  <c r="AD23" i="3"/>
  <c r="AB23" i="3"/>
  <c r="AN23" i="3" s="1"/>
  <c r="AQ23" i="3" s="1"/>
  <c r="AA23" i="3"/>
  <c r="AC23" i="3"/>
  <c r="P23" i="3"/>
  <c r="W23" i="3" s="1"/>
  <c r="Z23" i="3" s="1"/>
  <c r="W21" i="3"/>
  <c r="Z21" i="3" s="1"/>
  <c r="W22" i="3"/>
  <c r="Z22" i="3" s="1"/>
  <c r="N23" i="3"/>
  <c r="AB285" i="3"/>
  <c r="AA285" i="3"/>
  <c r="AD128" i="3"/>
  <c r="AC128" i="3"/>
  <c r="AN129" i="3"/>
  <c r="AQ129" i="3" s="1"/>
  <c r="AN130" i="3"/>
  <c r="AQ130" i="3" s="1"/>
  <c r="AN131" i="3"/>
  <c r="AQ131" i="3" s="1"/>
  <c r="AN132" i="3"/>
  <c r="AQ132" i="3" s="1"/>
  <c r="AN133" i="3"/>
  <c r="AQ133" i="3" s="1"/>
  <c r="AN134" i="3"/>
  <c r="AQ134" i="3" s="1"/>
  <c r="AN135" i="3"/>
  <c r="AQ135" i="3" s="1"/>
  <c r="AN136" i="3"/>
  <c r="AQ136" i="3" s="1"/>
  <c r="AN137" i="3"/>
  <c r="AQ137" i="3" s="1"/>
  <c r="AN138" i="3"/>
  <c r="AQ138" i="3" s="1"/>
  <c r="AE129" i="3"/>
  <c r="AE130" i="3"/>
  <c r="AE131" i="3"/>
  <c r="AE132" i="3"/>
  <c r="AE133" i="3"/>
  <c r="AE134" i="3"/>
  <c r="AE135" i="3"/>
  <c r="AE136" i="3"/>
  <c r="AE137" i="3"/>
  <c r="AE138" i="3"/>
  <c r="AD139" i="3"/>
  <c r="AC139" i="3"/>
  <c r="AB139" i="3"/>
  <c r="AN139" i="3" s="1"/>
  <c r="AA139" i="3"/>
  <c r="Z129" i="3"/>
  <c r="W130" i="3"/>
  <c r="Z130" i="3" s="1"/>
  <c r="W131" i="3"/>
  <c r="Z131" i="3" s="1"/>
  <c r="W133" i="3"/>
  <c r="Z133" i="3" s="1"/>
  <c r="W134" i="3"/>
  <c r="Z134" i="3" s="1"/>
  <c r="W135" i="3"/>
  <c r="Z135" i="3" s="1"/>
  <c r="W136" i="3"/>
  <c r="Z136" i="3" s="1"/>
  <c r="W137" i="3"/>
  <c r="Z137" i="3" s="1"/>
  <c r="W138" i="3"/>
  <c r="Z138" i="3" s="1"/>
  <c r="S139" i="3"/>
  <c r="P139" i="3"/>
  <c r="W139" i="3"/>
  <c r="AD270" i="3"/>
  <c r="AC270" i="3"/>
  <c r="AP101" i="3"/>
  <c r="AO101" i="3"/>
  <c r="AL101" i="3"/>
  <c r="AH101" i="3"/>
  <c r="AG101" i="3"/>
  <c r="AF101" i="3"/>
  <c r="AD101" i="3"/>
  <c r="AE101" i="3" s="1"/>
  <c r="AC101" i="3"/>
  <c r="AB101" i="3"/>
  <c r="AN101" i="3" s="1"/>
  <c r="AQ101" i="3" s="1"/>
  <c r="AA101" i="3"/>
  <c r="Y101" i="3"/>
  <c r="X101" i="3"/>
  <c r="AP100" i="3"/>
  <c r="AO100" i="3"/>
  <c r="AI100" i="3"/>
  <c r="AJ100" i="3"/>
  <c r="AK100" i="3"/>
  <c r="AD100" i="3"/>
  <c r="AE100" i="3" s="1"/>
  <c r="AB100" i="3"/>
  <c r="AN100" i="3" s="1"/>
  <c r="AQ100" i="3" s="1"/>
  <c r="AC100" i="3"/>
  <c r="AA100" i="3"/>
  <c r="Y100" i="3"/>
  <c r="W100" i="3"/>
  <c r="X100" i="3"/>
  <c r="AP99" i="3"/>
  <c r="AO99" i="3"/>
  <c r="AD99" i="3"/>
  <c r="AE99" i="3" s="1"/>
  <c r="AC99" i="3"/>
  <c r="AB99" i="3"/>
  <c r="AN99" i="3" s="1"/>
  <c r="AQ99" i="3" s="1"/>
  <c r="AA99" i="3"/>
  <c r="Y99" i="3"/>
  <c r="W99" i="3"/>
  <c r="X99" i="3"/>
  <c r="N99" i="3"/>
  <c r="AP98" i="3"/>
  <c r="AO98" i="3"/>
  <c r="AL98" i="3"/>
  <c r="AH98" i="3"/>
  <c r="AG98" i="3"/>
  <c r="AF98" i="3"/>
  <c r="AD98" i="3"/>
  <c r="AE98" i="3" s="1"/>
  <c r="AC98" i="3"/>
  <c r="AB98" i="3"/>
  <c r="AN98" i="3" s="1"/>
  <c r="AQ98" i="3" s="1"/>
  <c r="AA98" i="3"/>
  <c r="Y98" i="3"/>
  <c r="X98" i="3"/>
  <c r="AP97" i="3"/>
  <c r="AO97" i="3"/>
  <c r="N97" i="3"/>
  <c r="W97" i="3" s="1"/>
  <c r="AD97" i="3"/>
  <c r="AC97" i="3"/>
  <c r="AB97" i="3"/>
  <c r="AN97" i="3" s="1"/>
  <c r="AA97" i="3"/>
  <c r="Y97" i="3"/>
  <c r="X97" i="3"/>
  <c r="S97" i="3"/>
  <c r="AP96" i="3"/>
  <c r="AO96" i="3"/>
  <c r="AL96" i="3"/>
  <c r="AH96" i="3"/>
  <c r="AG96" i="3"/>
  <c r="AF96" i="3"/>
  <c r="AD96" i="3"/>
  <c r="AE96" i="3" s="1"/>
  <c r="AC96" i="3"/>
  <c r="AB96" i="3"/>
  <c r="AN96" i="3" s="1"/>
  <c r="AQ96" i="3" s="1"/>
  <c r="AA96" i="3"/>
  <c r="Y96" i="3"/>
  <c r="X96" i="3"/>
  <c r="AL95" i="3"/>
  <c r="AD95" i="3"/>
  <c r="AE95" i="3" s="1"/>
  <c r="AC95" i="3"/>
  <c r="AH95" i="3"/>
  <c r="AG95" i="3"/>
  <c r="AF95" i="3"/>
  <c r="AB95" i="3"/>
  <c r="AN95" i="3" s="1"/>
  <c r="AQ95" i="3" s="1"/>
  <c r="AA95" i="3"/>
  <c r="Y95" i="3"/>
  <c r="W95" i="3"/>
  <c r="X95" i="3"/>
  <c r="AP94" i="3"/>
  <c r="AO94" i="3"/>
  <c r="AL94" i="3"/>
  <c r="AH94" i="3"/>
  <c r="AG94" i="3"/>
  <c r="AF94" i="3"/>
  <c r="AD94" i="3"/>
  <c r="AE94" i="3" s="1"/>
  <c r="AC94" i="3"/>
  <c r="AB94" i="3"/>
  <c r="AN94" i="3" s="1"/>
  <c r="AQ94" i="3" s="1"/>
  <c r="AA94" i="3"/>
  <c r="Y94" i="3"/>
  <c r="X94" i="3"/>
  <c r="AE93" i="3"/>
  <c r="AN93" i="3"/>
  <c r="AQ93" i="3" s="1"/>
  <c r="Y93" i="3"/>
  <c r="X93" i="3"/>
  <c r="W93" i="3"/>
  <c r="Z93" i="3" s="1"/>
  <c r="AE92" i="3"/>
  <c r="AN92" i="3"/>
  <c r="AQ92" i="3" s="1"/>
  <c r="W91" i="3"/>
  <c r="W92" i="3"/>
  <c r="Z92" i="3" s="1"/>
  <c r="AP91" i="3"/>
  <c r="AO91" i="3"/>
  <c r="AL91" i="3"/>
  <c r="AH91" i="3"/>
  <c r="AG91" i="3"/>
  <c r="AF91" i="3"/>
  <c r="AD91" i="3"/>
  <c r="AE91" i="3" s="1"/>
  <c r="AC91" i="3"/>
  <c r="AB91" i="3"/>
  <c r="AN91" i="3" s="1"/>
  <c r="AQ91" i="3" s="1"/>
  <c r="AA91" i="3"/>
  <c r="AL90" i="3"/>
  <c r="AH90" i="3"/>
  <c r="AG90" i="3"/>
  <c r="AF90" i="3"/>
  <c r="AD90" i="3"/>
  <c r="AE90" i="3" s="1"/>
  <c r="AC90" i="3"/>
  <c r="AB90" i="3"/>
  <c r="AN90" i="3" s="1"/>
  <c r="AQ90" i="3" s="1"/>
  <c r="AA90" i="3"/>
  <c r="Y90" i="3"/>
  <c r="X90" i="3"/>
  <c r="AP89" i="3"/>
  <c r="AO89" i="3"/>
  <c r="AL89" i="3"/>
  <c r="AG89" i="3"/>
  <c r="AF89" i="3"/>
  <c r="AH89" i="3"/>
  <c r="AD89" i="3"/>
  <c r="AC89" i="3"/>
  <c r="AB89" i="3"/>
  <c r="AN89" i="3" s="1"/>
  <c r="AQ89" i="3" s="1"/>
  <c r="AA89" i="3"/>
  <c r="Y89" i="3"/>
  <c r="N89" i="3"/>
  <c r="X89" i="3"/>
  <c r="AP88" i="3"/>
  <c r="AO88" i="3"/>
  <c r="AL88" i="3"/>
  <c r="AH88" i="3"/>
  <c r="AG88" i="3"/>
  <c r="AF88" i="3"/>
  <c r="AE102" i="3"/>
  <c r="AE104" i="3"/>
  <c r="AE105" i="3"/>
  <c r="AD88" i="3"/>
  <c r="AE88" i="3" s="1"/>
  <c r="AC88" i="3"/>
  <c r="AB88" i="3"/>
  <c r="AN88" i="3" s="1"/>
  <c r="AA88" i="3"/>
  <c r="Y88" i="3"/>
  <c r="X88" i="3"/>
  <c r="W88" i="3"/>
  <c r="W90" i="3"/>
  <c r="W94" i="3"/>
  <c r="W96" i="3"/>
  <c r="W98" i="3"/>
  <c r="W101" i="3"/>
  <c r="W102" i="3"/>
  <c r="Z102" i="3" s="1"/>
  <c r="Z103" i="3"/>
  <c r="W104" i="3"/>
  <c r="Z104" i="3" s="1"/>
  <c r="W105" i="3"/>
  <c r="Z105" i="3" s="1"/>
  <c r="AP87" i="3"/>
  <c r="AO87" i="3"/>
  <c r="AL87" i="3"/>
  <c r="AH87" i="3"/>
  <c r="AG87" i="3"/>
  <c r="AF87" i="3"/>
  <c r="AD87" i="3"/>
  <c r="AC87" i="3"/>
  <c r="AB87" i="3"/>
  <c r="AN87" i="3" s="1"/>
  <c r="AQ87" i="3" s="1"/>
  <c r="AA87" i="3"/>
  <c r="Y87" i="3"/>
  <c r="X87" i="3"/>
  <c r="N87" i="3"/>
  <c r="W87" i="3" s="1"/>
  <c r="AN86" i="3"/>
  <c r="AQ86" i="3" s="1"/>
  <c r="AN102" i="3"/>
  <c r="AQ102" i="3" s="1"/>
  <c r="AN103" i="3"/>
  <c r="AQ103" i="3" s="1"/>
  <c r="AN104" i="3"/>
  <c r="AQ104" i="3" s="1"/>
  <c r="AN105" i="3"/>
  <c r="AQ105" i="3" s="1"/>
  <c r="P86" i="3"/>
  <c r="W86" i="3" s="1"/>
  <c r="Z86" i="3" s="1"/>
  <c r="N86" i="3"/>
  <c r="AP199" i="3"/>
  <c r="AO199" i="3"/>
  <c r="AL199" i="3"/>
  <c r="AH199" i="3"/>
  <c r="AG199" i="3"/>
  <c r="AF199" i="3"/>
  <c r="AD199" i="3"/>
  <c r="AC199" i="3"/>
  <c r="AE199" i="3" s="1"/>
  <c r="AB199" i="3"/>
  <c r="AN199" i="3" s="1"/>
  <c r="AQ199" i="3" s="1"/>
  <c r="AA199" i="3"/>
  <c r="Y199" i="3"/>
  <c r="X199" i="3"/>
  <c r="AD198" i="3"/>
  <c r="AC198" i="3"/>
  <c r="AE198" i="3" s="1"/>
  <c r="AN198" i="3"/>
  <c r="AQ198" i="3" s="1"/>
  <c r="Y198" i="3"/>
  <c r="X198" i="3"/>
  <c r="AE197" i="3"/>
  <c r="AP196" i="3"/>
  <c r="AO196" i="3"/>
  <c r="AN197" i="3"/>
  <c r="AQ197" i="3" s="1"/>
  <c r="AL196" i="3"/>
  <c r="AH196" i="3"/>
  <c r="AG196" i="3"/>
  <c r="AF196" i="3"/>
  <c r="AD196" i="3"/>
  <c r="AC196" i="3"/>
  <c r="AE196" i="3" s="1"/>
  <c r="AB196" i="3"/>
  <c r="AN196" i="3" s="1"/>
  <c r="AA196" i="3"/>
  <c r="Y196" i="3"/>
  <c r="X196" i="3"/>
  <c r="AC195" i="3"/>
  <c r="N195" i="3"/>
  <c r="AP194" i="3"/>
  <c r="AB194" i="3"/>
  <c r="AN194" i="3" s="1"/>
  <c r="AA194" i="3"/>
  <c r="AO194" i="3"/>
  <c r="AQ255" i="3"/>
  <c r="AQ256" i="3"/>
  <c r="AQ47" i="3"/>
  <c r="AQ55" i="3"/>
  <c r="AQ56" i="3"/>
  <c r="AQ57" i="3"/>
  <c r="AQ58" i="3"/>
  <c r="AQ59" i="3"/>
  <c r="AQ60" i="3"/>
  <c r="AQ61" i="3"/>
  <c r="AQ62" i="3"/>
  <c r="AQ63" i="3"/>
  <c r="AQ64" i="3"/>
  <c r="AQ181" i="3"/>
  <c r="AQ190" i="3"/>
  <c r="AP205" i="3"/>
  <c r="AO205" i="3"/>
  <c r="AB205" i="3"/>
  <c r="AA205" i="3"/>
  <c r="AL20" i="3"/>
  <c r="AH20" i="3"/>
  <c r="AG20" i="3"/>
  <c r="AF20" i="3"/>
  <c r="AE10" i="3"/>
  <c r="AE15" i="3"/>
  <c r="AD20" i="3"/>
  <c r="AC20" i="3"/>
  <c r="AB20" i="3"/>
  <c r="AN20" i="3" s="1"/>
  <c r="AQ20" i="3" s="1"/>
  <c r="AA20" i="3"/>
  <c r="Y20" i="3"/>
  <c r="X20" i="3"/>
  <c r="Z15" i="3"/>
  <c r="W17" i="3"/>
  <c r="Z17" i="3" s="1"/>
  <c r="Z18" i="3"/>
  <c r="W19" i="3"/>
  <c r="Z19" i="3" s="1"/>
  <c r="N20" i="3"/>
  <c r="W20" i="3" s="1"/>
  <c r="Z20" i="3" s="1"/>
  <c r="AE56" i="3"/>
  <c r="AE59" i="3"/>
  <c r="AE62" i="3"/>
  <c r="AE63" i="3"/>
  <c r="AE64" i="3"/>
  <c r="AB65" i="3"/>
  <c r="AN65" i="3" s="1"/>
  <c r="AQ65" i="3" s="1"/>
  <c r="AA65" i="3"/>
  <c r="Y65" i="3"/>
  <c r="X65" i="3"/>
  <c r="P65" i="3"/>
  <c r="N65" i="3"/>
  <c r="AD148" i="3"/>
  <c r="AC148" i="3"/>
  <c r="AD267" i="3"/>
  <c r="AC267" i="3"/>
  <c r="AD250" i="3"/>
  <c r="AC250" i="3"/>
  <c r="AD229" i="3"/>
  <c r="AC229" i="3"/>
  <c r="AE194" i="3"/>
  <c r="Y194" i="3"/>
  <c r="X194" i="3"/>
  <c r="AP193" i="3"/>
  <c r="AO193" i="3"/>
  <c r="AL193" i="3"/>
  <c r="AH193" i="3"/>
  <c r="AG193" i="3"/>
  <c r="AF193" i="3"/>
  <c r="AD193" i="3"/>
  <c r="AC193" i="3"/>
  <c r="AE193" i="3" s="1"/>
  <c r="AB193" i="3"/>
  <c r="AN193" i="3" s="1"/>
  <c r="AQ193" i="3" s="1"/>
  <c r="AA193" i="3"/>
  <c r="Y193" i="3"/>
  <c r="X193" i="3"/>
  <c r="AP192" i="3"/>
  <c r="AO192" i="3"/>
  <c r="AL192" i="3"/>
  <c r="AH192" i="3"/>
  <c r="AG192" i="3"/>
  <c r="AF192" i="3"/>
  <c r="AD192" i="3"/>
  <c r="AC192" i="3"/>
  <c r="AE192" i="3" s="1"/>
  <c r="AB192" i="3"/>
  <c r="AN192" i="3" s="1"/>
  <c r="AA192" i="3"/>
  <c r="Y192" i="3"/>
  <c r="X192" i="3"/>
  <c r="W192" i="3"/>
  <c r="W193" i="3"/>
  <c r="W194" i="3"/>
  <c r="W196" i="3"/>
  <c r="Z196" i="3" s="1"/>
  <c r="W198" i="3"/>
  <c r="Z198" i="3" s="1"/>
  <c r="W199" i="3"/>
  <c r="Z199" i="3" s="1"/>
  <c r="AB190" i="3"/>
  <c r="AA190" i="3"/>
  <c r="AL190" i="3"/>
  <c r="AH190" i="3"/>
  <c r="AG190" i="3"/>
  <c r="AF190" i="3"/>
  <c r="AD190" i="3"/>
  <c r="AC190" i="3"/>
  <c r="AE190" i="3" s="1"/>
  <c r="Y190" i="3"/>
  <c r="X190" i="3"/>
  <c r="AP189" i="3"/>
  <c r="AO189" i="3"/>
  <c r="AL189" i="3"/>
  <c r="AH189" i="3"/>
  <c r="AG189" i="3"/>
  <c r="AF189" i="3"/>
  <c r="AD189" i="3"/>
  <c r="AC189" i="3"/>
  <c r="AE189" i="3" s="1"/>
  <c r="AB189" i="3"/>
  <c r="AN189" i="3" s="1"/>
  <c r="AQ189" i="3" s="1"/>
  <c r="AA189" i="3"/>
  <c r="Y189" i="3"/>
  <c r="X189" i="3"/>
  <c r="AP188" i="3"/>
  <c r="AO188" i="3"/>
  <c r="AL188" i="3"/>
  <c r="AH188" i="3"/>
  <c r="AK188" i="3"/>
  <c r="AJ188" i="3"/>
  <c r="AG188" i="3"/>
  <c r="AF188" i="3"/>
  <c r="AD188" i="3"/>
  <c r="AC188" i="3"/>
  <c r="AE188" i="3" s="1"/>
  <c r="AB188" i="3"/>
  <c r="AN188" i="3" s="1"/>
  <c r="AQ188" i="3" s="1"/>
  <c r="AA188" i="3"/>
  <c r="W188" i="3"/>
  <c r="Z188" i="3" s="1"/>
  <c r="W189" i="3"/>
  <c r="W190" i="3"/>
  <c r="AN185" i="3"/>
  <c r="AQ185" i="3" s="1"/>
  <c r="W185" i="3"/>
  <c r="Z185" i="3" s="1"/>
  <c r="AP184" i="3"/>
  <c r="AO184" i="3"/>
  <c r="AL184" i="3"/>
  <c r="AH184" i="3"/>
  <c r="AG184" i="3"/>
  <c r="AF184" i="3"/>
  <c r="AD184" i="3"/>
  <c r="AC184" i="3"/>
  <c r="AE184" i="3" s="1"/>
  <c r="AB184" i="3"/>
  <c r="AN184" i="3" s="1"/>
  <c r="AQ184" i="3" s="1"/>
  <c r="AA184" i="3"/>
  <c r="Y184" i="3"/>
  <c r="X184" i="3"/>
  <c r="AL183" i="3"/>
  <c r="AH183" i="3"/>
  <c r="AG183" i="3"/>
  <c r="AF183" i="3"/>
  <c r="AD183" i="3"/>
  <c r="AC183" i="3"/>
  <c r="AE183" i="3" s="1"/>
  <c r="AB183" i="3"/>
  <c r="AN183" i="3" s="1"/>
  <c r="AQ183" i="3" s="1"/>
  <c r="AA183" i="3"/>
  <c r="Y183" i="3"/>
  <c r="X183" i="3"/>
  <c r="AP182" i="3"/>
  <c r="AO182" i="3"/>
  <c r="AL182" i="3"/>
  <c r="AH182" i="3"/>
  <c r="AG182" i="3"/>
  <c r="AF182" i="3"/>
  <c r="AD182" i="3"/>
  <c r="AC182" i="3"/>
  <c r="AE182" i="3" s="1"/>
  <c r="AB182" i="3"/>
  <c r="AN182" i="3" s="1"/>
  <c r="AQ182" i="3" s="1"/>
  <c r="AA182" i="3"/>
  <c r="Y182" i="3"/>
  <c r="X182" i="3"/>
  <c r="AD181" i="3"/>
  <c r="AC181" i="3"/>
  <c r="AE181" i="3" s="1"/>
  <c r="AB181" i="3"/>
  <c r="AA181" i="3"/>
  <c r="Y181" i="3"/>
  <c r="X181" i="3"/>
  <c r="AB180" i="3"/>
  <c r="AN180" i="3" s="1"/>
  <c r="AQ180" i="3" s="1"/>
  <c r="AA180" i="3"/>
  <c r="Y180" i="3"/>
  <c r="X180" i="3"/>
  <c r="M180" i="3"/>
  <c r="AE180" i="3" s="1"/>
  <c r="AP179" i="3"/>
  <c r="AO179" i="3"/>
  <c r="AL179" i="3"/>
  <c r="AH179" i="3"/>
  <c r="AG179" i="3"/>
  <c r="AF179" i="3"/>
  <c r="AD179" i="3"/>
  <c r="AC179" i="3"/>
  <c r="AE179" i="3" s="1"/>
  <c r="AB179" i="3"/>
  <c r="AN179" i="3" s="1"/>
  <c r="AQ179" i="3" s="1"/>
  <c r="AA179" i="3"/>
  <c r="Y179" i="3"/>
  <c r="X179" i="3"/>
  <c r="AP178" i="3"/>
  <c r="AO178" i="3"/>
  <c r="AL178" i="3"/>
  <c r="AH178" i="3"/>
  <c r="AG178" i="3"/>
  <c r="AF178" i="3"/>
  <c r="AD178" i="3"/>
  <c r="AC178" i="3"/>
  <c r="AE178" i="3" s="1"/>
  <c r="AB178" i="3"/>
  <c r="AN178" i="3" s="1"/>
  <c r="AQ178" i="3" s="1"/>
  <c r="AA178" i="3"/>
  <c r="Y178" i="3"/>
  <c r="X178" i="3"/>
  <c r="W178" i="3"/>
  <c r="W179" i="3"/>
  <c r="W181" i="3"/>
  <c r="W182" i="3"/>
  <c r="Z182" i="3" s="1"/>
  <c r="W183" i="3"/>
  <c r="Z183" i="3" s="1"/>
  <c r="W184" i="3"/>
  <c r="Z184" i="3" s="1"/>
  <c r="AP177" i="3"/>
  <c r="AO177" i="3"/>
  <c r="AL177" i="3"/>
  <c r="AH177" i="3"/>
  <c r="AG177" i="3"/>
  <c r="AF177" i="3"/>
  <c r="AD177" i="3"/>
  <c r="AC177" i="3"/>
  <c r="AB177" i="3"/>
  <c r="AN177" i="3" s="1"/>
  <c r="AA177" i="3"/>
  <c r="X177" i="3"/>
  <c r="N177" i="3"/>
  <c r="W177" i="3" s="1"/>
  <c r="AP106" i="3"/>
  <c r="AO106" i="3"/>
  <c r="AD106" i="3"/>
  <c r="AC106" i="3"/>
  <c r="AB106" i="3"/>
  <c r="AN106" i="3" s="1"/>
  <c r="AQ106" i="3" s="1"/>
  <c r="AA106" i="3"/>
  <c r="Y106" i="3"/>
  <c r="X106" i="3"/>
  <c r="P106" i="3"/>
  <c r="W106" i="3" s="1"/>
  <c r="N106" i="3"/>
  <c r="AP176" i="3"/>
  <c r="AO176" i="3"/>
  <c r="AL176" i="3"/>
  <c r="AH176" i="3"/>
  <c r="AG176" i="3"/>
  <c r="AF176" i="3"/>
  <c r="AD176" i="3"/>
  <c r="AC176" i="3"/>
  <c r="AB176" i="3"/>
  <c r="AN176" i="3" s="1"/>
  <c r="AQ176" i="3" s="1"/>
  <c r="AA176" i="3"/>
  <c r="Y176" i="3"/>
  <c r="X176" i="3"/>
  <c r="N176" i="3"/>
  <c r="AP175" i="3"/>
  <c r="AO175" i="3"/>
  <c r="AL175" i="3"/>
  <c r="AH175" i="3"/>
  <c r="AG175" i="3"/>
  <c r="AF175" i="3"/>
  <c r="AD175" i="3"/>
  <c r="AC175" i="3"/>
  <c r="AE175" i="3" s="1"/>
  <c r="AB175" i="3"/>
  <c r="AN175" i="3" s="1"/>
  <c r="AQ175" i="3" s="1"/>
  <c r="AA175" i="3"/>
  <c r="AP174" i="3"/>
  <c r="AO174" i="3"/>
  <c r="AL174" i="3"/>
  <c r="AH174" i="3"/>
  <c r="AG174" i="3"/>
  <c r="AF174" i="3"/>
  <c r="AD174" i="3"/>
  <c r="AC174" i="3"/>
  <c r="AE174" i="3" s="1"/>
  <c r="AB174" i="3"/>
  <c r="AN174" i="3" s="1"/>
  <c r="AQ174" i="3" s="1"/>
  <c r="AA174" i="3"/>
  <c r="Y174" i="3"/>
  <c r="X174" i="3"/>
  <c r="AP173" i="3"/>
  <c r="AO173" i="3"/>
  <c r="AL173" i="3"/>
  <c r="AH173" i="3"/>
  <c r="AG173" i="3"/>
  <c r="AF173" i="3"/>
  <c r="AD173" i="3"/>
  <c r="AC173" i="3"/>
  <c r="AE173" i="3" s="1"/>
  <c r="AB173" i="3"/>
  <c r="AN173" i="3" s="1"/>
  <c r="AQ173" i="3" s="1"/>
  <c r="AA173" i="3"/>
  <c r="Y173" i="3"/>
  <c r="X173" i="3"/>
  <c r="AP172" i="3"/>
  <c r="AO172" i="3"/>
  <c r="AL172" i="3"/>
  <c r="AH172" i="3"/>
  <c r="AG172" i="3"/>
  <c r="AF172" i="3"/>
  <c r="AD172" i="3"/>
  <c r="AC172" i="3"/>
  <c r="AE172" i="3" s="1"/>
  <c r="AB172" i="3"/>
  <c r="AN172" i="3" s="1"/>
  <c r="AQ172" i="3" s="1"/>
  <c r="AA172" i="3"/>
  <c r="Y172" i="3"/>
  <c r="X172" i="3"/>
  <c r="AP171" i="3"/>
  <c r="AO171" i="3"/>
  <c r="AL171" i="3"/>
  <c r="AH171" i="3"/>
  <c r="AG171" i="3"/>
  <c r="AF171" i="3"/>
  <c r="AD171" i="3"/>
  <c r="AC171" i="3"/>
  <c r="AB171" i="3"/>
  <c r="AN171" i="3" s="1"/>
  <c r="AQ171" i="3" s="1"/>
  <c r="AA171" i="3"/>
  <c r="Y171" i="3"/>
  <c r="X171" i="3"/>
  <c r="N171" i="3"/>
  <c r="W171" i="3" s="1"/>
  <c r="AP170" i="3"/>
  <c r="AO170" i="3"/>
  <c r="AL170" i="3"/>
  <c r="AH170" i="3"/>
  <c r="AG170" i="3"/>
  <c r="AF170" i="3"/>
  <c r="AD170" i="3"/>
  <c r="AC170" i="3"/>
  <c r="AB170" i="3"/>
  <c r="AN170" i="3" s="1"/>
  <c r="AQ170" i="3" s="1"/>
  <c r="AA170" i="3"/>
  <c r="Y170" i="3"/>
  <c r="X170" i="3"/>
  <c r="N170" i="3"/>
  <c r="AP169" i="3"/>
  <c r="AO169" i="3"/>
  <c r="AL169" i="3"/>
  <c r="AH169" i="3"/>
  <c r="AG169" i="3"/>
  <c r="AF169" i="3"/>
  <c r="AD169" i="3"/>
  <c r="AC169" i="3"/>
  <c r="AE169" i="3" s="1"/>
  <c r="AB169" i="3"/>
  <c r="AA169" i="3"/>
  <c r="Y169" i="3"/>
  <c r="X169" i="3"/>
  <c r="AG168" i="3"/>
  <c r="AF168" i="3"/>
  <c r="AD168" i="3"/>
  <c r="AC168" i="3"/>
  <c r="AE168" i="3" s="1"/>
  <c r="AN168" i="3"/>
  <c r="Y168" i="3"/>
  <c r="X168" i="3"/>
  <c r="AP167" i="3"/>
  <c r="AO167" i="3"/>
  <c r="AL167" i="3"/>
  <c r="AH167" i="3"/>
  <c r="AG167" i="3"/>
  <c r="AF167" i="3"/>
  <c r="AD167" i="3"/>
  <c r="AC167" i="3"/>
  <c r="AB167" i="3"/>
  <c r="AN167" i="3" s="1"/>
  <c r="AQ167" i="3" s="1"/>
  <c r="AA167" i="3"/>
  <c r="Y167" i="3"/>
  <c r="N167" i="3"/>
  <c r="W167" i="3" s="1"/>
  <c r="X167" i="3"/>
  <c r="AP166" i="3"/>
  <c r="AO166" i="3"/>
  <c r="AL166" i="3"/>
  <c r="AH166" i="3"/>
  <c r="AG166" i="3"/>
  <c r="AF166" i="3"/>
  <c r="AD166" i="3"/>
  <c r="AC166" i="3"/>
  <c r="AE166" i="3" s="1"/>
  <c r="AB166" i="3"/>
  <c r="AN166" i="3" s="1"/>
  <c r="AQ166" i="3" s="1"/>
  <c r="AA166" i="3"/>
  <c r="Y166" i="3"/>
  <c r="X166" i="3"/>
  <c r="AP165" i="3"/>
  <c r="AO165" i="3"/>
  <c r="AH165" i="3"/>
  <c r="AD165" i="3"/>
  <c r="AC165" i="3"/>
  <c r="AB280" i="3"/>
  <c r="AA280" i="3"/>
  <c r="AP148" i="3"/>
  <c r="AO148" i="3"/>
  <c r="AP74" i="3"/>
  <c r="AO74" i="3"/>
  <c r="AB74" i="3"/>
  <c r="AN74" i="3" s="1"/>
  <c r="AQ74" i="3" s="1"/>
  <c r="AA74" i="3"/>
  <c r="Y74" i="3"/>
  <c r="X74" i="3"/>
  <c r="P74" i="3"/>
  <c r="W74" i="3" s="1"/>
  <c r="Z74" i="3" s="1"/>
  <c r="N74" i="3"/>
  <c r="AK191" i="3"/>
  <c r="AD191" i="3"/>
  <c r="AC191" i="3"/>
  <c r="AB191" i="3"/>
  <c r="AN191" i="3" s="1"/>
  <c r="AQ191" i="3" s="1"/>
  <c r="AA191" i="3"/>
  <c r="Y191" i="3"/>
  <c r="X191" i="3"/>
  <c r="N191" i="3"/>
  <c r="AP200" i="3"/>
  <c r="AO200" i="3"/>
  <c r="AD200" i="3"/>
  <c r="AC200" i="3"/>
  <c r="AB200" i="3"/>
  <c r="AN200" i="3" s="1"/>
  <c r="AQ200" i="3" s="1"/>
  <c r="AA200" i="3"/>
  <c r="Y200" i="3"/>
  <c r="X200" i="3"/>
  <c r="W201" i="3"/>
  <c r="S200" i="3"/>
  <c r="N200" i="3"/>
  <c r="W200" i="3" s="1"/>
  <c r="Z200" i="3" s="1"/>
  <c r="AB165" i="3"/>
  <c r="AN165" i="3" s="1"/>
  <c r="AA165" i="3"/>
  <c r="Y165" i="3"/>
  <c r="X165" i="3"/>
  <c r="S165" i="3"/>
  <c r="N165" i="3"/>
  <c r="W165" i="3" s="1"/>
  <c r="AP164" i="3"/>
  <c r="AO164" i="3"/>
  <c r="AL164" i="3"/>
  <c r="AH164" i="3"/>
  <c r="AG164" i="3"/>
  <c r="AF164" i="3"/>
  <c r="AD164" i="3"/>
  <c r="AC164" i="3"/>
  <c r="AE164" i="3" s="1"/>
  <c r="AB164" i="3"/>
  <c r="AN164" i="3" s="1"/>
  <c r="AQ164" i="3" s="1"/>
  <c r="AA164" i="3"/>
  <c r="Y164" i="3"/>
  <c r="X164" i="3"/>
  <c r="AB163" i="3"/>
  <c r="AA163" i="3"/>
  <c r="Z163" i="3"/>
  <c r="N163" i="3"/>
  <c r="AL162" i="3"/>
  <c r="AH162" i="3"/>
  <c r="AG162" i="3"/>
  <c r="AF162" i="3"/>
  <c r="AD162" i="3"/>
  <c r="AC162" i="3"/>
  <c r="AE162" i="3" s="1"/>
  <c r="AB162" i="3"/>
  <c r="AN162" i="3" s="1"/>
  <c r="AA162" i="3"/>
  <c r="AE161" i="3"/>
  <c r="Y161" i="3"/>
  <c r="X161" i="3"/>
  <c r="W161" i="3"/>
  <c r="Z161" i="3" s="1"/>
  <c r="AP160" i="3"/>
  <c r="AO160" i="3"/>
  <c r="AL160" i="3"/>
  <c r="AH160" i="3"/>
  <c r="AG160" i="3"/>
  <c r="AF160" i="3"/>
  <c r="AD160" i="3"/>
  <c r="AC160" i="3"/>
  <c r="AE160" i="3" s="1"/>
  <c r="AB160" i="3"/>
  <c r="AN160" i="3" s="1"/>
  <c r="AQ160" i="3" s="1"/>
  <c r="AA160" i="3"/>
  <c r="Y160" i="3"/>
  <c r="X160" i="3"/>
  <c r="AD159" i="3"/>
  <c r="AC159" i="3"/>
  <c r="AE159" i="3" s="1"/>
  <c r="AN159" i="3"/>
  <c r="AQ159" i="3" s="1"/>
  <c r="W159" i="3"/>
  <c r="Z159" i="3" s="1"/>
  <c r="AP158" i="3"/>
  <c r="AO158" i="3"/>
  <c r="AN161" i="3"/>
  <c r="AQ161" i="3" s="1"/>
  <c r="AN163" i="3"/>
  <c r="AN169" i="3"/>
  <c r="AQ169" i="3" s="1"/>
  <c r="AL158" i="3"/>
  <c r="AH158" i="3"/>
  <c r="AG158" i="3"/>
  <c r="AF158" i="3"/>
  <c r="AD158" i="3"/>
  <c r="AC158" i="3"/>
  <c r="AE158" i="3" s="1"/>
  <c r="AN158" i="3"/>
  <c r="Y158" i="3"/>
  <c r="X158" i="3"/>
  <c r="AL157" i="3"/>
  <c r="AH157" i="3"/>
  <c r="AG157" i="3"/>
  <c r="AF157" i="3"/>
  <c r="AD157" i="3"/>
  <c r="AC157" i="3"/>
  <c r="AB157" i="3"/>
  <c r="AN157" i="3" s="1"/>
  <c r="AQ157" i="3" s="1"/>
  <c r="AA157" i="3"/>
  <c r="Y157" i="3"/>
  <c r="X157" i="3"/>
  <c r="N157" i="3"/>
  <c r="W157" i="3" s="1"/>
  <c r="AP156" i="3"/>
  <c r="AO156" i="3"/>
  <c r="AL156" i="3"/>
  <c r="AH156" i="3"/>
  <c r="AG156" i="3"/>
  <c r="AF156" i="3"/>
  <c r="AD156" i="3"/>
  <c r="AC156" i="3"/>
  <c r="AE156" i="3" s="1"/>
  <c r="AB156" i="3"/>
  <c r="AN156" i="3" s="1"/>
  <c r="AA156" i="3"/>
  <c r="Y156" i="3"/>
  <c r="X156" i="3"/>
  <c r="W156" i="3"/>
  <c r="W158" i="3"/>
  <c r="W160" i="3"/>
  <c r="W162" i="3"/>
  <c r="W164" i="3"/>
  <c r="W166" i="3"/>
  <c r="W168" i="3"/>
  <c r="W169" i="3"/>
  <c r="W172" i="3"/>
  <c r="W173" i="3"/>
  <c r="W174" i="3"/>
  <c r="W175" i="3"/>
  <c r="W176" i="3"/>
  <c r="AP154" i="3"/>
  <c r="AO154" i="3"/>
  <c r="AN153" i="3"/>
  <c r="AQ153" i="3" s="1"/>
  <c r="AL154" i="3"/>
  <c r="AH154" i="3"/>
  <c r="AG154" i="3"/>
  <c r="AF154" i="3"/>
  <c r="AD154" i="3"/>
  <c r="AC154" i="3"/>
  <c r="AE154" i="3" s="1"/>
  <c r="AB154" i="3"/>
  <c r="AN154" i="3" s="1"/>
  <c r="AA154" i="3"/>
  <c r="Y154" i="3"/>
  <c r="X154" i="3"/>
  <c r="AP152" i="3"/>
  <c r="AO152" i="3"/>
  <c r="AL152" i="3"/>
  <c r="AD152" i="3"/>
  <c r="AH152" i="3"/>
  <c r="AG152" i="3"/>
  <c r="AF152" i="3"/>
  <c r="AC152" i="3"/>
  <c r="AB152" i="3"/>
  <c r="AN152" i="3" s="1"/>
  <c r="AQ152" i="3" s="1"/>
  <c r="AA152" i="3"/>
  <c r="Y152" i="3"/>
  <c r="X152" i="3"/>
  <c r="N152" i="3"/>
  <c r="AP151" i="3"/>
  <c r="AO151" i="3"/>
  <c r="AG151" i="3"/>
  <c r="AF151" i="3"/>
  <c r="AD151" i="3"/>
  <c r="AC151" i="3"/>
  <c r="AE151" i="3" s="1"/>
  <c r="AB151" i="3"/>
  <c r="AN151" i="3" s="1"/>
  <c r="AA151" i="3"/>
  <c r="Y151" i="3"/>
  <c r="X151" i="3"/>
  <c r="AP150" i="3"/>
  <c r="AO150" i="3"/>
  <c r="AL150" i="3"/>
  <c r="AH150" i="3"/>
  <c r="AG150" i="3"/>
  <c r="AF150" i="3"/>
  <c r="AD150" i="3"/>
  <c r="AC150" i="3"/>
  <c r="AE150" i="3" s="1"/>
  <c r="AB150" i="3"/>
  <c r="AN150" i="3" s="1"/>
  <c r="AQ150" i="3" s="1"/>
  <c r="AA150" i="3"/>
  <c r="Y150" i="3"/>
  <c r="X150" i="3"/>
  <c r="AE153" i="3"/>
  <c r="AE149" i="3"/>
  <c r="AN149" i="3"/>
  <c r="Y149" i="3"/>
  <c r="X149" i="3"/>
  <c r="W149" i="3"/>
  <c r="W150" i="3"/>
  <c r="W151" i="3"/>
  <c r="W153" i="3"/>
  <c r="Z153" i="3" s="1"/>
  <c r="W154" i="3"/>
  <c r="AJ147" i="3"/>
  <c r="AK147" i="3"/>
  <c r="AN147" i="3"/>
  <c r="AQ147" i="3" s="1"/>
  <c r="N147" i="3"/>
  <c r="W147" i="3" s="1"/>
  <c r="AP146" i="3"/>
  <c r="AO146" i="3"/>
  <c r="AL146" i="3"/>
  <c r="AH146" i="3"/>
  <c r="AG146" i="3"/>
  <c r="AF146" i="3"/>
  <c r="AD146" i="3"/>
  <c r="AC146" i="3"/>
  <c r="AB146" i="3"/>
  <c r="AN146" i="3" s="1"/>
  <c r="AQ146" i="3" s="1"/>
  <c r="AA146" i="3"/>
  <c r="Y146" i="3"/>
  <c r="X146" i="3"/>
  <c r="M146" i="3"/>
  <c r="W146" i="3" s="1"/>
  <c r="AP145" i="3"/>
  <c r="AO145" i="3"/>
  <c r="AL145" i="3"/>
  <c r="AH145" i="3"/>
  <c r="AG145" i="3"/>
  <c r="AF145" i="3"/>
  <c r="AD145" i="3"/>
  <c r="AC145" i="3"/>
  <c r="AE145" i="3" s="1"/>
  <c r="AB145" i="3"/>
  <c r="AN145" i="3" s="1"/>
  <c r="AQ145" i="3" s="1"/>
  <c r="AA145" i="3"/>
  <c r="Y145" i="3"/>
  <c r="X145" i="3"/>
  <c r="W145" i="3"/>
  <c r="AP144" i="3"/>
  <c r="AO144" i="3"/>
  <c r="AD144" i="3"/>
  <c r="AC144" i="3"/>
  <c r="AB144" i="3"/>
  <c r="AN144" i="3" s="1"/>
  <c r="AQ144" i="3" s="1"/>
  <c r="AA144" i="3"/>
  <c r="Y144" i="3"/>
  <c r="X144" i="3"/>
  <c r="N144" i="3"/>
  <c r="W144" i="3" s="1"/>
  <c r="AP258" i="3"/>
  <c r="AO258" i="3"/>
  <c r="AL258" i="3"/>
  <c r="AG258" i="3"/>
  <c r="AF258" i="3"/>
  <c r="AD258" i="3"/>
  <c r="AC258" i="3"/>
  <c r="AE258" i="3" s="1"/>
  <c r="AB258" i="3"/>
  <c r="AN258" i="3" s="1"/>
  <c r="AA258" i="3"/>
  <c r="Y258" i="3"/>
  <c r="X258" i="3"/>
  <c r="W258" i="3"/>
  <c r="AP257" i="3"/>
  <c r="AO257" i="3"/>
  <c r="AL257" i="3"/>
  <c r="AH257" i="3"/>
  <c r="AG257" i="3"/>
  <c r="AF257" i="3"/>
  <c r="AD257" i="3"/>
  <c r="AC257" i="3"/>
  <c r="AE257" i="3" s="1"/>
  <c r="AB257" i="3"/>
  <c r="AN257" i="3" s="1"/>
  <c r="AQ257" i="3" s="1"/>
  <c r="AA257" i="3"/>
  <c r="W257" i="3"/>
  <c r="Z257" i="3" s="1"/>
  <c r="AL256" i="3"/>
  <c r="AH256" i="3"/>
  <c r="AG256" i="3"/>
  <c r="AF256" i="3"/>
  <c r="AD256" i="3"/>
  <c r="AC256" i="3"/>
  <c r="AE256" i="3" s="1"/>
  <c r="Z258" i="3"/>
  <c r="Y256" i="3"/>
  <c r="X256" i="3"/>
  <c r="W256" i="3"/>
  <c r="Z256" i="3" s="1"/>
  <c r="AP254" i="3"/>
  <c r="AO254" i="3"/>
  <c r="AD254" i="3"/>
  <c r="AC254" i="3"/>
  <c r="AE254" i="3" s="1"/>
  <c r="AB254" i="3"/>
  <c r="AN254" i="3" s="1"/>
  <c r="AQ254" i="3" s="1"/>
  <c r="AA254" i="3"/>
  <c r="W254" i="3"/>
  <c r="Z254" i="3" s="1"/>
  <c r="AE253" i="3"/>
  <c r="AB253" i="3"/>
  <c r="AN253" i="3" s="1"/>
  <c r="AQ253" i="3" s="1"/>
  <c r="AA253" i="3"/>
  <c r="Y253" i="3"/>
  <c r="X253" i="3"/>
  <c r="W253" i="3"/>
  <c r="AN252" i="3"/>
  <c r="AQ252" i="3" s="1"/>
  <c r="AE252" i="3"/>
  <c r="W252" i="3"/>
  <c r="Z252" i="3" s="1"/>
  <c r="AK251" i="3"/>
  <c r="AJ251" i="3"/>
  <c r="AI251" i="3"/>
  <c r="AD251" i="3"/>
  <c r="AC251" i="3"/>
  <c r="AE251" i="3" s="1"/>
  <c r="AB251" i="3"/>
  <c r="AN251" i="3" s="1"/>
  <c r="AQ251" i="3" s="1"/>
  <c r="AA251" i="3"/>
  <c r="Y251" i="3"/>
  <c r="X251" i="3"/>
  <c r="W251" i="3"/>
  <c r="AE248" i="3"/>
  <c r="AN248" i="3"/>
  <c r="AQ248" i="3" s="1"/>
  <c r="Y248" i="3"/>
  <c r="X248" i="3"/>
  <c r="W248" i="3"/>
  <c r="AE244" i="3"/>
  <c r="AN244" i="3"/>
  <c r="Y244" i="3"/>
  <c r="X244" i="3"/>
  <c r="W244" i="3"/>
  <c r="AP241" i="3"/>
  <c r="AO241" i="3"/>
  <c r="AN240" i="3"/>
  <c r="AQ240" i="3" s="1"/>
  <c r="AL241" i="3"/>
  <c r="AH241" i="3"/>
  <c r="AG241" i="3"/>
  <c r="AF241" i="3"/>
  <c r="AD241" i="3"/>
  <c r="AC241" i="3"/>
  <c r="AE241" i="3" s="1"/>
  <c r="AN241" i="3"/>
  <c r="Y241" i="3"/>
  <c r="X241" i="3"/>
  <c r="AE240" i="3"/>
  <c r="AE239" i="3"/>
  <c r="AN239" i="3"/>
  <c r="AQ239" i="3" s="1"/>
  <c r="Y239" i="3"/>
  <c r="X239" i="3"/>
  <c r="W239" i="3"/>
  <c r="W240" i="3"/>
  <c r="W241" i="3"/>
  <c r="AP238" i="3"/>
  <c r="AO238" i="3"/>
  <c r="AH238" i="3"/>
  <c r="AD238" i="3"/>
  <c r="AC238" i="3"/>
  <c r="AN238" i="3"/>
  <c r="Y238" i="3"/>
  <c r="X238" i="3"/>
  <c r="M238" i="3"/>
  <c r="W238" i="3" s="1"/>
  <c r="AP236" i="3"/>
  <c r="AO236" i="3"/>
  <c r="AL236" i="3"/>
  <c r="AH236" i="3"/>
  <c r="AG236" i="3"/>
  <c r="AF236" i="3"/>
  <c r="AD236" i="3"/>
  <c r="AC236" i="3"/>
  <c r="AB236" i="3"/>
  <c r="AA236" i="3"/>
  <c r="Y236" i="3"/>
  <c r="X236" i="3"/>
  <c r="AP46" i="3"/>
  <c r="AO46" i="3"/>
  <c r="AL46" i="3"/>
  <c r="AH46" i="3"/>
  <c r="AG46" i="3"/>
  <c r="AF46" i="3"/>
  <c r="AD46" i="3"/>
  <c r="AC46" i="3"/>
  <c r="AE46" i="3" s="1"/>
  <c r="AB46" i="3"/>
  <c r="AN46" i="3" s="1"/>
  <c r="AQ46" i="3" s="1"/>
  <c r="AA46" i="3"/>
  <c r="Y46" i="3"/>
  <c r="X46" i="3"/>
  <c r="W46" i="3"/>
  <c r="AP8" i="3"/>
  <c r="AO8" i="3"/>
  <c r="AG8" i="3"/>
  <c r="AF8" i="3"/>
  <c r="AD8" i="3"/>
  <c r="AC8" i="3"/>
  <c r="AB8" i="3"/>
  <c r="AN8" i="3" s="1"/>
  <c r="AQ8" i="3" s="1"/>
  <c r="AA8" i="3"/>
  <c r="Y8" i="3"/>
  <c r="X8" i="3"/>
  <c r="P8" i="3"/>
  <c r="N8" i="3"/>
  <c r="W8" i="3" s="1"/>
  <c r="AP249" i="3"/>
  <c r="AO249" i="3"/>
  <c r="AN48" i="3"/>
  <c r="AQ48" i="3" s="1"/>
  <c r="AN49" i="3"/>
  <c r="AQ49" i="3" s="1"/>
  <c r="AN50" i="3"/>
  <c r="AQ50" i="3" s="1"/>
  <c r="AN51" i="3"/>
  <c r="AQ51" i="3" s="1"/>
  <c r="AN52" i="3"/>
  <c r="AQ52" i="3" s="1"/>
  <c r="AN53" i="3"/>
  <c r="AQ53" i="3" s="1"/>
  <c r="AN54" i="3"/>
  <c r="AQ54" i="3" s="1"/>
  <c r="AE48" i="3"/>
  <c r="AE49" i="3"/>
  <c r="AE50" i="3"/>
  <c r="AE51" i="3"/>
  <c r="AE55" i="3"/>
  <c r="AD249" i="3"/>
  <c r="AC249" i="3"/>
  <c r="AE249" i="3" s="1"/>
  <c r="AB148" i="3"/>
  <c r="AN148" i="3" s="1"/>
  <c r="AA148" i="3"/>
  <c r="N148" i="3"/>
  <c r="W148" i="3" s="1"/>
  <c r="AD235" i="3"/>
  <c r="AC235" i="3"/>
  <c r="AB235" i="3"/>
  <c r="AA235" i="3"/>
  <c r="Y235" i="3"/>
  <c r="X235" i="3"/>
  <c r="N235" i="3"/>
  <c r="AB249" i="3"/>
  <c r="AN249" i="3" s="1"/>
  <c r="AA249" i="3"/>
  <c r="Y249" i="3"/>
  <c r="X249" i="3"/>
  <c r="W249" i="3"/>
  <c r="S249" i="3"/>
  <c r="AB187" i="3"/>
  <c r="AN187" i="3" s="1"/>
  <c r="AA187" i="3"/>
  <c r="AD155" i="3"/>
  <c r="AC155" i="3"/>
  <c r="AP187" i="3"/>
  <c r="AO187" i="3"/>
  <c r="Y187" i="3"/>
  <c r="N187" i="3"/>
  <c r="X187" i="3"/>
  <c r="W187" i="3"/>
  <c r="Z187" i="3" s="1"/>
  <c r="S187" i="3"/>
  <c r="AE186" i="3"/>
  <c r="AN186" i="3"/>
  <c r="Y186" i="3"/>
  <c r="X186" i="3"/>
  <c r="W186" i="3"/>
  <c r="Z186" i="3" s="1"/>
  <c r="AP128" i="3"/>
  <c r="AO128" i="3"/>
  <c r="AB128" i="3"/>
  <c r="AA128" i="3"/>
  <c r="AQ151" i="3" l="1"/>
  <c r="AQ148" i="3"/>
  <c r="Z172" i="3"/>
  <c r="Z160" i="3"/>
  <c r="AQ238" i="3"/>
  <c r="AE167" i="3"/>
  <c r="Z8" i="3"/>
  <c r="AQ165" i="3"/>
  <c r="W197" i="3"/>
  <c r="Z197" i="3" s="1"/>
  <c r="AQ88" i="3"/>
  <c r="Z100" i="3"/>
  <c r="AQ139" i="3"/>
  <c r="Z101" i="3"/>
  <c r="Z99" i="3"/>
  <c r="AQ194" i="3"/>
  <c r="AE195" i="3"/>
  <c r="Z169" i="3"/>
  <c r="AQ149" i="3"/>
  <c r="AQ244" i="3"/>
  <c r="W180" i="3"/>
  <c r="W195" i="3"/>
  <c r="Z195" i="3" s="1"/>
  <c r="Z193" i="3"/>
  <c r="Z98" i="3"/>
  <c r="AQ249" i="3"/>
  <c r="AE165" i="3"/>
  <c r="Z96" i="3"/>
  <c r="Z90" i="3"/>
  <c r="AE89" i="3"/>
  <c r="Z95" i="3"/>
  <c r="AE97" i="3"/>
  <c r="Z139" i="3"/>
  <c r="AQ192" i="3"/>
  <c r="Z94" i="3"/>
  <c r="AE23" i="3"/>
  <c r="AE139" i="3"/>
  <c r="Z87" i="3"/>
  <c r="AQ186" i="3"/>
  <c r="AQ187" i="3"/>
  <c r="AQ258" i="3"/>
  <c r="AE106" i="3"/>
  <c r="AE177" i="3"/>
  <c r="Z181" i="3"/>
  <c r="AE65" i="3"/>
  <c r="Z91" i="3"/>
  <c r="AQ241" i="3"/>
  <c r="AE152" i="3"/>
  <c r="AQ154" i="3"/>
  <c r="AE163" i="3"/>
  <c r="AQ168" i="3"/>
  <c r="AE171" i="3"/>
  <c r="AQ177" i="3"/>
  <c r="W65" i="3"/>
  <c r="Z65" i="3" s="1"/>
  <c r="AQ196" i="3"/>
  <c r="AE86" i="3"/>
  <c r="Z97" i="3"/>
  <c r="W89" i="3"/>
  <c r="Z89" i="3" s="1"/>
  <c r="AE20" i="3"/>
  <c r="AE87" i="3"/>
  <c r="AQ97" i="3"/>
  <c r="Z88" i="3"/>
  <c r="AQ156" i="3"/>
  <c r="AQ158" i="3"/>
  <c r="AE185" i="3"/>
  <c r="AE176" i="3"/>
  <c r="AE157" i="3"/>
  <c r="AE191" i="3"/>
  <c r="Z240" i="3"/>
  <c r="Z151" i="3"/>
  <c r="Z162" i="3"/>
  <c r="W191" i="3"/>
  <c r="AE200" i="3"/>
  <c r="AE74" i="3"/>
  <c r="AE170" i="3"/>
  <c r="W170" i="3"/>
  <c r="Z167" i="3"/>
  <c r="AE144" i="3"/>
  <c r="Z147" i="3"/>
  <c r="AE146" i="3"/>
  <c r="W152" i="3"/>
  <c r="Z152" i="3" s="1"/>
  <c r="Z148" i="3"/>
  <c r="Z144" i="3"/>
  <c r="AE147" i="3"/>
  <c r="Z150" i="3"/>
  <c r="AE187" i="3"/>
  <c r="AE148" i="3"/>
  <c r="AE238" i="3"/>
  <c r="AE8" i="3"/>
  <c r="N128" i="3"/>
  <c r="AE128" i="3" s="1"/>
  <c r="AN235" i="3"/>
  <c r="AQ235" i="3" s="1"/>
  <c r="AN236" i="3"/>
  <c r="AQ236" i="3" s="1"/>
  <c r="AE234" i="3"/>
  <c r="AN234" i="3"/>
  <c r="AQ234" i="3" s="1"/>
  <c r="Y234" i="3"/>
  <c r="X234" i="3"/>
  <c r="W234" i="3"/>
  <c r="W235" i="3"/>
  <c r="Z235" i="3" s="1"/>
  <c r="W236" i="3"/>
  <c r="AD230" i="3"/>
  <c r="AE230" i="3" s="1"/>
  <c r="AC230" i="3"/>
  <c r="Y230" i="3"/>
  <c r="X230" i="3"/>
  <c r="AE233" i="3"/>
  <c r="AN233" i="3"/>
  <c r="AQ233" i="3" s="1"/>
  <c r="Y233" i="3"/>
  <c r="X233" i="3"/>
  <c r="W233" i="3"/>
  <c r="AE235" i="3"/>
  <c r="AE236" i="3"/>
  <c r="AE232" i="3"/>
  <c r="AN232" i="3"/>
  <c r="AQ232" i="3" s="1"/>
  <c r="W232" i="3"/>
  <c r="Z232" i="3" s="1"/>
  <c r="AP228" i="3"/>
  <c r="AO228" i="3"/>
  <c r="AL228" i="3"/>
  <c r="AH228" i="3"/>
  <c r="AG228" i="3"/>
  <c r="AF228" i="3"/>
  <c r="AD228" i="3"/>
  <c r="AE228" i="3" s="1"/>
  <c r="AC228" i="3"/>
  <c r="AB228" i="3"/>
  <c r="AA228" i="3"/>
  <c r="Y228" i="3"/>
  <c r="X228" i="3"/>
  <c r="W228" i="3"/>
  <c r="AP227" i="3"/>
  <c r="AO227" i="3"/>
  <c r="AN226" i="3"/>
  <c r="AQ226" i="3" s="1"/>
  <c r="AN228" i="3"/>
  <c r="AQ228" i="3" s="1"/>
  <c r="AL227" i="3"/>
  <c r="AH227" i="3"/>
  <c r="AG227" i="3"/>
  <c r="AF227" i="3"/>
  <c r="AD227" i="3"/>
  <c r="AE227" i="3" s="1"/>
  <c r="AC227" i="3"/>
  <c r="AB227" i="3"/>
  <c r="AN227" i="3" s="1"/>
  <c r="AQ227" i="3" s="1"/>
  <c r="AA227" i="3"/>
  <c r="Y227" i="3"/>
  <c r="X227" i="3"/>
  <c r="W227" i="3"/>
  <c r="AE226" i="3"/>
  <c r="W226" i="3"/>
  <c r="Z226" i="3" s="1"/>
  <c r="AN223" i="3"/>
  <c r="AQ223" i="3" s="1"/>
  <c r="AP250" i="3"/>
  <c r="AO250" i="3"/>
  <c r="AE250" i="3"/>
  <c r="AB250" i="3"/>
  <c r="AN250" i="3" s="1"/>
  <c r="AA250" i="3"/>
  <c r="W250" i="3"/>
  <c r="Z250" i="3" s="1"/>
  <c r="AE224" i="3"/>
  <c r="AN224" i="3"/>
  <c r="Z224" i="3"/>
  <c r="Y223" i="3"/>
  <c r="X223" i="3"/>
  <c r="AN222" i="3"/>
  <c r="AQ222" i="3" s="1"/>
  <c r="AE223" i="3"/>
  <c r="Y222" i="3"/>
  <c r="X222" i="3"/>
  <c r="W223" i="3"/>
  <c r="N222" i="3"/>
  <c r="W222" i="3" s="1"/>
  <c r="AE221" i="3"/>
  <c r="AN221" i="3"/>
  <c r="AG220" i="3"/>
  <c r="AF220" i="3"/>
  <c r="AE220" i="3"/>
  <c r="AN220" i="3"/>
  <c r="Y220" i="3"/>
  <c r="X220" i="3"/>
  <c r="AP219" i="3"/>
  <c r="AO219" i="3"/>
  <c r="AD219" i="3"/>
  <c r="AE219" i="3" s="1"/>
  <c r="AC219" i="3"/>
  <c r="AB219" i="3"/>
  <c r="AN219" i="3" s="1"/>
  <c r="AA219" i="3"/>
  <c r="Y219" i="3"/>
  <c r="X219" i="3"/>
  <c r="AP218" i="3"/>
  <c r="AO218" i="3"/>
  <c r="AN218" i="3"/>
  <c r="AQ218" i="3" s="1"/>
  <c r="AL218" i="3"/>
  <c r="AH218" i="3"/>
  <c r="AG218" i="3"/>
  <c r="AF218" i="3"/>
  <c r="AD218" i="3"/>
  <c r="AC218" i="3"/>
  <c r="AA218" i="3"/>
  <c r="Y218" i="3"/>
  <c r="X218" i="3"/>
  <c r="AP217" i="3"/>
  <c r="AO217" i="3"/>
  <c r="AL217" i="3"/>
  <c r="AH217" i="3"/>
  <c r="AG217" i="3"/>
  <c r="AF217" i="3"/>
  <c r="AE218" i="3"/>
  <c r="AD217" i="3"/>
  <c r="AC217" i="3"/>
  <c r="AE217" i="3" s="1"/>
  <c r="AB217" i="3"/>
  <c r="AN217" i="3" s="1"/>
  <c r="AA217" i="3"/>
  <c r="Y217" i="3"/>
  <c r="X217" i="3"/>
  <c r="W217" i="3"/>
  <c r="Z217" i="3" s="1"/>
  <c r="W218" i="3"/>
  <c r="Z218" i="3" s="1"/>
  <c r="W219" i="3"/>
  <c r="Z219" i="3" s="1"/>
  <c r="W220" i="3"/>
  <c r="Z220" i="3" s="1"/>
  <c r="W221" i="3"/>
  <c r="Z221" i="3" s="1"/>
  <c r="AP216" i="3"/>
  <c r="AO216" i="3"/>
  <c r="AL216" i="3"/>
  <c r="AH216" i="3"/>
  <c r="AD216" i="3"/>
  <c r="AC216" i="3"/>
  <c r="AN216" i="3"/>
  <c r="AQ216" i="3" s="1"/>
  <c r="Y216" i="3"/>
  <c r="N216" i="3"/>
  <c r="X216" i="3"/>
  <c r="W216" i="3"/>
  <c r="Z216" i="3" s="1"/>
  <c r="AP214" i="3"/>
  <c r="AO214" i="3"/>
  <c r="AD214" i="3"/>
  <c r="AC214" i="3"/>
  <c r="AE214" i="3" s="1"/>
  <c r="AB214" i="3"/>
  <c r="AN214" i="3" s="1"/>
  <c r="AQ214" i="3" s="1"/>
  <c r="AA214" i="3"/>
  <c r="AP213" i="3"/>
  <c r="AO213" i="3"/>
  <c r="AL213" i="3"/>
  <c r="AH213" i="3"/>
  <c r="AG213" i="3"/>
  <c r="AF213" i="3"/>
  <c r="AD213" i="3"/>
  <c r="AC213" i="3"/>
  <c r="AE213" i="3" s="1"/>
  <c r="AB213" i="3"/>
  <c r="AN213" i="3" s="1"/>
  <c r="AQ213" i="3" s="1"/>
  <c r="AA213" i="3"/>
  <c r="Y213" i="3"/>
  <c r="X213" i="3"/>
  <c r="AN211" i="3"/>
  <c r="AQ211" i="3" s="1"/>
  <c r="N211" i="3"/>
  <c r="W211" i="3" s="1"/>
  <c r="Z211" i="3" s="1"/>
  <c r="AE210" i="3"/>
  <c r="Y210" i="3"/>
  <c r="X210" i="3"/>
  <c r="AN209" i="3"/>
  <c r="AQ209" i="3" s="1"/>
  <c r="Y209" i="3"/>
  <c r="X209" i="3"/>
  <c r="AP208" i="3"/>
  <c r="AO208" i="3"/>
  <c r="AD208" i="3"/>
  <c r="AC208" i="3"/>
  <c r="AB208" i="3"/>
  <c r="AN208" i="3" s="1"/>
  <c r="AQ208" i="3" s="1"/>
  <c r="AA208" i="3"/>
  <c r="Y208" i="3"/>
  <c r="X208" i="3"/>
  <c r="N208" i="3"/>
  <c r="W208" i="3" s="1"/>
  <c r="AG207" i="3"/>
  <c r="AF207" i="3"/>
  <c r="AD207" i="3"/>
  <c r="AC207" i="3"/>
  <c r="AE207" i="3" s="1"/>
  <c r="AN207" i="3"/>
  <c r="AQ207" i="3" s="1"/>
  <c r="Y207" i="3"/>
  <c r="X207" i="3"/>
  <c r="AP206" i="3"/>
  <c r="AO206" i="3"/>
  <c r="AL206" i="3"/>
  <c r="AH206" i="3"/>
  <c r="AG206" i="3"/>
  <c r="AF206" i="3"/>
  <c r="AD206" i="3"/>
  <c r="AC206" i="3"/>
  <c r="AE206" i="3" s="1"/>
  <c r="AA206" i="3"/>
  <c r="Y206" i="3"/>
  <c r="X206" i="3"/>
  <c r="Y205" i="3"/>
  <c r="X205" i="3"/>
  <c r="N205" i="3"/>
  <c r="AP204" i="3"/>
  <c r="AO204" i="3"/>
  <c r="AL204" i="3"/>
  <c r="AH204" i="3"/>
  <c r="AG204" i="3"/>
  <c r="AF204" i="3"/>
  <c r="AD204" i="3"/>
  <c r="AC204" i="3"/>
  <c r="AB204" i="3"/>
  <c r="AN204" i="3" s="1"/>
  <c r="AQ204" i="3" s="1"/>
  <c r="AA204" i="3"/>
  <c r="Y204" i="3"/>
  <c r="X204" i="3"/>
  <c r="AP203" i="3"/>
  <c r="AO203" i="3"/>
  <c r="AL203" i="3"/>
  <c r="AH203" i="3"/>
  <c r="AG203" i="3"/>
  <c r="AF203" i="3"/>
  <c r="AD203" i="3"/>
  <c r="AC203" i="3"/>
  <c r="AE203" i="3" s="1"/>
  <c r="AB203" i="3"/>
  <c r="AN203" i="3" s="1"/>
  <c r="AQ203" i="3" s="1"/>
  <c r="AA203" i="3"/>
  <c r="X203" i="3"/>
  <c r="AP202" i="3"/>
  <c r="AO202" i="3"/>
  <c r="AE204" i="3"/>
  <c r="AE209" i="3"/>
  <c r="AE212" i="3"/>
  <c r="AD202" i="3"/>
  <c r="AC202" i="3"/>
  <c r="AB202" i="3"/>
  <c r="AN202" i="3" s="1"/>
  <c r="AA202" i="3"/>
  <c r="N202" i="3"/>
  <c r="W202" i="3" s="1"/>
  <c r="Z202" i="3" s="1"/>
  <c r="W287" i="3"/>
  <c r="Z287" i="3" s="1"/>
  <c r="W286" i="3"/>
  <c r="Z286" i="3" s="1"/>
  <c r="W285" i="3"/>
  <c r="Z285" i="3" s="1"/>
  <c r="AN285" i="3"/>
  <c r="AQ285" i="3" s="1"/>
  <c r="AN286" i="3"/>
  <c r="AQ286" i="3" s="1"/>
  <c r="AN287" i="3"/>
  <c r="AQ287" i="3" s="1"/>
  <c r="AN284" i="3"/>
  <c r="AQ284" i="3" s="1"/>
  <c r="AE280" i="3"/>
  <c r="AE283" i="3"/>
  <c r="AE284" i="3"/>
  <c r="AE285" i="3"/>
  <c r="AE286" i="3"/>
  <c r="AE287" i="3"/>
  <c r="AE282" i="3"/>
  <c r="AN282" i="3"/>
  <c r="AQ282" i="3" s="1"/>
  <c r="AE279" i="3"/>
  <c r="AN279" i="3"/>
  <c r="AE277" i="3"/>
  <c r="AL276" i="3"/>
  <c r="AH276" i="3"/>
  <c r="AG276" i="3"/>
  <c r="AF276" i="3"/>
  <c r="AC276" i="3"/>
  <c r="AE276" i="3" s="1"/>
  <c r="AB276" i="3"/>
  <c r="AN276" i="3" s="1"/>
  <c r="AQ276" i="3" s="1"/>
  <c r="AA276" i="3"/>
  <c r="Y276" i="3"/>
  <c r="X276" i="3"/>
  <c r="Y275" i="3"/>
  <c r="X275" i="3"/>
  <c r="AQ290" i="3"/>
  <c r="AE272" i="3"/>
  <c r="AN272" i="3"/>
  <c r="AN270" i="3"/>
  <c r="AQ270" i="3" s="1"/>
  <c r="AQ273" i="3"/>
  <c r="AN274" i="3"/>
  <c r="AQ274" i="3" s="1"/>
  <c r="AN275" i="3"/>
  <c r="AQ275" i="3" s="1"/>
  <c r="AN277" i="3"/>
  <c r="AQ277" i="3" s="1"/>
  <c r="AN278" i="3"/>
  <c r="AQ278" i="3" s="1"/>
  <c r="AN280" i="3"/>
  <c r="AQ280" i="3" s="1"/>
  <c r="AN281" i="3"/>
  <c r="AQ281" i="3" s="1"/>
  <c r="AN283" i="3"/>
  <c r="AQ283" i="3" s="1"/>
  <c r="AE270" i="3"/>
  <c r="AE273" i="3"/>
  <c r="AE274" i="3"/>
  <c r="AE275" i="3"/>
  <c r="AE278" i="3"/>
  <c r="AE271" i="3"/>
  <c r="AN271" i="3"/>
  <c r="AQ271" i="3" s="1"/>
  <c r="W271" i="3"/>
  <c r="W272" i="3"/>
  <c r="W273" i="3"/>
  <c r="Z273" i="3" s="1"/>
  <c r="W274" i="3"/>
  <c r="Z274" i="3" s="1"/>
  <c r="W275" i="3"/>
  <c r="W276" i="3"/>
  <c r="W277" i="3"/>
  <c r="Z277" i="3" s="1"/>
  <c r="W278" i="3"/>
  <c r="Z278" i="3" s="1"/>
  <c r="W279" i="3"/>
  <c r="W280" i="3"/>
  <c r="Z280" i="3" s="1"/>
  <c r="W281" i="3"/>
  <c r="Z281" i="3" s="1"/>
  <c r="W282" i="3"/>
  <c r="W283" i="3"/>
  <c r="Z283" i="3" s="1"/>
  <c r="W284" i="3"/>
  <c r="Z284" i="3" s="1"/>
  <c r="Y270" i="3"/>
  <c r="X270" i="3"/>
  <c r="Z271" i="3"/>
  <c r="W270" i="3"/>
  <c r="AE268" i="3"/>
  <c r="Y268" i="3"/>
  <c r="X268" i="3"/>
  <c r="AP267" i="3"/>
  <c r="AO267" i="3"/>
  <c r="AN268" i="3"/>
  <c r="AQ268" i="3" s="1"/>
  <c r="AE267" i="3"/>
  <c r="AB267" i="3"/>
  <c r="AN267" i="3" s="1"/>
  <c r="AQ267" i="3" s="1"/>
  <c r="AA267" i="3"/>
  <c r="AE265" i="3"/>
  <c r="AN265" i="3"/>
  <c r="AQ265" i="3" s="1"/>
  <c r="Y265" i="3"/>
  <c r="X265" i="3"/>
  <c r="AN266" i="3"/>
  <c r="AQ266" i="3" s="1"/>
  <c r="W265" i="3"/>
  <c r="W267" i="3"/>
  <c r="Z267" i="3" s="1"/>
  <c r="W268" i="3"/>
  <c r="N266" i="3"/>
  <c r="AP243" i="3"/>
  <c r="AO243" i="3"/>
  <c r="AD243" i="3"/>
  <c r="AC243" i="3"/>
  <c r="AB243" i="3"/>
  <c r="AN243" i="3" s="1"/>
  <c r="AA243" i="3"/>
  <c r="M243" i="3"/>
  <c r="W243" i="3" s="1"/>
  <c r="AE260" i="3"/>
  <c r="AP201" i="3"/>
  <c r="AO201" i="3"/>
  <c r="AN201" i="3"/>
  <c r="AQ201" i="3" s="1"/>
  <c r="AN205" i="3"/>
  <c r="AQ205" i="3" s="1"/>
  <c r="AN206" i="3"/>
  <c r="AN210" i="3"/>
  <c r="AQ210" i="3" s="1"/>
  <c r="AN212" i="3"/>
  <c r="AQ212" i="3" s="1"/>
  <c r="AE201" i="3"/>
  <c r="Y201" i="3"/>
  <c r="Z201" i="3" s="1"/>
  <c r="X201" i="3"/>
  <c r="W203" i="3"/>
  <c r="W204" i="3"/>
  <c r="W206" i="3"/>
  <c r="W207" i="3"/>
  <c r="W209" i="3"/>
  <c r="W210" i="3"/>
  <c r="W212" i="3"/>
  <c r="Z212" i="3" s="1"/>
  <c r="W213" i="3"/>
  <c r="W214" i="3"/>
  <c r="S201" i="3"/>
  <c r="AN260" i="3"/>
  <c r="AN261" i="3"/>
  <c r="AQ261" i="3" s="1"/>
  <c r="AE262" i="3"/>
  <c r="AN262" i="3"/>
  <c r="AQ262" i="3" s="1"/>
  <c r="W260" i="3"/>
  <c r="W261" i="3"/>
  <c r="Z261" i="3" s="1"/>
  <c r="W262" i="3"/>
  <c r="AE247" i="3"/>
  <c r="AN247" i="3"/>
  <c r="AQ247" i="3" s="1"/>
  <c r="W247" i="3"/>
  <c r="Z247" i="3" s="1"/>
  <c r="AN237" i="3"/>
  <c r="AQ237" i="3" s="1"/>
  <c r="N237" i="3"/>
  <c r="W237" i="3" s="1"/>
  <c r="Z237" i="3" s="1"/>
  <c r="AN230" i="3"/>
  <c r="AQ230" i="3" s="1"/>
  <c r="AE231" i="3"/>
  <c r="AN231" i="3"/>
  <c r="Y231" i="3"/>
  <c r="X231" i="3"/>
  <c r="W230" i="3"/>
  <c r="W231" i="3"/>
  <c r="AN215" i="3"/>
  <c r="AE215" i="3"/>
  <c r="AB225" i="3"/>
  <c r="AN225" i="3" s="1"/>
  <c r="Y215" i="3"/>
  <c r="X215" i="3"/>
  <c r="W215" i="3"/>
  <c r="Z215" i="3" s="1"/>
  <c r="AP225" i="3"/>
  <c r="AG225" i="3"/>
  <c r="AF225" i="3"/>
  <c r="AD225" i="3"/>
  <c r="AE225" i="3" s="1"/>
  <c r="Y225" i="3"/>
  <c r="W225" i="3"/>
  <c r="AE229" i="3"/>
  <c r="AB229" i="3"/>
  <c r="AN229" i="3" s="1"/>
  <c r="AQ229" i="3" s="1"/>
  <c r="AA229" i="3"/>
  <c r="W229" i="3"/>
  <c r="Z229" i="3" s="1"/>
  <c r="AP264" i="3"/>
  <c r="AD264" i="3"/>
  <c r="AC264" i="3"/>
  <c r="AE264" i="3" s="1"/>
  <c r="AB264" i="3"/>
  <c r="AN264" i="3" s="1"/>
  <c r="W264" i="3"/>
  <c r="AE246" i="3"/>
  <c r="AN246" i="3"/>
  <c r="W246" i="3"/>
  <c r="Z246" i="3" s="1"/>
  <c r="AN245" i="3"/>
  <c r="AQ245" i="3" s="1"/>
  <c r="N245" i="3"/>
  <c r="W245" i="3" s="1"/>
  <c r="Z245" i="3" s="1"/>
  <c r="AN155" i="3"/>
  <c r="AQ155" i="3" s="1"/>
  <c r="Y155" i="3"/>
  <c r="X155" i="3"/>
  <c r="N155" i="3"/>
  <c r="AE155" i="3" s="1"/>
  <c r="AN128" i="3"/>
  <c r="AQ128" i="3" s="1"/>
  <c r="AE242" i="3"/>
  <c r="AN242" i="3"/>
  <c r="AP269" i="3"/>
  <c r="AO269" i="3"/>
  <c r="AG269" i="3"/>
  <c r="AF269" i="3"/>
  <c r="AD269" i="3"/>
  <c r="AC269" i="3"/>
  <c r="AE269" i="3" s="1"/>
  <c r="AB269" i="3"/>
  <c r="AN269" i="3" s="1"/>
  <c r="AQ269" i="3" s="1"/>
  <c r="AA269" i="3"/>
  <c r="W269" i="3"/>
  <c r="Z269" i="3" s="1"/>
  <c r="AE255" i="3"/>
  <c r="Y255" i="3"/>
  <c r="Z255" i="3" s="1"/>
  <c r="X255" i="3"/>
  <c r="W242" i="3"/>
  <c r="AP67" i="3"/>
  <c r="AO67" i="3"/>
  <c r="AL67" i="3"/>
  <c r="AH67" i="3"/>
  <c r="AG67" i="3"/>
  <c r="AF67" i="3"/>
  <c r="AD67" i="3"/>
  <c r="AC67" i="3"/>
  <c r="AE67" i="3" s="1"/>
  <c r="AB67" i="3"/>
  <c r="AN67" i="3" s="1"/>
  <c r="AQ67" i="3" s="1"/>
  <c r="AA67" i="3"/>
  <c r="W67" i="3"/>
  <c r="Z67" i="3" s="1"/>
  <c r="AE259" i="3"/>
  <c r="AN259" i="3"/>
  <c r="W259" i="3"/>
  <c r="Z259" i="3" s="1"/>
  <c r="AE266" i="3" l="1"/>
  <c r="W266" i="3"/>
  <c r="AQ206" i="3"/>
  <c r="Z213" i="3"/>
  <c r="AQ264" i="3"/>
  <c r="AQ279" i="3"/>
  <c r="Z276" i="3"/>
  <c r="Z204" i="3"/>
  <c r="AQ202" i="3"/>
  <c r="AQ243" i="3"/>
  <c r="AQ225" i="3"/>
  <c r="AQ215" i="3"/>
  <c r="AQ272" i="3"/>
  <c r="AQ219" i="3"/>
  <c r="AQ221" i="3"/>
  <c r="AQ224" i="3"/>
  <c r="AQ260" i="3"/>
  <c r="AQ217" i="3"/>
  <c r="AQ220" i="3"/>
  <c r="AQ250" i="3"/>
  <c r="Z206" i="3"/>
  <c r="Z214" i="3"/>
  <c r="Z279" i="3"/>
  <c r="Z266" i="3"/>
  <c r="Z272" i="3"/>
  <c r="AE205" i="3"/>
  <c r="AE211" i="3"/>
  <c r="AE202" i="3"/>
  <c r="Z242" i="3"/>
  <c r="W155" i="3"/>
  <c r="Z262" i="3"/>
  <c r="W205" i="3"/>
  <c r="Z282" i="3"/>
  <c r="AE222" i="3"/>
  <c r="AE245" i="3"/>
  <c r="Z275" i="3"/>
  <c r="AE216" i="3"/>
  <c r="AE237" i="3"/>
  <c r="AE243" i="3"/>
  <c r="AE208" i="3"/>
  <c r="W128" i="3"/>
  <c r="Z128" i="3" s="1"/>
</calcChain>
</file>

<file path=xl/sharedStrings.xml><?xml version="1.0" encoding="utf-8"?>
<sst xmlns="http://schemas.openxmlformats.org/spreadsheetml/2006/main" count="3698" uniqueCount="1991">
  <si>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</si>
  <si>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</si>
  <si>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</si>
  <si>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</si>
  <si>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</si>
  <si>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</si>
  <si>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</si>
  <si>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</si>
  <si>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</si>
  <si>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</si>
  <si>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</si>
  <si>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</si>
  <si>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</si>
  <si>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</si>
  <si>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</si>
  <si>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</si>
  <si>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</si>
  <si>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</si>
  <si>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</si>
  <si>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</si>
  <si>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</si>
  <si>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</si>
  <si>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</si>
  <si>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</si>
  <si>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</si>
  <si>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</si>
  <si>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</si>
  <si>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</si>
  <si>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</si>
  <si>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</si>
  <si>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</si>
  <si>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</si>
  <si>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</si>
  <si>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</si>
  <si>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</si>
  <si>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</si>
  <si>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</si>
  <si>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</si>
  <si>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</si>
  <si>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</si>
  <si>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</si>
  <si>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</si>
  <si>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</si>
  <si>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</si>
  <si>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</si>
  <si>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</si>
  <si>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</si>
  <si>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</si>
  <si>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</si>
  <si>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</si>
  <si>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</si>
  <si>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</si>
  <si>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</si>
  <si>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</si>
  <si>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</si>
  <si>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</si>
  <si>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</si>
  <si>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</si>
  <si>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</si>
  <si>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</si>
  <si>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</si>
  <si>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</si>
  <si>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</si>
  <si>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</si>
  <si>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</si>
  <si>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</si>
  <si>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</si>
  <si>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</si>
  <si>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</si>
  <si>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</si>
  <si>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</si>
  <si>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</si>
  <si>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</si>
  <si>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</si>
  <si>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</si>
  <si>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</si>
  <si>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</si>
  <si>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</si>
  <si>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</si>
  <si>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</si>
  <si>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</si>
  <si>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</si>
  <si>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</si>
  <si>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</si>
  <si>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</si>
  <si>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</si>
  <si>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</si>
  <si>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</si>
  <si>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</si>
  <si>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</si>
  <si>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</si>
  <si>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</si>
  <si>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</si>
  <si>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</si>
  <si>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</si>
  <si>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</si>
  <si>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</si>
  <si>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</si>
  <si>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</si>
  <si>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</si>
  <si>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</si>
  <si>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</si>
  <si>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</si>
  <si>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</si>
  <si>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</si>
  <si>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</si>
  <si>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</si>
  <si>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</si>
  <si>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</si>
  <si>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</si>
  <si>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</si>
  <si>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</si>
  <si>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</si>
  <si>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</si>
  <si>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</si>
  <si>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</si>
  <si>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</si>
  <si>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</si>
  <si>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</si>
  <si>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</si>
  <si>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</si>
  <si>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</si>
  <si>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</si>
  <si>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</si>
  <si>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</si>
  <si>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</si>
  <si>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</si>
  <si>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</si>
  <si>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</si>
  <si>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</si>
  <si>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</si>
  <si>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</si>
  <si>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</si>
  <si>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</si>
  <si>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</si>
  <si>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</si>
  <si>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</si>
  <si>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</si>
  <si>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</si>
  <si>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</si>
  <si>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</si>
  <si>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</si>
  <si>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</si>
  <si>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</si>
  <si>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</si>
  <si>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</si>
  <si>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</si>
  <si>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</si>
  <si>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</si>
  <si>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</si>
  <si>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</si>
  <si>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</si>
  <si>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</si>
  <si>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</si>
  <si>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</si>
  <si>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</si>
  <si>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</si>
  <si>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</si>
  <si>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</si>
  <si>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</si>
  <si>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</si>
  <si>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</si>
  <si>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</si>
  <si>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</si>
  <si>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</si>
  <si>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</si>
  <si>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</si>
  <si>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</si>
  <si>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</si>
  <si>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</si>
  <si>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</si>
  <si>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</si>
  <si>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</si>
  <si>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</si>
  <si>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</si>
  <si>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</si>
  <si>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</si>
  <si>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</si>
  <si>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</si>
  <si>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</si>
  <si>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</si>
  <si>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</si>
  <si>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</si>
  <si>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</si>
  <si>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</si>
  <si>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</si>
  <si>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</si>
  <si>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</si>
  <si>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</si>
  <si>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</si>
  <si>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</si>
  <si>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</si>
  <si>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</si>
  <si>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</si>
  <si>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</si>
  <si>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</si>
  <si>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</si>
  <si>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</si>
  <si>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</si>
  <si>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</si>
  <si>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</si>
  <si>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</si>
  <si>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</si>
  <si>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</si>
  <si>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</si>
  <si>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</si>
  <si>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</si>
  <si>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</si>
  <si>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</si>
  <si>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</si>
  <si>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</si>
  <si>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</si>
  <si>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</si>
  <si>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</si>
  <si>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</si>
  <si>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</si>
  <si>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</si>
  <si>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</si>
  <si>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</si>
  <si>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</si>
  <si>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</si>
  <si>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</si>
  <si>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</si>
  <si>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</si>
  <si>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</si>
  <si>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</si>
  <si>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</si>
  <si>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</si>
  <si>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</si>
  <si>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</si>
  <si>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</si>
  <si>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</si>
  <si>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</si>
  <si>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</si>
  <si>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</si>
  <si>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</si>
  <si>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</si>
  <si>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</si>
  <si>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</si>
  <si>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</si>
  <si>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</si>
  <si>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</si>
  <si>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</si>
  <si>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</si>
  <si>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</si>
  <si>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</si>
  <si>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</si>
  <si>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</si>
  <si>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</si>
  <si>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</si>
  <si>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</si>
  <si>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</si>
  <si>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</si>
  <si>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</si>
  <si>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</si>
  <si>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</si>
  <si>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</si>
  <si>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</si>
  <si>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</si>
  <si>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</si>
  <si>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</si>
  <si>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</si>
  <si>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</si>
  <si>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</si>
  <si>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</si>
  <si>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</si>
  <si>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</si>
  <si>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</si>
  <si>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</si>
  <si>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</si>
  <si>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</si>
  <si>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</si>
  <si>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</si>
  <si>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</si>
  <si>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</si>
  <si>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</si>
  <si>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</si>
  <si>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</si>
  <si>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</si>
  <si>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</si>
  <si>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</si>
  <si>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</si>
  <si>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</si>
  <si>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</si>
  <si>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</si>
  <si>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</si>
  <si>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</si>
  <si>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</si>
  <si>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</si>
  <si>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</si>
  <si>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</si>
  <si>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</si>
  <si>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</si>
  <si>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</si>
  <si>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</si>
  <si>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</si>
  <si>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</si>
  <si>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</si>
  <si>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</si>
  <si>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</si>
  <si>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</si>
  <si>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</si>
  <si>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</si>
  <si>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</si>
  <si>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</si>
  <si>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</si>
  <si>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</si>
  <si>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</si>
  <si>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</si>
  <si>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</si>
  <si>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</si>
  <si>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</si>
  <si>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</si>
  <si>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</si>
  <si>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</si>
  <si>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</si>
  <si>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</si>
  <si>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</si>
  <si>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</si>
  <si>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</si>
  <si>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</si>
  <si>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</si>
  <si>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</si>
  <si>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</si>
  <si>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</si>
  <si>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</si>
  <si>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</si>
  <si>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</si>
  <si>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</si>
  <si>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</si>
  <si>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</si>
  <si>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</si>
  <si>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</si>
  <si>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</si>
  <si>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</si>
  <si>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</si>
  <si>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</si>
  <si>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</si>
  <si>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</si>
  <si>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</si>
  <si>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</si>
  <si>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</si>
  <si>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</si>
  <si>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</si>
  <si>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</si>
  <si>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</si>
  <si>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</si>
  <si>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</si>
  <si>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</si>
  <si>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</si>
  <si>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</si>
  <si>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</si>
  <si>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</si>
  <si>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</si>
  <si>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</si>
  <si>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</si>
  <si>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</si>
  <si>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</si>
  <si>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</si>
  <si>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</si>
  <si>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</si>
  <si>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</si>
  <si>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</si>
  <si>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</si>
  <si>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</si>
  <si>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</si>
  <si>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</si>
  <si>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</si>
  <si>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</si>
  <si>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</si>
  <si>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</si>
  <si>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</si>
  <si>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</si>
  <si>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</si>
  <si>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</si>
  <si>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</si>
  <si>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</si>
  <si>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</si>
  <si>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</si>
  <si>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</si>
  <si>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</si>
  <si>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</si>
  <si>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</si>
  <si>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</si>
  <si>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</si>
  <si>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</si>
  <si>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</si>
  <si>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</si>
  <si>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</si>
  <si>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</si>
  <si>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</si>
  <si>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</si>
  <si>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</si>
  <si>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</si>
  <si>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</si>
  <si>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</si>
  <si>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</si>
  <si>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</si>
  <si>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</si>
  <si>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</si>
  <si>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</si>
  <si>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</si>
  <si>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</si>
  <si>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</si>
  <si>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</si>
  <si>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</si>
  <si>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</si>
  <si>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</si>
  <si>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</si>
  <si>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</si>
  <si>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</si>
  <si>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</si>
  <si>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</si>
  <si>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</si>
  <si>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</si>
  <si>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</si>
  <si>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</si>
  <si>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</si>
  <si>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</si>
  <si>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</si>
  <si>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</si>
  <si>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</si>
  <si>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</si>
  <si>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</si>
  <si>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</si>
  <si>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</si>
  <si>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</si>
  <si>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</si>
  <si>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</si>
  <si>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</si>
  <si>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</si>
  <si>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</si>
  <si>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</si>
  <si>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</si>
  <si>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</si>
  <si>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</si>
  <si>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</si>
  <si>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</si>
  <si>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</si>
  <si>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</si>
  <si>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</si>
  <si>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</si>
  <si>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</si>
  <si>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</si>
  <si>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</si>
  <si>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</si>
  <si>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</si>
  <si>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</si>
  <si>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</si>
  <si>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</si>
  <si>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</si>
  <si>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</si>
  <si>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</si>
  <si>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</si>
  <si>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</si>
  <si>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</si>
  <si>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</si>
  <si>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</si>
  <si>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</si>
  <si>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</si>
  <si>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</si>
  <si>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</si>
  <si>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</si>
  <si>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</si>
  <si>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</si>
  <si>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</si>
  <si>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</si>
  <si>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</si>
  <si>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</si>
  <si>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</si>
  <si>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</si>
  <si>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</si>
  <si>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</si>
  <si>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</si>
  <si>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</si>
  <si>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</si>
  <si>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</si>
  <si>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</si>
  <si>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</si>
  <si>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</si>
  <si>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</si>
  <si>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</si>
  <si>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</si>
  <si>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</si>
  <si>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</si>
  <si>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</si>
  <si>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</si>
  <si>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</si>
  <si>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</si>
  <si>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</si>
  <si>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</si>
  <si>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</si>
  <si>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</si>
  <si>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</si>
  <si>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</si>
  <si>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</si>
  <si>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</si>
  <si>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</si>
  <si>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</si>
  <si>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</si>
  <si>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</si>
  <si>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</si>
  <si>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</si>
  <si>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</si>
  <si>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</si>
  <si>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</si>
  <si>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</si>
  <si>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</si>
  <si>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</si>
  <si>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</si>
  <si>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</si>
  <si>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</si>
  <si>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</si>
  <si>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</si>
  <si>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</si>
  <si>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</si>
  <si>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</si>
  <si>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</si>
  <si>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</si>
  <si>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</si>
  <si>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</si>
  <si>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</si>
  <si>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</si>
  <si>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</si>
  <si>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</si>
  <si>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</si>
  <si>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</si>
  <si>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</si>
  <si>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</si>
  <si>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</si>
  <si>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</si>
  <si>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</si>
  <si>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</si>
  <si>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</si>
  <si>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</si>
  <si>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</si>
  <si>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</si>
  <si>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</si>
  <si>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</si>
  <si>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</si>
  <si>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</si>
  <si>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</si>
  <si>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</si>
  <si>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</si>
  <si>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</si>
  <si>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</si>
  <si>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</si>
  <si>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</si>
  <si>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</si>
  <si>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</si>
  <si>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</si>
  <si>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</si>
  <si>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</si>
  <si>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</si>
  <si>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</si>
  <si>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</si>
  <si>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</si>
  <si>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</si>
  <si>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</si>
  <si>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</si>
  <si>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</si>
  <si>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</si>
  <si>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</si>
  <si>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</si>
  <si>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</si>
  <si>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</si>
  <si>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</si>
  <si>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</si>
  <si>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</si>
  <si>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</si>
  <si>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</si>
  <si>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</si>
  <si>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</si>
  <si>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</si>
  <si>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</si>
  <si>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</si>
  <si>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</si>
  <si>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</si>
  <si>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</si>
  <si>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</si>
  <si>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</si>
  <si>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</si>
  <si>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</si>
  <si>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</si>
  <si>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</si>
  <si>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</si>
  <si>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</si>
  <si>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</si>
  <si>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</si>
  <si>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</si>
  <si>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</si>
  <si>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</si>
  <si>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</si>
  <si>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</si>
  <si>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</si>
  <si>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</si>
  <si>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</si>
  <si>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</si>
  <si>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</si>
  <si>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</si>
  <si>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</si>
  <si>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</si>
  <si>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</si>
  <si>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</si>
  <si>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</si>
  <si>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</si>
  <si>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</si>
  <si>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</si>
  <si>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</si>
  <si>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</si>
  <si>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</si>
  <si>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</si>
  <si>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</si>
  <si>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</si>
  <si>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</si>
  <si>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</si>
  <si>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</si>
  <si>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</si>
  <si>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</si>
  <si>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</si>
  <si>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</si>
  <si>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</si>
  <si>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</si>
  <si>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</si>
  <si>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</si>
  <si>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</si>
  <si>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</si>
  <si>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</si>
  <si>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</si>
  <si>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</si>
  <si>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</si>
  <si>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</si>
  <si>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</si>
  <si>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</si>
  <si>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</si>
  <si>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</si>
  <si>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</si>
  <si>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</si>
  <si>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</si>
  <si>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</si>
  <si>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</si>
  <si>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</si>
  <si>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</si>
  <si>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</si>
  <si>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</si>
  <si>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</si>
  <si>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</si>
  <si>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</si>
  <si>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</si>
  <si>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</si>
  <si>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</si>
  <si>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</si>
  <si>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</si>
  <si>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</si>
  <si>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</si>
  <si>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</si>
  <si>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</si>
  <si>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</si>
  <si>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</si>
  <si>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</si>
  <si>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</si>
  <si>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</si>
  <si>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</si>
  <si>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</si>
  <si>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</si>
  <si>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</si>
  <si>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</si>
  <si>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</si>
  <si>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</si>
  <si>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</si>
  <si>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</si>
  <si>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</si>
  <si>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</si>
  <si>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</si>
  <si>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</si>
  <si>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</si>
  <si>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</si>
  <si>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</si>
  <si>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</si>
  <si>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</si>
  <si>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</si>
  <si>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</si>
  <si>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</si>
  <si>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</si>
  <si>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</si>
  <si>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</si>
  <si>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</si>
  <si>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</si>
  <si>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</si>
  <si>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</si>
  <si>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</si>
  <si>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</si>
  <si>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</si>
  <si>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</si>
  <si>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</si>
  <si>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</si>
  <si>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</si>
  <si>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</si>
  <si>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</si>
  <si>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</si>
  <si>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</si>
  <si>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</si>
  <si>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</si>
  <si>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</si>
  <si>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</si>
  <si>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</si>
  <si>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</si>
  <si>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</si>
  <si>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北京奥尼斯特房地产开发有限公司</t>
    <phoneticPr fontId="1" type="noConversion"/>
  </si>
  <si>
    <t>北京市</t>
    <phoneticPr fontId="1" type="noConversion"/>
  </si>
  <si>
    <t>杨臣</t>
    <phoneticPr fontId="1" type="noConversion"/>
  </si>
  <si>
    <t>北京时代风格幕墙装饰技术服务有限公司</t>
    <phoneticPr fontId="1" type="noConversion"/>
  </si>
  <si>
    <t>否</t>
    <phoneticPr fontId="1" type="noConversion"/>
  </si>
  <si>
    <t>完工</t>
    <phoneticPr fontId="1" type="noConversion"/>
  </si>
  <si>
    <t>XMF12-37</t>
  </si>
  <si>
    <t>XMF12-38</t>
  </si>
  <si>
    <t>XMF12-39</t>
  </si>
  <si>
    <t>XMF12-40</t>
  </si>
  <si>
    <t>XMF12-41</t>
  </si>
  <si>
    <t>XMF12-42</t>
  </si>
  <si>
    <t>XMF12-43</t>
  </si>
  <si>
    <t>XMF12-44</t>
  </si>
  <si>
    <t>XMF12-45</t>
  </si>
  <si>
    <t>管庄</t>
    <phoneticPr fontId="1" type="noConversion"/>
  </si>
  <si>
    <t>西北旺六里屯农民定置点定向房</t>
    <phoneticPr fontId="1" type="noConversion"/>
  </si>
  <si>
    <t>项目部</t>
    <phoneticPr fontId="1" type="noConversion"/>
  </si>
  <si>
    <t>中建一局集团第三建筑有限公司/中航天建设工程有限公司/北京昊海建设有限公司</t>
    <phoneticPr fontId="1" type="noConversion"/>
  </si>
  <si>
    <t>北京军建凯达幕墙装饰有限公司</t>
    <phoneticPr fontId="1" type="noConversion"/>
  </si>
  <si>
    <t>0097765</t>
    <phoneticPr fontId="1" type="noConversion"/>
  </si>
  <si>
    <t>中国劳动关系学院修缮工程涿州校区（一）</t>
    <phoneticPr fontId="1" type="noConversion"/>
  </si>
  <si>
    <t>项目部</t>
    <phoneticPr fontId="1" type="noConversion"/>
  </si>
  <si>
    <t>北京韩建集团有限公司</t>
    <phoneticPr fontId="1" type="noConversion"/>
  </si>
  <si>
    <t>孙超</t>
    <phoneticPr fontId="1" type="noConversion"/>
  </si>
  <si>
    <t>3166160</t>
    <phoneticPr fontId="1" type="noConversion"/>
  </si>
  <si>
    <t>三河</t>
    <phoneticPr fontId="1" type="noConversion"/>
  </si>
  <si>
    <t>朝阳区东坝驹子房农民定向房1#-4#楼</t>
    <phoneticPr fontId="1" type="noConversion"/>
  </si>
  <si>
    <t>北京市朝阳城市建设综合开发公司</t>
    <phoneticPr fontId="1" type="noConversion"/>
  </si>
  <si>
    <t>北京市</t>
    <phoneticPr fontId="1" type="noConversion"/>
  </si>
  <si>
    <t>余斌</t>
    <phoneticPr fontId="1" type="noConversion"/>
  </si>
  <si>
    <t>3166145</t>
    <phoneticPr fontId="1" type="noConversion"/>
  </si>
  <si>
    <t>管庄</t>
    <phoneticPr fontId="1" type="noConversion"/>
  </si>
  <si>
    <t>中国劳动关系学院涿州校区办公楼（二）</t>
    <phoneticPr fontId="1" type="noConversion"/>
  </si>
  <si>
    <t>河北省第二建筑工程公司第二分公司</t>
    <phoneticPr fontId="1" type="noConversion"/>
  </si>
  <si>
    <t>河北涿州</t>
    <phoneticPr fontId="1" type="noConversion"/>
  </si>
  <si>
    <t>3088681</t>
    <phoneticPr fontId="1" type="noConversion"/>
  </si>
  <si>
    <t>中国劳动关系学院一号公寓楼</t>
    <phoneticPr fontId="1" type="noConversion"/>
  </si>
  <si>
    <t>北京城通新新建设有限公司</t>
    <phoneticPr fontId="1" type="noConversion"/>
  </si>
  <si>
    <t>3166159</t>
    <phoneticPr fontId="1" type="noConversion"/>
  </si>
  <si>
    <t>任丘市人民医院迁建工程</t>
    <phoneticPr fontId="1" type="noConversion"/>
  </si>
  <si>
    <t>鹏达建设集团有限公司</t>
    <phoneticPr fontId="1" type="noConversion"/>
  </si>
  <si>
    <t>任丘市</t>
    <phoneticPr fontId="1" type="noConversion"/>
  </si>
  <si>
    <t>王治国</t>
    <phoneticPr fontId="1" type="noConversion"/>
  </si>
  <si>
    <t>0027039</t>
    <phoneticPr fontId="1" type="noConversion"/>
  </si>
  <si>
    <t>亦庄</t>
    <phoneticPr fontId="1" type="noConversion"/>
  </si>
  <si>
    <t>北影厂</t>
    <phoneticPr fontId="1" type="noConversion"/>
  </si>
  <si>
    <t>北京城建北方建设有限责任公司</t>
    <phoneticPr fontId="1" type="noConversion"/>
  </si>
  <si>
    <t>3166150</t>
    <phoneticPr fontId="1" type="noConversion"/>
  </si>
  <si>
    <t>亦庄</t>
    <phoneticPr fontId="1" type="noConversion"/>
  </si>
  <si>
    <t>沈阳桃仙机场T3航站楼金属屋面工程</t>
    <phoneticPr fontId="1" type="noConversion"/>
  </si>
  <si>
    <t>森特士兴集团股份有限公司</t>
    <phoneticPr fontId="1" type="noConversion"/>
  </si>
  <si>
    <t>辽宁沈阳</t>
    <phoneticPr fontId="1" type="noConversion"/>
  </si>
  <si>
    <t>0097777</t>
    <phoneticPr fontId="1" type="noConversion"/>
  </si>
  <si>
    <t>新园区西区行政办公楼留学生公寓</t>
    <phoneticPr fontId="1" type="noConversion"/>
  </si>
  <si>
    <t>中国科学院研究生院</t>
    <phoneticPr fontId="1" type="noConversion"/>
  </si>
  <si>
    <t>3088692</t>
    <phoneticPr fontId="1" type="noConversion"/>
  </si>
  <si>
    <t>研发中心等2项工程</t>
    <phoneticPr fontId="1" type="noConversion"/>
  </si>
  <si>
    <t>中建一局集团第二建筑有限公司</t>
    <phoneticPr fontId="1" type="noConversion"/>
  </si>
  <si>
    <t>3088693</t>
    <phoneticPr fontId="1" type="noConversion"/>
  </si>
  <si>
    <t>XMF12-48</t>
  </si>
  <si>
    <t>XMF12-49</t>
  </si>
  <si>
    <t>XMF12-50</t>
  </si>
  <si>
    <t>衙门口A1-3（1#楼及地下室）</t>
    <phoneticPr fontId="1" type="noConversion"/>
  </si>
  <si>
    <t>北京天石基业房地产开发有限公司</t>
    <phoneticPr fontId="1" type="noConversion"/>
  </si>
  <si>
    <t>3166156</t>
    <phoneticPr fontId="1" type="noConversion"/>
  </si>
  <si>
    <t>61599部队清河经济适用住房工程</t>
    <phoneticPr fontId="1" type="noConversion"/>
  </si>
  <si>
    <t>中科筑诚建设工程有限公司</t>
    <phoneticPr fontId="1" type="noConversion"/>
  </si>
  <si>
    <t>吴荣</t>
    <phoneticPr fontId="1" type="noConversion"/>
  </si>
  <si>
    <t>3088698</t>
    <phoneticPr fontId="1" type="noConversion"/>
  </si>
  <si>
    <t>大同市北城郡项目售楼处门窗工程</t>
    <phoneticPr fontId="1" type="noConversion"/>
  </si>
  <si>
    <t>大同市鸿浩房地产开发有限公司</t>
    <phoneticPr fontId="1" type="noConversion"/>
  </si>
  <si>
    <t>山西省大同市</t>
    <phoneticPr fontId="1" type="noConversion"/>
  </si>
  <si>
    <t>杨广</t>
    <phoneticPr fontId="1" type="noConversion"/>
  </si>
  <si>
    <t>0019526</t>
    <phoneticPr fontId="1" type="noConversion"/>
  </si>
  <si>
    <t>异地交税</t>
    <phoneticPr fontId="1" type="noConversion"/>
  </si>
  <si>
    <t>XMF12-52</t>
  </si>
  <si>
    <t>XMF12-53</t>
  </si>
  <si>
    <t>XMF12-54</t>
  </si>
  <si>
    <t>XMF12-55</t>
  </si>
  <si>
    <t>XMF12-56</t>
  </si>
  <si>
    <t>XMF12-57</t>
  </si>
  <si>
    <t>XMF12-58</t>
  </si>
  <si>
    <t>XMF12-59</t>
  </si>
  <si>
    <t>模拟训练楼及空勤接待站</t>
    <phoneticPr fontId="1" type="noConversion"/>
  </si>
  <si>
    <t>中国人民机房军海军模拟飞行训练中心</t>
    <phoneticPr fontId="1" type="noConversion"/>
  </si>
  <si>
    <t>3088689</t>
    <phoneticPr fontId="1" type="noConversion"/>
  </si>
  <si>
    <t>北京瀛海西区定向安置房</t>
    <phoneticPr fontId="1" type="noConversion"/>
  </si>
  <si>
    <t>天元建设集团有限公司（北京公司）</t>
    <phoneticPr fontId="1" type="noConversion"/>
  </si>
  <si>
    <t>付仁福</t>
    <phoneticPr fontId="1" type="noConversion"/>
  </si>
  <si>
    <t>0019528</t>
    <phoneticPr fontId="1" type="noConversion"/>
  </si>
  <si>
    <t>北京军区1016工程外立面装饰玻璃</t>
    <phoneticPr fontId="1" type="noConversion"/>
  </si>
  <si>
    <t>北京六建集团有限责任公司</t>
    <phoneticPr fontId="1" type="noConversion"/>
  </si>
  <si>
    <t>魏增坡</t>
    <phoneticPr fontId="1" type="noConversion"/>
  </si>
  <si>
    <t>北京和平泛华装饰有限公司</t>
    <phoneticPr fontId="1" type="noConversion"/>
  </si>
  <si>
    <t>吴海涛</t>
    <phoneticPr fontId="1" type="noConversion"/>
  </si>
  <si>
    <t>否</t>
    <phoneticPr fontId="1" type="noConversion"/>
  </si>
  <si>
    <t>0027027</t>
    <phoneticPr fontId="1" type="noConversion"/>
  </si>
  <si>
    <t>XMF10-12</t>
  </si>
  <si>
    <t>XMF10-14</t>
  </si>
  <si>
    <t>XMF10-16</t>
  </si>
  <si>
    <t>XMF10-17</t>
  </si>
  <si>
    <t>XMF10-18</t>
  </si>
  <si>
    <t>XMF10-19</t>
  </si>
  <si>
    <t>XMF10-20</t>
  </si>
  <si>
    <t>XMF10-22</t>
  </si>
  <si>
    <t>XMF10-24</t>
  </si>
  <si>
    <t>XMF10-25</t>
  </si>
  <si>
    <t>XMF10-28</t>
  </si>
  <si>
    <t>XMF10-29</t>
  </si>
  <si>
    <t>XMF10-30</t>
  </si>
  <si>
    <t>XMF10-31</t>
  </si>
  <si>
    <t>XMF10-32</t>
  </si>
  <si>
    <t>XMF10-34</t>
  </si>
  <si>
    <t>XMF10-35</t>
  </si>
  <si>
    <t>XMF10-36</t>
  </si>
  <si>
    <t>XMF10-37</t>
  </si>
  <si>
    <t>山东潍坊泰华白浪河假日广场</t>
    <phoneticPr fontId="1" type="noConversion"/>
  </si>
  <si>
    <t>山东大墉置业有限公司</t>
    <phoneticPr fontId="1" type="noConversion"/>
  </si>
  <si>
    <t>山东潍坊</t>
    <phoneticPr fontId="1" type="noConversion"/>
  </si>
  <si>
    <t>完工</t>
    <phoneticPr fontId="1" type="noConversion"/>
  </si>
  <si>
    <t>XMF09-08</t>
    <phoneticPr fontId="1" type="noConversion"/>
  </si>
  <si>
    <t>维斯塔斯泰达叶片三期</t>
    <phoneticPr fontId="1" type="noConversion"/>
  </si>
  <si>
    <t>中国三安建设工程有限公司</t>
    <phoneticPr fontId="1" type="noConversion"/>
  </si>
  <si>
    <t>天津市</t>
    <phoneticPr fontId="1" type="noConversion"/>
  </si>
  <si>
    <t>王军</t>
    <phoneticPr fontId="1" type="noConversion"/>
  </si>
  <si>
    <t xml:space="preserve"> 北京兴安伟业门窗有限公司</t>
    <phoneticPr fontId="1" type="noConversion"/>
  </si>
  <si>
    <t>王军</t>
    <phoneticPr fontId="1" type="noConversion"/>
  </si>
  <si>
    <t>异地交税</t>
    <phoneticPr fontId="1" type="noConversion"/>
  </si>
  <si>
    <t>亦庄</t>
    <phoneticPr fontId="1" type="noConversion"/>
  </si>
  <si>
    <t>宁波站改造工程</t>
    <phoneticPr fontId="1" type="noConversion"/>
  </si>
  <si>
    <t>杨如林</t>
    <phoneticPr fontId="1" type="noConversion"/>
  </si>
  <si>
    <t>0027023</t>
    <phoneticPr fontId="1" type="noConversion"/>
  </si>
  <si>
    <t>门头沟新城冯村（一期）别墅</t>
    <phoneticPr fontId="1" type="noConversion"/>
  </si>
  <si>
    <t>华润置地发展（北京）有限公司</t>
    <phoneticPr fontId="1" type="noConversion"/>
  </si>
  <si>
    <t>北京市</t>
    <phoneticPr fontId="1" type="noConversion"/>
  </si>
  <si>
    <t>0027644</t>
    <phoneticPr fontId="1" type="noConversion"/>
  </si>
  <si>
    <t>3046工程3.4号楼铝合金门窗</t>
    <phoneticPr fontId="1" type="noConversion"/>
  </si>
  <si>
    <t>61539部队</t>
    <phoneticPr fontId="1" type="noConversion"/>
  </si>
  <si>
    <t>霍林宝</t>
    <phoneticPr fontId="1" type="noConversion"/>
  </si>
  <si>
    <t>0019532</t>
    <phoneticPr fontId="1" type="noConversion"/>
  </si>
  <si>
    <t>海淀区清河镇二期工程</t>
    <phoneticPr fontId="1" type="noConversion"/>
  </si>
  <si>
    <t>北京华润新镇置业有限责任公司</t>
    <phoneticPr fontId="1" type="noConversion"/>
  </si>
  <si>
    <t>北京和平简商贸有限公司</t>
    <phoneticPr fontId="1" type="noConversion"/>
  </si>
  <si>
    <t>马冬雷</t>
    <phoneticPr fontId="1" type="noConversion"/>
  </si>
  <si>
    <t>否</t>
    <phoneticPr fontId="1" type="noConversion"/>
  </si>
  <si>
    <t>0027022</t>
    <phoneticPr fontId="1" type="noConversion"/>
  </si>
  <si>
    <t>管庄</t>
    <phoneticPr fontId="1" type="noConversion"/>
  </si>
  <si>
    <t>中国铁建国际城销售展示中心</t>
    <phoneticPr fontId="1" type="noConversion"/>
  </si>
  <si>
    <t>中铁建设集团有限公司天津分公司</t>
    <phoneticPr fontId="1" type="noConversion"/>
  </si>
  <si>
    <t>于洋</t>
    <phoneticPr fontId="1" type="noConversion"/>
  </si>
  <si>
    <t>XMF11-01</t>
    <phoneticPr fontId="1" type="noConversion"/>
  </si>
  <si>
    <t>XMF11-02</t>
  </si>
  <si>
    <t>XMF11-03</t>
  </si>
  <si>
    <t>XMF11-04</t>
  </si>
  <si>
    <t>XMF11-05</t>
  </si>
  <si>
    <t>XMF11-06</t>
  </si>
  <si>
    <t>XMF11-07</t>
  </si>
  <si>
    <t>XMF11-09</t>
  </si>
  <si>
    <t>XMF11-10</t>
  </si>
  <si>
    <t>XMF11-11</t>
  </si>
  <si>
    <t>XMF11-12</t>
  </si>
  <si>
    <t>XMF11-13</t>
  </si>
  <si>
    <t>XMF11-14</t>
  </si>
  <si>
    <t>XMF11-15</t>
  </si>
  <si>
    <t>XMF11-16</t>
  </si>
  <si>
    <t>XMF11-17</t>
  </si>
  <si>
    <t>XMF11-18</t>
  </si>
  <si>
    <t>XMF11-19</t>
  </si>
  <si>
    <t>XMF11-20</t>
  </si>
  <si>
    <t>望京东湖三期</t>
    <phoneticPr fontId="1" type="noConversion"/>
  </si>
  <si>
    <t>北京市东湖房地产有限公司</t>
    <phoneticPr fontId="1" type="noConversion"/>
  </si>
  <si>
    <t>袁朝辉</t>
    <phoneticPr fontId="1" type="noConversion"/>
  </si>
  <si>
    <t>北京嘉盛绿城化工程有限公司</t>
    <phoneticPr fontId="1" type="noConversion"/>
  </si>
  <si>
    <t>太原万国城项目</t>
    <phoneticPr fontId="1" type="noConversion"/>
  </si>
  <si>
    <t>广东兴发幕墙工程有限公司\上海金浦装潢工程有限公司</t>
    <phoneticPr fontId="1" type="noConversion"/>
  </si>
  <si>
    <t>山西太原</t>
    <phoneticPr fontId="1" type="noConversion"/>
  </si>
  <si>
    <t>奥宇科技1号厂房等六项铝合金窗工程</t>
    <phoneticPr fontId="1" type="noConversion"/>
  </si>
  <si>
    <t>北京奥宇科技企业孵化器有限责任公司</t>
    <phoneticPr fontId="1" type="noConversion"/>
  </si>
  <si>
    <t>金生文</t>
    <phoneticPr fontId="1" type="noConversion"/>
  </si>
  <si>
    <t>亦庄</t>
    <phoneticPr fontId="1" type="noConversion"/>
  </si>
  <si>
    <t>北京同仁堂厂房等7项工程</t>
    <phoneticPr fontId="1" type="noConversion"/>
  </si>
  <si>
    <t>北京天恒建设工程有限公司</t>
    <phoneticPr fontId="1" type="noConversion"/>
  </si>
  <si>
    <t>北京市</t>
    <phoneticPr fontId="1" type="noConversion"/>
  </si>
  <si>
    <t>王军</t>
    <phoneticPr fontId="1" type="noConversion"/>
  </si>
  <si>
    <t>管庄</t>
    <phoneticPr fontId="1" type="noConversion"/>
  </si>
  <si>
    <t>无锡东站</t>
    <phoneticPr fontId="1" type="noConversion"/>
  </si>
  <si>
    <t>中铁建设集团有限公司</t>
    <phoneticPr fontId="1" type="noConversion"/>
  </si>
  <si>
    <t>江苏无锡</t>
    <phoneticPr fontId="1" type="noConversion"/>
  </si>
  <si>
    <t>杨如林</t>
    <phoneticPr fontId="1" type="noConversion"/>
  </si>
  <si>
    <t>泰华龙旗广场1#幕墙</t>
    <phoneticPr fontId="1" type="noConversion"/>
  </si>
  <si>
    <t>北京市泰华房地产开发集团有限公司</t>
    <phoneticPr fontId="1" type="noConversion"/>
  </si>
  <si>
    <t>张永忠</t>
    <phoneticPr fontId="1" type="noConversion"/>
  </si>
  <si>
    <t>XMF10-33</t>
    <phoneticPr fontId="1" type="noConversion"/>
  </si>
  <si>
    <t>泰华龙旗广场4#楼幕墙工程</t>
    <phoneticPr fontId="1" type="noConversion"/>
  </si>
  <si>
    <t>北京市</t>
    <phoneticPr fontId="1" type="noConversion"/>
  </si>
  <si>
    <t>张永忠</t>
    <phoneticPr fontId="1" type="noConversion"/>
  </si>
  <si>
    <t>管庄</t>
    <phoneticPr fontId="1" type="noConversion"/>
  </si>
  <si>
    <t>朝来高科技产业园9#-15#外装饰工程</t>
    <phoneticPr fontId="1" type="noConversion"/>
  </si>
  <si>
    <t>北京市朝阳田华建筑集团公司第八分公司</t>
    <phoneticPr fontId="1" type="noConversion"/>
  </si>
  <si>
    <t>杨杰</t>
    <phoneticPr fontId="1" type="noConversion"/>
  </si>
  <si>
    <t>北京朗奥科技发展有限公司</t>
    <phoneticPr fontId="1" type="noConversion"/>
  </si>
  <si>
    <t>王丽梅</t>
    <phoneticPr fontId="1" type="noConversion"/>
  </si>
  <si>
    <t>否</t>
    <phoneticPr fontId="1" type="noConversion"/>
  </si>
  <si>
    <t>幸福二村B区综合楼</t>
    <phoneticPr fontId="1" type="noConversion"/>
  </si>
  <si>
    <t>北京城市开发集团有限责任公司望京新城分公司</t>
    <phoneticPr fontId="1" type="noConversion"/>
  </si>
  <si>
    <t>江志真</t>
    <phoneticPr fontId="1" type="noConversion"/>
  </si>
  <si>
    <t>上上城商住楼断桥铝窗制作安装工程</t>
    <phoneticPr fontId="1" type="noConversion"/>
  </si>
  <si>
    <t>山西创景房地产开发有限公司</t>
    <phoneticPr fontId="1" type="noConversion"/>
  </si>
  <si>
    <t>山西太原</t>
    <phoneticPr fontId="1" type="noConversion"/>
  </si>
  <si>
    <t>罗洪波</t>
    <phoneticPr fontId="1" type="noConversion"/>
  </si>
  <si>
    <t>北京业永兴装饰有限公司</t>
    <phoneticPr fontId="1" type="noConversion"/>
  </si>
  <si>
    <t>叶立平</t>
    <phoneticPr fontId="1" type="noConversion"/>
  </si>
  <si>
    <t>三河</t>
    <phoneticPr fontId="1" type="noConversion"/>
  </si>
  <si>
    <t>唐山市橡树湾售楼处</t>
    <phoneticPr fontId="1" type="noConversion"/>
  </si>
  <si>
    <t>河北唐山</t>
    <phoneticPr fontId="1" type="noConversion"/>
  </si>
  <si>
    <t>矿冶总院新建住宅1-2#楼</t>
    <phoneticPr fontId="1" type="noConversion"/>
  </si>
  <si>
    <t>北京市幸来门窗厂</t>
    <phoneticPr fontId="1" type="noConversion"/>
  </si>
  <si>
    <t>北京邦士富生物科技有限公司</t>
    <phoneticPr fontId="1" type="noConversion"/>
  </si>
  <si>
    <t>邵加奇</t>
    <phoneticPr fontId="1" type="noConversion"/>
  </si>
  <si>
    <t>北京六建集团有限责任公司工程管理分公司\北京六建集团有限责任公司</t>
    <phoneticPr fontId="1" type="noConversion"/>
  </si>
  <si>
    <t>百顺达花园北区69栋别墅</t>
    <phoneticPr fontId="1" type="noConversion"/>
  </si>
  <si>
    <t>北京百顺达房地产开发有限公司</t>
    <phoneticPr fontId="1" type="noConversion"/>
  </si>
  <si>
    <t>杨广</t>
    <phoneticPr fontId="1" type="noConversion"/>
  </si>
  <si>
    <t>对外经济贸易大学</t>
    <phoneticPr fontId="1" type="noConversion"/>
  </si>
  <si>
    <t>中城建第五工程局有限公司</t>
    <phoneticPr fontId="1" type="noConversion"/>
  </si>
  <si>
    <t>陈建中</t>
    <phoneticPr fontId="1" type="noConversion"/>
  </si>
  <si>
    <t>北京美恒源装饰有限公司</t>
    <phoneticPr fontId="1" type="noConversion"/>
  </si>
  <si>
    <t>西红门理想城</t>
    <phoneticPr fontId="1" type="noConversion"/>
  </si>
  <si>
    <t>杨佳</t>
    <phoneticPr fontId="1" type="noConversion"/>
  </si>
  <si>
    <t>城市动力仓储A1仓储用房</t>
    <phoneticPr fontId="1" type="noConversion"/>
  </si>
  <si>
    <t>北京城乡建设集团有限责任公司工程承包总部</t>
    <phoneticPr fontId="1" type="noConversion"/>
  </si>
  <si>
    <t>国合建设集团有限公司</t>
    <phoneticPr fontId="1" type="noConversion"/>
  </si>
  <si>
    <t>肯尼亚</t>
    <phoneticPr fontId="1" type="noConversion"/>
  </si>
  <si>
    <t>XMF11-49</t>
  </si>
  <si>
    <t>XMF11-50</t>
  </si>
  <si>
    <t>XMF11-51</t>
  </si>
  <si>
    <t>XMF11-52</t>
  </si>
  <si>
    <t>XMF11-53</t>
  </si>
  <si>
    <t>XMF11-54</t>
  </si>
  <si>
    <t>XMF11-55</t>
  </si>
  <si>
    <t>XMF11-56</t>
  </si>
  <si>
    <t>XMF11-57</t>
  </si>
  <si>
    <t>XMF11-58</t>
  </si>
  <si>
    <t>XMF11-59</t>
  </si>
  <si>
    <t>经济适用房及回迁项目0902、0804、0306地块</t>
    <phoneticPr fontId="1" type="noConversion"/>
  </si>
  <si>
    <t>北京市</t>
    <phoneticPr fontId="1" type="noConversion"/>
  </si>
  <si>
    <t>三河市益吉装饰工程有限公司</t>
    <phoneticPr fontId="1" type="noConversion"/>
  </si>
  <si>
    <t>0099981</t>
    <phoneticPr fontId="1" type="noConversion"/>
  </si>
  <si>
    <t>完工</t>
    <phoneticPr fontId="1" type="noConversion"/>
  </si>
  <si>
    <t>XMF09-09</t>
  </si>
  <si>
    <t>XMF09-11</t>
  </si>
  <si>
    <t>XMF09-17</t>
  </si>
  <si>
    <t>亦庄X17R1地块住宅楼项目</t>
    <phoneticPr fontId="1" type="noConversion"/>
  </si>
  <si>
    <t>中建二局第三建筑工程有限公司</t>
    <phoneticPr fontId="1" type="noConversion"/>
  </si>
  <si>
    <t>赵洪明</t>
    <phoneticPr fontId="1" type="noConversion"/>
  </si>
  <si>
    <t>营口兴盛铝塑框格有限公司</t>
    <phoneticPr fontId="1" type="noConversion"/>
  </si>
  <si>
    <t>否</t>
    <phoneticPr fontId="1" type="noConversion"/>
  </si>
  <si>
    <t>亦庄</t>
    <phoneticPr fontId="1" type="noConversion"/>
  </si>
  <si>
    <t>XMF10-52</t>
  </si>
  <si>
    <t>XMF10-53</t>
  </si>
  <si>
    <t>XMF10-56</t>
  </si>
  <si>
    <t>XMF10-57</t>
  </si>
  <si>
    <t>XMF10-59</t>
  </si>
  <si>
    <t>XMF10-60</t>
  </si>
  <si>
    <t>XMF10-61</t>
  </si>
  <si>
    <t>XMF10-62</t>
  </si>
  <si>
    <t>XMF10-63</t>
  </si>
  <si>
    <t>蔚蓝海岸花园3#-6#住宅楼</t>
    <phoneticPr fontId="1" type="noConversion"/>
  </si>
  <si>
    <t>廊坊蔚蓝房地产开发有限公司</t>
    <phoneticPr fontId="1" type="noConversion"/>
  </si>
  <si>
    <t>河北廊坊</t>
    <phoneticPr fontId="1" type="noConversion"/>
  </si>
  <si>
    <t>北京和平简商贸有限公司</t>
    <phoneticPr fontId="1" type="noConversion"/>
  </si>
  <si>
    <t>XMF11-22</t>
  </si>
  <si>
    <t>XMF11-23</t>
  </si>
  <si>
    <t>XMF11-24</t>
  </si>
  <si>
    <t>XMF11-26</t>
  </si>
  <si>
    <t>XMF11-27</t>
  </si>
  <si>
    <t>XMF11-28</t>
  </si>
  <si>
    <t>XMF11-29</t>
  </si>
  <si>
    <t>XMF11-30</t>
  </si>
  <si>
    <t>XMF11-33</t>
  </si>
  <si>
    <t xml:space="preserve"> </t>
    <phoneticPr fontId="1" type="noConversion"/>
  </si>
  <si>
    <t>亦庄</t>
    <phoneticPr fontId="1" type="noConversion"/>
  </si>
  <si>
    <t>普洛斯空港物流B5\B6</t>
    <phoneticPr fontId="1" type="noConversion"/>
  </si>
  <si>
    <t>北京市</t>
    <phoneticPr fontId="1" type="noConversion"/>
  </si>
  <si>
    <t>天津上下园村还迁住宅工程</t>
    <phoneticPr fontId="1" type="noConversion"/>
  </si>
  <si>
    <t>北京住总集团有限公司</t>
    <phoneticPr fontId="1" type="noConversion"/>
  </si>
  <si>
    <t>天津市</t>
    <phoneticPr fontId="1" type="noConversion"/>
  </si>
  <si>
    <t>杨杰</t>
    <phoneticPr fontId="1" type="noConversion"/>
  </si>
  <si>
    <t>曲美办公楼</t>
    <phoneticPr fontId="1" type="noConversion"/>
  </si>
  <si>
    <t>北京曲美家具集团有限公司</t>
    <phoneticPr fontId="1" type="noConversion"/>
  </si>
  <si>
    <t>李祥卿</t>
    <phoneticPr fontId="1" type="noConversion"/>
  </si>
  <si>
    <t>北京京祥盛达商贸有限公司</t>
    <phoneticPr fontId="1" type="noConversion"/>
  </si>
  <si>
    <t>否</t>
    <phoneticPr fontId="1" type="noConversion"/>
  </si>
  <si>
    <t>管庄</t>
    <phoneticPr fontId="1" type="noConversion"/>
  </si>
  <si>
    <t>华北制药质检研发楼玻璃幕墙A包工程</t>
    <phoneticPr fontId="1" type="noConversion"/>
  </si>
  <si>
    <t>华北制药股份有限公司</t>
    <phoneticPr fontId="1" type="noConversion"/>
  </si>
  <si>
    <t>河北</t>
    <phoneticPr fontId="1" type="noConversion"/>
  </si>
  <si>
    <t>王刚</t>
    <phoneticPr fontId="1" type="noConversion"/>
  </si>
  <si>
    <t>北京鼎丰源装饰设计有限公司</t>
    <phoneticPr fontId="1" type="noConversion"/>
  </si>
  <si>
    <t>亦庄</t>
    <phoneticPr fontId="1" type="noConversion"/>
  </si>
  <si>
    <t>北京建工一建工程建设有限公司</t>
    <phoneticPr fontId="1" type="noConversion"/>
  </si>
  <si>
    <t>曙光研发楼幕墙工程</t>
    <phoneticPr fontId="1" type="noConversion"/>
  </si>
  <si>
    <t>中国建筑第二工程局有限公司</t>
    <phoneticPr fontId="1" type="noConversion"/>
  </si>
  <si>
    <t>天津市</t>
    <phoneticPr fontId="1" type="noConversion"/>
  </si>
  <si>
    <t>北京市</t>
    <phoneticPr fontId="1" type="noConversion"/>
  </si>
  <si>
    <t>王治国</t>
    <phoneticPr fontId="1" type="noConversion"/>
  </si>
  <si>
    <t>亦庄</t>
    <phoneticPr fontId="1" type="noConversion"/>
  </si>
  <si>
    <t>北京市高级人民法院信访接待楼工程</t>
    <phoneticPr fontId="1" type="noConversion"/>
  </si>
  <si>
    <t>北京市朝阳田华建筑集团公司第一分公司</t>
    <phoneticPr fontId="1" type="noConversion"/>
  </si>
  <si>
    <t>杨广</t>
    <phoneticPr fontId="1" type="noConversion"/>
  </si>
  <si>
    <t>管庄</t>
    <phoneticPr fontId="1" type="noConversion"/>
  </si>
  <si>
    <t>小红门新村二期落地窗工程</t>
    <phoneticPr fontId="1" type="noConversion"/>
  </si>
  <si>
    <t>中科院研究所怀柔区二期4#楼</t>
    <phoneticPr fontId="1" type="noConversion"/>
  </si>
  <si>
    <t>中国科学院电子学研究所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</si>
  <si>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</si>
  <si>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</si>
  <si>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</si>
  <si>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大兴鄂旗尚城珑园项目</t>
    <phoneticPr fontId="1" type="noConversion"/>
  </si>
  <si>
    <t>鄂尔多斯市大兴建筑有限责任公司</t>
    <phoneticPr fontId="1" type="noConversion"/>
  </si>
  <si>
    <t>李祥卿</t>
    <phoneticPr fontId="1" type="noConversion"/>
  </si>
  <si>
    <t>北京经济技术开发区职教园区项目</t>
    <phoneticPr fontId="1" type="noConversion"/>
  </si>
  <si>
    <t>邵明智</t>
    <phoneticPr fontId="1" type="noConversion"/>
  </si>
  <si>
    <t>北京金刚智雄装饰有限公司</t>
    <phoneticPr fontId="1" type="noConversion"/>
  </si>
  <si>
    <t>唐泉广场商业街（一）断桥铝合金门窗</t>
    <phoneticPr fontId="1" type="noConversion"/>
  </si>
  <si>
    <t>天津京首置业有限公司</t>
    <phoneticPr fontId="1" type="noConversion"/>
  </si>
  <si>
    <t>玉渊潭南路9号院门窗改造</t>
    <phoneticPr fontId="1" type="noConversion"/>
  </si>
  <si>
    <t>国务院机关事务管理局</t>
    <phoneticPr fontId="1" type="noConversion"/>
  </si>
  <si>
    <t>姚志刚</t>
    <phoneticPr fontId="1" type="noConversion"/>
  </si>
  <si>
    <t>0082058</t>
    <phoneticPr fontId="1" type="noConversion"/>
  </si>
  <si>
    <t>XMF11-34</t>
  </si>
  <si>
    <t>XMF11-35</t>
  </si>
  <si>
    <t>XMF11-36</t>
  </si>
  <si>
    <t>XMF11-37</t>
  </si>
  <si>
    <t>XMF11-38</t>
  </si>
  <si>
    <t>XMF11-39</t>
  </si>
  <si>
    <t>XMF11-40</t>
  </si>
  <si>
    <t>XMF11-41</t>
  </si>
  <si>
    <t>XMF11-42</t>
  </si>
  <si>
    <t>XMF11-45</t>
  </si>
  <si>
    <t>XMF11-46</t>
  </si>
  <si>
    <t>XMF11-47</t>
  </si>
  <si>
    <t>采育镇安置房项目</t>
    <phoneticPr fontId="1" type="noConversion"/>
  </si>
  <si>
    <t>北京兴创投资有限公司</t>
    <phoneticPr fontId="1" type="noConversion"/>
  </si>
  <si>
    <t>李国强</t>
    <phoneticPr fontId="1" type="noConversion"/>
  </si>
  <si>
    <t>北京建威幕墙工程有限公司</t>
    <phoneticPr fontId="1" type="noConversion"/>
  </si>
  <si>
    <t>李雪刚</t>
    <phoneticPr fontId="1" type="noConversion"/>
  </si>
  <si>
    <t>完工</t>
    <phoneticPr fontId="1" type="noConversion"/>
  </si>
  <si>
    <t>亦庄</t>
    <phoneticPr fontId="1" type="noConversion"/>
  </si>
  <si>
    <t>临空国际综合办公楼工程</t>
    <phoneticPr fontId="1" type="noConversion"/>
  </si>
  <si>
    <t>中北华宇建筑工程公司北京第五工程处</t>
    <phoneticPr fontId="1" type="noConversion"/>
  </si>
  <si>
    <t>北京市</t>
    <phoneticPr fontId="1" type="noConversion"/>
  </si>
  <si>
    <t>韩金峰</t>
    <phoneticPr fontId="1" type="noConversion"/>
  </si>
  <si>
    <t>北京立泽圣鑫科贸有限公司</t>
    <phoneticPr fontId="1" type="noConversion"/>
  </si>
  <si>
    <t xml:space="preserve">胡清慧 </t>
    <phoneticPr fontId="1" type="noConversion"/>
  </si>
  <si>
    <t>否</t>
    <phoneticPr fontId="1" type="noConversion"/>
  </si>
  <si>
    <t>0088601</t>
    <phoneticPr fontId="1" type="noConversion"/>
  </si>
  <si>
    <t>管庄</t>
    <phoneticPr fontId="1" type="noConversion"/>
  </si>
  <si>
    <t>61539部队3122机房及办公楼</t>
    <phoneticPr fontId="1" type="noConversion"/>
  </si>
  <si>
    <t>中国人民解放军61539部队</t>
    <phoneticPr fontId="1" type="noConversion"/>
  </si>
  <si>
    <t>北京市</t>
    <phoneticPr fontId="1" type="noConversion"/>
  </si>
  <si>
    <t>霍林宝</t>
    <phoneticPr fontId="1" type="noConversion"/>
  </si>
  <si>
    <t>2#办公楼等16项项目（玲珑山项目）</t>
    <phoneticPr fontId="1" type="noConversion"/>
  </si>
  <si>
    <t>中建国际建设有限公司</t>
    <phoneticPr fontId="1" type="noConversion"/>
  </si>
  <si>
    <t>姚志刚</t>
    <phoneticPr fontId="1" type="noConversion"/>
  </si>
  <si>
    <t>管庄</t>
    <phoneticPr fontId="1" type="noConversion"/>
  </si>
  <si>
    <t>天津融科贻锦台二期</t>
    <phoneticPr fontId="1" type="noConversion"/>
  </si>
  <si>
    <t>天津市</t>
    <phoneticPr fontId="1" type="noConversion"/>
  </si>
  <si>
    <t>王忠林</t>
    <phoneticPr fontId="1" type="noConversion"/>
  </si>
  <si>
    <t>北京诚信中奥幕墙装饰工程有限公司</t>
    <phoneticPr fontId="1" type="noConversion"/>
  </si>
  <si>
    <t>王忠林</t>
    <phoneticPr fontId="1" type="noConversion"/>
  </si>
  <si>
    <t>怀柔</t>
    <phoneticPr fontId="1" type="noConversion"/>
  </si>
  <si>
    <t>山西长治商务大厦</t>
    <phoneticPr fontId="1" type="noConversion"/>
  </si>
  <si>
    <t>山西天鸿基业房地产开发有限公司</t>
    <phoneticPr fontId="1" type="noConversion"/>
  </si>
  <si>
    <t>山西长治</t>
    <phoneticPr fontId="1" type="noConversion"/>
  </si>
  <si>
    <t>林远平</t>
    <phoneticPr fontId="1" type="noConversion"/>
  </si>
  <si>
    <t xml:space="preserve">北京宜诚华盛装饰工程有限责任公司 </t>
    <phoneticPr fontId="1" type="noConversion"/>
  </si>
  <si>
    <t>张静</t>
    <phoneticPr fontId="1" type="noConversion"/>
  </si>
  <si>
    <t>正和平</t>
    <phoneticPr fontId="1" type="noConversion"/>
  </si>
  <si>
    <t>总政北苑小区铝合金外窗加工</t>
    <phoneticPr fontId="1" type="noConversion"/>
  </si>
  <si>
    <t>北京市</t>
    <phoneticPr fontId="1" type="noConversion"/>
  </si>
  <si>
    <t>昌平</t>
    <phoneticPr fontId="1" type="noConversion"/>
  </si>
  <si>
    <t>中国劳动关系学院图书馆修缮工程</t>
    <phoneticPr fontId="1" type="noConversion"/>
  </si>
  <si>
    <t>北京房修一建筑工程有限公司第六分公司</t>
    <phoneticPr fontId="1" type="noConversion"/>
  </si>
  <si>
    <t>北京市</t>
    <phoneticPr fontId="1" type="noConversion"/>
  </si>
  <si>
    <t>孙超</t>
    <phoneticPr fontId="1" type="noConversion"/>
  </si>
  <si>
    <t>三河</t>
    <phoneticPr fontId="1" type="noConversion"/>
  </si>
  <si>
    <t>房山理工项目示范园3、5号楼门窗</t>
    <phoneticPr fontId="1" type="noConversion"/>
  </si>
  <si>
    <t>北京金地惠达房地产开发有限公司</t>
    <phoneticPr fontId="1" type="noConversion"/>
  </si>
  <si>
    <t>杨广</t>
    <phoneticPr fontId="1" type="noConversion"/>
  </si>
  <si>
    <t>0139133</t>
    <phoneticPr fontId="1" type="noConversion"/>
  </si>
  <si>
    <t>管庄</t>
    <phoneticPr fontId="1" type="noConversion"/>
  </si>
  <si>
    <t>515号座舱透明件厂房</t>
    <phoneticPr fontId="1" type="noConversion"/>
  </si>
  <si>
    <t>中国航空国际建设有限公司</t>
    <phoneticPr fontId="1" type="noConversion"/>
  </si>
  <si>
    <t>金生文</t>
    <phoneticPr fontId="1" type="noConversion"/>
  </si>
  <si>
    <t>0139122</t>
    <phoneticPr fontId="1" type="noConversion"/>
  </si>
  <si>
    <t>亦庄</t>
    <phoneticPr fontId="1" type="noConversion"/>
  </si>
  <si>
    <t>东北旺3号楼工程</t>
    <phoneticPr fontId="1" type="noConversion"/>
  </si>
  <si>
    <t>北京三元长城建筑有限责任公司</t>
    <phoneticPr fontId="1" type="noConversion"/>
  </si>
  <si>
    <t>李金光</t>
    <phoneticPr fontId="1" type="noConversion"/>
  </si>
  <si>
    <t>0139103</t>
    <phoneticPr fontId="1" type="noConversion"/>
  </si>
  <si>
    <t>昌平</t>
    <phoneticPr fontId="1" type="noConversion"/>
  </si>
  <si>
    <t>天津大悦城</t>
    <phoneticPr fontId="1" type="noConversion"/>
  </si>
  <si>
    <t>中建三局建设工程股份有限公司</t>
    <phoneticPr fontId="1" type="noConversion"/>
  </si>
  <si>
    <t>天津市</t>
    <phoneticPr fontId="1" type="noConversion"/>
  </si>
  <si>
    <t>石永亮</t>
    <phoneticPr fontId="1" type="noConversion"/>
  </si>
  <si>
    <t>北京中业建设工程有限公司</t>
    <phoneticPr fontId="1" type="noConversion"/>
  </si>
  <si>
    <t>异地交税</t>
    <phoneticPr fontId="1" type="noConversion"/>
  </si>
  <si>
    <t>橡树湾C1-B</t>
    <phoneticPr fontId="1" type="noConversion"/>
  </si>
  <si>
    <t>北京华润新镇置业有限责任公司</t>
    <phoneticPr fontId="1" type="noConversion"/>
  </si>
  <si>
    <t>余斌</t>
    <phoneticPr fontId="1" type="noConversion"/>
  </si>
  <si>
    <t>0088618</t>
    <phoneticPr fontId="1" type="noConversion"/>
  </si>
  <si>
    <t>三院三十一所82号建筑物工程</t>
    <phoneticPr fontId="1" type="noConversion"/>
  </si>
  <si>
    <t>中航天建设工程有限公司</t>
    <phoneticPr fontId="1" type="noConversion"/>
  </si>
  <si>
    <t>0139135</t>
    <phoneticPr fontId="1" type="noConversion"/>
  </si>
  <si>
    <t>空军9011专机指挥中心工程</t>
    <phoneticPr fontId="1" type="noConversion"/>
  </si>
  <si>
    <t>赵长亮</t>
    <phoneticPr fontId="1" type="noConversion"/>
  </si>
  <si>
    <t>0082041</t>
    <phoneticPr fontId="1" type="noConversion"/>
  </si>
  <si>
    <t>XMF14-30</t>
  </si>
  <si>
    <t>21#住宅楼等18项（25#、26#楼）</t>
    <phoneticPr fontId="1" type="noConversion"/>
  </si>
  <si>
    <t>中国新兴建设开发总公司</t>
    <phoneticPr fontId="1" type="noConversion"/>
  </si>
  <si>
    <t>北京市</t>
    <phoneticPr fontId="1" type="noConversion"/>
  </si>
  <si>
    <t>正常进行</t>
    <phoneticPr fontId="1" type="noConversion"/>
  </si>
  <si>
    <t>昌平</t>
    <phoneticPr fontId="1" type="noConversion"/>
  </si>
  <si>
    <t>925工程6号楼门窗加工及安装工程</t>
    <phoneticPr fontId="1" type="noConversion"/>
  </si>
  <si>
    <t>中国人民解放军63918部队</t>
    <phoneticPr fontId="1" type="noConversion"/>
  </si>
  <si>
    <t>杨广</t>
    <phoneticPr fontId="1" type="noConversion"/>
  </si>
  <si>
    <t>0139136</t>
    <phoneticPr fontId="1" type="noConversion"/>
  </si>
  <si>
    <t>管庄</t>
    <phoneticPr fontId="1" type="noConversion"/>
  </si>
  <si>
    <t>中国科学院研究生院新园区</t>
    <phoneticPr fontId="1" type="noConversion"/>
  </si>
  <si>
    <t>0082060</t>
    <phoneticPr fontId="1" type="noConversion"/>
  </si>
  <si>
    <t>亦庄</t>
    <phoneticPr fontId="1" type="noConversion"/>
  </si>
  <si>
    <t>X80R1地块拆迁安置房项目门窗工程</t>
    <phoneticPr fontId="1" type="noConversion"/>
  </si>
  <si>
    <t>赵洪明</t>
    <phoneticPr fontId="1" type="noConversion"/>
  </si>
  <si>
    <t>北京小汤山空军接待站玻璃幕墙</t>
    <phoneticPr fontId="1" type="noConversion"/>
  </si>
  <si>
    <t>芜湖双翼建筑工程有限公司</t>
    <phoneticPr fontId="1" type="noConversion"/>
  </si>
  <si>
    <t>王军</t>
    <phoneticPr fontId="1" type="noConversion"/>
  </si>
  <si>
    <t>0082042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</si>
  <si>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</si>
  <si>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</si>
  <si>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</si>
  <si>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张永强</t>
    <phoneticPr fontId="1" type="noConversion"/>
  </si>
  <si>
    <t>0097939</t>
    <phoneticPr fontId="1" type="noConversion"/>
  </si>
  <si>
    <t>山东华建</t>
    <phoneticPr fontId="1" type="noConversion"/>
  </si>
  <si>
    <t>德盛凯旋大厦幕墙和开启扇改造</t>
    <phoneticPr fontId="1" type="noConversion"/>
  </si>
  <si>
    <t>中国建筑设计咨询公司</t>
    <phoneticPr fontId="1" type="noConversion"/>
  </si>
  <si>
    <t>董申元</t>
    <phoneticPr fontId="1" type="noConversion"/>
  </si>
  <si>
    <t>北京和平芙蓉商贸有限公司</t>
    <phoneticPr fontId="1" type="noConversion"/>
  </si>
  <si>
    <t>0082045</t>
    <phoneticPr fontId="1" type="noConversion"/>
  </si>
  <si>
    <t>第七届世界草莓大会配套设施建设工程</t>
    <phoneticPr fontId="1" type="noConversion"/>
  </si>
  <si>
    <t>中铁建设集团有限公司</t>
    <phoneticPr fontId="1" type="noConversion"/>
  </si>
  <si>
    <t>杨如林</t>
    <phoneticPr fontId="1" type="noConversion"/>
  </si>
  <si>
    <t>亦庄</t>
    <phoneticPr fontId="1" type="noConversion"/>
  </si>
  <si>
    <t>XMF11-60</t>
  </si>
  <si>
    <t>XMF11-61</t>
  </si>
  <si>
    <t>XMF11-62</t>
  </si>
  <si>
    <t>XMF11-63</t>
  </si>
  <si>
    <t>空军指挥学院</t>
    <phoneticPr fontId="1" type="noConversion"/>
  </si>
  <si>
    <t>贺斌</t>
    <phoneticPr fontId="1" type="noConversion"/>
  </si>
  <si>
    <t>北京博雅实创门窗有限公司</t>
    <phoneticPr fontId="1" type="noConversion"/>
  </si>
  <si>
    <t>否</t>
    <phoneticPr fontId="1" type="noConversion"/>
  </si>
  <si>
    <t>0082049</t>
    <phoneticPr fontId="1" type="noConversion"/>
  </si>
  <si>
    <t>完工</t>
    <phoneticPr fontId="1" type="noConversion"/>
  </si>
  <si>
    <t>红星国际广场3#地块示范区B7\B8</t>
    <phoneticPr fontId="1" type="noConversion"/>
  </si>
  <si>
    <t>天津市华运商贸物业有限公司</t>
    <phoneticPr fontId="1" type="noConversion"/>
  </si>
  <si>
    <t>天津市</t>
    <phoneticPr fontId="1" type="noConversion"/>
  </si>
  <si>
    <t>管庄</t>
    <phoneticPr fontId="1" type="noConversion"/>
  </si>
  <si>
    <t>总政西直门招待所</t>
    <phoneticPr fontId="1" type="noConversion"/>
  </si>
  <si>
    <t>北京市</t>
    <phoneticPr fontId="1" type="noConversion"/>
  </si>
  <si>
    <t>0091930</t>
    <phoneticPr fontId="1" type="noConversion"/>
  </si>
  <si>
    <t>昌平</t>
    <phoneticPr fontId="1" type="noConversion"/>
  </si>
  <si>
    <t>北京富荣兴旺蛋制品有限公司厂房翻建</t>
    <phoneticPr fontId="1" type="noConversion"/>
  </si>
  <si>
    <t>北京富荣兴旺蛋制品有限公司</t>
    <phoneticPr fontId="1" type="noConversion"/>
  </si>
  <si>
    <t>0088613</t>
    <phoneticPr fontId="1" type="noConversion"/>
  </si>
  <si>
    <t>三河</t>
    <phoneticPr fontId="1" type="noConversion"/>
  </si>
  <si>
    <t>XMF07-12</t>
    <phoneticPr fontId="1" type="noConversion"/>
  </si>
  <si>
    <t>鑫兆雅园</t>
    <phoneticPr fontId="1" type="noConversion"/>
  </si>
  <si>
    <t>聂龙</t>
    <phoneticPr fontId="1" type="noConversion"/>
  </si>
  <si>
    <t>北京朗英和平装饰有限公司</t>
    <phoneticPr fontId="1" type="noConversion"/>
  </si>
  <si>
    <t>聂和香</t>
    <phoneticPr fontId="1" type="noConversion"/>
  </si>
  <si>
    <t>XMF10-01</t>
    <phoneticPr fontId="1" type="noConversion"/>
  </si>
  <si>
    <t>XMF10-06</t>
  </si>
  <si>
    <t>XMF10-07</t>
  </si>
  <si>
    <t>XMF10-09</t>
  </si>
  <si>
    <t>XMF10-10</t>
  </si>
  <si>
    <t>鸿府大厦客房（套房）加装铝合金工程</t>
    <phoneticPr fontId="1" type="noConversion"/>
  </si>
  <si>
    <t>项目部</t>
    <phoneticPr fontId="1" type="noConversion"/>
  </si>
  <si>
    <t>中国人民解放军总参管理保障部直属院校招待所</t>
    <phoneticPr fontId="1" type="noConversion"/>
  </si>
  <si>
    <t>北京市</t>
    <phoneticPr fontId="1" type="noConversion"/>
  </si>
  <si>
    <t>北电网络餐厅扩建工程</t>
    <phoneticPr fontId="1" type="noConversion"/>
  </si>
  <si>
    <t>北京望京新兴产业区综合开发公司</t>
    <phoneticPr fontId="1" type="noConversion"/>
  </si>
  <si>
    <t>亦庄</t>
    <phoneticPr fontId="1" type="noConversion"/>
  </si>
  <si>
    <t>中科院软件所4#科研楼</t>
    <phoneticPr fontId="1" type="noConversion"/>
  </si>
  <si>
    <t>中国科学院软件研究所</t>
    <phoneticPr fontId="1" type="noConversion"/>
  </si>
  <si>
    <t>北京市</t>
    <phoneticPr fontId="1" type="noConversion"/>
  </si>
  <si>
    <t>三河</t>
    <phoneticPr fontId="1" type="noConversion"/>
  </si>
  <si>
    <t>大红门退休干部住房</t>
    <phoneticPr fontId="1" type="noConversion"/>
  </si>
  <si>
    <t>江苏省建工集团有限公司/北京建工集团有限责任公司总承包部</t>
    <phoneticPr fontId="1" type="noConversion"/>
  </si>
  <si>
    <t>3号装修改造工程</t>
    <phoneticPr fontId="1" type="noConversion"/>
  </si>
  <si>
    <t>北京市国家安全局</t>
    <phoneticPr fontId="1" type="noConversion"/>
  </si>
  <si>
    <t>北京市</t>
    <phoneticPr fontId="1" type="noConversion"/>
  </si>
  <si>
    <t>于洋</t>
    <phoneticPr fontId="1" type="noConversion"/>
  </si>
  <si>
    <t>亦庄</t>
    <phoneticPr fontId="1" type="noConversion"/>
  </si>
  <si>
    <t>橡树湾C2地块工程</t>
    <phoneticPr fontId="1" type="noConversion"/>
  </si>
  <si>
    <t>北京市</t>
    <phoneticPr fontId="1" type="noConversion"/>
  </si>
  <si>
    <t>管庄</t>
    <phoneticPr fontId="1" type="noConversion"/>
  </si>
  <si>
    <t>航空航天卡机关等2项及音乐厅工程</t>
    <phoneticPr fontId="1" type="noConversion"/>
  </si>
  <si>
    <t>北京航空航天大学</t>
    <phoneticPr fontId="1" type="noConversion"/>
  </si>
  <si>
    <t>北京市</t>
    <phoneticPr fontId="1" type="noConversion"/>
  </si>
  <si>
    <t>曾超</t>
    <phoneticPr fontId="1" type="noConversion"/>
  </si>
  <si>
    <t>北京联建京港科技发展有限公司</t>
    <phoneticPr fontId="1" type="noConversion"/>
  </si>
  <si>
    <t>张翼</t>
    <phoneticPr fontId="1" type="noConversion"/>
  </si>
  <si>
    <t>否</t>
    <phoneticPr fontId="1" type="noConversion"/>
  </si>
  <si>
    <t>中天建设集团有限公司德州分公司</t>
    <phoneticPr fontId="1" type="noConversion"/>
  </si>
  <si>
    <t>管庄</t>
    <phoneticPr fontId="1" type="noConversion"/>
  </si>
  <si>
    <t>北京轨道交通大兴线03标</t>
    <phoneticPr fontId="1" type="noConversion"/>
  </si>
  <si>
    <t>中铁十八局集团有限公司</t>
    <phoneticPr fontId="1" type="noConversion"/>
  </si>
  <si>
    <t>北京市</t>
    <phoneticPr fontId="1" type="noConversion"/>
  </si>
  <si>
    <t>于清阳</t>
    <phoneticPr fontId="1" type="noConversion"/>
  </si>
  <si>
    <t xml:space="preserve">北京建黎佳格装饰有限公司 </t>
    <phoneticPr fontId="1" type="noConversion"/>
  </si>
  <si>
    <t>否</t>
    <phoneticPr fontId="1" type="noConversion"/>
  </si>
  <si>
    <t>内蒙古驻天津办事处综合楼</t>
    <phoneticPr fontId="1" type="noConversion"/>
  </si>
  <si>
    <t>中国对外建设总公司</t>
    <phoneticPr fontId="1" type="noConversion"/>
  </si>
  <si>
    <t>天津市</t>
    <phoneticPr fontId="1" type="noConversion"/>
  </si>
  <si>
    <t>郑先</t>
    <phoneticPr fontId="1" type="noConversion"/>
  </si>
  <si>
    <t>大同市德诚嘉鑫装饰工程有限公司</t>
    <phoneticPr fontId="1" type="noConversion"/>
  </si>
  <si>
    <t>亦庄</t>
    <phoneticPr fontId="1" type="noConversion"/>
  </si>
  <si>
    <t>八角公园项目幕墙、外门窗工程</t>
    <phoneticPr fontId="1" type="noConversion"/>
  </si>
  <si>
    <t>北京嘉岸伟业房地产开发有限公司\国都建设（集团）有限公司北京邦泰分公司</t>
    <phoneticPr fontId="1" type="noConversion"/>
  </si>
  <si>
    <t>北京凯顺腾工程咨询有限公司</t>
    <phoneticPr fontId="1" type="noConversion"/>
  </si>
  <si>
    <t>权海斌</t>
    <phoneticPr fontId="1" type="noConversion"/>
  </si>
  <si>
    <t>王勇</t>
    <phoneticPr fontId="1" type="noConversion"/>
  </si>
  <si>
    <t>梧桐大道二期工程</t>
    <phoneticPr fontId="1" type="noConversion"/>
  </si>
  <si>
    <t>唐山中冶置业房地产开发有限公司\中冶京唐建设有限公司</t>
    <phoneticPr fontId="1" type="noConversion"/>
  </si>
  <si>
    <t>唐山</t>
    <phoneticPr fontId="1" type="noConversion"/>
  </si>
  <si>
    <t>孔繁义</t>
    <phoneticPr fontId="1" type="noConversion"/>
  </si>
  <si>
    <t>唐山方合圆幕墙工程有限公司</t>
    <phoneticPr fontId="1" type="noConversion"/>
  </si>
  <si>
    <t>1号综合厂房等2项工程</t>
    <phoneticPr fontId="1" type="noConversion"/>
  </si>
  <si>
    <t>北京城建远东建设投资集团有限公司</t>
    <phoneticPr fontId="1" type="noConversion"/>
  </si>
  <si>
    <t>钱金花</t>
    <phoneticPr fontId="1" type="noConversion"/>
  </si>
  <si>
    <t>中国建设银行洋桥A座大楼外立面</t>
    <phoneticPr fontId="1" type="noConversion"/>
  </si>
  <si>
    <t>中国建设银行股份有限公司</t>
    <phoneticPr fontId="1" type="noConversion"/>
  </si>
  <si>
    <t>杨广</t>
    <phoneticPr fontId="1" type="noConversion"/>
  </si>
  <si>
    <t>首汽业务办公楼工程</t>
    <phoneticPr fontId="1" type="noConversion"/>
  </si>
  <si>
    <t>北京首都旅游国际酒店集团有限公司</t>
    <phoneticPr fontId="1" type="noConversion"/>
  </si>
  <si>
    <t>邵明智</t>
    <phoneticPr fontId="1" type="noConversion"/>
  </si>
  <si>
    <t>北京金刚智雄装饰有限公司</t>
    <phoneticPr fontId="1" type="noConversion"/>
  </si>
  <si>
    <t>新城北区18#地块商业金融1#酒店</t>
    <phoneticPr fontId="1" type="noConversion"/>
  </si>
  <si>
    <t>北京兴创投资有限公司</t>
    <phoneticPr fontId="1" type="noConversion"/>
  </si>
  <si>
    <t>李国强</t>
    <phoneticPr fontId="1" type="noConversion"/>
  </si>
  <si>
    <t>钱江弹簧(北京）有限公司生产基地</t>
    <phoneticPr fontId="1" type="noConversion"/>
  </si>
  <si>
    <t>钱江弹簧（北京）有限公司</t>
    <phoneticPr fontId="1" type="noConversion"/>
  </si>
  <si>
    <t>孙超</t>
    <phoneticPr fontId="1" type="noConversion"/>
  </si>
  <si>
    <t>天誉国宝住宅小区</t>
    <phoneticPr fontId="1" type="noConversion"/>
  </si>
  <si>
    <t>河南省第一建筑工程集团有限责任公司</t>
    <phoneticPr fontId="1" type="noConversion"/>
  </si>
  <si>
    <t>内蒙古</t>
    <phoneticPr fontId="1" type="noConversion"/>
  </si>
  <si>
    <t>坚美</t>
    <phoneticPr fontId="1" type="noConversion"/>
  </si>
  <si>
    <t>幼儿园工程</t>
    <phoneticPr fontId="1" type="noConversion"/>
  </si>
  <si>
    <t>北京华润新镇置业有限责任公司</t>
    <phoneticPr fontId="1" type="noConversion"/>
  </si>
  <si>
    <t>北京市</t>
    <phoneticPr fontId="1" type="noConversion"/>
  </si>
  <si>
    <t>综合楼部分屋顶改造项目</t>
    <phoneticPr fontId="1" type="noConversion"/>
  </si>
  <si>
    <t>北京服装学院</t>
    <phoneticPr fontId="1" type="noConversion"/>
  </si>
  <si>
    <t>王治国</t>
    <phoneticPr fontId="1" type="noConversion"/>
  </si>
  <si>
    <t>亦庄</t>
    <phoneticPr fontId="1" type="noConversion"/>
  </si>
  <si>
    <t>综合厂房2号锅炉房及污水处理站等3项目</t>
    <phoneticPr fontId="1" type="noConversion"/>
  </si>
  <si>
    <t>舒泰神（北京）生物制药股份有限公司</t>
    <phoneticPr fontId="1" type="noConversion"/>
  </si>
  <si>
    <t>管庄</t>
    <phoneticPr fontId="1" type="noConversion"/>
  </si>
  <si>
    <t>北京邮政转运信息中心工程</t>
    <phoneticPr fontId="1" type="noConversion"/>
  </si>
  <si>
    <t>北京六建集团公司</t>
    <phoneticPr fontId="1" type="noConversion"/>
  </si>
  <si>
    <t>亦庄</t>
    <phoneticPr fontId="1" type="noConversion"/>
  </si>
  <si>
    <t>崔各庄乡葡萄示范园</t>
    <phoneticPr fontId="1" type="noConversion"/>
  </si>
  <si>
    <t>北京东方格瑞普庄园酒店管理有限责任公司</t>
    <phoneticPr fontId="1" type="noConversion"/>
  </si>
  <si>
    <t>田晓洲</t>
    <phoneticPr fontId="1" type="noConversion"/>
  </si>
  <si>
    <t>北京金刚联合装饰有限公司</t>
    <phoneticPr fontId="1" type="noConversion"/>
  </si>
  <si>
    <t>黄康立</t>
    <phoneticPr fontId="1" type="noConversion"/>
  </si>
  <si>
    <t>否</t>
    <phoneticPr fontId="1" type="noConversion"/>
  </si>
  <si>
    <t>B6、B8地块商业新建工程</t>
    <phoneticPr fontId="1" type="noConversion"/>
  </si>
  <si>
    <t>北京崇建工程有限公司</t>
    <phoneticPr fontId="1" type="noConversion"/>
  </si>
  <si>
    <t>钱金花</t>
    <phoneticPr fontId="1" type="noConversion"/>
  </si>
  <si>
    <t>管庄</t>
    <phoneticPr fontId="1" type="noConversion"/>
  </si>
  <si>
    <t>昆山花桥镇经济开发区中轴路展览馆</t>
    <phoneticPr fontId="1" type="noConversion"/>
  </si>
  <si>
    <t>中铁建设集团有限公司江苏分公司</t>
    <phoneticPr fontId="1" type="noConversion"/>
  </si>
  <si>
    <t>江苏省昆山市</t>
    <phoneticPr fontId="1" type="noConversion"/>
  </si>
  <si>
    <t>杨如林</t>
    <phoneticPr fontId="1" type="noConversion"/>
  </si>
  <si>
    <t>XMF10-38</t>
  </si>
  <si>
    <t>武警总部招待所二期综合楼</t>
    <phoneticPr fontId="1" type="noConversion"/>
  </si>
  <si>
    <t>北京金泰三富商贸有限公司</t>
    <phoneticPr fontId="1" type="noConversion"/>
  </si>
  <si>
    <t>马领乾</t>
    <phoneticPr fontId="6" type="noConversion"/>
  </si>
  <si>
    <t>北京正方圆装饰有限公司</t>
    <phoneticPr fontId="1" type="noConversion"/>
  </si>
  <si>
    <t>马领乾</t>
    <phoneticPr fontId="1" type="noConversion"/>
  </si>
  <si>
    <t>XMF10-41</t>
  </si>
  <si>
    <t>XMF10-42</t>
  </si>
  <si>
    <t>XMF10-43</t>
  </si>
  <si>
    <t>XMF10-48</t>
  </si>
  <si>
    <t>XMF10-49</t>
  </si>
  <si>
    <t>XMF10-50</t>
  </si>
  <si>
    <t>融科金月湾（第二期）</t>
    <phoneticPr fontId="1" type="noConversion"/>
  </si>
  <si>
    <t>中国对外建设总公司</t>
    <phoneticPr fontId="1" type="noConversion"/>
  </si>
  <si>
    <t>天津市</t>
    <phoneticPr fontId="1" type="noConversion"/>
  </si>
  <si>
    <t>王忠林</t>
    <phoneticPr fontId="1" type="noConversion"/>
  </si>
  <si>
    <t>正和平</t>
    <phoneticPr fontId="1" type="noConversion"/>
  </si>
  <si>
    <t>平泉县政务服务中心采光顶玻璃幕墙雨棚等项</t>
    <phoneticPr fontId="1" type="noConversion"/>
  </si>
  <si>
    <t>承德泉盛投资有限责任公司</t>
    <phoneticPr fontId="1" type="noConversion"/>
  </si>
  <si>
    <t>河北省平泉</t>
    <phoneticPr fontId="1" type="noConversion"/>
  </si>
  <si>
    <t>杨广</t>
    <phoneticPr fontId="1" type="noConversion"/>
  </si>
  <si>
    <t>管庄</t>
    <phoneticPr fontId="1" type="noConversion"/>
  </si>
  <si>
    <t>金枫大厦幕墙及外装修工程</t>
    <phoneticPr fontId="1" type="noConversion"/>
  </si>
  <si>
    <t>北京中商联房地产开发有限公司</t>
    <phoneticPr fontId="1" type="noConversion"/>
  </si>
  <si>
    <t>北京市</t>
    <phoneticPr fontId="1" type="noConversion"/>
  </si>
  <si>
    <t>王军</t>
    <phoneticPr fontId="1" type="noConversion"/>
  </si>
  <si>
    <t>北京兴安伟业门窗有限责任公司</t>
    <phoneticPr fontId="1" type="noConversion"/>
  </si>
  <si>
    <t>否</t>
    <phoneticPr fontId="1" type="noConversion"/>
  </si>
  <si>
    <t>亦庄</t>
    <phoneticPr fontId="1" type="noConversion"/>
  </si>
  <si>
    <t>解放军61886部队合作北楼改造工程</t>
    <phoneticPr fontId="1" type="noConversion"/>
  </si>
  <si>
    <t>中国人民解放军61886部队</t>
    <phoneticPr fontId="1" type="noConversion"/>
  </si>
  <si>
    <t>北京市</t>
    <phoneticPr fontId="1" type="noConversion"/>
  </si>
  <si>
    <t>朝阳区东坝经济适用房（朝开驹子房）项目5#-7#、9#、10#住宅楼</t>
    <phoneticPr fontId="1" type="noConversion"/>
  </si>
  <si>
    <t>北京市朝阳田华建筑集团公司第七分公司</t>
    <phoneticPr fontId="1" type="noConversion"/>
  </si>
  <si>
    <t>管庄</t>
    <phoneticPr fontId="1" type="noConversion"/>
  </si>
  <si>
    <t>93#研发楼幕墙工程</t>
    <phoneticPr fontId="1" type="noConversion"/>
  </si>
  <si>
    <t>中国航天科工集团第二研究院二十五所</t>
    <phoneticPr fontId="1" type="noConversion"/>
  </si>
  <si>
    <t>北京市</t>
    <phoneticPr fontId="1" type="noConversion"/>
  </si>
  <si>
    <t>杨广</t>
    <phoneticPr fontId="1" type="noConversion"/>
  </si>
  <si>
    <t>广渠路15号项目售楼处及样板间</t>
    <phoneticPr fontId="1" type="noConversion"/>
  </si>
  <si>
    <t>中国建筑股份有限公司</t>
    <phoneticPr fontId="1" type="noConversion"/>
  </si>
  <si>
    <t>武警营房工程</t>
    <phoneticPr fontId="1" type="noConversion"/>
  </si>
  <si>
    <t>北京同力德建筑工程有限公司</t>
    <phoneticPr fontId="1" type="noConversion"/>
  </si>
  <si>
    <t>林伟奇</t>
    <phoneticPr fontId="1" type="noConversion"/>
  </si>
  <si>
    <t>北京瑞安恒润商贸有限公司</t>
    <phoneticPr fontId="1" type="noConversion"/>
  </si>
  <si>
    <t>林伟奇</t>
    <phoneticPr fontId="1" type="noConversion"/>
  </si>
  <si>
    <t>否</t>
    <phoneticPr fontId="1" type="noConversion"/>
  </si>
  <si>
    <t>3号院改造工程</t>
    <phoneticPr fontId="1" type="noConversion"/>
  </si>
  <si>
    <t>北京中然建筑工程有限公司</t>
    <phoneticPr fontId="1" type="noConversion"/>
  </si>
  <si>
    <t>亦庄</t>
    <phoneticPr fontId="1" type="noConversion"/>
  </si>
  <si>
    <t>永丰工业厂房及配套设施C-3楼</t>
    <phoneticPr fontId="1" type="noConversion"/>
  </si>
  <si>
    <t>中国航空港建设总公司第三工程分公司</t>
    <phoneticPr fontId="1" type="noConversion"/>
  </si>
  <si>
    <t>王军</t>
    <phoneticPr fontId="1" type="noConversion"/>
  </si>
  <si>
    <t>望海楼</t>
    <phoneticPr fontId="1" type="noConversion"/>
  </si>
  <si>
    <t xml:space="preserve">北京中建润泽建筑工程有限公司 </t>
    <phoneticPr fontId="1" type="noConversion"/>
  </si>
  <si>
    <t>纪树军</t>
    <phoneticPr fontId="1" type="noConversion"/>
  </si>
  <si>
    <t>内蒙古鄂尔多斯响沙湾沙漠莲花酒店门窗工程</t>
    <phoneticPr fontId="1" type="noConversion"/>
  </si>
  <si>
    <t>内蒙古响沙湾旅游有限公司</t>
    <phoneticPr fontId="1" type="noConversion"/>
  </si>
  <si>
    <t>内蒙古鄂尔多斯</t>
    <phoneticPr fontId="1" type="noConversion"/>
  </si>
  <si>
    <t>北京邮件综合处理中心指挥调度中心</t>
    <phoneticPr fontId="1" type="noConversion"/>
  </si>
  <si>
    <t>XMF10-64</t>
  </si>
  <si>
    <t>XMF10-65</t>
  </si>
  <si>
    <t>育才学校</t>
    <phoneticPr fontId="1" type="noConversion"/>
  </si>
  <si>
    <t>北京市第五建筑工程集团有限公司</t>
    <phoneticPr fontId="1" type="noConversion"/>
  </si>
  <si>
    <t>管庄</t>
    <phoneticPr fontId="1" type="noConversion"/>
  </si>
  <si>
    <t>武警总队北苑住宅小区</t>
    <phoneticPr fontId="1" type="noConversion"/>
  </si>
  <si>
    <t>中国人民武装警察部队北京市总队后勤部营房处</t>
    <phoneticPr fontId="1" type="noConversion"/>
  </si>
  <si>
    <t>苏锡峰</t>
    <phoneticPr fontId="1" type="noConversion"/>
  </si>
  <si>
    <t>北京广慧通装饰工程有限公司</t>
    <phoneticPr fontId="1" type="noConversion"/>
  </si>
  <si>
    <t>XMF09-02</t>
  </si>
  <si>
    <t>XMF09-03</t>
  </si>
  <si>
    <t>XMF09-07</t>
  </si>
  <si>
    <t>孟端胡同45号迁建工程</t>
    <phoneticPr fontId="1" type="noConversion"/>
  </si>
  <si>
    <t>北京房地集团有限公司六项目部</t>
    <phoneticPr fontId="1" type="noConversion"/>
  </si>
  <si>
    <t>张永忠</t>
    <phoneticPr fontId="1" type="noConversion"/>
  </si>
  <si>
    <t>XMF14-05</t>
  </si>
  <si>
    <t>房山区长沟镇镇区改造工程</t>
    <phoneticPr fontId="1" type="noConversion"/>
  </si>
  <si>
    <t>北京市</t>
    <phoneticPr fontId="1" type="noConversion"/>
  </si>
  <si>
    <t>1251027</t>
    <phoneticPr fontId="1" type="noConversion"/>
  </si>
  <si>
    <t>亦庄</t>
    <phoneticPr fontId="1" type="noConversion"/>
  </si>
  <si>
    <t>XMF14-31</t>
  </si>
  <si>
    <t>XMF14-32</t>
  </si>
  <si>
    <t>XMF14-33</t>
  </si>
  <si>
    <t>北京首农集团有限公司食品中心项目</t>
    <phoneticPr fontId="1" type="noConversion"/>
  </si>
  <si>
    <t>北京市</t>
    <phoneticPr fontId="1" type="noConversion"/>
  </si>
  <si>
    <t>否</t>
    <phoneticPr fontId="1" type="noConversion"/>
  </si>
  <si>
    <t>XMF14-34</t>
  </si>
  <si>
    <t>中太建设集团股份有限公司北京第六分公司</t>
    <phoneticPr fontId="1" type="noConversion"/>
  </si>
  <si>
    <t>XMF06-14</t>
    <phoneticPr fontId="1" type="noConversion"/>
  </si>
  <si>
    <t>解放军档案馆住宅及办公楼铝合金工程</t>
    <phoneticPr fontId="1" type="noConversion"/>
  </si>
  <si>
    <t>项目部</t>
    <phoneticPr fontId="1" type="noConversion"/>
  </si>
  <si>
    <t>中国人民解放军档案馆住宅工程办公室</t>
    <phoneticPr fontId="1" type="noConversion"/>
  </si>
  <si>
    <t>北京市</t>
    <phoneticPr fontId="1" type="noConversion"/>
  </si>
  <si>
    <t>完工</t>
    <phoneticPr fontId="1" type="noConversion"/>
  </si>
  <si>
    <t>亦庄</t>
    <phoneticPr fontId="1" type="noConversion"/>
  </si>
  <si>
    <t>XMF09-20</t>
  </si>
  <si>
    <t>XMF09-22</t>
  </si>
  <si>
    <t>XMF09-28</t>
  </si>
  <si>
    <t>XMF09-30</t>
  </si>
  <si>
    <t>XMF09-31</t>
  </si>
  <si>
    <t>XMF09-32</t>
  </si>
  <si>
    <t>XMF09-33</t>
  </si>
  <si>
    <t>XMF09-34</t>
  </si>
  <si>
    <t>XMF09-35</t>
  </si>
  <si>
    <t>61886部队招待所改造</t>
    <phoneticPr fontId="1" type="noConversion"/>
  </si>
  <si>
    <t>中国人民解放军61886部队</t>
    <phoneticPr fontId="1" type="noConversion"/>
  </si>
  <si>
    <t>XMF14-35</t>
  </si>
  <si>
    <t>XMF14-37</t>
  </si>
  <si>
    <t>XMF14-39</t>
  </si>
  <si>
    <t>田华综合楼工程</t>
    <phoneticPr fontId="1" type="noConversion"/>
  </si>
  <si>
    <t>天津武清红星广场D地块示范区</t>
    <phoneticPr fontId="1" type="noConversion"/>
  </si>
  <si>
    <t>博大汇升（天津）投资发展有限公司</t>
    <phoneticPr fontId="1" type="noConversion"/>
  </si>
  <si>
    <t>北京大兴京城高尔夫俱乐部二期改造项目</t>
    <phoneticPr fontId="1" type="noConversion"/>
  </si>
  <si>
    <t>北京大兴京城高尔夫俱乐部</t>
    <phoneticPr fontId="1" type="noConversion"/>
  </si>
  <si>
    <t>北京市</t>
    <phoneticPr fontId="1" type="noConversion"/>
  </si>
  <si>
    <t>孙超</t>
    <phoneticPr fontId="1" type="noConversion"/>
  </si>
  <si>
    <t>XMF14-40</t>
  </si>
  <si>
    <t>北京中国国际贸易中心二座幕墙工程</t>
    <phoneticPr fontId="1" type="noConversion"/>
  </si>
  <si>
    <t>柯秋惠</t>
    <phoneticPr fontId="1" type="noConversion"/>
  </si>
  <si>
    <t>XMF14-41</t>
  </si>
  <si>
    <t>XMF14-42</t>
  </si>
  <si>
    <t>XMF14-43</t>
  </si>
  <si>
    <t>XMF14-45</t>
  </si>
  <si>
    <t>XMF09-37</t>
  </si>
  <si>
    <t>XMF09-41</t>
  </si>
  <si>
    <t>XMF09-42</t>
  </si>
  <si>
    <t>XMF09-49</t>
  </si>
  <si>
    <t>XMF09-52</t>
  </si>
  <si>
    <t>XMF09-53</t>
  </si>
  <si>
    <t>XMF09-55</t>
  </si>
  <si>
    <t>XMF09-57</t>
  </si>
  <si>
    <t>广安门项目一期铁艺供应及安装分包工程</t>
    <phoneticPr fontId="1" type="noConversion"/>
  </si>
  <si>
    <t>华润置地（北京）股份有限公司</t>
    <phoneticPr fontId="1" type="noConversion"/>
  </si>
  <si>
    <t>北京市</t>
    <phoneticPr fontId="1" type="noConversion"/>
  </si>
  <si>
    <t>余斌</t>
    <phoneticPr fontId="1" type="noConversion"/>
  </si>
  <si>
    <t>已完工</t>
    <phoneticPr fontId="1" type="noConversion"/>
  </si>
  <si>
    <t>XMF08-04</t>
    <phoneticPr fontId="1" type="noConversion"/>
  </si>
  <si>
    <t>大兴区翡翠城北京小学分校</t>
    <phoneticPr fontId="1" type="noConversion"/>
  </si>
  <si>
    <t>北京华润曙光房地产开发有限公司</t>
    <phoneticPr fontId="1" type="noConversion"/>
  </si>
  <si>
    <t>管庄</t>
    <phoneticPr fontId="1" type="noConversion"/>
  </si>
  <si>
    <t>北京华润新镇置业有限责任公司/华润建筑有限公司</t>
    <phoneticPr fontId="1" type="noConversion"/>
  </si>
  <si>
    <t>XMF08-40</t>
    <phoneticPr fontId="1" type="noConversion"/>
  </si>
  <si>
    <t>大兴新城北区8#地块项目</t>
    <phoneticPr fontId="1" type="noConversion"/>
  </si>
  <si>
    <t>北京兴创房地产开发有限公司</t>
    <phoneticPr fontId="1" type="noConversion"/>
  </si>
  <si>
    <t>北京市</t>
    <phoneticPr fontId="1" type="noConversion"/>
  </si>
  <si>
    <t>李国强</t>
    <phoneticPr fontId="1" type="noConversion"/>
  </si>
  <si>
    <t>完工</t>
    <phoneticPr fontId="1" type="noConversion"/>
  </si>
  <si>
    <t>亦庄</t>
    <phoneticPr fontId="1" type="noConversion"/>
  </si>
  <si>
    <t>XMF08-39</t>
    <phoneticPr fontId="1" type="noConversion"/>
  </si>
  <si>
    <t>项目部</t>
    <phoneticPr fontId="1" type="noConversion"/>
  </si>
  <si>
    <t>空军装备研究院情报所科研实验综合楼</t>
    <phoneticPr fontId="1" type="noConversion"/>
  </si>
  <si>
    <t>北京市</t>
    <phoneticPr fontId="1" type="noConversion"/>
  </si>
  <si>
    <t>韩晓涛</t>
    <phoneticPr fontId="1" type="noConversion"/>
  </si>
  <si>
    <t>完工</t>
    <phoneticPr fontId="1" type="noConversion"/>
  </si>
  <si>
    <t>昌平</t>
    <phoneticPr fontId="1" type="noConversion"/>
  </si>
  <si>
    <t>通州区城西5#区燃煤锅炉房项目</t>
    <phoneticPr fontId="1" type="noConversion"/>
  </si>
  <si>
    <t>中国航空港建设总公司第九工程分公司</t>
    <phoneticPr fontId="1" type="noConversion"/>
  </si>
  <si>
    <t>XMF14-46</t>
  </si>
  <si>
    <t>职工集体宿舍等2项（职工集体宿舍（中国科学院中关村青年人才公寓）</t>
    <phoneticPr fontId="1" type="noConversion"/>
  </si>
  <si>
    <t>北京住总集团有限责任公司</t>
    <phoneticPr fontId="1" type="noConversion"/>
  </si>
  <si>
    <t>北京市</t>
    <phoneticPr fontId="1" type="noConversion"/>
  </si>
  <si>
    <t>孙超</t>
    <phoneticPr fontId="1" type="noConversion"/>
  </si>
  <si>
    <t>正常进行</t>
    <phoneticPr fontId="1" type="noConversion"/>
  </si>
  <si>
    <t>8046断桥隔热铝合金门窗</t>
    <phoneticPr fontId="1" type="noConversion"/>
  </si>
  <si>
    <t>国都建设（集团）有限公司</t>
    <phoneticPr fontId="1" type="noConversion"/>
  </si>
  <si>
    <t>赵卫红</t>
    <phoneticPr fontId="1" type="noConversion"/>
  </si>
  <si>
    <t>张俊敏</t>
    <phoneticPr fontId="1" type="noConversion"/>
  </si>
  <si>
    <t>北京鼎鑫伟龙幕墙装饰工程有限公司</t>
    <phoneticPr fontId="1" type="noConversion"/>
  </si>
  <si>
    <t>否</t>
    <phoneticPr fontId="1" type="noConversion"/>
  </si>
  <si>
    <t>北京富恒兴达装饰工程有限公司</t>
    <phoneticPr fontId="1" type="noConversion"/>
  </si>
  <si>
    <t>完工</t>
    <phoneticPr fontId="1" type="noConversion"/>
  </si>
  <si>
    <t>北京和利时系统工程公司1号建筑楼</t>
    <phoneticPr fontId="1" type="noConversion"/>
  </si>
  <si>
    <t>北京和利时系统工程有限公司</t>
    <phoneticPr fontId="1" type="noConversion"/>
  </si>
  <si>
    <t>北京市</t>
    <phoneticPr fontId="1" type="noConversion"/>
  </si>
  <si>
    <t>管庄</t>
    <phoneticPr fontId="1" type="noConversion"/>
  </si>
  <si>
    <t>北京大学第三医院改扩建项目</t>
    <phoneticPr fontId="1" type="noConversion"/>
  </si>
  <si>
    <t>北京大学第三医院</t>
    <phoneticPr fontId="1" type="noConversion"/>
  </si>
  <si>
    <t>杨广</t>
    <phoneticPr fontId="1" type="noConversion"/>
  </si>
  <si>
    <t>管庄</t>
    <phoneticPr fontId="1" type="noConversion"/>
  </si>
  <si>
    <t>金地中心地铁通道出口玻璃幕墙工程</t>
    <phoneticPr fontId="1" type="noConversion"/>
  </si>
  <si>
    <t>北京金地鸿运房地产开发有限公司</t>
    <phoneticPr fontId="1" type="noConversion"/>
  </si>
  <si>
    <t>北京市</t>
    <phoneticPr fontId="1" type="noConversion"/>
  </si>
  <si>
    <t>田晓洲</t>
    <phoneticPr fontId="1" type="noConversion"/>
  </si>
  <si>
    <t>否</t>
    <phoneticPr fontId="1" type="noConversion"/>
  </si>
  <si>
    <t>北京市怀柔生态展示中心项目</t>
    <phoneticPr fontId="1" type="noConversion"/>
  </si>
  <si>
    <t>绿荫家园（北京）环境科学研究中心有限公司</t>
    <phoneticPr fontId="1" type="noConversion"/>
  </si>
  <si>
    <t>李平</t>
    <phoneticPr fontId="1" type="noConversion"/>
  </si>
  <si>
    <t>北京九天装饰有限责任公司</t>
    <phoneticPr fontId="1" type="noConversion"/>
  </si>
  <si>
    <t>太阳城住宅小区</t>
    <phoneticPr fontId="1" type="noConversion"/>
  </si>
  <si>
    <t>呼和浩特天恒住宅发展有限责任公司</t>
    <phoneticPr fontId="1" type="noConversion"/>
  </si>
  <si>
    <t>内蒙古</t>
    <phoneticPr fontId="1" type="noConversion"/>
  </si>
  <si>
    <t>北京华安建业商贸有限公司</t>
    <phoneticPr fontId="1" type="noConversion"/>
  </si>
  <si>
    <t>王文青</t>
    <phoneticPr fontId="1" type="noConversion"/>
  </si>
  <si>
    <t>完工</t>
    <phoneticPr fontId="1" type="noConversion"/>
  </si>
  <si>
    <t>烟草职工住宅楼</t>
    <phoneticPr fontId="1" type="noConversion"/>
  </si>
  <si>
    <t>北京住总第六开发建设有限公司</t>
    <phoneticPr fontId="1" type="noConversion"/>
  </si>
  <si>
    <t>杨广</t>
    <phoneticPr fontId="1" type="noConversion"/>
  </si>
  <si>
    <t>河北承德技师学校培训基地</t>
    <phoneticPr fontId="1" type="noConversion"/>
  </si>
  <si>
    <t>河北省承德技师学院</t>
    <phoneticPr fontId="1" type="noConversion"/>
  </si>
  <si>
    <t>河北承德</t>
    <phoneticPr fontId="1" type="noConversion"/>
  </si>
  <si>
    <t>王军</t>
    <phoneticPr fontId="1" type="noConversion"/>
  </si>
  <si>
    <t>朝阳金盏乡机场二道</t>
    <phoneticPr fontId="1" type="noConversion"/>
  </si>
  <si>
    <t>北京市朝阳田华建筑集团公司第二分公司</t>
    <phoneticPr fontId="1" type="noConversion"/>
  </si>
  <si>
    <t>北京金刚智雄装饰有限公司</t>
    <phoneticPr fontId="1" type="noConversion"/>
  </si>
  <si>
    <t>XMF14-47</t>
  </si>
  <si>
    <t>石家庄市第二中学整体改造工程学生公寓学生餐厅外装饰</t>
    <phoneticPr fontId="1" type="noConversion"/>
  </si>
  <si>
    <t>石家庄市第二中学</t>
    <phoneticPr fontId="1" type="noConversion"/>
  </si>
  <si>
    <t>河北石家庄</t>
    <phoneticPr fontId="1" type="noConversion"/>
  </si>
  <si>
    <t>6867273</t>
    <phoneticPr fontId="1" type="noConversion"/>
  </si>
  <si>
    <t>正常进行</t>
    <phoneticPr fontId="1" type="noConversion"/>
  </si>
  <si>
    <t>大兴</t>
    <phoneticPr fontId="1" type="noConversion"/>
  </si>
  <si>
    <t>鸿坤原乡溪谷项目示范区铝合金门窗安装</t>
    <phoneticPr fontId="1" type="noConversion"/>
  </si>
  <si>
    <t>项目部</t>
    <phoneticPr fontId="1" type="noConversion"/>
  </si>
  <si>
    <t>香河理想嘉业房地产开发有限公司</t>
    <phoneticPr fontId="1" type="noConversion"/>
  </si>
  <si>
    <t>河北香河</t>
    <phoneticPr fontId="1" type="noConversion"/>
  </si>
  <si>
    <t>天利生产研发楼</t>
    <phoneticPr fontId="1" type="noConversion"/>
  </si>
  <si>
    <t>中国新兴保信建设总公司四公司/北京望京新兴产业区综合开发有限公司</t>
    <phoneticPr fontId="1" type="noConversion"/>
  </si>
  <si>
    <t>北京市</t>
    <phoneticPr fontId="1" type="noConversion"/>
  </si>
  <si>
    <t>马泽永</t>
    <phoneticPr fontId="1" type="noConversion"/>
  </si>
  <si>
    <t>亦庄</t>
    <phoneticPr fontId="1" type="noConversion"/>
  </si>
  <si>
    <t>北京邮政综合处理中心生产主体楼</t>
    <phoneticPr fontId="1" type="noConversion"/>
  </si>
  <si>
    <t>总参8407工程车道工程资料处理中心综合业务楼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</si>
  <si>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</si>
  <si>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</si>
  <si>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完工</t>
    <phoneticPr fontId="1" type="noConversion"/>
  </si>
  <si>
    <t>北京国家会计学院工程</t>
    <phoneticPr fontId="1" type="noConversion"/>
  </si>
  <si>
    <t>北京国家会计学院</t>
    <phoneticPr fontId="1" type="noConversion"/>
  </si>
  <si>
    <t>北京市</t>
    <phoneticPr fontId="1" type="noConversion"/>
  </si>
  <si>
    <t>75号实验楼工程</t>
    <phoneticPr fontId="1" type="noConversion"/>
  </si>
  <si>
    <t>中国建筑一局（集团）有限公司</t>
    <phoneticPr fontId="1" type="noConversion"/>
  </si>
  <si>
    <t>北京市</t>
    <phoneticPr fontId="1" type="noConversion"/>
  </si>
  <si>
    <t>金生文</t>
    <phoneticPr fontId="1" type="noConversion"/>
  </si>
  <si>
    <t>亦庄</t>
    <phoneticPr fontId="1" type="noConversion"/>
  </si>
  <si>
    <t>沙河机场贵宾楼外墙幕墙加工安装</t>
    <phoneticPr fontId="1" type="noConversion"/>
  </si>
  <si>
    <t>于洋</t>
    <phoneticPr fontId="1" type="noConversion"/>
  </si>
  <si>
    <t>和平里1-2区Z5住宅楼等三项</t>
    <phoneticPr fontId="1" type="noConversion"/>
  </si>
  <si>
    <t>北京首华建设经营有限公司</t>
    <phoneticPr fontId="1" type="noConversion"/>
  </si>
  <si>
    <t>张岩</t>
    <phoneticPr fontId="1" type="noConversion"/>
  </si>
  <si>
    <t>北京同丰装饰工程有限责任公司</t>
    <phoneticPr fontId="1" type="noConversion"/>
  </si>
  <si>
    <t>否</t>
    <phoneticPr fontId="1" type="noConversion"/>
  </si>
  <si>
    <t>TFT-LCD工艺技术国家工程实验室</t>
    <phoneticPr fontId="1" type="noConversion"/>
  </si>
  <si>
    <t>完工</t>
    <phoneticPr fontId="1" type="noConversion"/>
  </si>
  <si>
    <t>管庄</t>
    <phoneticPr fontId="1" type="noConversion"/>
  </si>
  <si>
    <t>新建福厦铁路厦门西站</t>
    <phoneticPr fontId="1" type="noConversion"/>
  </si>
  <si>
    <t>北京士兴钢结构有限公司</t>
    <phoneticPr fontId="1" type="noConversion"/>
  </si>
  <si>
    <t>杨如林</t>
    <phoneticPr fontId="1" type="noConversion"/>
  </si>
  <si>
    <t>研发中心和生产基地项目</t>
    <phoneticPr fontId="1" type="noConversion"/>
  </si>
  <si>
    <t>北京天竺兴业软件技术有限公司</t>
    <phoneticPr fontId="1" type="noConversion"/>
  </si>
  <si>
    <t>孙超</t>
    <phoneticPr fontId="1" type="noConversion"/>
  </si>
  <si>
    <t>三河</t>
    <phoneticPr fontId="1" type="noConversion"/>
  </si>
  <si>
    <t>XMF08-02</t>
    <phoneticPr fontId="1" type="noConversion"/>
  </si>
  <si>
    <t>XMF08-05</t>
  </si>
  <si>
    <t>XMF08-08</t>
  </si>
  <si>
    <t>XMF08-25</t>
  </si>
  <si>
    <t>XMF08-41</t>
  </si>
  <si>
    <t>XMF08-03</t>
  </si>
  <si>
    <t>花市枣苑南区公建工程玻璃幕墙工程</t>
    <phoneticPr fontId="1" type="noConversion"/>
  </si>
  <si>
    <t>北京城建亚泰建设工程有限公司</t>
    <phoneticPr fontId="1" type="noConversion"/>
  </si>
  <si>
    <t>完工</t>
    <phoneticPr fontId="1" type="noConversion"/>
  </si>
  <si>
    <t>测绘局西7楼工程</t>
    <phoneticPr fontId="1" type="noConversion"/>
  </si>
  <si>
    <t>中兴建发（北京）建筑工程有限公司/总参测绘局</t>
    <phoneticPr fontId="1" type="noConversion"/>
  </si>
  <si>
    <t>许彦生</t>
    <phoneticPr fontId="1" type="noConversion"/>
  </si>
  <si>
    <t>沈阳黎明玻璃幕墙工程公司</t>
    <phoneticPr fontId="1" type="noConversion"/>
  </si>
  <si>
    <t>管庄</t>
    <phoneticPr fontId="1" type="noConversion"/>
  </si>
  <si>
    <t>石家庄陆军指挥学院</t>
    <phoneticPr fontId="1" type="noConversion"/>
  </si>
  <si>
    <t>石家庄陆军学院营院寄出设施建设办公室</t>
    <phoneticPr fontId="1" type="noConversion"/>
  </si>
  <si>
    <t>河北石家庄</t>
    <phoneticPr fontId="1" type="noConversion"/>
  </si>
  <si>
    <t>马泽永</t>
    <phoneticPr fontId="1" type="noConversion"/>
  </si>
  <si>
    <t>阜石路</t>
    <phoneticPr fontId="1" type="noConversion"/>
  </si>
  <si>
    <t>宏庙胡同5号维修改造工程</t>
    <phoneticPr fontId="1" type="noConversion"/>
  </si>
  <si>
    <t>北京中宇饭店</t>
    <phoneticPr fontId="1" type="noConversion"/>
  </si>
  <si>
    <t>总参8407工程北京资料处理中心空间业务楼</t>
    <phoneticPr fontId="1" type="noConversion"/>
  </si>
  <si>
    <t>北京城乡建设集团有限责任公司</t>
    <phoneticPr fontId="1" type="noConversion"/>
  </si>
  <si>
    <t>李平</t>
    <phoneticPr fontId="1" type="noConversion"/>
  </si>
  <si>
    <t>XMF07-23</t>
    <phoneticPr fontId="1" type="noConversion"/>
  </si>
  <si>
    <t>北富二期A栋厂房外幕墙工程</t>
    <phoneticPr fontId="1" type="noConversion"/>
  </si>
  <si>
    <t>富士康精密组件（北京）有限公司</t>
    <phoneticPr fontId="1" type="noConversion"/>
  </si>
  <si>
    <t>杨广</t>
    <phoneticPr fontId="1" type="noConversion"/>
  </si>
  <si>
    <t>8406工程公寓楼</t>
    <phoneticPr fontId="1" type="noConversion"/>
  </si>
  <si>
    <t>北京市</t>
    <phoneticPr fontId="1" type="noConversion"/>
  </si>
  <si>
    <t>XMF07-36</t>
    <phoneticPr fontId="1" type="noConversion"/>
  </si>
  <si>
    <t>望京建材超市一号厅</t>
    <phoneticPr fontId="1" type="noConversion"/>
  </si>
  <si>
    <t>北京华建伟峰房地产开发有限公司</t>
    <phoneticPr fontId="1" type="noConversion"/>
  </si>
  <si>
    <t>北京市</t>
    <phoneticPr fontId="1" type="noConversion"/>
  </si>
  <si>
    <t>邵明智</t>
    <phoneticPr fontId="1" type="noConversion"/>
  </si>
  <si>
    <t>管庄</t>
    <phoneticPr fontId="1" type="noConversion"/>
  </si>
  <si>
    <t>XMF07-39</t>
    <phoneticPr fontId="1" type="noConversion"/>
  </si>
  <si>
    <t>XMF07-35</t>
    <phoneticPr fontId="1" type="noConversion"/>
  </si>
  <si>
    <t>总参8407工程</t>
    <phoneticPr fontId="1" type="noConversion"/>
  </si>
  <si>
    <t>北京城乡建设集团有限责任公司</t>
    <phoneticPr fontId="1" type="noConversion"/>
  </si>
  <si>
    <t>李平</t>
    <phoneticPr fontId="1" type="noConversion"/>
  </si>
  <si>
    <t>亦庄</t>
    <phoneticPr fontId="1" type="noConversion"/>
  </si>
  <si>
    <t>总装北苑新苑项目8#住宅楼</t>
    <phoneticPr fontId="1" type="noConversion"/>
  </si>
  <si>
    <t>中国人民解放军总装备后勤部基建办公室</t>
    <phoneticPr fontId="1" type="noConversion"/>
  </si>
  <si>
    <t>马泽永</t>
    <phoneticPr fontId="1" type="noConversion"/>
  </si>
  <si>
    <t>红星国际广场4#地</t>
    <phoneticPr fontId="1" type="noConversion"/>
  </si>
  <si>
    <t>项目部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</si>
  <si>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</si>
  <si>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</si>
  <si>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</si>
  <si>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</si>
  <si>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异地交税</t>
    <phoneticPr fontId="1" type="noConversion"/>
  </si>
  <si>
    <t>完工</t>
    <phoneticPr fontId="1" type="noConversion"/>
  </si>
  <si>
    <t>管庄</t>
    <phoneticPr fontId="1" type="noConversion"/>
  </si>
  <si>
    <t>0245338</t>
    <phoneticPr fontId="1" type="noConversion"/>
  </si>
  <si>
    <t>6867275</t>
    <phoneticPr fontId="1" type="noConversion"/>
  </si>
  <si>
    <t>0073377</t>
    <phoneticPr fontId="1" type="noConversion"/>
  </si>
  <si>
    <t>1245393</t>
    <phoneticPr fontId="1" type="noConversion"/>
  </si>
  <si>
    <t>1245384</t>
    <phoneticPr fontId="1" type="noConversion"/>
  </si>
  <si>
    <t>6867263</t>
    <phoneticPr fontId="1" type="noConversion"/>
  </si>
  <si>
    <t>0073365</t>
    <phoneticPr fontId="1" type="noConversion"/>
  </si>
  <si>
    <t>0073368</t>
    <phoneticPr fontId="1" type="noConversion"/>
  </si>
  <si>
    <t>0073371</t>
    <phoneticPr fontId="1" type="noConversion"/>
  </si>
  <si>
    <t>0073361</t>
    <phoneticPr fontId="1" type="noConversion"/>
  </si>
  <si>
    <t>0073362</t>
    <phoneticPr fontId="1" type="noConversion"/>
  </si>
  <si>
    <t>0073364</t>
    <phoneticPr fontId="1" type="noConversion"/>
  </si>
  <si>
    <t>0073370</t>
    <phoneticPr fontId="1" type="noConversion"/>
  </si>
  <si>
    <t>0073376</t>
    <phoneticPr fontId="1" type="noConversion"/>
  </si>
  <si>
    <t>0073375</t>
    <phoneticPr fontId="1" type="noConversion"/>
  </si>
  <si>
    <t>6867265</t>
    <phoneticPr fontId="1" type="noConversion"/>
  </si>
  <si>
    <t>6867269</t>
    <phoneticPr fontId="1" type="noConversion"/>
  </si>
  <si>
    <t>6867271</t>
    <phoneticPr fontId="1" type="noConversion"/>
  </si>
  <si>
    <t>6867272</t>
    <phoneticPr fontId="1" type="noConversion"/>
  </si>
  <si>
    <t>北京韩建集团有限公司</t>
    <phoneticPr fontId="1" type="noConversion"/>
  </si>
  <si>
    <t>否</t>
    <phoneticPr fontId="1" type="noConversion"/>
  </si>
  <si>
    <t>中新金成兴（北京）建筑工程有限公司</t>
    <phoneticPr fontId="1" type="noConversion"/>
  </si>
  <si>
    <t>五路居回迁安置房项目二期</t>
    <phoneticPr fontId="1" type="noConversion"/>
  </si>
  <si>
    <t>谢实金</t>
    <phoneticPr fontId="1" type="noConversion"/>
  </si>
  <si>
    <t>北京鸿泽伟业建筑工程有限公司</t>
    <phoneticPr fontId="1" type="noConversion"/>
  </si>
  <si>
    <t>沈阳乐天世界一期</t>
    <phoneticPr fontId="1" type="noConversion"/>
  </si>
  <si>
    <t>辽宁沈阳</t>
    <phoneticPr fontId="1" type="noConversion"/>
  </si>
  <si>
    <t>潮白河孔雀城工程</t>
    <phoneticPr fontId="1" type="noConversion"/>
  </si>
  <si>
    <t>河北大厂</t>
    <phoneticPr fontId="1" type="noConversion"/>
  </si>
  <si>
    <t>张德富</t>
    <phoneticPr fontId="1" type="noConversion"/>
  </si>
  <si>
    <t>北京多尔维装饰工程有限公司</t>
    <phoneticPr fontId="1" type="noConversion"/>
  </si>
  <si>
    <t>李志</t>
    <phoneticPr fontId="1" type="noConversion"/>
  </si>
  <si>
    <t>异地交税</t>
    <phoneticPr fontId="1" type="noConversion"/>
  </si>
  <si>
    <t>金融大厦</t>
    <phoneticPr fontId="1" type="noConversion"/>
  </si>
  <si>
    <t>中国建筑（集团）有限公司</t>
    <phoneticPr fontId="1" type="noConversion"/>
  </si>
  <si>
    <t>连云港</t>
    <phoneticPr fontId="1" type="noConversion"/>
  </si>
  <si>
    <t>王刚</t>
    <phoneticPr fontId="1" type="noConversion"/>
  </si>
  <si>
    <t>天津鸿坤房地产开发有限公司</t>
    <phoneticPr fontId="1" type="noConversion"/>
  </si>
  <si>
    <t>乐天荣光地产（沈阳）有限公司</t>
    <phoneticPr fontId="1" type="noConversion"/>
  </si>
  <si>
    <t>大厂京御幸福房地产开发有限公司</t>
    <phoneticPr fontId="1" type="noConversion"/>
  </si>
  <si>
    <t>北京市朝阳田华建筑集团公司第五分公司</t>
    <phoneticPr fontId="1" type="noConversion"/>
  </si>
  <si>
    <t>大兴</t>
    <phoneticPr fontId="1" type="noConversion"/>
  </si>
  <si>
    <t>三河</t>
    <phoneticPr fontId="1" type="noConversion"/>
  </si>
  <si>
    <t>昌平</t>
    <phoneticPr fontId="1" type="noConversion"/>
  </si>
  <si>
    <t>怀柔</t>
    <phoneticPr fontId="1" type="noConversion"/>
  </si>
  <si>
    <t>张家口桥东区北方硅谷一期工程</t>
    <phoneticPr fontId="1" type="noConversion"/>
  </si>
  <si>
    <t>张家口</t>
    <phoneticPr fontId="1" type="noConversion"/>
  </si>
  <si>
    <t>张进录</t>
    <phoneticPr fontId="1" type="noConversion"/>
  </si>
  <si>
    <t>项目部初始化数据，第1行</t>
  </si>
  <si>
    <t>项目部初始化数据，第2行</t>
  </si>
  <si>
    <t>项目部初始化数据，第3行</t>
  </si>
  <si>
    <t>项目部初始化数据，第4行</t>
  </si>
  <si>
    <t>项目部初始化数据，第5行</t>
  </si>
  <si>
    <t>项目部初始化数据，第6行</t>
  </si>
  <si>
    <t>项目部初始化数据，第7行</t>
  </si>
  <si>
    <t>项目部初始化数据，第8行</t>
  </si>
  <si>
    <t>项目部初始化数据，第9行</t>
  </si>
  <si>
    <t>项目部初始化数据，第10行</t>
  </si>
  <si>
    <t>项目部初始化数据，第11行</t>
  </si>
  <si>
    <t>项目部初始化数据，第12行</t>
  </si>
  <si>
    <t>项目部初始化数据，第13行</t>
  </si>
  <si>
    <t>项目部初始化数据，第14行</t>
  </si>
  <si>
    <t>项目部初始化数据，第15行</t>
  </si>
  <si>
    <t>项目部初始化数据，第16行</t>
  </si>
  <si>
    <t>项目部初始化数据，第17行</t>
  </si>
  <si>
    <t>项目部初始化数据，第18行</t>
  </si>
  <si>
    <t>项目部初始化数据，第19行</t>
  </si>
  <si>
    <t>项目部初始化数据，第20行</t>
  </si>
  <si>
    <t>项目部初始化数据，第21行</t>
  </si>
  <si>
    <t>项目部初始化数据，第22行</t>
  </si>
  <si>
    <t>项目部初始化数据，第23行</t>
  </si>
  <si>
    <t>项目部初始化数据，第24行</t>
  </si>
  <si>
    <t>项目部初始化数据，第25行</t>
  </si>
  <si>
    <t>项目部初始化数据，第26行</t>
  </si>
  <si>
    <t>项目部初始化数据，第27行</t>
  </si>
  <si>
    <t>项目部初始化数据，第28行</t>
  </si>
  <si>
    <t>项目部初始化数据，第29行</t>
  </si>
  <si>
    <t>项目部初始化数据，第30行</t>
  </si>
  <si>
    <t>项目部初始化数据，第31行</t>
  </si>
  <si>
    <t>项目部初始化数据，第32行</t>
  </si>
  <si>
    <t>项目部初始化数据，第33行</t>
  </si>
  <si>
    <t>项目部初始化数据，第34行</t>
  </si>
  <si>
    <t>项目部初始化数据，第35行</t>
  </si>
  <si>
    <t>项目部初始化数据，第36行</t>
  </si>
  <si>
    <t>项目部初始化数据，第37行</t>
  </si>
  <si>
    <t>项目部初始化数据，第38行</t>
  </si>
  <si>
    <t>项目部初始化数据，第39行</t>
  </si>
  <si>
    <t>项目部初始化数据，第40行</t>
  </si>
  <si>
    <t>项目部初始化数据，第41行</t>
  </si>
  <si>
    <t>项目部初始化数据，第42行</t>
  </si>
  <si>
    <t>项目部初始化数据，第43行</t>
  </si>
  <si>
    <t>项目部初始化数据，第44行</t>
  </si>
  <si>
    <t>项目部初始化数据，第45行</t>
  </si>
  <si>
    <t>项目部初始化数据，第46行</t>
  </si>
  <si>
    <t>项目部初始化数据，第47行</t>
  </si>
  <si>
    <t>项目部初始化数据，第48行</t>
  </si>
  <si>
    <t>项目部初始化数据，第49行</t>
  </si>
  <si>
    <t>项目部初始化数据，第50行</t>
  </si>
  <si>
    <t>项目部初始化数据，第51行</t>
  </si>
  <si>
    <t>项目部初始化数据，第52行</t>
  </si>
  <si>
    <t>项目部初始化数据，第53行</t>
  </si>
  <si>
    <t>项目部初始化数据，第54行</t>
  </si>
  <si>
    <t>项目部初始化数据，第55行</t>
  </si>
  <si>
    <t>项目部初始化数据，第56行</t>
  </si>
  <si>
    <t>项目部初始化数据，第57行</t>
  </si>
  <si>
    <t>项目部初始化数据，第58行</t>
  </si>
  <si>
    <t>项目部初始化数据，第59行</t>
  </si>
  <si>
    <t>项目部初始化数据，第60行</t>
  </si>
  <si>
    <t>项目部初始化数据，第61行</t>
  </si>
  <si>
    <t>项目部初始化数据，第62行</t>
  </si>
  <si>
    <t>项目部初始化数据，第63行</t>
  </si>
  <si>
    <t>项目部初始化数据，第64行</t>
  </si>
  <si>
    <t>项目部初始化数据，第65行</t>
  </si>
  <si>
    <t>项目部初始化数据，第66行</t>
  </si>
  <si>
    <t>项目部初始化数据，第67行</t>
  </si>
  <si>
    <t>项目部初始化数据，第68行</t>
  </si>
  <si>
    <t>项目部初始化数据，第69行</t>
  </si>
  <si>
    <t>项目部初始化数据，第70行</t>
  </si>
  <si>
    <t>项目部初始化数据，第71行</t>
  </si>
  <si>
    <t>项目部初始化数据，第72行</t>
  </si>
  <si>
    <t>项目部初始化数据，第73行</t>
  </si>
  <si>
    <t>项目部初始化数据，第74行</t>
  </si>
  <si>
    <t>项目部初始化数据，第75行</t>
  </si>
  <si>
    <t>项目部初始化数据，第76行</t>
  </si>
  <si>
    <t>项目部初始化数据，第77行</t>
  </si>
  <si>
    <t>项目部初始化数据，第78行</t>
  </si>
  <si>
    <t>项目部初始化数据，第79行</t>
  </si>
  <si>
    <t>项目部初始化数据，第80行</t>
  </si>
  <si>
    <t>项目部初始化数据，第81行</t>
  </si>
  <si>
    <t>项目部初始化数据，第82行</t>
  </si>
  <si>
    <t>项目部初始化数据，第83行</t>
  </si>
  <si>
    <t>项目部初始化数据，第84行</t>
  </si>
  <si>
    <t>项目部初始化数据，第85行</t>
  </si>
  <si>
    <t>项目部初始化数据，第86行</t>
  </si>
  <si>
    <t>项目部初始化数据，第87行</t>
  </si>
  <si>
    <t>项目部初始化数据，第88行</t>
  </si>
  <si>
    <t>项目部初始化数据，第89行</t>
  </si>
  <si>
    <t>项目部初始化数据，第90行</t>
  </si>
  <si>
    <t>项目部初始化数据，第91行</t>
  </si>
  <si>
    <t>项目部初始化数据，第92行</t>
  </si>
  <si>
    <t>项目部初始化数据，第93行</t>
  </si>
  <si>
    <t>项目部初始化数据，第94行</t>
  </si>
  <si>
    <t>项目部初始化数据，第95行</t>
  </si>
  <si>
    <t>项目部初始化数据，第96行</t>
  </si>
  <si>
    <t>项目部初始化数据，第97行</t>
  </si>
  <si>
    <t>项目部初始化数据，第98行</t>
  </si>
  <si>
    <t>项目部初始化数据，第99行</t>
  </si>
  <si>
    <t>项目部初始化数据，第100行</t>
  </si>
  <si>
    <t>项目部初始化数据，第101行</t>
  </si>
  <si>
    <t>项目部初始化数据，第102行</t>
  </si>
  <si>
    <t>项目部初始化数据，第103行</t>
  </si>
  <si>
    <t>项目部初始化数据，第104行</t>
  </si>
  <si>
    <t>项目部初始化数据，第105行</t>
  </si>
  <si>
    <t>项目部初始化数据，第106行</t>
  </si>
  <si>
    <t>项目部初始化数据，第107行</t>
  </si>
  <si>
    <t>项目部初始化数据，第108行</t>
  </si>
  <si>
    <t>项目部初始化数据，第109行</t>
  </si>
  <si>
    <t>项目部初始化数据，第110行</t>
  </si>
  <si>
    <t>项目部初始化数据，第111行</t>
  </si>
  <si>
    <t>项目部初始化数据，第112行</t>
  </si>
  <si>
    <t>项目部初始化数据，第113行</t>
  </si>
  <si>
    <t>项目部初始化数据，第114行</t>
  </si>
  <si>
    <t>项目部初始化数据，第115行</t>
  </si>
  <si>
    <t>项目部初始化数据，第116行</t>
  </si>
  <si>
    <t>项目部初始化数据，第117行</t>
  </si>
  <si>
    <t>项目部初始化数据，第118行</t>
  </si>
  <si>
    <t>项目部初始化数据，第119行</t>
  </si>
  <si>
    <t>项目部初始化数据，第120行</t>
  </si>
  <si>
    <t>项目部初始化数据，第121行</t>
  </si>
  <si>
    <t>项目部初始化数据，第122行</t>
  </si>
  <si>
    <t>项目部初始化数据，第123行</t>
  </si>
  <si>
    <t>项目部初始化数据，第124行</t>
  </si>
  <si>
    <t>项目部初始化数据，第125行</t>
  </si>
  <si>
    <t>项目部初始化数据，第126行</t>
  </si>
  <si>
    <t>项目部初始化数据，第127行</t>
  </si>
  <si>
    <t>项目部初始化数据，第128行</t>
  </si>
  <si>
    <t>项目部初始化数据，第129行</t>
  </si>
  <si>
    <t>项目部初始化数据，第130行</t>
  </si>
  <si>
    <t>项目部初始化数据，第131行</t>
  </si>
  <si>
    <t>项目部初始化数据，第132行</t>
  </si>
  <si>
    <t>项目部初始化数据，第133行</t>
  </si>
  <si>
    <t>项目部初始化数据，第134行</t>
  </si>
  <si>
    <t>项目部初始化数据，第135行</t>
  </si>
  <si>
    <t>项目部初始化数据，第136行</t>
  </si>
  <si>
    <t>项目部初始化数据，第137行</t>
  </si>
  <si>
    <t>项目部初始化数据，第138行</t>
  </si>
  <si>
    <t>项目部初始化数据，第139行</t>
  </si>
  <si>
    <t>项目部初始化数据，第140行</t>
  </si>
  <si>
    <t>项目部初始化数据，第141行</t>
  </si>
  <si>
    <t>项目部初始化数据，第142行</t>
  </si>
  <si>
    <t>项目部初始化数据，第143行</t>
  </si>
  <si>
    <t>项目部初始化数据，第144行</t>
  </si>
  <si>
    <t>项目部初始化数据，第145行</t>
  </si>
  <si>
    <t>项目部初始化数据，第146行</t>
  </si>
  <si>
    <t>项目部初始化数据，第147行</t>
  </si>
  <si>
    <t>项目部初始化数据，第148行</t>
  </si>
  <si>
    <t>项目部初始化数据，第149行</t>
  </si>
  <si>
    <t>项目部初始化数据，第150行</t>
  </si>
  <si>
    <t>项目部初始化数据，第151行</t>
  </si>
  <si>
    <t>项目部初始化数据，第152行</t>
  </si>
  <si>
    <t>项目部初始化数据，第153行</t>
  </si>
  <si>
    <t>项目部初始化数据，第154行</t>
  </si>
  <si>
    <t>项目部初始化数据，第155行</t>
  </si>
  <si>
    <t>项目部初始化数据，第156行</t>
  </si>
  <si>
    <t>项目部初始化数据，第157行</t>
  </si>
  <si>
    <t>项目部初始化数据，第158行</t>
  </si>
  <si>
    <t>项目部初始化数据，第159行</t>
  </si>
  <si>
    <t>项目部初始化数据，第160行</t>
  </si>
  <si>
    <t>项目部初始化数据，第161行</t>
  </si>
  <si>
    <t>项目部初始化数据，第162行</t>
  </si>
  <si>
    <t>项目部初始化数据，第163行</t>
  </si>
  <si>
    <t>项目部初始化数据，第164行</t>
  </si>
  <si>
    <t>项目部初始化数据，第165行</t>
  </si>
  <si>
    <t>项目部初始化数据，第166行</t>
  </si>
  <si>
    <t>项目部初始化数据，第167行</t>
  </si>
  <si>
    <t>项目部初始化数据，第168行</t>
  </si>
  <si>
    <t>项目部初始化数据，第169行</t>
  </si>
  <si>
    <t>项目部初始化数据，第170行</t>
  </si>
  <si>
    <t>项目部初始化数据，第171行</t>
  </si>
  <si>
    <t>项目部初始化数据，第172行</t>
  </si>
  <si>
    <t>项目部初始化数据，第173行</t>
  </si>
  <si>
    <t>项目部初始化数据，第174行</t>
  </si>
  <si>
    <t>项目部初始化数据，第175行</t>
  </si>
  <si>
    <t>项目部初始化数据，第176行</t>
  </si>
  <si>
    <t>项目部初始化数据，第177行</t>
  </si>
  <si>
    <t>项目部初始化数据，第178行</t>
  </si>
  <si>
    <t>项目部初始化数据，第179行</t>
  </si>
  <si>
    <t>项目部初始化数据，第180行</t>
  </si>
  <si>
    <t>项目部初始化数据，第181行</t>
  </si>
  <si>
    <t>项目部初始化数据，第182行</t>
  </si>
  <si>
    <t>项目部初始化数据，第183行</t>
  </si>
  <si>
    <t>项目部初始化数据，第184行</t>
  </si>
  <si>
    <t>项目部初始化数据，第185行</t>
  </si>
  <si>
    <t>项目部初始化数据，第186行</t>
  </si>
  <si>
    <t>项目部初始化数据，第187行</t>
  </si>
  <si>
    <t>项目部初始化数据，第188行</t>
  </si>
  <si>
    <t>项目部初始化数据，第189行</t>
  </si>
  <si>
    <t>项目部初始化数据，第190行</t>
  </si>
  <si>
    <t>项目部初始化数据，第191行</t>
  </si>
  <si>
    <t>项目部初始化数据，第192行</t>
  </si>
  <si>
    <t>项目部初始化数据，第193行</t>
  </si>
  <si>
    <t>项目部初始化数据，第194行</t>
  </si>
  <si>
    <t>项目部初始化数据，第195行</t>
  </si>
  <si>
    <t>项目部初始化数据，第196行</t>
  </si>
  <si>
    <t>项目部初始化数据，第197行</t>
  </si>
  <si>
    <t>项目部初始化数据，第198行</t>
  </si>
  <si>
    <t>项目部初始化数据，第199行</t>
  </si>
  <si>
    <t>项目部初始化数据，第200行</t>
  </si>
  <si>
    <t>项目部初始化数据，第201行</t>
  </si>
  <si>
    <t>项目部初始化数据，第202行</t>
  </si>
  <si>
    <t>项目部初始化数据，第203行</t>
  </si>
  <si>
    <t>项目部初始化数据，第204行</t>
  </si>
  <si>
    <t>项目部初始化数据，第205行</t>
  </si>
  <si>
    <t>项目部初始化数据，第206行</t>
  </si>
  <si>
    <t>项目部初始化数据，第207行</t>
  </si>
  <si>
    <t>项目部初始化数据，第208行</t>
  </si>
  <si>
    <t>项目部初始化数据，第209行</t>
  </si>
  <si>
    <t>项目部初始化数据，第210行</t>
  </si>
  <si>
    <t>项目部初始化数据，第211行</t>
  </si>
  <si>
    <t>项目部初始化数据，第212行</t>
  </si>
  <si>
    <t>项目部初始化数据，第213行</t>
  </si>
  <si>
    <t>项目部初始化数据，第214行</t>
  </si>
  <si>
    <t>项目部初始化数据，第215行</t>
  </si>
  <si>
    <t>项目部初始化数据，第216行</t>
  </si>
  <si>
    <t>项目部初始化数据，第217行</t>
  </si>
  <si>
    <t>项目部初始化数据，第218行</t>
  </si>
  <si>
    <t>项目部初始化数据，第219行</t>
  </si>
  <si>
    <t>项目部初始化数据，第220行</t>
  </si>
  <si>
    <t>项目部初始化数据，第221行</t>
  </si>
  <si>
    <t>项目部初始化数据，第222行</t>
  </si>
  <si>
    <t>项目部初始化数据，第223行</t>
  </si>
  <si>
    <t>项目部初始化数据，第224行</t>
  </si>
  <si>
    <t>项目部初始化数据，第225行</t>
  </si>
  <si>
    <t>项目部初始化数据，第226行</t>
  </si>
  <si>
    <t>项目部初始化数据，第227行</t>
  </si>
  <si>
    <t>项目部初始化数据，第228行</t>
  </si>
  <si>
    <t>项目部初始化数据，第229行</t>
  </si>
  <si>
    <t>项目部初始化数据，第230行</t>
  </si>
  <si>
    <t>项目部初始化数据，第231行</t>
  </si>
  <si>
    <t>项目部初始化数据，第232行</t>
  </si>
  <si>
    <t>项目部初始化数据，第233行</t>
  </si>
  <si>
    <t>项目部初始化数据，第234行</t>
  </si>
  <si>
    <t>项目部初始化数据，第235行</t>
  </si>
  <si>
    <t>项目部初始化数据，第236行</t>
  </si>
  <si>
    <t>项目部初始化数据，第237行</t>
  </si>
  <si>
    <t>项目部初始化数据，第238行</t>
  </si>
  <si>
    <t>项目部初始化数据，第239行</t>
  </si>
  <si>
    <t>项目部初始化数据，第240行</t>
  </si>
  <si>
    <t>项目部初始化数据，第241行</t>
  </si>
  <si>
    <t>项目部初始化数据，第242行</t>
  </si>
  <si>
    <t>项目部初始化数据，第243行</t>
  </si>
  <si>
    <t>项目部初始化数据，第244行</t>
  </si>
  <si>
    <t>项目部初始化数据，第245行</t>
  </si>
  <si>
    <t>项目部初始化数据，第246行</t>
  </si>
  <si>
    <t>项目部初始化数据，第247行</t>
  </si>
  <si>
    <t>项目部初始化数据，第248行</t>
  </si>
  <si>
    <t>项目部初始化数据，第249行</t>
  </si>
  <si>
    <t>项目部初始化数据，第250行</t>
  </si>
  <si>
    <t>项目部初始化数据，第251行</t>
  </si>
  <si>
    <t>项目部初始化数据，第252行</t>
  </si>
  <si>
    <t>项目部初始化数据，第253行</t>
  </si>
  <si>
    <t>项目部初始化数据，第254行</t>
  </si>
  <si>
    <t>项目部初始化数据，第255行</t>
  </si>
  <si>
    <t>项目部初始化数据，第256行</t>
  </si>
  <si>
    <t>项目部初始化数据，第257行</t>
  </si>
  <si>
    <t>项目部初始化数据，第258行</t>
  </si>
  <si>
    <t>项目部初始化数据，第259行</t>
  </si>
  <si>
    <t>项目部初始化数据，第260行</t>
  </si>
  <si>
    <t>项目部初始化数据，第261行</t>
  </si>
  <si>
    <t>项目部初始化数据，第262行</t>
  </si>
  <si>
    <t>项目部初始化数据，第263行</t>
  </si>
  <si>
    <t>项目部初始化数据，第264行</t>
  </si>
  <si>
    <t>项目部初始化数据，第265行</t>
  </si>
  <si>
    <t>项目部初始化数据，第266行</t>
  </si>
  <si>
    <t>项目部初始化数据，第267行</t>
  </si>
  <si>
    <t>项目部初始化数据，第268行</t>
  </si>
  <si>
    <t>项目部初始化数据，第269行</t>
  </si>
  <si>
    <t>项目部初始化数据，第270行</t>
  </si>
  <si>
    <t>项目部初始化数据，第271行</t>
  </si>
  <si>
    <t>项目部初始化数据，第272行</t>
  </si>
  <si>
    <t>项目部初始化数据，第273行</t>
  </si>
  <si>
    <t>项目部初始化数据，第274行</t>
  </si>
  <si>
    <t>项目部初始化数据，第275行</t>
  </si>
  <si>
    <t>项目部初始化数据，第276行</t>
  </si>
  <si>
    <t>项目部初始化数据，第277行</t>
  </si>
  <si>
    <t>项目部初始化数据，第278行</t>
  </si>
  <si>
    <t>项目部初始化数据，第279行</t>
  </si>
  <si>
    <t>项目部初始化数据，第280行</t>
  </si>
  <si>
    <t>项目部初始化数据，第281行</t>
  </si>
  <si>
    <t>项目部初始化数据，第282行</t>
  </si>
  <si>
    <t>项目部初始化数据，第283行</t>
  </si>
  <si>
    <t>项目部初始化数据，第284行</t>
  </si>
  <si>
    <t>项目部初始化数据，第285行</t>
  </si>
  <si>
    <t>项目部初始化数据，第286行</t>
  </si>
  <si>
    <t>项目部初始化数据，第287行</t>
  </si>
  <si>
    <t>项目部初始化数据，第288行</t>
  </si>
  <si>
    <t>项目部初始化数据，第289行</t>
  </si>
  <si>
    <t>项目部初始化数据，第290行</t>
  </si>
  <si>
    <t>项目部初始化数据，第291行</t>
  </si>
  <si>
    <t>项目部初始化数据，第292行</t>
  </si>
  <si>
    <t>项目部初始化数据，第294行</t>
  </si>
  <si>
    <t>项目部初始化数据，第296行</t>
  </si>
  <si>
    <t>项目部初始化数据，第297行</t>
  </si>
  <si>
    <t>项目部初始化数据，第298行</t>
  </si>
  <si>
    <t>项目部初始化数据，第299行</t>
  </si>
  <si>
    <t>项目部初始化数据，第300行</t>
  </si>
  <si>
    <t>项目部初始化数据，第302行</t>
  </si>
  <si>
    <t>项目部初始化数据，第303行</t>
  </si>
  <si>
    <t>项目部初始化数据，第304行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</si>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</sst>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0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2" fillId="0" borderId="2" xfId="0" applyNumberFormat="1" applyFont="1" applyBorder="1" applyProtection="1">
      <alignment vertical="center"/>
      <protection locked="0"/>
    </xf>
    <xf numFmtId="176" fontId="5" fillId="0" borderId="1" xfId="0" applyNumberFormat="1" applyFont="1" applyFill="1" applyBorder="1" applyProtection="1">
      <alignment vertical="center"/>
      <protection locked="0"/>
    </xf>
    <xf numFmtId="176" fontId="7" fillId="0" borderId="1" xfId="2" applyNumberFormat="1" applyFont="1" applyFill="1" applyBorder="1" applyAlignment="1">
      <alignment horizontal="left"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5" fillId="0" borderId="1" xfId="0" applyNumberFormat="1" applyFont="1" applyFill="1" applyBorder="1" applyAlignment="1" applyProtection="1">
      <alignment horizontal="right" vertical="center"/>
      <protection locked="0"/>
    </xf>
    <xf numFmtId="176" fontId="5" fillId="0" borderId="1" xfId="1" applyNumberFormat="1" applyFont="1" applyFill="1" applyBorder="1" applyProtection="1">
      <alignment vertical="center"/>
      <protection locked="0"/>
    </xf>
    <xf numFmtId="176" fontId="5" fillId="0" borderId="0" xfId="0" applyNumberFormat="1" applyFont="1" applyFill="1">
      <alignment vertical="center"/>
    </xf>
    <xf numFmtId="176" fontId="4" fillId="0" borderId="1" xfId="0" applyNumberFormat="1" applyFont="1" applyFill="1" applyBorder="1" applyProtection="1">
      <alignment vertical="center"/>
      <protection locked="0"/>
    </xf>
    <xf numFmtId="176" fontId="4" fillId="0" borderId="1" xfId="0" applyNumberFormat="1" applyFont="1" applyFill="1" applyBorder="1" applyAlignment="1" applyProtection="1">
      <alignment horizontal="right" vertical="center"/>
      <protection locked="0"/>
    </xf>
    <xf numFmtId="176" fontId="4" fillId="0" borderId="1" xfId="1" applyNumberFormat="1" applyFont="1" applyFill="1" applyBorder="1" applyProtection="1">
      <alignment vertical="center"/>
      <protection locked="0"/>
    </xf>
    <xf numFmtId="176" fontId="4" fillId="0" borderId="0" xfId="0" applyNumberFormat="1" applyFont="1" applyFill="1">
      <alignment vertical="center"/>
    </xf>
    <xf numFmtId="176" fontId="4" fillId="0" borderId="1" xfId="0" applyNumberFormat="1" applyFont="1" applyBorder="1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right" vertical="center"/>
      <protection locked="0"/>
    </xf>
    <xf numFmtId="176" fontId="4" fillId="0" borderId="1" xfId="1" applyNumberFormat="1" applyFont="1" applyBorder="1" applyProtection="1">
      <alignment vertical="center"/>
      <protection locked="0"/>
    </xf>
    <xf numFmtId="176" fontId="4" fillId="0" borderId="0" xfId="0" applyNumberFormat="1" applyFont="1">
      <alignment vertical="center"/>
    </xf>
    <xf numFmtId="176" fontId="5" fillId="0" borderId="1" xfId="0" applyNumberFormat="1" applyFont="1" applyBorder="1" applyAlignment="1" applyProtection="1">
      <alignment horizontal="right" vertical="center"/>
      <protection locked="0"/>
    </xf>
    <xf numFmtId="176" fontId="5" fillId="0" borderId="1" xfId="1" applyNumberFormat="1" applyFont="1" applyBorder="1" applyProtection="1">
      <alignment vertical="center"/>
      <protection locked="0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6" fontId="2" fillId="2" borderId="0" xfId="0" applyNumberFormat="1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vertical="center"/>
    </xf>
    <xf numFmtId="14" fontId="2" fillId="2" borderId="0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 applyProtection="1">
      <alignment vertical="center"/>
      <protection locked="0"/>
    </xf>
    <xf numFmtId="14" fontId="2" fillId="0" borderId="1" xfId="0" applyNumberFormat="1" applyFont="1" applyFill="1" applyBorder="1" applyAlignment="1" applyProtection="1">
      <alignment vertical="center"/>
      <protection locked="0"/>
    </xf>
    <xf numFmtId="14" fontId="5" fillId="0" borderId="1" xfId="0" applyNumberFormat="1" applyFont="1" applyFill="1" applyBorder="1" applyAlignment="1" applyProtection="1">
      <alignment vertical="center"/>
      <protection locked="0"/>
    </xf>
    <xf numFmtId="14" fontId="4" fillId="0" borderId="1" xfId="0" applyNumberFormat="1" applyFont="1" applyFill="1" applyBorder="1" applyAlignment="1" applyProtection="1">
      <alignment vertical="center"/>
      <protection locked="0"/>
    </xf>
    <xf numFmtId="14" fontId="4" fillId="0" borderId="1" xfId="0" applyNumberFormat="1" applyFont="1" applyBorder="1" applyAlignment="1" applyProtection="1">
      <alignment vertical="center"/>
      <protection locked="0"/>
    </xf>
    <xf numFmtId="14" fontId="5" fillId="0" borderId="1" xfId="0" applyNumberFormat="1" applyFont="1" applyBorder="1" applyAlignment="1" applyProtection="1">
      <alignment vertical="center"/>
      <protection locked="0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Protection="1">
      <alignment vertical="center"/>
      <protection locked="0"/>
    </xf>
    <xf numFmtId="14" fontId="2" fillId="0" borderId="1" xfId="0" applyNumberFormat="1" applyFont="1" applyFill="1" applyBorder="1" applyProtection="1">
      <alignment vertical="center"/>
      <protection locked="0"/>
    </xf>
    <xf numFmtId="14" fontId="5" fillId="0" borderId="1" xfId="0" applyNumberFormat="1" applyFont="1" applyFill="1" applyBorder="1" applyProtection="1">
      <alignment vertical="center"/>
      <protection locked="0"/>
    </xf>
    <xf numFmtId="14" fontId="4" fillId="0" borderId="1" xfId="0" applyNumberFormat="1" applyFont="1" applyFill="1" applyBorder="1" applyProtection="1">
      <alignment vertical="center"/>
      <protection locked="0"/>
    </xf>
    <xf numFmtId="14" fontId="4" fillId="0" borderId="1" xfId="0" applyNumberFormat="1" applyFont="1" applyBorder="1" applyProtection="1">
      <alignment vertical="center"/>
      <protection locked="0"/>
    </xf>
    <xf numFmtId="14" fontId="5" fillId="0" borderId="1" xfId="0" applyNumberFormat="1" applyFont="1" applyBorder="1" applyProtection="1">
      <alignment vertical="center"/>
      <protection locked="0"/>
    </xf>
    <xf numFmtId="14" fontId="2" fillId="0" borderId="0" xfId="0" applyNumberFormat="1" applyFont="1">
      <alignment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02"/>
  <sheetViews>
    <sheetView tabSelected="1" topLeftCell="O100" zoomScale="205" zoomScaleNormal="205" workbookViewId="0">
      <selection activeCell="R1" sqref="R1:R1048576"/>
    </sheetView>
  </sheetViews>
  <sheetFormatPr defaultColWidth="9" defaultRowHeight="12" x14ac:dyDescent="0.15"/>
  <cols>
    <col min="1" max="1" width="10.75" style="40" bestFit="1" customWidth="1"/>
    <col min="2" max="2" width="23.25" style="5" bestFit="1" customWidth="1"/>
    <col min="3" max="3" width="12.25" style="5" bestFit="1" customWidth="1"/>
    <col min="4" max="4" width="57.375" style="5" bestFit="1" customWidth="1"/>
    <col min="5" max="5" width="17.125" style="5" bestFit="1" customWidth="1"/>
    <col min="6" max="6" width="65.625" style="5" bestFit="1" customWidth="1"/>
    <col min="7" max="7" width="13.125" style="5" bestFit="1" customWidth="1"/>
    <col min="8" max="8" width="8" style="5" bestFit="1" customWidth="1"/>
    <col min="9" max="9" width="33" style="5" bestFit="1" customWidth="1"/>
    <col min="10" max="10" width="14.125" style="5" bestFit="1" customWidth="1"/>
    <col min="11" max="11" width="21.875" style="5" bestFit="1" customWidth="1"/>
    <col min="12" max="12" width="13.125" style="5" bestFit="1" customWidth="1"/>
    <col min="13" max="13" width="15.125" style="5" bestFit="1" customWidth="1"/>
    <col min="14" max="14" width="13.125" style="5" bestFit="1" customWidth="1"/>
    <col min="15" max="15" width="19" style="5" bestFit="1" customWidth="1"/>
    <col min="16" max="16" width="17.125" style="5" bestFit="1" customWidth="1"/>
    <col min="17" max="17" width="14.125" style="29" bestFit="1" customWidth="1"/>
    <col min="18" max="18" width="14.125" style="47" bestFit="1" customWidth="1"/>
    <col min="19" max="20" width="16.125" style="5" bestFit="1" customWidth="1"/>
    <col min="21" max="21" width="21" style="5" bestFit="1" customWidth="1"/>
    <col min="22" max="22" width="15.125" style="30" bestFit="1" customWidth="1"/>
    <col min="23" max="24" width="21.875" style="5" bestFit="1" customWidth="1"/>
    <col min="25" max="25" width="22.875" style="5" bestFit="1" customWidth="1"/>
    <col min="26" max="26" width="21" style="5" bestFit="1" customWidth="1"/>
    <col min="27" max="27" width="20" style="5" bestFit="1" customWidth="1"/>
    <col min="28" max="28" width="25.75" style="5" bestFit="1" customWidth="1"/>
    <col min="29" max="29" width="18" style="5" bestFit="1" customWidth="1"/>
    <col min="30" max="30" width="23.875" style="5" bestFit="1" customWidth="1"/>
    <col min="31" max="31" width="16.125" style="30" bestFit="1" customWidth="1"/>
    <col min="32" max="32" width="22.875" style="5" bestFit="1" customWidth="1"/>
    <col min="33" max="33" width="28.75" style="5" bestFit="1" customWidth="1"/>
    <col min="34" max="34" width="14.125" style="5" bestFit="1" customWidth="1"/>
    <col min="35" max="35" width="18" style="5" bestFit="1" customWidth="1"/>
    <col min="36" max="36" width="21" style="5" bestFit="1" customWidth="1"/>
    <col min="37" max="37" width="19" style="5" bestFit="1" customWidth="1"/>
    <col min="38" max="38" width="20" style="5" bestFit="1" customWidth="1"/>
    <col min="39" max="39" width="8.5" style="30" bestFit="1" customWidth="1"/>
    <col min="40" max="40" width="15.125" style="30" bestFit="1" customWidth="1"/>
    <col min="41" max="41" width="15.125" style="5" bestFit="1" customWidth="1"/>
    <col min="42" max="42" width="16.125" style="5" bestFit="1" customWidth="1"/>
    <col min="43" max="45" width="14.125" style="5" bestFit="1" customWidth="1"/>
    <col min="46" max="47" width="13.125" style="5" bestFit="1" customWidth="1"/>
    <col min="48" max="16384" width="9" style="5"/>
  </cols>
  <sheetData>
    <row r="1" spans="1:46" s="28" customFormat="1" x14ac:dyDescent="0.15">
      <c r="A1" s="33" t="s">
        <v>1945</v>
      </c>
      <c r="B1" s="31" t="s">
        <v>1946</v>
      </c>
      <c r="C1" s="31" t="s">
        <v>1947</v>
      </c>
      <c r="D1" s="31" t="s">
        <v>1948</v>
      </c>
      <c r="E1" s="31" t="s">
        <v>1949</v>
      </c>
      <c r="F1" s="31" t="s">
        <v>1950</v>
      </c>
      <c r="G1" s="31" t="s">
        <v>1951</v>
      </c>
      <c r="H1" s="31" t="s">
        <v>1952</v>
      </c>
      <c r="I1" s="31" t="s">
        <v>1953</v>
      </c>
      <c r="J1" s="31" t="s">
        <v>1954</v>
      </c>
      <c r="K1" s="31" t="s">
        <v>1955</v>
      </c>
      <c r="L1" s="31" t="s">
        <v>1956</v>
      </c>
      <c r="M1" s="31" t="s">
        <v>1957</v>
      </c>
      <c r="N1" s="31" t="s">
        <v>1958</v>
      </c>
      <c r="O1" s="31" t="s">
        <v>1959</v>
      </c>
      <c r="P1" s="31" t="s">
        <v>1960</v>
      </c>
      <c r="Q1" s="31" t="s">
        <v>1961</v>
      </c>
      <c r="R1" s="33" t="s">
        <v>1962</v>
      </c>
      <c r="S1" s="31" t="s">
        <v>1963</v>
      </c>
      <c r="T1" s="31" t="s">
        <v>1964</v>
      </c>
      <c r="U1" s="31" t="s">
        <v>1965</v>
      </c>
      <c r="V1" s="32" t="s">
        <v>1966</v>
      </c>
      <c r="W1" s="31" t="s">
        <v>1967</v>
      </c>
      <c r="X1" s="31" t="s">
        <v>1968</v>
      </c>
      <c r="Y1" s="31" t="s">
        <v>1969</v>
      </c>
      <c r="Z1" s="31" t="s">
        <v>1970</v>
      </c>
      <c r="AA1" s="31" t="s">
        <v>1971</v>
      </c>
      <c r="AB1" s="31" t="s">
        <v>1972</v>
      </c>
      <c r="AC1" s="31" t="s">
        <v>1973</v>
      </c>
      <c r="AD1" s="31" t="s">
        <v>1974</v>
      </c>
      <c r="AE1" s="32" t="s">
        <v>1975</v>
      </c>
      <c r="AF1" s="31" t="s">
        <v>1976</v>
      </c>
      <c r="AG1" s="31" t="s">
        <v>1977</v>
      </c>
      <c r="AH1" s="31" t="s">
        <v>1978</v>
      </c>
      <c r="AI1" s="31" t="s">
        <v>1979</v>
      </c>
      <c r="AJ1" s="31" t="s">
        <v>1980</v>
      </c>
      <c r="AK1" s="31" t="s">
        <v>1981</v>
      </c>
      <c r="AL1" s="31" t="s">
        <v>1982</v>
      </c>
      <c r="AM1" s="32" t="s">
        <v>1983</v>
      </c>
      <c r="AN1" s="32" t="s">
        <v>1984</v>
      </c>
      <c r="AO1" s="31" t="s">
        <v>1985</v>
      </c>
      <c r="AP1" s="31" t="s">
        <v>1986</v>
      </c>
      <c r="AQ1" s="31" t="s">
        <v>1987</v>
      </c>
      <c r="AR1" s="31" t="s">
        <v>1988</v>
      </c>
      <c r="AS1" s="31" t="s">
        <v>1989</v>
      </c>
      <c r="AT1" s="31" t="s">
        <v>1990</v>
      </c>
    </row>
    <row r="2" spans="1:46" x14ac:dyDescent="0.15">
      <c r="A2" s="34">
        <v>39048</v>
      </c>
      <c r="B2" s="2" t="s">
        <v>1644</v>
      </c>
      <c r="C2" s="2" t="s">
        <v>1380</v>
      </c>
      <c r="D2" s="2" t="s">
        <v>1381</v>
      </c>
      <c r="E2" s="2" t="s">
        <v>1382</v>
      </c>
      <c r="F2" s="2" t="s">
        <v>1383</v>
      </c>
      <c r="G2" s="2" t="s">
        <v>1384</v>
      </c>
      <c r="H2" s="2" t="s">
        <v>177</v>
      </c>
      <c r="I2" s="2" t="s">
        <v>178</v>
      </c>
      <c r="J2" s="2" t="s">
        <v>179</v>
      </c>
      <c r="K2" s="2" t="s">
        <v>13</v>
      </c>
      <c r="L2" s="2"/>
      <c r="M2" s="2">
        <v>9299314</v>
      </c>
      <c r="N2" s="2">
        <v>29641.87</v>
      </c>
      <c r="O2" s="2"/>
      <c r="P2" s="2"/>
      <c r="Q2" s="3"/>
      <c r="R2" s="41"/>
      <c r="S2" s="2"/>
      <c r="T2" s="2"/>
      <c r="U2" s="2" t="s">
        <v>1385</v>
      </c>
      <c r="V2" s="4">
        <v>0.03</v>
      </c>
      <c r="W2" s="2">
        <f>(M2+N2)*V2</f>
        <v>279868.67609999998</v>
      </c>
      <c r="X2" s="2">
        <f>278979+889</f>
        <v>279868</v>
      </c>
      <c r="Y2" s="2">
        <f>279868</f>
        <v>279868</v>
      </c>
      <c r="Z2" s="2"/>
      <c r="AA2" s="2">
        <f>1859860+2789790+3000000+500000+12007.87+691943-193389+202897+186000+279847</f>
        <v>9328955.870000001</v>
      </c>
      <c r="AB2" s="2">
        <f>9328955.87</f>
        <v>9328955.8699999992</v>
      </c>
      <c r="AC2" s="2">
        <f>1859860+2789790+3000000+500000+12007.87+498554+152897+20000+186000+273000</f>
        <v>9292108.870000001</v>
      </c>
      <c r="AD2" s="2">
        <f>9292108.87</f>
        <v>9292108.8699999992</v>
      </c>
      <c r="AE2" s="4">
        <f>AD2/(M2+N2)</f>
        <v>0.99605025465727715</v>
      </c>
      <c r="AF2" s="2">
        <f>1860900.34+1793334.5+1014532.36+187416.56+2871426.65+325254.92+68315.25+75271.8+99560+9800</f>
        <v>8305812.3799999999</v>
      </c>
      <c r="AG2" s="2">
        <f>8305812.38</f>
        <v>8305812.3799999999</v>
      </c>
      <c r="AH2" s="2">
        <f>1845661.4+14000+2253359.4+100869.81-100000+81000+400000+10000+4763+17000+402000+1725565.1+650000+75000+168894+400000+10000+80000+408+10000+74603.9+200000+200000+37000+152984.26+206000+84786.8+76200+99560+9800</f>
        <v>9289455.6699999999</v>
      </c>
      <c r="AI2" s="2"/>
      <c r="AJ2" s="2"/>
      <c r="AK2" s="2"/>
      <c r="AL2" s="2">
        <f>9289455.67</f>
        <v>9289455.6699999999</v>
      </c>
      <c r="AM2" s="4">
        <v>3.4000000000000002E-2</v>
      </c>
      <c r="AN2" s="4">
        <f>AD2*AM2</f>
        <v>315931.70157999999</v>
      </c>
      <c r="AO2" s="2">
        <f>63235+94853+102000+17000+408+23526-6575+6899+6324+9515</f>
        <v>317185</v>
      </c>
      <c r="AP2" s="2">
        <f>317185</f>
        <v>317185</v>
      </c>
      <c r="AQ2" s="2"/>
      <c r="AR2" s="2"/>
      <c r="AS2" s="2">
        <v>97</v>
      </c>
      <c r="AT2" s="2" t="s">
        <v>1386</v>
      </c>
    </row>
    <row r="3" spans="1:46" x14ac:dyDescent="0.15">
      <c r="A3" s="34">
        <v>39193</v>
      </c>
      <c r="B3" s="2" t="s">
        <v>1645</v>
      </c>
      <c r="C3" s="2" t="s">
        <v>1183</v>
      </c>
      <c r="D3" s="2" t="s">
        <v>1184</v>
      </c>
      <c r="E3" s="2" t="s">
        <v>0</v>
      </c>
      <c r="F3" s="2" t="s">
        <v>561</v>
      </c>
      <c r="G3" s="2" t="s">
        <v>10</v>
      </c>
      <c r="H3" s="2" t="s">
        <v>1185</v>
      </c>
      <c r="I3" s="2" t="s">
        <v>1186</v>
      </c>
      <c r="J3" s="2" t="s">
        <v>1187</v>
      </c>
      <c r="K3" s="2" t="s">
        <v>13</v>
      </c>
      <c r="L3" s="2"/>
      <c r="M3" s="2">
        <v>7762000</v>
      </c>
      <c r="N3" s="2"/>
      <c r="O3" s="2"/>
      <c r="P3" s="2">
        <f>7135000+324929.06</f>
        <v>7459929.0599999996</v>
      </c>
      <c r="Q3" s="3"/>
      <c r="R3" s="41"/>
      <c r="S3" s="2"/>
      <c r="T3" s="2"/>
      <c r="U3" s="2" t="s">
        <v>14</v>
      </c>
      <c r="V3" s="4">
        <v>0.03</v>
      </c>
      <c r="W3" s="2">
        <f>P3*V3</f>
        <v>223797.87179999999</v>
      </c>
      <c r="X3" s="2">
        <f>100000+100000+32860-9062</f>
        <v>223798</v>
      </c>
      <c r="Y3" s="2">
        <f>232860-9062</f>
        <v>223798</v>
      </c>
      <c r="Z3" s="2">
        <f>W3-Y3</f>
        <v>-0.12820000000647269</v>
      </c>
      <c r="AA3" s="2">
        <f>388100+1164300+84990+400000+900000+300000+500000+500000+500000+200000+100000+80000+100000+100000+200000+150000+100000+100000+100000+100000+100000+650000+380000+262539.06</f>
        <v>7459929.0599999996</v>
      </c>
      <c r="AB3" s="2">
        <f>7459929.06</f>
        <v>7459929.0599999996</v>
      </c>
      <c r="AC3" s="2">
        <f>388100+294618.02+464742.92+315000+350000+800000+300000+500000+500000+500000+200000+100000+80000+94870+100000+100000+200000+100000+100000+57817.39+42182.61+50000+50000+100000+650000+380000+262539.06+380059.06</f>
        <v>7459929.0599999987</v>
      </c>
      <c r="AD3" s="2">
        <f>7459929.06</f>
        <v>7459929.0599999996</v>
      </c>
      <c r="AE3" s="4">
        <f>AD3/P3</f>
        <v>1</v>
      </c>
      <c r="AF3" s="2">
        <f>709347.5+1092000+270000+988000+678042.5+126120+93400+100000+98000+204540+100400+93763.57+62817.39+99704.53+110000+199104.8+100000+680059.06+380059.06+110000+209993.12</f>
        <v>6505351.5299999993</v>
      </c>
      <c r="AG3" s="2">
        <f>6505351.53</f>
        <v>6505351.5300000003</v>
      </c>
      <c r="AH3" s="2">
        <f>250000+277618.02+80000+372446+100000+65000+250000+60000+330000+20000+750000+300000+340000+160000+502043.35+500000+200000+7200+100000+126120+93400+100000+98000+204540+100400+93763.57+76417.39+3400+99704.53+110000+221204.8+100000+300000+380059.06+12920+293082.42+110000+8926+209993.12</f>
        <v>7406238.2599999998</v>
      </c>
      <c r="AI3" s="2"/>
      <c r="AJ3" s="2"/>
      <c r="AK3" s="2"/>
      <c r="AL3" s="2">
        <f>7406238.26</f>
        <v>7406238.2599999998</v>
      </c>
      <c r="AM3" s="4">
        <v>3.4000000000000002E-2</v>
      </c>
      <c r="AN3" s="4">
        <f>AB3*AM3</f>
        <v>253637.58804</v>
      </c>
      <c r="AO3" s="2">
        <f>13195+39586+2890+13600+30600+10200+17000+17000+17000+6800+3400+2720+3400+3400+6800+5100+3400+3400+3400+3400+3400+22100+12920+8926</f>
        <v>253637</v>
      </c>
      <c r="AP3" s="2">
        <f>253637</f>
        <v>253637</v>
      </c>
      <c r="AQ3" s="2">
        <f>AN3-AP3</f>
        <v>0.58804000000236556</v>
      </c>
      <c r="AR3" s="2"/>
      <c r="AS3" s="2"/>
      <c r="AT3" s="2"/>
    </row>
    <row r="4" spans="1:46" x14ac:dyDescent="0.15">
      <c r="A4" s="34">
        <v>39324</v>
      </c>
      <c r="B4" s="2" t="s">
        <v>1646</v>
      </c>
      <c r="C4" s="2" t="s">
        <v>1566</v>
      </c>
      <c r="D4" s="2" t="s">
        <v>1567</v>
      </c>
      <c r="E4" s="2" t="s">
        <v>0</v>
      </c>
      <c r="F4" s="2" t="s">
        <v>1568</v>
      </c>
      <c r="G4" s="2" t="s">
        <v>1519</v>
      </c>
      <c r="H4" s="2" t="s">
        <v>1569</v>
      </c>
      <c r="I4" s="6" t="s">
        <v>623</v>
      </c>
      <c r="J4" s="6" t="s">
        <v>624</v>
      </c>
      <c r="K4" s="6" t="s">
        <v>13</v>
      </c>
      <c r="L4" s="2"/>
      <c r="M4" s="2">
        <f>6190000</f>
        <v>6190000</v>
      </c>
      <c r="N4" s="2">
        <f>3852706.24</f>
        <v>3852706.24</v>
      </c>
      <c r="O4" s="2"/>
      <c r="P4" s="2"/>
      <c r="Q4" s="3"/>
      <c r="R4" s="41"/>
      <c r="S4" s="2"/>
      <c r="T4" s="2"/>
      <c r="U4" s="2" t="s">
        <v>1533</v>
      </c>
      <c r="V4" s="4">
        <v>0.03</v>
      </c>
      <c r="W4" s="2">
        <f>V4*(M4+N4)</f>
        <v>301281.18719999999</v>
      </c>
      <c r="X4" s="2">
        <f>100000+85700+115581</f>
        <v>301281</v>
      </c>
      <c r="Y4" s="2">
        <f>301281</f>
        <v>301281</v>
      </c>
      <c r="Z4" s="2">
        <f>W4-Y4</f>
        <v>0.18719999998575076</v>
      </c>
      <c r="AA4" s="2">
        <f>371400+1918900+309500+804700+5000+786130+328070+721430.7+1552433.3+433551.84+44.16+440735+791236</f>
        <v>8463131</v>
      </c>
      <c r="AB4" s="2">
        <f>8463131</f>
        <v>8463131</v>
      </c>
      <c r="AC4" s="2">
        <f>371400+1918900+309500+804700+786130+328070+721430.7+1552433.3+433596+440735+537492.07</f>
        <v>8204387.0700000003</v>
      </c>
      <c r="AD4" s="2">
        <f>8204387.07</f>
        <v>8204387.0700000003</v>
      </c>
      <c r="AE4" s="4">
        <f>AD4/(M4+N4)</f>
        <v>0.81694982148556805</v>
      </c>
      <c r="AF4" s="2">
        <f>301400+1918884+115581+263935+327360+32658+244682+518151+200000+328070+718449+1324464.8+14741+100000+67979+859590+26902+499918</f>
        <v>7862764.7999999998</v>
      </c>
      <c r="AG4" s="2">
        <f>7862764.8</f>
        <v>7862764.7999999998</v>
      </c>
      <c r="AH4" s="2">
        <f>301400+1918884+115581+263935+327360+32658+244682+518151+200000+328070+718449+1324464.8+14741+100000+67979+859590+26902+499918</f>
        <v>7862764.7999999998</v>
      </c>
      <c r="AI4" s="2"/>
      <c r="AJ4" s="2"/>
      <c r="AK4" s="2"/>
      <c r="AL4" s="2">
        <f>7862764.8</f>
        <v>7862764.7999999998</v>
      </c>
      <c r="AM4" s="4">
        <v>3.4000000000000002E-2</v>
      </c>
      <c r="AN4" s="4">
        <f>AB4*AM4</f>
        <v>287746.45400000003</v>
      </c>
      <c r="AO4" s="2">
        <f>12627.6+65242.6+10523+27360+170+26728+11154+24529+32296+20487.18+14741+2+14985+26902</f>
        <v>287747.38</v>
      </c>
      <c r="AP4" s="2">
        <f>287747.38</f>
        <v>287747.38</v>
      </c>
      <c r="AQ4" s="2">
        <f t="shared" ref="AQ4:AQ7" si="0">AN4-AP4</f>
        <v>-0.92599999997764826</v>
      </c>
      <c r="AR4" s="2"/>
      <c r="AS4" s="2">
        <v>60</v>
      </c>
      <c r="AT4" s="2" t="s">
        <v>1534</v>
      </c>
    </row>
    <row r="5" spans="1:46" x14ac:dyDescent="0.15">
      <c r="A5" s="34">
        <v>39423</v>
      </c>
      <c r="B5" s="2" t="s">
        <v>1647</v>
      </c>
      <c r="C5" s="2" t="s">
        <v>1579</v>
      </c>
      <c r="D5" s="2" t="s">
        <v>1580</v>
      </c>
      <c r="E5" s="2" t="s">
        <v>0</v>
      </c>
      <c r="F5" s="2" t="s">
        <v>1581</v>
      </c>
      <c r="G5" s="2" t="s">
        <v>1575</v>
      </c>
      <c r="H5" s="2" t="s">
        <v>1582</v>
      </c>
      <c r="I5" s="2" t="s">
        <v>1479</v>
      </c>
      <c r="J5" s="2" t="s">
        <v>1478</v>
      </c>
      <c r="K5" s="2" t="s">
        <v>13</v>
      </c>
      <c r="L5" s="2"/>
      <c r="M5" s="2">
        <v>4868281</v>
      </c>
      <c r="N5" s="2"/>
      <c r="O5" s="2"/>
      <c r="P5" s="2">
        <v>5265545</v>
      </c>
      <c r="Q5" s="3"/>
      <c r="R5" s="41"/>
      <c r="S5" s="2"/>
      <c r="T5" s="2"/>
      <c r="U5" s="2" t="s">
        <v>14</v>
      </c>
      <c r="V5" s="4">
        <v>0.03</v>
      </c>
      <c r="W5" s="2">
        <f>V5*P5</f>
        <v>157966.35</v>
      </c>
      <c r="X5" s="2">
        <f>50000+125258-17292</f>
        <v>157966</v>
      </c>
      <c r="Y5" s="2">
        <f>157966</f>
        <v>157966</v>
      </c>
      <c r="Z5" s="2">
        <f t="shared" ref="Z5:Z7" si="1">W5-Y5</f>
        <v>0.35000000000582077</v>
      </c>
      <c r="AA5" s="2">
        <f>400000+600000+200000+400000+500000+200000+300000+300000+100000+300000+200000+500000+200000+500000+500000</f>
        <v>5200000</v>
      </c>
      <c r="AB5" s="2">
        <f>5200000</f>
        <v>5200000</v>
      </c>
      <c r="AC5" s="2">
        <f>400000+600000+200000+400000+500000+200000+300000+300000+100000+300000+200000+200000+200000+500000+500000+300000</f>
        <v>5200000</v>
      </c>
      <c r="AD5" s="2">
        <f>5200000</f>
        <v>5200000</v>
      </c>
      <c r="AE5" s="4">
        <f>AD5/P5</f>
        <v>0.987552095746974</v>
      </c>
      <c r="AF5" s="2">
        <f>125258+204784.25+621732+6800+50000+50000+16147+13600+50000+24850+100000+105763+130000+145860.11+66800+120000+58751.25+100000+50000+30200+100000+165102.5+20000+36033.82+158157+100000+100000+40000+20000+3400+50000+100000+30000+25425+175148+6315.5+50000+31500+6800+100000+20000+58758+100000+57000+680+30000+50000+1020.6+107000+100000+316700+117000+6272+2997.5+230000+200000+25000+100000+209887+198200+8057</f>
        <v>5326999.5299999993</v>
      </c>
      <c r="AG5" s="2">
        <f>5326999.53</f>
        <v>5326999.53</v>
      </c>
      <c r="AH5" s="2">
        <f>125258+204784.25+621732+6800+50000+50000+16147+13600+50000+24850+100000+105763+130000+145860.11+66800+120000+58751.25+100000+50000+30200+100000+165102.5+20000+36033.82+158157+100000+100000+40000+20000+3400+50000+100000+3000+25425+175148+6315.5+50000+31500+6800+100000+20000+58758+100000+57000+680+30000+51020.6+107000+100000+316700+117000+6272+2997.5+230000+200000+25000+100000+209887+198200+8057</f>
        <v>5299999.5299999993</v>
      </c>
      <c r="AI5" s="2"/>
      <c r="AJ5" s="2"/>
      <c r="AK5" s="2"/>
      <c r="AL5" s="2">
        <f>5299999.53</f>
        <v>5299999.53</v>
      </c>
      <c r="AM5" s="4">
        <v>3.4000000000000002E-2</v>
      </c>
      <c r="AN5" s="4">
        <f>AB5*AM5</f>
        <v>176800</v>
      </c>
      <c r="AO5" s="2">
        <f>13600+20400+6800+13600+17000+6800+10200+10200+3400+10200+6800+17000+6800+17000+17000-60178-52022-6800</f>
        <v>57800</v>
      </c>
      <c r="AP5" s="2">
        <f>57800</f>
        <v>57800</v>
      </c>
      <c r="AQ5" s="2"/>
      <c r="AR5" s="2"/>
      <c r="AS5" s="2">
        <v>32</v>
      </c>
      <c r="AT5" s="2" t="s">
        <v>1583</v>
      </c>
    </row>
    <row r="6" spans="1:46" s="9" customFormat="1" x14ac:dyDescent="0.15">
      <c r="A6" s="35">
        <v>39400</v>
      </c>
      <c r="B6" s="2" t="s">
        <v>1648</v>
      </c>
      <c r="C6" s="6" t="s">
        <v>1572</v>
      </c>
      <c r="D6" s="6" t="s">
        <v>1573</v>
      </c>
      <c r="E6" s="6" t="s">
        <v>0</v>
      </c>
      <c r="F6" s="6" t="s">
        <v>1574</v>
      </c>
      <c r="G6" s="6" t="s">
        <v>1575</v>
      </c>
      <c r="H6" s="6" t="s">
        <v>1576</v>
      </c>
      <c r="I6" s="6" t="s">
        <v>1031</v>
      </c>
      <c r="J6" s="6" t="s">
        <v>1030</v>
      </c>
      <c r="K6" s="6" t="s">
        <v>13</v>
      </c>
      <c r="L6" s="6"/>
      <c r="M6" s="6">
        <v>8466420.9000000004</v>
      </c>
      <c r="N6" s="6">
        <v>2623579.1</v>
      </c>
      <c r="O6" s="6"/>
      <c r="P6" s="6"/>
      <c r="Q6" s="7"/>
      <c r="R6" s="42"/>
      <c r="S6" s="6"/>
      <c r="T6" s="6"/>
      <c r="U6" s="6" t="s">
        <v>14</v>
      </c>
      <c r="V6" s="8">
        <v>0.03</v>
      </c>
      <c r="W6" s="6">
        <f>V6*(M6+N6)</f>
        <v>332700</v>
      </c>
      <c r="X6" s="6">
        <f>253993+39033+39674</f>
        <v>332700</v>
      </c>
      <c r="Y6" s="6">
        <f>332700</f>
        <v>332700</v>
      </c>
      <c r="Z6" s="2">
        <f t="shared" si="1"/>
        <v>0</v>
      </c>
      <c r="AA6" s="6">
        <f>1730000+3460000+2000000+300000+1000000+500000+800000+200000+300000+200000+600000</f>
        <v>11090000</v>
      </c>
      <c r="AB6" s="6">
        <f>11090000</f>
        <v>11090000</v>
      </c>
      <c r="AC6" s="6">
        <f>1730000+3460000+2000000+300000+1500000+800000+200000+300000+200000+600000</f>
        <v>11090000</v>
      </c>
      <c r="AD6" s="6">
        <f>11090000</f>
        <v>11090000</v>
      </c>
      <c r="AE6" s="8">
        <f>AD6/(M6+N6)</f>
        <v>1</v>
      </c>
      <c r="AF6" s="6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G6" s="6">
        <f>11074267.88</f>
        <v>11074267.880000001</v>
      </c>
      <c r="AH6" s="6">
        <f>43000+868391+150000+234014+244500+187000+1427180+6770+200000+103206.3+485000+308000+4100+115000+170000+137348+19873.23+100000+100000+1190000+176000+135000+108500+75900+544200+339000+3000+857000+72285+100000+715557.8+205500+100000+450000+228200+41379+167000+6800+55163.55+10000+570000+20400</f>
        <v>11074267.880000003</v>
      </c>
      <c r="AI6" s="6"/>
      <c r="AJ6" s="6"/>
      <c r="AK6" s="6"/>
      <c r="AL6" s="6">
        <f>11074267.88</f>
        <v>11074267.880000001</v>
      </c>
      <c r="AM6" s="8">
        <v>3.4000000000000002E-2</v>
      </c>
      <c r="AN6" s="8">
        <f t="shared" ref="AN6:AN7" si="2">AB6*AM6</f>
        <v>377060</v>
      </c>
      <c r="AO6" s="6">
        <f>58820+117640+68000+10200+34000+17000+27200+6800+10200+6800+20400</f>
        <v>377060</v>
      </c>
      <c r="AP6" s="6">
        <f>377060</f>
        <v>377060</v>
      </c>
      <c r="AQ6" s="6">
        <f t="shared" si="0"/>
        <v>0</v>
      </c>
      <c r="AR6" s="6"/>
      <c r="AS6" s="6">
        <v>80</v>
      </c>
      <c r="AT6" s="6" t="s">
        <v>1577</v>
      </c>
    </row>
    <row r="7" spans="1:46" x14ac:dyDescent="0.15">
      <c r="A7" s="34">
        <v>39413</v>
      </c>
      <c r="B7" s="2" t="s">
        <v>1649</v>
      </c>
      <c r="C7" s="6" t="s">
        <v>1578</v>
      </c>
      <c r="D7" s="2" t="s">
        <v>1584</v>
      </c>
      <c r="E7" s="2" t="s">
        <v>0</v>
      </c>
      <c r="F7" s="2" t="s">
        <v>1585</v>
      </c>
      <c r="G7" s="2" t="s">
        <v>1575</v>
      </c>
      <c r="H7" s="2" t="s">
        <v>1586</v>
      </c>
      <c r="I7" s="2" t="s">
        <v>178</v>
      </c>
      <c r="J7" s="2" t="s">
        <v>179</v>
      </c>
      <c r="K7" s="2" t="s">
        <v>13</v>
      </c>
      <c r="L7" s="2"/>
      <c r="M7" s="2">
        <f>1258591.2</f>
        <v>1258591.2</v>
      </c>
      <c r="N7" s="2"/>
      <c r="O7" s="2"/>
      <c r="P7" s="2"/>
      <c r="Q7" s="3"/>
      <c r="R7" s="41"/>
      <c r="S7" s="2"/>
      <c r="T7" s="2"/>
      <c r="U7" s="2" t="s">
        <v>14</v>
      </c>
      <c r="V7" s="4">
        <v>3.5999999999999997E-2</v>
      </c>
      <c r="W7" s="6">
        <f>V7*(M7+N7)</f>
        <v>45309.283199999998</v>
      </c>
      <c r="X7" s="2">
        <f>45309</f>
        <v>45309</v>
      </c>
      <c r="Y7" s="2">
        <f>45309</f>
        <v>45309</v>
      </c>
      <c r="Z7" s="2">
        <f t="shared" si="1"/>
        <v>0.28319999999803258</v>
      </c>
      <c r="AA7" s="2">
        <f>251718+125859+251718+440506+50000+74902</f>
        <v>1194703</v>
      </c>
      <c r="AB7" s="2">
        <f>1194703</f>
        <v>1194703</v>
      </c>
      <c r="AC7" s="2">
        <f>251718+125859+251718+440506+50000+74902</f>
        <v>1194703</v>
      </c>
      <c r="AD7" s="2">
        <f>1194703</f>
        <v>1194703</v>
      </c>
      <c r="AE7" s="8">
        <f>AD7/(M7+N7)</f>
        <v>0.94923832297572086</v>
      </c>
      <c r="AF7" s="2">
        <f>151169.5+50000+50000+49279+10000+48140+15092.5+245261.75+6713+394977+16780.15+32388.1+11700+34000+4300+67737</f>
        <v>1187538</v>
      </c>
      <c r="AG7" s="2">
        <f>1187538</f>
        <v>1187538</v>
      </c>
      <c r="AH7" s="2">
        <f>151169.5+50000+50000+49279+10000+48140+15092.5+245261.75+6713+394977+16780.15+32388.1+11700+34000+4300+67737</f>
        <v>1187538</v>
      </c>
      <c r="AI7" s="2"/>
      <c r="AJ7" s="2"/>
      <c r="AK7" s="2"/>
      <c r="AL7" s="2">
        <f>1187538</f>
        <v>1187538</v>
      </c>
      <c r="AM7" s="4">
        <v>3.4000000000000002E-2</v>
      </c>
      <c r="AN7" s="4">
        <f t="shared" si="2"/>
        <v>40619.902000000002</v>
      </c>
      <c r="AO7" s="2">
        <f>8558+4279+8558+14977+1700+2547</f>
        <v>40619</v>
      </c>
      <c r="AP7" s="2">
        <f>40619</f>
        <v>40619</v>
      </c>
      <c r="AQ7" s="2">
        <f t="shared" si="0"/>
        <v>0.90200000000186265</v>
      </c>
      <c r="AR7" s="2"/>
      <c r="AS7" s="2">
        <v>12</v>
      </c>
      <c r="AT7" s="2" t="s">
        <v>1583</v>
      </c>
    </row>
    <row r="8" spans="1:46" x14ac:dyDescent="0.15">
      <c r="A8" s="34">
        <v>39508</v>
      </c>
      <c r="B8" s="2" t="s">
        <v>1650</v>
      </c>
      <c r="C8" s="2" t="s">
        <v>1542</v>
      </c>
      <c r="D8" s="2" t="s">
        <v>79</v>
      </c>
      <c r="E8" s="2" t="s">
        <v>30</v>
      </c>
      <c r="F8" s="2" t="s">
        <v>81</v>
      </c>
      <c r="G8" s="2" t="s">
        <v>38</v>
      </c>
      <c r="H8" s="2" t="s">
        <v>69</v>
      </c>
      <c r="I8" s="2" t="s">
        <v>70</v>
      </c>
      <c r="J8" s="2" t="s">
        <v>69</v>
      </c>
      <c r="K8" s="2" t="s">
        <v>35</v>
      </c>
      <c r="L8" s="2"/>
      <c r="M8" s="2">
        <v>3950000</v>
      </c>
      <c r="N8" s="2">
        <f>140773+22870.2+451018.96+223732.46</f>
        <v>838394.62</v>
      </c>
      <c r="O8" s="2"/>
      <c r="P8" s="2">
        <f>4208332+388632</f>
        <v>4596964</v>
      </c>
      <c r="Q8" s="3"/>
      <c r="R8" s="41"/>
      <c r="S8" s="2"/>
      <c r="T8" s="2"/>
      <c r="U8" s="2" t="s">
        <v>14</v>
      </c>
      <c r="V8" s="4">
        <v>3.5999999999999997E-2</v>
      </c>
      <c r="W8" s="2">
        <f>(M8+N8)*V8</f>
        <v>172382.20632</v>
      </c>
      <c r="X8" s="2">
        <f>142200+10621+823+16237+9300</f>
        <v>179181</v>
      </c>
      <c r="Y8" s="2">
        <f>179181</f>
        <v>179181</v>
      </c>
      <c r="Z8" s="2">
        <f t="shared" ref="Z8:Z16" si="3">W8-Y8</f>
        <v>-6798.7936800000025</v>
      </c>
      <c r="AA8" s="2">
        <f>88505+592500+88505+22873.5+86450+651866+473865+894158+419186+429386+366348.7+642694+210417+19432</f>
        <v>4986186.2</v>
      </c>
      <c r="AB8" s="2">
        <f>4986186.2</f>
        <v>4986186.2</v>
      </c>
      <c r="AC8" s="2">
        <f>88505+592500+88505+22873.5+86450+651866+473865+894158+226996+192190+795734.7+642694+210417+19432</f>
        <v>4986186.2</v>
      </c>
      <c r="AD8" s="2">
        <f>4986186.2</f>
        <v>4986186.2</v>
      </c>
      <c r="AE8" s="4">
        <f>AC8/(N8+P8)</f>
        <v>0.91736103330013574</v>
      </c>
      <c r="AF8" s="2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8" s="2">
        <f>4931516.17</f>
        <v>4931516.17</v>
      </c>
      <c r="AH8" s="2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+10000-10000</f>
        <v>4969331.17</v>
      </c>
      <c r="AI8" s="2"/>
      <c r="AJ8" s="2"/>
      <c r="AK8" s="2"/>
      <c r="AL8" s="2">
        <f>4969331.17+10000-10000</f>
        <v>4969331.17</v>
      </c>
      <c r="AM8" s="4">
        <v>3.4000000000000002E-2</v>
      </c>
      <c r="AN8" s="4">
        <f>AB8*AM8</f>
        <v>169530.33080000003</v>
      </c>
      <c r="AO8" s="2">
        <f>3009+20145+3009+778+2939+22163+16111+30401+14252+14599+12456+21852+7154+661</f>
        <v>169529</v>
      </c>
      <c r="AP8" s="2">
        <f>169529</f>
        <v>169529</v>
      </c>
      <c r="AQ8" s="2">
        <f t="shared" ref="AQ8:AQ13" si="4">AN8-AP8</f>
        <v>1.3308000000251923</v>
      </c>
      <c r="AR8" s="2"/>
      <c r="AS8" s="2"/>
      <c r="AT8" s="2"/>
    </row>
    <row r="9" spans="1:46" x14ac:dyDescent="0.15">
      <c r="A9" s="34">
        <v>39477</v>
      </c>
      <c r="B9" s="2" t="s">
        <v>1651</v>
      </c>
      <c r="C9" s="2" t="s">
        <v>1547</v>
      </c>
      <c r="D9" s="2" t="s">
        <v>1548</v>
      </c>
      <c r="E9" s="2" t="s">
        <v>30</v>
      </c>
      <c r="F9" s="2" t="s">
        <v>1549</v>
      </c>
      <c r="G9" s="2" t="s">
        <v>1519</v>
      </c>
      <c r="H9" s="2" t="s">
        <v>1526</v>
      </c>
      <c r="I9" s="2" t="s">
        <v>686</v>
      </c>
      <c r="J9" s="2" t="s">
        <v>687</v>
      </c>
      <c r="K9" s="6" t="s">
        <v>149</v>
      </c>
      <c r="L9" s="2"/>
      <c r="M9" s="2">
        <v>3276932</v>
      </c>
      <c r="N9" s="2">
        <v>70096</v>
      </c>
      <c r="O9" s="2"/>
      <c r="P9" s="2"/>
      <c r="Q9" s="3"/>
      <c r="R9" s="41"/>
      <c r="S9" s="2"/>
      <c r="T9" s="2"/>
      <c r="U9" s="2" t="s">
        <v>1550</v>
      </c>
      <c r="V9" s="4">
        <v>3.5999999999999997E-2</v>
      </c>
      <c r="W9" s="2">
        <f>V9*(M9+N9)</f>
        <v>120493.00799999999</v>
      </c>
      <c r="X9" s="2">
        <f>117970</f>
        <v>117970</v>
      </c>
      <c r="Y9" s="2">
        <f>117970</f>
        <v>117970</v>
      </c>
      <c r="Z9" s="2">
        <f t="shared" si="3"/>
        <v>2523.0079999999871</v>
      </c>
      <c r="AA9" s="2">
        <f>800000+700000+243700+300000+300000+200000+204300+343099+169479</f>
        <v>3260578</v>
      </c>
      <c r="AB9" s="2">
        <f>3260578</f>
        <v>3260578</v>
      </c>
      <c r="AC9" s="2">
        <f>800000+700000+243700+300000+300000+200000+204300+343099+169479</f>
        <v>3260578</v>
      </c>
      <c r="AD9" s="2">
        <f>3260578</f>
        <v>3260578</v>
      </c>
      <c r="AE9" s="4">
        <f>AD9/(M9+N9)</f>
        <v>0.9741711153895336</v>
      </c>
      <c r="AF9" s="2">
        <f>27200+346970+100000+157100.87+123800+313735.7+285074.98+50000+51580+200000+26922+20253+210200+100000+301600+210700+6846+204300+308056.86+33255+5762+100000+62000</f>
        <v>3245356.4099999997</v>
      </c>
      <c r="AG9" s="2">
        <f>3245356.41</f>
        <v>3245356.41</v>
      </c>
      <c r="AH9" s="2">
        <f>27200+346970+100000+157100.87+123800+313735.7+285074.98+50000+51580+200000+26922+20253+210200+100000+301600+210700+6846+204300+308056.86+33255+5762+100000+62000</f>
        <v>3245356.4099999997</v>
      </c>
      <c r="AI9" s="2"/>
      <c r="AJ9" s="2"/>
      <c r="AK9" s="2"/>
      <c r="AL9" s="2">
        <f>3245356.41</f>
        <v>3245356.41</v>
      </c>
      <c r="AM9" s="4">
        <v>3.4000000000000002E-2</v>
      </c>
      <c r="AN9" s="4">
        <f>AM9*AB9</f>
        <v>110859.652</v>
      </c>
      <c r="AO9" s="2">
        <f>27200+23800+8286+10200+10200+6800+6946+11665+5762</f>
        <v>110859</v>
      </c>
      <c r="AP9" s="2">
        <f>110859</f>
        <v>110859</v>
      </c>
      <c r="AQ9" s="2">
        <f t="shared" si="4"/>
        <v>0.65200000000186265</v>
      </c>
      <c r="AR9" s="2"/>
      <c r="AS9" s="2">
        <v>15</v>
      </c>
      <c r="AT9" s="2" t="s">
        <v>1524</v>
      </c>
    </row>
    <row r="10" spans="1:46" x14ac:dyDescent="0.15">
      <c r="A10" s="34">
        <v>39478</v>
      </c>
      <c r="B10" s="2" t="s">
        <v>1652</v>
      </c>
      <c r="C10" s="2" t="s">
        <v>1428</v>
      </c>
      <c r="D10" s="2" t="s">
        <v>1429</v>
      </c>
      <c r="E10" s="2" t="s">
        <v>0</v>
      </c>
      <c r="F10" s="2" t="s">
        <v>1430</v>
      </c>
      <c r="G10" s="2" t="s">
        <v>1425</v>
      </c>
      <c r="H10" s="2" t="s">
        <v>1426</v>
      </c>
      <c r="I10" s="2" t="s">
        <v>87</v>
      </c>
      <c r="J10" s="2" t="s">
        <v>86</v>
      </c>
      <c r="K10" s="2" t="s">
        <v>35</v>
      </c>
      <c r="L10" s="1"/>
      <c r="M10" s="2">
        <v>1259915</v>
      </c>
      <c r="N10" s="2">
        <f>8744</f>
        <v>8744</v>
      </c>
      <c r="O10" s="2"/>
      <c r="P10" s="2">
        <f>1300806</f>
        <v>1300806</v>
      </c>
      <c r="Q10" s="3"/>
      <c r="R10" s="41"/>
      <c r="S10" s="2"/>
      <c r="T10" s="2"/>
      <c r="U10" s="2" t="s">
        <v>14</v>
      </c>
      <c r="V10" s="4">
        <v>3.5999999999999997E-2</v>
      </c>
      <c r="W10" s="2">
        <f>(P10+N10)*V10</f>
        <v>47143.799999999996</v>
      </c>
      <c r="X10" s="2">
        <f>45357+315+1472</f>
        <v>47144</v>
      </c>
      <c r="Y10" s="2">
        <f>47144</f>
        <v>47144</v>
      </c>
      <c r="Z10" s="2">
        <f t="shared" si="3"/>
        <v>-0.20000000000436557</v>
      </c>
      <c r="AA10" s="2">
        <f>540000+110882+266463+131428+48862+138130+8744+65041</f>
        <v>1309550</v>
      </c>
      <c r="AB10" s="2">
        <f>1309550</f>
        <v>1309550</v>
      </c>
      <c r="AC10" s="2">
        <f>540000+110882+266463+131428+48862+138130+8744+65041</f>
        <v>1309550</v>
      </c>
      <c r="AD10" s="2">
        <f>1309550</f>
        <v>1309550</v>
      </c>
      <c r="AE10" s="4">
        <f t="shared" ref="AE10:AE15" si="5">AC10/(N10+P10)</f>
        <v>1</v>
      </c>
      <c r="AF10" s="2">
        <f>120000+304827+93333+1436.3+17000+92334.46+10000+191300+20534+50000+5000+109469+60801.64+8750+144642.54+3278.2+6337.06+297+63000</f>
        <v>1302340.2</v>
      </c>
      <c r="AG10" s="2">
        <f>1302340.2</f>
        <v>1302340.2</v>
      </c>
      <c r="AH10" s="2">
        <f>120000+304827+93333+1436.3+17000+92334.46+10000+191300+20534+50000+5000+109469+60801.64+8750+144642.54+3278.2+6337.06+297+65211</f>
        <v>1304551.2</v>
      </c>
      <c r="AI10" s="2"/>
      <c r="AJ10" s="2"/>
      <c r="AK10" s="2"/>
      <c r="AL10" s="2">
        <f>1304551.2</f>
        <v>1304551.2</v>
      </c>
      <c r="AM10" s="4">
        <v>3.4000000000000002E-2</v>
      </c>
      <c r="AN10" s="4">
        <f t="shared" ref="AN10:AN40" si="6">AB10*AM10</f>
        <v>44524.700000000004</v>
      </c>
      <c r="AO10" s="2">
        <f>18360+3770+9060+4469+1661+4696+297+2211</f>
        <v>44524</v>
      </c>
      <c r="AP10" s="2">
        <v>44524</v>
      </c>
      <c r="AQ10" s="2">
        <f t="shared" si="4"/>
        <v>0.70000000000436557</v>
      </c>
      <c r="AR10" s="2"/>
      <c r="AS10" s="2">
        <v>10</v>
      </c>
      <c r="AT10" s="2" t="s">
        <v>1431</v>
      </c>
    </row>
    <row r="11" spans="1:46" x14ac:dyDescent="0.15">
      <c r="A11" s="34">
        <v>39468</v>
      </c>
      <c r="B11" s="2" t="s">
        <v>1653</v>
      </c>
      <c r="C11" s="2" t="s">
        <v>1543</v>
      </c>
      <c r="D11" s="2" t="s">
        <v>1551</v>
      </c>
      <c r="E11" s="2" t="s">
        <v>0</v>
      </c>
      <c r="F11" s="2" t="s">
        <v>1552</v>
      </c>
      <c r="G11" s="2" t="s">
        <v>38</v>
      </c>
      <c r="H11" s="2" t="s">
        <v>1553</v>
      </c>
      <c r="I11" s="2" t="s">
        <v>1554</v>
      </c>
      <c r="J11" s="2"/>
      <c r="K11" s="2" t="s">
        <v>1531</v>
      </c>
      <c r="L11" s="1"/>
      <c r="M11" s="2">
        <v>3762598</v>
      </c>
      <c r="N11" s="2"/>
      <c r="O11" s="2"/>
      <c r="P11" s="2"/>
      <c r="Q11" s="3"/>
      <c r="R11" s="41"/>
      <c r="S11" s="2"/>
      <c r="T11" s="2"/>
      <c r="U11" s="2" t="s">
        <v>14</v>
      </c>
      <c r="V11" s="4">
        <v>3.5999999999999997E-2</v>
      </c>
      <c r="W11" s="2">
        <f>V11*(M11+N11)</f>
        <v>135453.52799999999</v>
      </c>
      <c r="X11" s="2">
        <f>135454</f>
        <v>135454</v>
      </c>
      <c r="Y11" s="2">
        <f>135454</f>
        <v>135454</v>
      </c>
      <c r="Z11" s="2">
        <f t="shared" si="3"/>
        <v>-0.47200000000884756</v>
      </c>
      <c r="AA11" s="2">
        <f>1500000+750000+600000+400000</f>
        <v>3250000</v>
      </c>
      <c r="AB11" s="2">
        <f>3250000</f>
        <v>3250000</v>
      </c>
      <c r="AC11" s="2">
        <f>1500000+750000+600000+400000</f>
        <v>3250000</v>
      </c>
      <c r="AD11" s="2">
        <f>3250000</f>
        <v>3250000</v>
      </c>
      <c r="AE11" s="4">
        <f>AD11/(M11+N11)</f>
        <v>0.86376487735336061</v>
      </c>
      <c r="AF11" s="2">
        <f>786454+200000+4138.9+300000+118161.92+20000+450000+85082.55+50000+50000+20000+37500+116500+8000+222268.85+200000+19680+75000+75000+343600+65000</f>
        <v>3246386.22</v>
      </c>
      <c r="AG11" s="2">
        <f>3246386.22</f>
        <v>3246386.22</v>
      </c>
      <c r="AH11" s="2">
        <f>786454+200000+4138.9+300000+118161.92+20000+450000+85082.55+50000+50000+20000+37500+116500+8000+222268.85+200000+19680+75000+75000+343600+65000</f>
        <v>3246386.22</v>
      </c>
      <c r="AI11" s="2"/>
      <c r="AJ11" s="2"/>
      <c r="AK11" s="2"/>
      <c r="AL11" s="2">
        <f>3246386.22</f>
        <v>3246386.22</v>
      </c>
      <c r="AM11" s="4">
        <v>3.4000000000000002E-2</v>
      </c>
      <c r="AN11" s="4">
        <f t="shared" si="6"/>
        <v>110500.00000000001</v>
      </c>
      <c r="AO11" s="2">
        <f>51000+25500+20400+13600</f>
        <v>110500</v>
      </c>
      <c r="AP11" s="2">
        <f>110500</f>
        <v>110500</v>
      </c>
      <c r="AQ11" s="2">
        <f t="shared" si="4"/>
        <v>0</v>
      </c>
      <c r="AR11" s="2"/>
      <c r="AS11" s="2">
        <v>35</v>
      </c>
      <c r="AT11" s="2" t="s">
        <v>1555</v>
      </c>
    </row>
    <row r="12" spans="1:46" x14ac:dyDescent="0.15">
      <c r="A12" s="34">
        <v>39478</v>
      </c>
      <c r="B12" s="2" t="s">
        <v>1654</v>
      </c>
      <c r="C12" s="2" t="s">
        <v>1544</v>
      </c>
      <c r="D12" s="2" t="s">
        <v>1556</v>
      </c>
      <c r="E12" s="2" t="s">
        <v>0</v>
      </c>
      <c r="F12" s="2" t="s">
        <v>1557</v>
      </c>
      <c r="G12" s="2" t="s">
        <v>1558</v>
      </c>
      <c r="H12" s="2" t="s">
        <v>1559</v>
      </c>
      <c r="I12" s="2" t="s">
        <v>178</v>
      </c>
      <c r="J12" s="2" t="s">
        <v>179</v>
      </c>
      <c r="K12" s="2" t="s">
        <v>13</v>
      </c>
      <c r="L12" s="1"/>
      <c r="M12" s="2">
        <v>2200000</v>
      </c>
      <c r="N12" s="2">
        <f>153114</f>
        <v>153114</v>
      </c>
      <c r="O12" s="2"/>
      <c r="P12" s="2"/>
      <c r="Q12" s="3"/>
      <c r="R12" s="41"/>
      <c r="S12" s="2"/>
      <c r="T12" s="2"/>
      <c r="U12" s="2" t="s">
        <v>14</v>
      </c>
      <c r="V12" s="4">
        <v>3.5999999999999997E-2</v>
      </c>
      <c r="W12" s="2">
        <f t="shared" ref="W12" si="7">V12*(M12+N12)</f>
        <v>84712.103999999992</v>
      </c>
      <c r="X12" s="2">
        <f>79200+5512</f>
        <v>84712</v>
      </c>
      <c r="Y12" s="2">
        <f>84712</f>
        <v>84712</v>
      </c>
      <c r="Z12" s="2">
        <f t="shared" si="3"/>
        <v>0.10399999999208376</v>
      </c>
      <c r="AA12" s="2">
        <f>2184101.35</f>
        <v>2184101.35</v>
      </c>
      <c r="AB12" s="2">
        <f>2184101.35</f>
        <v>2184101.35</v>
      </c>
      <c r="AC12" s="2">
        <f>330000+220000+440000+220000+672491.2+248856.69</f>
        <v>2131347.89</v>
      </c>
      <c r="AD12" s="2">
        <f>2131347.89</f>
        <v>2131347.89</v>
      </c>
      <c r="AE12" s="4">
        <f t="shared" ref="AE12" si="8">AD12/(M12+N12)</f>
        <v>0.90575632544789586</v>
      </c>
      <c r="AF12" s="2">
        <f>100000+2420+100000+80000+47000+220580+425597.6+200000+11200+345305+20000+179846+79460+17928+50000+3154.6+247026.4</f>
        <v>2129517.6</v>
      </c>
      <c r="AG12" s="2">
        <f>2129517.6</f>
        <v>2129517.6</v>
      </c>
      <c r="AH12" s="2">
        <f>100000+2420+100000+80000+47000+220580+425597.6+200000+11200+345305+20000+179846+79460+17928+50000+3154.6+247026.4</f>
        <v>2129517.6</v>
      </c>
      <c r="AI12" s="2"/>
      <c r="AJ12" s="2"/>
      <c r="AK12" s="2"/>
      <c r="AL12" s="2">
        <f>2129517.6</f>
        <v>2129517.6</v>
      </c>
      <c r="AM12" s="4">
        <v>3.4000000000000002E-2</v>
      </c>
      <c r="AN12" s="4">
        <f t="shared" si="6"/>
        <v>74259.445900000006</v>
      </c>
      <c r="AO12" s="2">
        <f>74260</f>
        <v>74260</v>
      </c>
      <c r="AP12" s="2">
        <f>74260</f>
        <v>74260</v>
      </c>
      <c r="AQ12" s="2">
        <f t="shared" si="4"/>
        <v>-0.55409999999392312</v>
      </c>
      <c r="AR12" s="2"/>
      <c r="AS12" s="2">
        <v>11</v>
      </c>
      <c r="AT12" s="2" t="s">
        <v>1560</v>
      </c>
    </row>
    <row r="13" spans="1:46" x14ac:dyDescent="0.15">
      <c r="A13" s="34">
        <v>39596</v>
      </c>
      <c r="B13" s="2" t="s">
        <v>1655</v>
      </c>
      <c r="C13" s="2" t="s">
        <v>1545</v>
      </c>
      <c r="D13" s="2" t="s">
        <v>1561</v>
      </c>
      <c r="E13" s="2" t="s">
        <v>0</v>
      </c>
      <c r="F13" s="2" t="s">
        <v>1562</v>
      </c>
      <c r="G13" s="2" t="s">
        <v>1519</v>
      </c>
      <c r="H13" s="2" t="s">
        <v>1559</v>
      </c>
      <c r="I13" s="2" t="s">
        <v>178</v>
      </c>
      <c r="J13" s="2" t="s">
        <v>179</v>
      </c>
      <c r="K13" s="2" t="s">
        <v>13</v>
      </c>
      <c r="L13" s="1"/>
      <c r="M13" s="2">
        <v>182700</v>
      </c>
      <c r="N13" s="2"/>
      <c r="O13" s="2"/>
      <c r="P13" s="2">
        <v>164322.26999999999</v>
      </c>
      <c r="Q13" s="3"/>
      <c r="R13" s="41"/>
      <c r="S13" s="2"/>
      <c r="T13" s="2"/>
      <c r="U13" s="2" t="s">
        <v>14</v>
      </c>
      <c r="V13" s="4">
        <v>3.5999999999999997E-2</v>
      </c>
      <c r="W13" s="2">
        <f>V13*P13</f>
        <v>5915.6017199999987</v>
      </c>
      <c r="X13" s="2">
        <f>6577</f>
        <v>6577</v>
      </c>
      <c r="Y13" s="2">
        <f>6577</f>
        <v>6577</v>
      </c>
      <c r="Z13" s="2">
        <f t="shared" si="3"/>
        <v>-661.39828000000125</v>
      </c>
      <c r="AA13" s="2">
        <f>54810+73080+28216+8216</f>
        <v>164322</v>
      </c>
      <c r="AB13" s="2">
        <f>164322</f>
        <v>164322</v>
      </c>
      <c r="AC13" s="2">
        <f>54810+73080+28216+8216</f>
        <v>164322</v>
      </c>
      <c r="AD13" s="2">
        <f>164322</f>
        <v>164322</v>
      </c>
      <c r="AE13" s="4">
        <f>AD13/P13</f>
        <v>0.99999835688735317</v>
      </c>
      <c r="AF13" s="2">
        <f>54681.5+71577+29175</f>
        <v>155433.5</v>
      </c>
      <c r="AG13" s="2">
        <f>155433.5</f>
        <v>155433.5</v>
      </c>
      <c r="AH13" s="2">
        <f>54681.5+71577+29175</f>
        <v>155433.5</v>
      </c>
      <c r="AI13" s="2"/>
      <c r="AJ13" s="2"/>
      <c r="AK13" s="2"/>
      <c r="AL13" s="2">
        <f>155433.5</f>
        <v>155433.5</v>
      </c>
      <c r="AM13" s="4">
        <v>3.4000000000000002E-2</v>
      </c>
      <c r="AN13" s="4">
        <f t="shared" si="6"/>
        <v>5586.9480000000003</v>
      </c>
      <c r="AO13" s="2">
        <f>1864+2485+959</f>
        <v>5308</v>
      </c>
      <c r="AP13" s="2">
        <f>5308</f>
        <v>5308</v>
      </c>
      <c r="AQ13" s="2">
        <f t="shared" si="4"/>
        <v>278.94800000000032</v>
      </c>
      <c r="AR13" s="2"/>
      <c r="AS13" s="2">
        <v>3</v>
      </c>
      <c r="AT13" s="2" t="s">
        <v>1560</v>
      </c>
    </row>
    <row r="14" spans="1:46" x14ac:dyDescent="0.15">
      <c r="A14" s="34">
        <v>39750</v>
      </c>
      <c r="B14" s="2" t="s">
        <v>1656</v>
      </c>
      <c r="C14" s="2" t="s">
        <v>1440</v>
      </c>
      <c r="D14" s="2" t="s">
        <v>1442</v>
      </c>
      <c r="E14" s="2" t="s">
        <v>1441</v>
      </c>
      <c r="F14" s="2" t="s">
        <v>428</v>
      </c>
      <c r="G14" s="2" t="s">
        <v>1443</v>
      </c>
      <c r="H14" s="2" t="s">
        <v>1444</v>
      </c>
      <c r="I14" s="2"/>
      <c r="J14" s="2"/>
      <c r="K14" s="10"/>
      <c r="M14" s="10">
        <v>7980000</v>
      </c>
      <c r="N14" s="2"/>
      <c r="O14" s="2"/>
      <c r="P14" s="2"/>
      <c r="Q14" s="3"/>
      <c r="R14" s="41"/>
      <c r="S14" s="2"/>
      <c r="T14" s="2"/>
      <c r="U14" s="2" t="s">
        <v>1445</v>
      </c>
      <c r="V14" s="4">
        <v>0.03</v>
      </c>
      <c r="W14" s="2">
        <f>M14*V14</f>
        <v>239400</v>
      </c>
      <c r="X14" s="2">
        <f>120000+119400</f>
        <v>239400</v>
      </c>
      <c r="Y14" s="2">
        <f>239400</f>
        <v>239400</v>
      </c>
      <c r="Z14" s="2">
        <f>W14-Y14</f>
        <v>0</v>
      </c>
      <c r="AA14" s="2">
        <f>1600000+300000+1300000+500000+500000+350000+250000+250000+200000+150000+500000+1000000</f>
        <v>6900000</v>
      </c>
      <c r="AB14" s="2">
        <f>6900000</f>
        <v>6900000</v>
      </c>
      <c r="AC14" s="2">
        <f>1600000+300000+1300000+500000+500000+350000+250000+250000+200000+150000+500000+200000+100000+150000+300000+300000</f>
        <v>6950000</v>
      </c>
      <c r="AD14" s="2">
        <f>6950000</f>
        <v>6950000</v>
      </c>
      <c r="AE14" s="4">
        <f>AD14/M14*100%</f>
        <v>0.87092731829573933</v>
      </c>
      <c r="AF14" s="2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G14" s="2">
        <f>6949261.5</f>
        <v>6949261.5</v>
      </c>
      <c r="AH14" s="2">
        <f>11970+1225800+4200+50000+112900+60100+648400+106000+300000+145280+197000+100000+6399+300000+91100+530000+37000+50000+90371.2+153090+360067+223500+100000+70000+152300+65400+100000+318153.5+20000+130000+16498+25000+100000+146794.9+50000+25280+16400+150116.2+37000+100000+210000+107500+149980+24671.7+30990</f>
        <v>6949261.5000000009</v>
      </c>
      <c r="AI14" s="2"/>
      <c r="AJ14" s="2"/>
      <c r="AK14" s="2"/>
      <c r="AL14" s="2">
        <f>6949261.5</f>
        <v>6949261.5</v>
      </c>
      <c r="AM14" s="4">
        <v>3.4000000000000002E-2</v>
      </c>
      <c r="AN14" s="4"/>
      <c r="AO14" s="2"/>
      <c r="AP14" s="2"/>
      <c r="AQ14" s="2"/>
      <c r="AR14" s="2"/>
      <c r="AS14" s="2">
        <v>60</v>
      </c>
      <c r="AT14" s="2" t="s">
        <v>1446</v>
      </c>
    </row>
    <row r="15" spans="1:46" x14ac:dyDescent="0.15">
      <c r="A15" s="34">
        <v>39777</v>
      </c>
      <c r="B15" s="2" t="s">
        <v>1657</v>
      </c>
      <c r="C15" s="2" t="s">
        <v>1433</v>
      </c>
      <c r="D15" s="2" t="s">
        <v>1434</v>
      </c>
      <c r="E15" s="2" t="s">
        <v>0</v>
      </c>
      <c r="F15" s="2" t="s">
        <v>1435</v>
      </c>
      <c r="G15" s="2" t="s">
        <v>1436</v>
      </c>
      <c r="H15" s="2" t="s">
        <v>1437</v>
      </c>
      <c r="I15" s="6" t="s">
        <v>1053</v>
      </c>
      <c r="J15" s="6" t="s">
        <v>1054</v>
      </c>
      <c r="K15" s="6" t="s">
        <v>13</v>
      </c>
      <c r="L15" s="2"/>
      <c r="M15" s="2">
        <v>2491861</v>
      </c>
      <c r="N15" s="2">
        <v>13141.23</v>
      </c>
      <c r="O15" s="2"/>
      <c r="P15" s="2">
        <v>2505002.23</v>
      </c>
      <c r="Q15" s="3"/>
      <c r="R15" s="41"/>
      <c r="S15" s="2"/>
      <c r="T15" s="2"/>
      <c r="U15" s="2" t="s">
        <v>1438</v>
      </c>
      <c r="V15" s="4">
        <v>3.5999999999999997E-2</v>
      </c>
      <c r="W15" s="2">
        <f>P15*V15</f>
        <v>90180.080279999995</v>
      </c>
      <c r="X15" s="2">
        <f>50000+39707+473</f>
        <v>90180</v>
      </c>
      <c r="Y15" s="2">
        <f>90180</f>
        <v>90180</v>
      </c>
      <c r="Z15" s="2">
        <f t="shared" si="3"/>
        <v>8.0279999994672835E-2</v>
      </c>
      <c r="AA15" s="2">
        <f>249186.1+747558.3+498372.2+498372.2+386263.32+100200+25050.11</f>
        <v>2505002.23</v>
      </c>
      <c r="AB15" s="2">
        <f>2505002.23</f>
        <v>2505002.23</v>
      </c>
      <c r="AC15" s="2">
        <f>249186.1+747558.3+498372.2+498372.2+386263.32+100200+25050.11</f>
        <v>2505002.23</v>
      </c>
      <c r="AD15" s="2">
        <f>2479952.12+25050.11</f>
        <v>2505002.23</v>
      </c>
      <c r="AE15" s="4">
        <f t="shared" si="5"/>
        <v>0.99478138151827145</v>
      </c>
      <c r="AF15" s="2">
        <f>1905550</f>
        <v>1905550</v>
      </c>
      <c r="AG15" s="2">
        <f>1905550</f>
        <v>1905550</v>
      </c>
      <c r="AH15" s="2">
        <f>249185+747558.3+498372.2+478372.2+20000+386263.32+52742.36+3407+44050.64</f>
        <v>2479951.02</v>
      </c>
      <c r="AI15" s="2"/>
      <c r="AJ15" s="2"/>
      <c r="AK15" s="2"/>
      <c r="AL15" s="2">
        <f>2479951.02</f>
        <v>2479951.02</v>
      </c>
      <c r="AM15" s="4">
        <v>3.4000000000000002E-2</v>
      </c>
      <c r="AN15" s="4">
        <f t="shared" si="6"/>
        <v>85170.075820000013</v>
      </c>
      <c r="AO15" s="2">
        <f>8472+25417+16945+16945+13133+3407</f>
        <v>84319</v>
      </c>
      <c r="AP15" s="2">
        <f>84319</f>
        <v>84319</v>
      </c>
      <c r="AQ15" s="2">
        <f>AN15-AP15</f>
        <v>851.07582000001275</v>
      </c>
      <c r="AR15" s="2"/>
      <c r="AS15" s="2">
        <v>15</v>
      </c>
      <c r="AT15" s="2" t="s">
        <v>1439</v>
      </c>
    </row>
    <row r="16" spans="1:46" x14ac:dyDescent="0.15">
      <c r="A16" s="34">
        <v>39790</v>
      </c>
      <c r="B16" s="2" t="s">
        <v>1658</v>
      </c>
      <c r="C16" s="2" t="s">
        <v>1546</v>
      </c>
      <c r="D16" s="2" t="s">
        <v>1563</v>
      </c>
      <c r="E16" s="2" t="s">
        <v>0</v>
      </c>
      <c r="F16" s="2" t="s">
        <v>1564</v>
      </c>
      <c r="G16" s="2" t="s">
        <v>1519</v>
      </c>
      <c r="H16" s="2" t="s">
        <v>1565</v>
      </c>
      <c r="I16" s="2" t="s">
        <v>1479</v>
      </c>
      <c r="J16" s="2" t="s">
        <v>1478</v>
      </c>
      <c r="K16" s="2" t="s">
        <v>13</v>
      </c>
      <c r="L16" s="2"/>
      <c r="M16" s="2">
        <v>3714985</v>
      </c>
      <c r="N16" s="2"/>
      <c r="O16" s="2"/>
      <c r="P16" s="2">
        <v>3593314</v>
      </c>
      <c r="Q16" s="3"/>
      <c r="R16" s="41"/>
      <c r="S16" s="2"/>
      <c r="T16" s="2"/>
      <c r="U16" s="2" t="s">
        <v>14</v>
      </c>
      <c r="V16" s="4">
        <v>0.03</v>
      </c>
      <c r="W16" s="2">
        <f>P16*V16</f>
        <v>107799.42</v>
      </c>
      <c r="X16" s="2">
        <f>17292+52022+42136</f>
        <v>111450</v>
      </c>
      <c r="Y16" s="2">
        <f>111450</f>
        <v>111450</v>
      </c>
      <c r="Z16" s="2">
        <f t="shared" si="3"/>
        <v>-3650.5800000000017</v>
      </c>
      <c r="AA16" s="2">
        <f>300000+200000+400000+300000+400000+300000+300000+500000+800000</f>
        <v>3500000</v>
      </c>
      <c r="AB16" s="2">
        <f>3500000</f>
        <v>3500000</v>
      </c>
      <c r="AC16" s="2">
        <f>300000+200000+400000+300000+400000+300000+300000+500000+800000</f>
        <v>3500000</v>
      </c>
      <c r="AD16" s="2">
        <f>3500000</f>
        <v>3500000</v>
      </c>
      <c r="AE16" s="4">
        <f>AD16/P16</f>
        <v>0.97403121463918818</v>
      </c>
      <c r="AF16" s="2">
        <f>333483.33+152780+13600+200000+10200+100000+150000+100000+13600+201763.33+261000+50000+13573+280200+10200+279600+450000+874200</f>
        <v>3494199.66</v>
      </c>
      <c r="AG16" s="2">
        <f>3494199.66</f>
        <v>3494199.66</v>
      </c>
      <c r="AH16" s="2">
        <f>333483.33+152780+13600+200000+10200+100000+150000+100000+13600+201763.33+261000+50000+13573+280200+10200+279600+450000+874200</f>
        <v>3494199.66</v>
      </c>
      <c r="AI16" s="2"/>
      <c r="AJ16" s="2"/>
      <c r="AK16" s="2"/>
      <c r="AL16" s="2">
        <f>3494199.66</f>
        <v>3494199.66</v>
      </c>
      <c r="AM16" s="4">
        <v>3.4000000000000002E-2</v>
      </c>
      <c r="AN16" s="4">
        <f t="shared" si="6"/>
        <v>119000.00000000001</v>
      </c>
      <c r="AO16" s="2">
        <f>10200+6800+13600+10200+13600+10200+10200+17000+27200</f>
        <v>119000</v>
      </c>
      <c r="AP16" s="2">
        <f>119000</f>
        <v>119000</v>
      </c>
      <c r="AQ16" s="2">
        <f t="shared" ref="AQ16" si="9">AN16-AP16</f>
        <v>0</v>
      </c>
      <c r="AR16" s="2"/>
      <c r="AS16" s="2">
        <v>32</v>
      </c>
      <c r="AT16" s="2" t="s">
        <v>219</v>
      </c>
    </row>
    <row r="17" spans="1:46" s="9" customFormat="1" x14ac:dyDescent="0.15">
      <c r="A17" s="35">
        <v>39874</v>
      </c>
      <c r="B17" s="2" t="s">
        <v>1659</v>
      </c>
      <c r="C17" s="6" t="s">
        <v>1361</v>
      </c>
      <c r="D17" s="6" t="s">
        <v>1364</v>
      </c>
      <c r="E17" s="6" t="s">
        <v>0</v>
      </c>
      <c r="F17" s="6" t="s">
        <v>1365</v>
      </c>
      <c r="G17" s="6" t="s">
        <v>1329</v>
      </c>
      <c r="H17" s="6" t="s">
        <v>1366</v>
      </c>
      <c r="I17" s="6" t="s">
        <v>178</v>
      </c>
      <c r="J17" s="6" t="s">
        <v>179</v>
      </c>
      <c r="K17" s="6" t="s">
        <v>13</v>
      </c>
      <c r="L17" s="6"/>
      <c r="M17" s="6">
        <v>73500</v>
      </c>
      <c r="N17" s="6">
        <f>8965.5</f>
        <v>8965.5</v>
      </c>
      <c r="O17" s="6"/>
      <c r="P17" s="6"/>
      <c r="Q17" s="7"/>
      <c r="R17" s="42"/>
      <c r="S17" s="6"/>
      <c r="T17" s="6"/>
      <c r="U17" s="6" t="s">
        <v>1462</v>
      </c>
      <c r="V17" s="8">
        <v>3.5999999999999997E-2</v>
      </c>
      <c r="W17" s="6">
        <f t="shared" ref="W17:W22" si="10">(M17+N17)*V17</f>
        <v>2968.7579999999998</v>
      </c>
      <c r="X17" s="6">
        <f>2646+323</f>
        <v>2969</v>
      </c>
      <c r="Y17" s="6">
        <f>2969</f>
        <v>2969</v>
      </c>
      <c r="Z17" s="6">
        <f>W17-Y17</f>
        <v>-0.24200000000018917</v>
      </c>
      <c r="AA17" s="6">
        <f>29400+53065.5</f>
        <v>82465.5</v>
      </c>
      <c r="AB17" s="6">
        <f>82465.5</f>
        <v>82465.5</v>
      </c>
      <c r="AC17" s="6">
        <f>29400+53065.5</f>
        <v>82465.5</v>
      </c>
      <c r="AD17" s="6">
        <f>82465.5</f>
        <v>82465.5</v>
      </c>
      <c r="AE17" s="8">
        <f>AD17/(M17+N17)</f>
        <v>1</v>
      </c>
      <c r="AF17" s="6">
        <f>26646+52804</f>
        <v>79450</v>
      </c>
      <c r="AG17" s="6">
        <f>79450</f>
        <v>79450</v>
      </c>
      <c r="AH17" s="6">
        <f>26646+52804</f>
        <v>79450</v>
      </c>
      <c r="AI17" s="6"/>
      <c r="AJ17" s="6"/>
      <c r="AK17" s="6"/>
      <c r="AL17" s="6">
        <f>79450</f>
        <v>79450</v>
      </c>
      <c r="AM17" s="8">
        <v>3.4000000000000002E-2</v>
      </c>
      <c r="AN17" s="8">
        <f t="shared" si="6"/>
        <v>2803.8270000000002</v>
      </c>
      <c r="AO17" s="6">
        <f>1000+1804</f>
        <v>2804</v>
      </c>
      <c r="AP17" s="6">
        <f>2804</f>
        <v>2804</v>
      </c>
      <c r="AQ17" s="6">
        <f t="shared" ref="AQ17:AQ40" si="11">AN17-AP17</f>
        <v>-0.17299999999977445</v>
      </c>
      <c r="AR17" s="6"/>
      <c r="AS17" s="6"/>
      <c r="AT17" s="6"/>
    </row>
    <row r="18" spans="1:46" x14ac:dyDescent="0.15">
      <c r="A18" s="34">
        <v>39977</v>
      </c>
      <c r="B18" s="2" t="s">
        <v>1660</v>
      </c>
      <c r="C18" s="2" t="s">
        <v>1362</v>
      </c>
      <c r="D18" s="2" t="s">
        <v>1463</v>
      </c>
      <c r="E18" s="2" t="s">
        <v>0</v>
      </c>
      <c r="F18" s="2" t="s">
        <v>1464</v>
      </c>
      <c r="G18" s="2" t="s">
        <v>1465</v>
      </c>
      <c r="H18" s="2" t="s">
        <v>999</v>
      </c>
      <c r="I18" s="6" t="s">
        <v>1000</v>
      </c>
      <c r="J18" s="6" t="s">
        <v>999</v>
      </c>
      <c r="K18" s="6" t="s">
        <v>35</v>
      </c>
      <c r="L18" s="2"/>
      <c r="M18" s="2">
        <v>8706626.4000000004</v>
      </c>
      <c r="N18" s="2"/>
      <c r="O18" s="2"/>
      <c r="P18" s="2">
        <v>9811820</v>
      </c>
      <c r="Q18" s="3"/>
      <c r="R18" s="41"/>
      <c r="S18" s="2"/>
      <c r="T18" s="2"/>
      <c r="U18" s="6" t="s">
        <v>1462</v>
      </c>
      <c r="V18" s="4">
        <v>0.03</v>
      </c>
      <c r="W18" s="2">
        <f>V18*P18</f>
        <v>294354.59999999998</v>
      </c>
      <c r="X18" s="2">
        <f>261200+1439+31716</f>
        <v>294355</v>
      </c>
      <c r="Y18" s="2">
        <f>294355</f>
        <v>294355</v>
      </c>
      <c r="Z18" s="2">
        <f t="shared" ref="Z18:Z22" si="12">W18-Y18</f>
        <v>-0.40000000002328306</v>
      </c>
      <c r="AA18" s="2">
        <f>350000+1649589.42+2326483.11+1522288.56+782528.36+323691.76+500000+500000+800000+1057238.79</f>
        <v>9811820</v>
      </c>
      <c r="AB18" s="2">
        <f>9811820</f>
        <v>9811820</v>
      </c>
      <c r="AC18" s="2">
        <f>350000+1649589.42+2326483.11+1522288.56+782528.36+323691.76+500000+500000+800000+566647.79</f>
        <v>9321229</v>
      </c>
      <c r="AD18" s="2">
        <f>9321229</f>
        <v>9321229</v>
      </c>
      <c r="AE18" s="8">
        <f>AD18/P18</f>
        <v>0.95</v>
      </c>
      <c r="AF18" s="2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</f>
        <v>9216391.5500000007</v>
      </c>
      <c r="AG18" s="2">
        <f>9216391.55</f>
        <v>9216391.5500000007</v>
      </c>
      <c r="AH18" s="2">
        <f>291334+1385912+95103+664169.02+510000+114230+240000+43369+59528+50000+300000+51758+970030.67+72440+122500+200000+562128.49+1980+107542.12+5940+245606+133000+264154.6+60800+50000+11006+170000+17000+90000+270000+100000+97293.55+17000+351500+99000+1205.1+27200+89000+500000+236000+20000+50000+436946+31716-5940</f>
        <v>9210451.5500000007</v>
      </c>
      <c r="AI18" s="2"/>
      <c r="AJ18" s="2"/>
      <c r="AK18" s="2"/>
      <c r="AL18" s="2">
        <f>9210451.55</f>
        <v>9210451.5500000007</v>
      </c>
      <c r="AM18" s="4">
        <v>3.4000000000000002E-2</v>
      </c>
      <c r="AN18" s="4">
        <f t="shared" si="6"/>
        <v>333601.88</v>
      </c>
      <c r="AO18" s="2">
        <f>11900+56086+79100+51758+26606+11006+17000+17000+27200+35946</f>
        <v>333602</v>
      </c>
      <c r="AP18" s="2">
        <f>333602</f>
        <v>333602</v>
      </c>
      <c r="AQ18" s="2">
        <f t="shared" si="11"/>
        <v>-0.11999999999534339</v>
      </c>
      <c r="AR18" s="2"/>
      <c r="AS18" s="2">
        <v>80</v>
      </c>
      <c r="AT18" s="2" t="s">
        <v>1466</v>
      </c>
    </row>
    <row r="19" spans="1:46" s="9" customFormat="1" x14ac:dyDescent="0.15">
      <c r="A19" s="35">
        <v>39933</v>
      </c>
      <c r="B19" s="2" t="s">
        <v>1661</v>
      </c>
      <c r="C19" s="6" t="s">
        <v>1363</v>
      </c>
      <c r="D19" s="6" t="s">
        <v>1467</v>
      </c>
      <c r="E19" s="6" t="s">
        <v>0</v>
      </c>
      <c r="F19" s="6" t="s">
        <v>1468</v>
      </c>
      <c r="G19" s="6" t="s">
        <v>1465</v>
      </c>
      <c r="H19" s="6" t="s">
        <v>1469</v>
      </c>
      <c r="I19" s="6" t="s">
        <v>623</v>
      </c>
      <c r="J19" s="6" t="s">
        <v>624</v>
      </c>
      <c r="K19" s="6" t="s">
        <v>13</v>
      </c>
      <c r="L19" s="6"/>
      <c r="M19" s="6">
        <v>15076588</v>
      </c>
      <c r="N19" s="6">
        <f>2384792.98+690388+384611.09</f>
        <v>3459792.07</v>
      </c>
      <c r="O19" s="6"/>
      <c r="P19" s="6"/>
      <c r="Q19" s="7"/>
      <c r="R19" s="42"/>
      <c r="S19" s="6"/>
      <c r="T19" s="6"/>
      <c r="U19" s="6" t="s">
        <v>1462</v>
      </c>
      <c r="V19" s="8">
        <v>0.03</v>
      </c>
      <c r="W19" s="6">
        <f t="shared" si="10"/>
        <v>556091.40209999995</v>
      </c>
      <c r="X19" s="6">
        <f>250000+202298+30600+40944+20712+11687</f>
        <v>556241</v>
      </c>
      <c r="Y19" s="6">
        <f>556241</f>
        <v>556241</v>
      </c>
      <c r="Z19" s="6">
        <f t="shared" si="12"/>
        <v>-149.5979000000516</v>
      </c>
      <c r="AA19" s="6">
        <f>3088679.2+696113.86+3084400+3380500+1604200+345000+150000+1333425+1811577+1507659+34826.01+1500000</f>
        <v>18536380.070000004</v>
      </c>
      <c r="AB19" s="6">
        <f>18536380.07</f>
        <v>18536380.07</v>
      </c>
      <c r="AC19" s="6">
        <f>3088679.2+696113.86+3084400+3380500+1604200+345000+150000+1333425+1811577+1507659+34826.01+1500000</f>
        <v>18536380.070000004</v>
      </c>
      <c r="AD19" s="6">
        <f>18536380.07</f>
        <v>18536380.07</v>
      </c>
      <c r="AE19" s="8">
        <f t="shared" ref="AE19" si="13">AD19/(M19+N19)</f>
        <v>1</v>
      </c>
      <c r="AF19" s="6">
        <f>839679.9+707121.73+232684.02+565492.8+70000+72820+404446.78+22400+99123+33668+40000+691432.51-10000+1797830+1339022.3+2404758+300000+299996+128425.5+100000+107152+1512353.52+8913.5+4800+81773.5+24845.8+134800+89483+90000+27363+50000+50000+100000+21600+4000+220000+600000+461000+1080+6300+1613358.09+22000+390500+221700+755221+1580.6+89168.93+1000000+142000+115000+80415.5+60000+40000+1794</f>
        <v>18267102.98</v>
      </c>
      <c r="AG19" s="6">
        <f>18267102.98</f>
        <v>18267102.98</v>
      </c>
      <c r="AH19" s="6">
        <f>839679.9+707121.73+232684.02+565492.8+70000+72820+404446.78+22400+99123+33668+40000+691432.51-10000+1797830+1339022.3+2404758+300000+299996+128425.5+100000+107152+1512353.52+8913.5+4800+81773.5+24845.8+134800+89483+90000+27363+50000+50000+21600+4000+265336+600000+461000+1080+6300+1660.05+25000+1613358.09+22000+92950.5+27160+441760+16185.6+221700+755402.5+1580.6+89168.93+1052184+142000+115000+80415.5+60000+40000+1794</f>
        <v>18479020.630000003</v>
      </c>
      <c r="AI19" s="6"/>
      <c r="AJ19" s="6"/>
      <c r="AK19" s="6"/>
      <c r="AL19" s="6">
        <f>18479020.63</f>
        <v>18479020.629999999</v>
      </c>
      <c r="AM19" s="8">
        <v>3.4000000000000002E-2</v>
      </c>
      <c r="AN19" s="8">
        <f t="shared" si="6"/>
        <v>630236.92238</v>
      </c>
      <c r="AO19" s="6">
        <f>105015+23668+104870+114937+54543+11730+5100+45336+61594+51260+1184+51000</f>
        <v>630237</v>
      </c>
      <c r="AP19" s="6">
        <f>630237</f>
        <v>630237</v>
      </c>
      <c r="AQ19" s="6">
        <f t="shared" si="11"/>
        <v>-7.7619999996386468E-2</v>
      </c>
      <c r="AR19" s="6"/>
      <c r="AS19" s="6">
        <v>73</v>
      </c>
      <c r="AT19" s="6" t="s">
        <v>1470</v>
      </c>
    </row>
    <row r="20" spans="1:46" x14ac:dyDescent="0.15">
      <c r="A20" s="34">
        <v>39899</v>
      </c>
      <c r="B20" s="2" t="s">
        <v>1662</v>
      </c>
      <c r="C20" s="2" t="s">
        <v>829</v>
      </c>
      <c r="D20" s="2" t="s">
        <v>830</v>
      </c>
      <c r="E20" s="2" t="s">
        <v>0</v>
      </c>
      <c r="F20" s="2" t="s">
        <v>831</v>
      </c>
      <c r="G20" s="2" t="s">
        <v>832</v>
      </c>
      <c r="H20" s="2" t="s">
        <v>833</v>
      </c>
      <c r="I20" s="2" t="s">
        <v>834</v>
      </c>
      <c r="J20" s="2" t="s">
        <v>835</v>
      </c>
      <c r="K20" s="2" t="s">
        <v>836</v>
      </c>
      <c r="L20" s="2"/>
      <c r="M20" s="2">
        <v>15700000</v>
      </c>
      <c r="N20" s="2">
        <f>219320</f>
        <v>219320</v>
      </c>
      <c r="O20" s="2"/>
      <c r="P20" s="2"/>
      <c r="Q20" s="3"/>
      <c r="R20" s="41"/>
      <c r="S20" s="2"/>
      <c r="T20" s="2"/>
      <c r="U20" s="6" t="s">
        <v>1462</v>
      </c>
      <c r="V20" s="4">
        <v>0.03</v>
      </c>
      <c r="W20" s="2">
        <f t="shared" si="10"/>
        <v>477579.6</v>
      </c>
      <c r="X20" s="2">
        <f>300000+171000+6580</f>
        <v>477580</v>
      </c>
      <c r="Y20" s="2">
        <f>477580</f>
        <v>477580</v>
      </c>
      <c r="Z20" s="2">
        <f t="shared" si="12"/>
        <v>-0.40000000002328306</v>
      </c>
      <c r="AA20" s="2">
        <f>5000000+2434610</f>
        <v>7434610</v>
      </c>
      <c r="AB20" s="2">
        <f>7434610</f>
        <v>7434610</v>
      </c>
      <c r="AC20" s="2">
        <f>1000000+1500000+965900+943868+300000+50000+600000+150000+198400+200000+200000+85928+200000</f>
        <v>6394096</v>
      </c>
      <c r="AD20" s="2">
        <f>6394096</f>
        <v>6394096</v>
      </c>
      <c r="AE20" s="4">
        <f>AD20/AB20</f>
        <v>0.86004457530388279</v>
      </c>
      <c r="AF20" s="2">
        <f>834000+102979.56+786000+46000+100000+20000+50000+110523.69+54520+20000+190000+53440+50000+104688+605418.61+210000+132880+500000+500000+54000+40000+50000-104688+10000+101847.25+7640+553-500000+73200+45000+120000+50000+100000+132000+96000+141006+400000+50000+3433+60000+50000+8000+199213+100000+100000+54350+12765+30090</f>
        <v>5954859.1099999994</v>
      </c>
      <c r="AG20" s="2">
        <f>5954859.11</f>
        <v>5954859.1100000003</v>
      </c>
      <c r="AH20" s="2">
        <f>834000+102979.56+786000+46000+100000+20000+50000+110523.69+54520+20000+190000+53440+50000+104688+605418.61+210000+132880+500000+500000+54000+40000+50000-104688+10000+101847.25+7640+5536-500000+73200+45000+120000+50000+100000+132000+96000+141006+400000+50000+11950+3433+6580+60000+27000+50000+8000+199213+100000+100000+54350+12765+30090</f>
        <v>6005372.1099999994</v>
      </c>
      <c r="AI20" s="2"/>
      <c r="AJ20" s="2"/>
      <c r="AK20" s="2"/>
      <c r="AL20" s="2">
        <f>6005372.11</f>
        <v>6005372.1100000003</v>
      </c>
      <c r="AM20" s="4"/>
      <c r="AN20" s="4">
        <f t="shared" si="6"/>
        <v>0</v>
      </c>
      <c r="AO20" s="2"/>
      <c r="AP20" s="2"/>
      <c r="AQ20" s="2">
        <f t="shared" si="11"/>
        <v>0</v>
      </c>
      <c r="AR20" s="2"/>
      <c r="AS20" s="2">
        <v>75</v>
      </c>
      <c r="AT20" s="2" t="s">
        <v>837</v>
      </c>
    </row>
    <row r="21" spans="1:46" x14ac:dyDescent="0.15">
      <c r="A21" s="34">
        <v>39861</v>
      </c>
      <c r="B21" s="2" t="s">
        <v>1663</v>
      </c>
      <c r="C21" s="2" t="s">
        <v>958</v>
      </c>
      <c r="D21" s="2" t="s">
        <v>1471</v>
      </c>
      <c r="E21" s="2" t="s">
        <v>0</v>
      </c>
      <c r="F21" s="2" t="s">
        <v>1472</v>
      </c>
      <c r="G21" s="2" t="s">
        <v>1473</v>
      </c>
      <c r="H21" s="2" t="s">
        <v>1474</v>
      </c>
      <c r="I21" s="2" t="s">
        <v>1281</v>
      </c>
      <c r="J21" s="2" t="s">
        <v>1282</v>
      </c>
      <c r="K21" s="2" t="s">
        <v>13</v>
      </c>
      <c r="L21" s="2"/>
      <c r="M21" s="2">
        <v>302049.02</v>
      </c>
      <c r="N21" s="2"/>
      <c r="O21" s="2"/>
      <c r="P21" s="2"/>
      <c r="Q21" s="3"/>
      <c r="R21" s="41"/>
      <c r="S21" s="2"/>
      <c r="T21" s="2"/>
      <c r="U21" s="6" t="s">
        <v>1462</v>
      </c>
      <c r="V21" s="4">
        <v>3.5999999999999997E-2</v>
      </c>
      <c r="W21" s="2">
        <f t="shared" si="10"/>
        <v>10873.764719999999</v>
      </c>
      <c r="X21" s="2">
        <f>10874</f>
        <v>10874</v>
      </c>
      <c r="Y21" s="2">
        <f>10874</f>
        <v>10874</v>
      </c>
      <c r="Z21" s="2">
        <f t="shared" si="12"/>
        <v>-0.23528000000078464</v>
      </c>
      <c r="AA21" s="2">
        <f>181229.41+99428.68+14771.48</f>
        <v>295429.56999999995</v>
      </c>
      <c r="AB21" s="2">
        <f>295429.57</f>
        <v>295429.57</v>
      </c>
      <c r="AC21" s="2">
        <f>30204.9+120819.61+99428.68+30204.9+14771.48</f>
        <v>295429.57</v>
      </c>
      <c r="AD21" s="2">
        <f>295429.57</f>
        <v>295429.57</v>
      </c>
      <c r="AE21" s="4">
        <f>AD21/(M21+N21)</f>
        <v>0.97808484861165912</v>
      </c>
      <c r="AF21" s="2">
        <f>50000+67128+20000+10000+3381-10000+30789+9409+99951.09</f>
        <v>280658.08999999997</v>
      </c>
      <c r="AG21" s="2">
        <f>280658.09</f>
        <v>280658.09000000003</v>
      </c>
      <c r="AH21" s="2">
        <f>50000+67128+20000+10000+3381-10000+30789+9409+99951.09</f>
        <v>280658.08999999997</v>
      </c>
      <c r="AI21" s="2"/>
      <c r="AJ21" s="2"/>
      <c r="AK21" s="2"/>
      <c r="AL21" s="2">
        <f>280658.09</f>
        <v>280658.09000000003</v>
      </c>
      <c r="AM21" s="4">
        <v>3.4000000000000002E-2</v>
      </c>
      <c r="AN21" s="4">
        <f t="shared" si="6"/>
        <v>10044.605380000001</v>
      </c>
      <c r="AO21" s="2">
        <f>6162+3381+502</f>
        <v>10045</v>
      </c>
      <c r="AP21" s="2">
        <f>10045</f>
        <v>10045</v>
      </c>
      <c r="AQ21" s="2">
        <f t="shared" si="11"/>
        <v>-0.39461999999912223</v>
      </c>
      <c r="AR21" s="2"/>
      <c r="AS21" s="2"/>
      <c r="AT21" s="2"/>
    </row>
    <row r="22" spans="1:46" x14ac:dyDescent="0.15">
      <c r="A22" s="34">
        <v>39916</v>
      </c>
      <c r="B22" s="2" t="s">
        <v>1664</v>
      </c>
      <c r="C22" s="2" t="s">
        <v>959</v>
      </c>
      <c r="D22" s="2" t="s">
        <v>1476</v>
      </c>
      <c r="E22" s="2" t="s">
        <v>0</v>
      </c>
      <c r="F22" s="2" t="s">
        <v>1477</v>
      </c>
      <c r="G22" s="2" t="s">
        <v>1473</v>
      </c>
      <c r="H22" s="2" t="s">
        <v>1478</v>
      </c>
      <c r="I22" s="2" t="s">
        <v>1479</v>
      </c>
      <c r="J22" s="2" t="s">
        <v>1478</v>
      </c>
      <c r="K22" s="2" t="s">
        <v>1475</v>
      </c>
      <c r="L22" s="2"/>
      <c r="M22" s="2">
        <v>486000</v>
      </c>
      <c r="N22" s="2"/>
      <c r="O22" s="2"/>
      <c r="P22" s="2"/>
      <c r="Q22" s="3"/>
      <c r="R22" s="41"/>
      <c r="S22" s="2"/>
      <c r="T22" s="2"/>
      <c r="U22" s="6" t="s">
        <v>1462</v>
      </c>
      <c r="V22" s="4">
        <v>3.5999999999999997E-2</v>
      </c>
      <c r="W22" s="2">
        <f t="shared" si="10"/>
        <v>17496</v>
      </c>
      <c r="X22" s="2">
        <f>17496</f>
        <v>17496</v>
      </c>
      <c r="Y22" s="2">
        <f>17496</f>
        <v>17496</v>
      </c>
      <c r="Z22" s="2">
        <f t="shared" si="12"/>
        <v>0</v>
      </c>
      <c r="AA22" s="2">
        <f>243000+97200+97200+24300</f>
        <v>461700</v>
      </c>
      <c r="AB22" s="2">
        <f>461700</f>
        <v>461700</v>
      </c>
      <c r="AC22" s="2">
        <f>243000+95200+99200+24300</f>
        <v>461700</v>
      </c>
      <c r="AD22" s="2">
        <f>461700</f>
        <v>461700</v>
      </c>
      <c r="AE22" s="4">
        <f>AD22/(M22+N22)</f>
        <v>0.95</v>
      </c>
      <c r="AF22" s="2">
        <f>58262+10000+100000+7545+8305+140500+100000+826+36262</f>
        <v>461700</v>
      </c>
      <c r="AG22" s="2">
        <f>461700</f>
        <v>461700</v>
      </c>
      <c r="AH22" s="2">
        <f>58262+10000+100000+7545+8305+140500+100000+826+36262</f>
        <v>461700</v>
      </c>
      <c r="AI22" s="2"/>
      <c r="AJ22" s="2"/>
      <c r="AK22" s="2"/>
      <c r="AL22" s="2">
        <f>461700</f>
        <v>461700</v>
      </c>
      <c r="AM22" s="4">
        <v>3.4000000000000002E-2</v>
      </c>
      <c r="AN22" s="4">
        <f t="shared" si="6"/>
        <v>15697.800000000001</v>
      </c>
      <c r="AO22" s="2">
        <f>8262+3305+3305+826</f>
        <v>15698</v>
      </c>
      <c r="AP22" s="2">
        <f>15698</f>
        <v>15698</v>
      </c>
      <c r="AQ22" s="2">
        <f t="shared" si="11"/>
        <v>-0.19999999999890861</v>
      </c>
      <c r="AR22" s="2"/>
      <c r="AS22" s="2"/>
      <c r="AT22" s="2"/>
    </row>
    <row r="23" spans="1:46" x14ac:dyDescent="0.15">
      <c r="A23" s="34">
        <v>39981</v>
      </c>
      <c r="B23" s="2" t="s">
        <v>1665</v>
      </c>
      <c r="C23" s="2" t="s">
        <v>960</v>
      </c>
      <c r="D23" s="2" t="s">
        <v>961</v>
      </c>
      <c r="E23" s="2" t="s">
        <v>0</v>
      </c>
      <c r="F23" s="2" t="s">
        <v>962</v>
      </c>
      <c r="G23" s="2" t="s">
        <v>954</v>
      </c>
      <c r="H23" s="2" t="s">
        <v>963</v>
      </c>
      <c r="I23" s="2" t="s">
        <v>964</v>
      </c>
      <c r="J23" s="2" t="s">
        <v>963</v>
      </c>
      <c r="K23" s="2" t="s">
        <v>965</v>
      </c>
      <c r="L23" s="2"/>
      <c r="M23" s="2">
        <v>6506693</v>
      </c>
      <c r="N23" s="2">
        <f>209604.88+286985.51</f>
        <v>496590.39</v>
      </c>
      <c r="O23" s="2"/>
      <c r="P23" s="2">
        <f>5935152.41+209604.88+185992.51</f>
        <v>6330749.7999999998</v>
      </c>
      <c r="Q23" s="3"/>
      <c r="R23" s="41"/>
      <c r="S23" s="2"/>
      <c r="T23" s="2"/>
      <c r="U23" s="6" t="s">
        <v>1462</v>
      </c>
      <c r="V23" s="4">
        <v>0.03</v>
      </c>
      <c r="W23" s="2">
        <f>P23*V23</f>
        <v>189922.49399999998</v>
      </c>
      <c r="X23" s="2">
        <f>200000+3811+8610-22498</f>
        <v>189923</v>
      </c>
      <c r="Y23" s="2">
        <f>212421-22498</f>
        <v>189923</v>
      </c>
      <c r="Z23" s="2">
        <f>W23-Y23</f>
        <v>-0.50600000002305023</v>
      </c>
      <c r="AA23" s="2">
        <f>3457087+1338118+844161.67+306057.25+209604.88+175721</f>
        <v>6330749.7999999998</v>
      </c>
      <c r="AB23" s="2">
        <f>6330749.8</f>
        <v>6330749.7999999998</v>
      </c>
      <c r="AC23" s="2">
        <f>3457087+1338118+844160.92+306057.25+209604.88+175721</f>
        <v>6330749.0499999998</v>
      </c>
      <c r="AD23" s="2">
        <f>6330749.05</f>
        <v>6330749.0499999998</v>
      </c>
      <c r="AE23" s="4">
        <f>AD23/P23</f>
        <v>0.99999988153062058</v>
      </c>
      <c r="AF23" s="2">
        <f>1350000+2000000+100000+1952+350000+700000+97800+87275.27+5975+103028+275573.4+781200+36455.4+71100+195450.8+29106.95+202478.38</f>
        <v>6387395.2000000002</v>
      </c>
      <c r="AG23" s="2">
        <f>6184916.82+202478.38</f>
        <v>6387395.2000000002</v>
      </c>
      <c r="AH23" s="2">
        <f>1350000+2000000+100000+1952+350000+700000+97800+87275.27+5975+100000+809902+36455.4+81506+195450.8+29106.95+7127+174826.4+894.6+202478.38</f>
        <v>6330749.7999999998</v>
      </c>
      <c r="AI23" s="2"/>
      <c r="AJ23" s="2"/>
      <c r="AK23" s="2"/>
      <c r="AL23" s="2">
        <f>6128271.42+202478.38</f>
        <v>6330749.7999999998</v>
      </c>
      <c r="AM23" s="4">
        <v>3.4000000000000002E-2</v>
      </c>
      <c r="AN23" s="4">
        <f t="shared" si="6"/>
        <v>215245.4932</v>
      </c>
      <c r="AO23" s="2">
        <f>117541+45496+28702+10406+7127+5975</f>
        <v>215247</v>
      </c>
      <c r="AP23" s="2">
        <f>215247</f>
        <v>215247</v>
      </c>
      <c r="AQ23" s="2">
        <f t="shared" si="11"/>
        <v>-1.5068000000028405</v>
      </c>
      <c r="AR23" s="2"/>
      <c r="AS23" s="2">
        <v>260</v>
      </c>
      <c r="AT23" s="2" t="s">
        <v>966</v>
      </c>
    </row>
    <row r="24" spans="1:46" x14ac:dyDescent="0.15">
      <c r="A24" s="34">
        <v>39958</v>
      </c>
      <c r="B24" s="2" t="s">
        <v>1666</v>
      </c>
      <c r="C24" s="2" t="s">
        <v>1387</v>
      </c>
      <c r="D24" s="2" t="s">
        <v>1480</v>
      </c>
      <c r="E24" s="2" t="s">
        <v>0</v>
      </c>
      <c r="F24" s="2" t="s">
        <v>1481</v>
      </c>
      <c r="G24" s="2" t="s">
        <v>1482</v>
      </c>
      <c r="H24" s="2" t="s">
        <v>1484</v>
      </c>
      <c r="I24" s="2" t="s">
        <v>1483</v>
      </c>
      <c r="J24" s="2" t="s">
        <v>1484</v>
      </c>
      <c r="K24" s="2" t="s">
        <v>1475</v>
      </c>
      <c r="L24" s="2"/>
      <c r="M24" s="2">
        <v>3889257.83</v>
      </c>
      <c r="N24" s="2"/>
      <c r="O24" s="2"/>
      <c r="P24" s="2"/>
      <c r="Q24" s="3"/>
      <c r="R24" s="41"/>
      <c r="S24" s="2"/>
      <c r="T24" s="2"/>
      <c r="U24" s="2" t="s">
        <v>1485</v>
      </c>
      <c r="V24" s="4">
        <v>4.5999999999999999E-2</v>
      </c>
      <c r="W24" s="2">
        <f>V24*(M24+N24)</f>
        <v>178905.86017999999</v>
      </c>
      <c r="X24" s="2">
        <f>178906</f>
        <v>178906</v>
      </c>
      <c r="Y24" s="2">
        <f>178906</f>
        <v>178906</v>
      </c>
      <c r="Z24" s="2">
        <f t="shared" ref="Z24:Z39" si="14">W24-Y24</f>
        <v>-0.13982000001124106</v>
      </c>
      <c r="AA24" s="2">
        <f>1166000+1172800</f>
        <v>2338800</v>
      </c>
      <c r="AB24" s="2">
        <f>2338800</f>
        <v>2338800</v>
      </c>
      <c r="AC24" s="2">
        <f>182462+984000+480000+720800+150000</f>
        <v>2517262</v>
      </c>
      <c r="AD24" s="2">
        <f>2517262</f>
        <v>2517262</v>
      </c>
      <c r="AE24" s="4">
        <f>AD24/(M24+N24)</f>
        <v>0.64723453934654673</v>
      </c>
      <c r="AF24" s="2">
        <f>4667.1+15000+13017.1+150000+100000+30000+200000+400000+20000+71500+1000+249600+96700+110000+600000+200000+150000</f>
        <v>2411484.2000000002</v>
      </c>
      <c r="AG24" s="2">
        <f>2411484.2</f>
        <v>2411484.2000000002</v>
      </c>
      <c r="AH24" s="2">
        <f>4667.1+15000+13017.1+150000+100000+30000+200000+400000+20000+71500+1000+249600+96700+110000+600000+200000+150000</f>
        <v>2411484.2000000002</v>
      </c>
      <c r="AI24" s="2"/>
      <c r="AJ24" s="2"/>
      <c r="AK24" s="2"/>
      <c r="AL24" s="2">
        <f>2411484.2</f>
        <v>2411484.2000000002</v>
      </c>
      <c r="AM24" s="4"/>
      <c r="AN24" s="4">
        <f t="shared" si="6"/>
        <v>0</v>
      </c>
      <c r="AO24" s="2">
        <f>6612-6612</f>
        <v>0</v>
      </c>
      <c r="AP24" s="2"/>
      <c r="AQ24" s="2">
        <f t="shared" si="11"/>
        <v>0</v>
      </c>
      <c r="AR24" s="2"/>
      <c r="AS24" s="2"/>
      <c r="AT24" s="2"/>
    </row>
    <row r="25" spans="1:46" x14ac:dyDescent="0.15">
      <c r="A25" s="34">
        <v>40003</v>
      </c>
      <c r="B25" s="2" t="s">
        <v>1667</v>
      </c>
      <c r="C25" s="2" t="s">
        <v>1388</v>
      </c>
      <c r="D25" s="2" t="s">
        <v>1486</v>
      </c>
      <c r="E25" s="2" t="s">
        <v>0</v>
      </c>
      <c r="F25" s="2" t="s">
        <v>1487</v>
      </c>
      <c r="G25" s="2" t="s">
        <v>1473</v>
      </c>
      <c r="H25" s="2" t="s">
        <v>1488</v>
      </c>
      <c r="I25" s="2" t="s">
        <v>623</v>
      </c>
      <c r="J25" s="2" t="s">
        <v>624</v>
      </c>
      <c r="K25" s="2" t="s">
        <v>13</v>
      </c>
      <c r="L25" s="2"/>
      <c r="M25" s="2">
        <f>5586048</f>
        <v>5586048</v>
      </c>
      <c r="N25" s="2"/>
      <c r="O25" s="2"/>
      <c r="P25" s="2"/>
      <c r="Q25" s="3"/>
      <c r="R25" s="41"/>
      <c r="S25" s="2"/>
      <c r="T25" s="2"/>
      <c r="U25" s="2" t="s">
        <v>1485</v>
      </c>
      <c r="V25" s="4">
        <v>0.04</v>
      </c>
      <c r="W25" s="2">
        <f t="shared" ref="W25:W29" si="15">V25*(M25+N25)</f>
        <v>223441.92000000001</v>
      </c>
      <c r="X25" s="2">
        <f>100000+123442</f>
        <v>223442</v>
      </c>
      <c r="Y25" s="2">
        <f>223442</f>
        <v>223442</v>
      </c>
      <c r="Z25" s="2">
        <f t="shared" si="14"/>
        <v>-7.9999999987194315E-2</v>
      </c>
      <c r="AA25" s="2">
        <f>1588002+2234419.2+1000000</f>
        <v>4822421.2</v>
      </c>
      <c r="AB25" s="2">
        <f>4822421.2</f>
        <v>4822421.2</v>
      </c>
      <c r="AC25" s="2">
        <f>1588002+2234419.2+1000000</f>
        <v>4822421.2</v>
      </c>
      <c r="AD25" s="2">
        <f>4822421.2</f>
        <v>4822421.2</v>
      </c>
      <c r="AE25" s="4">
        <f t="shared" ref="AE25:AE29" si="16">AD25/(M25+N25)</f>
        <v>0.86329748688160224</v>
      </c>
      <c r="AF25" s="2">
        <f>1200000+6703.3+106419.6+65188+204890+1075879.5+832178.67+68000+15000+3248.47+15028+9885.66+800000+99000+65430</f>
        <v>4566851.2000000011</v>
      </c>
      <c r="AG25" s="2">
        <f>4566851.2</f>
        <v>4566851.2</v>
      </c>
      <c r="AH25" s="2">
        <f>1200000+6703.3+106419.6+65188+204890+1075879.5+832178.67+220000+68000+15000+3248.47+15028+9885.66+834000+99000+65430</f>
        <v>4820851.2000000011</v>
      </c>
      <c r="AI25" s="2"/>
      <c r="AJ25" s="2"/>
      <c r="AK25" s="2"/>
      <c r="AL25" s="2">
        <f>4820851.2</f>
        <v>4820851.2</v>
      </c>
      <c r="AM25" s="4">
        <v>3.4000000000000002E-2</v>
      </c>
      <c r="AN25" s="4">
        <f t="shared" si="6"/>
        <v>163962.32080000002</v>
      </c>
      <c r="AO25" s="2">
        <f>53992+75970+34000</f>
        <v>163962</v>
      </c>
      <c r="AP25" s="2">
        <f>163962</f>
        <v>163962</v>
      </c>
      <c r="AQ25" s="2">
        <f t="shared" si="11"/>
        <v>0.32080000001587905</v>
      </c>
      <c r="AR25" s="2"/>
      <c r="AS25" s="2"/>
      <c r="AT25" s="2"/>
    </row>
    <row r="26" spans="1:46" x14ac:dyDescent="0.15">
      <c r="A26" s="34">
        <v>39982</v>
      </c>
      <c r="B26" s="2" t="s">
        <v>1668</v>
      </c>
      <c r="C26" s="2" t="s">
        <v>1389</v>
      </c>
      <c r="D26" s="2" t="s">
        <v>1489</v>
      </c>
      <c r="E26" s="2" t="s">
        <v>0</v>
      </c>
      <c r="F26" s="2" t="s">
        <v>1490</v>
      </c>
      <c r="G26" s="2" t="s">
        <v>1491</v>
      </c>
      <c r="H26" s="2" t="s">
        <v>1492</v>
      </c>
      <c r="I26" s="11" t="s">
        <v>247</v>
      </c>
      <c r="J26" s="11" t="s">
        <v>248</v>
      </c>
      <c r="K26" s="11" t="s">
        <v>13</v>
      </c>
      <c r="L26" s="2"/>
      <c r="M26" s="2">
        <v>1430059.3</v>
      </c>
      <c r="N26" s="2"/>
      <c r="O26" s="2"/>
      <c r="P26" s="2"/>
      <c r="Q26" s="3"/>
      <c r="R26" s="41"/>
      <c r="S26" s="2"/>
      <c r="T26" s="2"/>
      <c r="U26" s="2" t="s">
        <v>1485</v>
      </c>
      <c r="V26" s="4">
        <v>3.5999999999999997E-2</v>
      </c>
      <c r="W26" s="2">
        <f t="shared" si="15"/>
        <v>51482.1348</v>
      </c>
      <c r="X26" s="2">
        <f>20454+31028</f>
        <v>51482</v>
      </c>
      <c r="Y26" s="2">
        <f>51482</f>
        <v>51482</v>
      </c>
      <c r="Z26" s="2">
        <f t="shared" si="14"/>
        <v>0.13479999999981374</v>
      </c>
      <c r="AA26" s="2"/>
      <c r="AB26" s="2"/>
      <c r="AC26" s="2">
        <f>300000+300000+600000+150000</f>
        <v>1350000</v>
      </c>
      <c r="AD26" s="2">
        <f>1350000</f>
        <v>1350000</v>
      </c>
      <c r="AE26" s="4">
        <f t="shared" si="16"/>
        <v>0.94401679706568808</v>
      </c>
      <c r="AF26" s="2">
        <f>269273.86+264627.58+394829.93+26330+100000+7089+23823.08+49156.85+150000</f>
        <v>1285130.3</v>
      </c>
      <c r="AG26" s="2">
        <f>1285130.3</f>
        <v>1285130.3</v>
      </c>
      <c r="AH26" s="2">
        <f>269273.86+264627.58+5198.75+394829.93+26330+100000+7089+23823.08+49156.85+150000</f>
        <v>1290329.05</v>
      </c>
      <c r="AI26" s="2"/>
      <c r="AJ26" s="2"/>
      <c r="AK26" s="2"/>
      <c r="AL26" s="2">
        <f>1290329.05</f>
        <v>1290329.05</v>
      </c>
      <c r="AM26" s="4"/>
      <c r="AN26" s="4">
        <f t="shared" si="6"/>
        <v>0</v>
      </c>
      <c r="AO26" s="2"/>
      <c r="AP26" s="2"/>
      <c r="AQ26" s="2">
        <f t="shared" si="11"/>
        <v>0</v>
      </c>
      <c r="AR26" s="2"/>
      <c r="AS26" s="2">
        <v>15</v>
      </c>
      <c r="AT26" s="2" t="s">
        <v>1470</v>
      </c>
    </row>
    <row r="27" spans="1:46" s="9" customFormat="1" x14ac:dyDescent="0.15">
      <c r="A27" s="35">
        <v>40001</v>
      </c>
      <c r="B27" s="2" t="s">
        <v>1669</v>
      </c>
      <c r="C27" s="6" t="s">
        <v>1390</v>
      </c>
      <c r="D27" s="6" t="s">
        <v>1493</v>
      </c>
      <c r="E27" s="6" t="s">
        <v>0</v>
      </c>
      <c r="F27" s="6" t="s">
        <v>1494</v>
      </c>
      <c r="G27" s="6" t="s">
        <v>1473</v>
      </c>
      <c r="H27" s="6" t="s">
        <v>1030</v>
      </c>
      <c r="I27" s="6" t="s">
        <v>1495</v>
      </c>
      <c r="J27" s="6" t="s">
        <v>1030</v>
      </c>
      <c r="K27" s="6" t="s">
        <v>1475</v>
      </c>
      <c r="L27" s="6"/>
      <c r="M27" s="6">
        <v>2586816</v>
      </c>
      <c r="N27" s="6">
        <f>192000+338238.66</f>
        <v>530238.65999999992</v>
      </c>
      <c r="O27" s="6"/>
      <c r="P27" s="6"/>
      <c r="Q27" s="7"/>
      <c r="R27" s="42"/>
      <c r="S27" s="6"/>
      <c r="T27" s="6"/>
      <c r="U27" s="6" t="s">
        <v>1485</v>
      </c>
      <c r="V27" s="8">
        <v>3.5999999999999997E-2</v>
      </c>
      <c r="W27" s="6">
        <f t="shared" si="15"/>
        <v>112213.96776</v>
      </c>
      <c r="X27" s="6">
        <f>93125+6912</f>
        <v>100037</v>
      </c>
      <c r="Y27" s="6">
        <f>100037</f>
        <v>100037</v>
      </c>
      <c r="Z27" s="6">
        <f t="shared" si="14"/>
        <v>12176.96776</v>
      </c>
      <c r="AA27" s="6">
        <f>510000+800000+700000+100000+200000+150000+150000+363701.96+143352.7</f>
        <v>3117054.66</v>
      </c>
      <c r="AB27" s="6">
        <f>3117054.66</f>
        <v>3117054.66</v>
      </c>
      <c r="AC27" s="6">
        <f>510000+800000+700000+100000+150000+150000+363701.96+143352.7</f>
        <v>2917054.66</v>
      </c>
      <c r="AD27" s="6">
        <f>2917054.66</f>
        <v>2917054.66</v>
      </c>
      <c r="AE27" s="8">
        <f t="shared" si="16"/>
        <v>0.93583686466377203</v>
      </c>
      <c r="AF27" s="6">
        <f>20000+3104.2+20000+93250+117340+100000+934181.27+713800+103400+42200+4079.4+11900+47224.52+26315.12+20000+14200+7961.1+30000+17466+30000+195285+200000+101441.65</f>
        <v>2853148.26</v>
      </c>
      <c r="AG27" s="6">
        <f>2853148.26</f>
        <v>2853148.26</v>
      </c>
      <c r="AH27" s="6">
        <f>20000+3104.2+20000+93250+117340+100000+934181.27+713800+103400+42200+4079.4+11900+47224.52+26315.12+20000+14200+7961.1+30000+17466+30000+195285+200000+4874+101441.65</f>
        <v>2858022.26</v>
      </c>
      <c r="AI27" s="6"/>
      <c r="AJ27" s="6"/>
      <c r="AK27" s="6"/>
      <c r="AL27" s="6">
        <f>2858022.26</f>
        <v>2858022.26</v>
      </c>
      <c r="AM27" s="8">
        <v>3.4000000000000002E-2</v>
      </c>
      <c r="AN27" s="8">
        <f t="shared" si="6"/>
        <v>105979.85844000001</v>
      </c>
      <c r="AO27" s="6">
        <f>17340+27200+23800+3400+6800+5100+5100+12366+4874</f>
        <v>105980</v>
      </c>
      <c r="AP27" s="6">
        <f>105980</f>
        <v>105980</v>
      </c>
      <c r="AQ27" s="6">
        <f t="shared" si="11"/>
        <v>-0.14155999998911284</v>
      </c>
      <c r="AR27" s="6"/>
      <c r="AS27" s="6">
        <v>44</v>
      </c>
      <c r="AT27" s="6" t="s">
        <v>1470</v>
      </c>
    </row>
    <row r="28" spans="1:46" s="9" customFormat="1" x14ac:dyDescent="0.15">
      <c r="A28" s="35">
        <v>40017</v>
      </c>
      <c r="B28" s="2" t="s">
        <v>1670</v>
      </c>
      <c r="C28" s="6" t="s">
        <v>1391</v>
      </c>
      <c r="D28" s="6" t="s">
        <v>1507</v>
      </c>
      <c r="E28" s="6" t="s">
        <v>0</v>
      </c>
      <c r="F28" s="6" t="s">
        <v>1508</v>
      </c>
      <c r="G28" s="6" t="s">
        <v>1509</v>
      </c>
      <c r="H28" s="6" t="s">
        <v>1510</v>
      </c>
      <c r="I28" s="6" t="s">
        <v>178</v>
      </c>
      <c r="J28" s="6" t="s">
        <v>179</v>
      </c>
      <c r="K28" s="6" t="s">
        <v>13</v>
      </c>
      <c r="L28" s="6"/>
      <c r="M28" s="6">
        <v>4087804.22</v>
      </c>
      <c r="N28" s="6">
        <f>2722873.66+1249488+1005807.41+348563.5+96033.06</f>
        <v>5422765.6299999999</v>
      </c>
      <c r="O28" s="6"/>
      <c r="P28" s="6"/>
      <c r="Q28" s="7"/>
      <c r="R28" s="42"/>
      <c r="S28" s="6"/>
      <c r="T28" s="6"/>
      <c r="U28" s="6" t="s">
        <v>1485</v>
      </c>
      <c r="V28" s="8">
        <v>0.03</v>
      </c>
      <c r="W28" s="6">
        <f t="shared" si="15"/>
        <v>285317.0955</v>
      </c>
      <c r="X28" s="6">
        <f>70000+122141+37485+30174+9411+2881</f>
        <v>272092</v>
      </c>
      <c r="Y28" s="6">
        <f>272092</f>
        <v>272092</v>
      </c>
      <c r="Z28" s="6">
        <f t="shared" si="14"/>
        <v>13225.095499999996</v>
      </c>
      <c r="AA28" s="6">
        <f>800000+300000+810000+375000+2000000+2000000+300000+300000+700000+363000+55574+100000+200000+200863.56</f>
        <v>8504437.5600000005</v>
      </c>
      <c r="AB28" s="6">
        <f>8504437.56</f>
        <v>8504437.5600000005</v>
      </c>
      <c r="AC28" s="6">
        <f>800000+300000+810000+375000+2000000+2000000+300000+300000+700000+363000+55574+100000+200000+200863.56</f>
        <v>8504437.5600000005</v>
      </c>
      <c r="AD28" s="6">
        <f>8504437.56</f>
        <v>8504437.5600000005</v>
      </c>
      <c r="AE28" s="8">
        <f t="shared" si="16"/>
        <v>0.89420904258434109</v>
      </c>
      <c r="AF28" s="6">
        <f>728899.5+70000+124298.3+835481+50235+100000+105241+1754200+11565+293046.44+90000+87651+1006186.4+193643.03+64844.7+398400+20320+190000+129535+26800+250000+35000+303152+13500+603510.41+84157+293779.49+80164.23+50000+492394.17+102990+193200+194000</f>
        <v>8976193.6700000018</v>
      </c>
      <c r="AG28" s="6">
        <f>8976193.67</f>
        <v>8976193.6699999999</v>
      </c>
      <c r="AH28" s="6">
        <f>728899.5+70000+124298.3+835481+50235+100000+105241+1754200+11565+293046.44+90000+87651+1006186.4+193643.03+64844.7+398400+20320+190000+129535+26800+250000+35000+303152+13500+603510.41+84157+293779.49+80164.23+51890+1684+3400+102990-102990+102990+200000+6829+194000</f>
        <v>8504402.5000000019</v>
      </c>
      <c r="AI28" s="6"/>
      <c r="AJ28" s="6"/>
      <c r="AK28" s="6"/>
      <c r="AL28" s="6">
        <f>8504402.5</f>
        <v>8504402.5</v>
      </c>
      <c r="AM28" s="8">
        <v>3.4000000000000002E-2</v>
      </c>
      <c r="AN28" s="8">
        <f t="shared" si="6"/>
        <v>289150.87704000005</v>
      </c>
      <c r="AO28" s="6">
        <f>27200+10200+27540+12750+68000+68000+10200+10200+23800+12342+1890+3400+6800+6829</f>
        <v>289151</v>
      </c>
      <c r="AP28" s="6">
        <f>289151</f>
        <v>289151</v>
      </c>
      <c r="AQ28" s="6">
        <f t="shared" si="11"/>
        <v>-0.12295999994967133</v>
      </c>
      <c r="AR28" s="6"/>
      <c r="AS28" s="6">
        <v>155</v>
      </c>
      <c r="AT28" s="6" t="s">
        <v>1511</v>
      </c>
    </row>
    <row r="29" spans="1:46" x14ac:dyDescent="0.15">
      <c r="A29" s="34">
        <v>40017</v>
      </c>
      <c r="B29" s="2" t="s">
        <v>1671</v>
      </c>
      <c r="C29" s="2" t="s">
        <v>1392</v>
      </c>
      <c r="D29" s="2" t="s">
        <v>1512</v>
      </c>
      <c r="E29" s="2" t="s">
        <v>0</v>
      </c>
      <c r="F29" s="2" t="s">
        <v>542</v>
      </c>
      <c r="G29" s="2" t="s">
        <v>1509</v>
      </c>
      <c r="H29" s="6" t="s">
        <v>1510</v>
      </c>
      <c r="I29" s="6" t="s">
        <v>178</v>
      </c>
      <c r="J29" s="6" t="s">
        <v>179</v>
      </c>
      <c r="K29" s="6" t="s">
        <v>13</v>
      </c>
      <c r="L29" s="2"/>
      <c r="M29" s="2">
        <v>1900000</v>
      </c>
      <c r="N29" s="2">
        <f>500000+216585.76+137715</f>
        <v>854300.76</v>
      </c>
      <c r="O29" s="2"/>
      <c r="P29" s="2"/>
      <c r="Q29" s="3"/>
      <c r="R29" s="41"/>
      <c r="S29" s="2"/>
      <c r="T29" s="2"/>
      <c r="U29" s="2" t="s">
        <v>1485</v>
      </c>
      <c r="V29" s="4">
        <v>3.5999999999999997E-2</v>
      </c>
      <c r="W29" s="2">
        <f t="shared" si="15"/>
        <v>99154.827359999981</v>
      </c>
      <c r="X29" s="2">
        <f>68400+18000+7797+4958</f>
        <v>99155</v>
      </c>
      <c r="Y29" s="2">
        <f>99155</f>
        <v>99155</v>
      </c>
      <c r="Z29" s="2">
        <f t="shared" si="14"/>
        <v>-0.17264000001887325</v>
      </c>
      <c r="AA29" s="2">
        <f>600000+800000+500000+500000+216585.76+137715</f>
        <v>2754300.76</v>
      </c>
      <c r="AB29" s="2">
        <f>2754300.76</f>
        <v>2754300.76</v>
      </c>
      <c r="AC29" s="2">
        <f>600000+800000+500000+500000+216585.76+137715</f>
        <v>2754300.76</v>
      </c>
      <c r="AD29" s="2">
        <f>2754300.76</f>
        <v>2754300.76</v>
      </c>
      <c r="AE29" s="4">
        <f t="shared" si="16"/>
        <v>1</v>
      </c>
      <c r="AF29" s="2">
        <f>310950+150000+123566.6+215900+300000+46788.2+256405+300000+168000+400000+44157+7364+181049.5+101005.06+5763+1900+132523+4682</f>
        <v>2750053.36</v>
      </c>
      <c r="AG29" s="2">
        <f>2750053.36</f>
        <v>2750053.36</v>
      </c>
      <c r="AH29" s="2">
        <f>310950+150000+123566.6+215900+300000+46788.2+256405+300000+168000+400000+44157+7364+181049.5+101005.06+5763+1900+132523+4682</f>
        <v>2750053.36</v>
      </c>
      <c r="AI29" s="2"/>
      <c r="AJ29" s="2"/>
      <c r="AK29" s="2"/>
      <c r="AL29" s="2">
        <f>2750053.36</f>
        <v>2750053.36</v>
      </c>
      <c r="AM29" s="4">
        <v>3.4000000000000002E-2</v>
      </c>
      <c r="AN29" s="8">
        <f t="shared" si="6"/>
        <v>93646.225839999999</v>
      </c>
      <c r="AO29" s="2">
        <f>20400+27200+17000+17000+7364+4682</f>
        <v>93646</v>
      </c>
      <c r="AP29" s="2">
        <f>93646</f>
        <v>93646</v>
      </c>
      <c r="AQ29" s="2">
        <f t="shared" si="11"/>
        <v>0.2258399999991525</v>
      </c>
      <c r="AR29" s="2"/>
      <c r="AS29" s="2">
        <v>30</v>
      </c>
      <c r="AT29" s="2" t="s">
        <v>1511</v>
      </c>
    </row>
    <row r="30" spans="1:46" x14ac:dyDescent="0.15">
      <c r="A30" s="34">
        <v>40011</v>
      </c>
      <c r="B30" s="2" t="s">
        <v>1672</v>
      </c>
      <c r="C30" s="2" t="s">
        <v>1393</v>
      </c>
      <c r="D30" s="2" t="s">
        <v>1396</v>
      </c>
      <c r="E30" s="2" t="s">
        <v>0</v>
      </c>
      <c r="F30" s="2" t="s">
        <v>1397</v>
      </c>
      <c r="G30" s="2" t="s">
        <v>1384</v>
      </c>
      <c r="H30" s="2" t="s">
        <v>177</v>
      </c>
      <c r="I30" s="2" t="s">
        <v>178</v>
      </c>
      <c r="J30" s="2" t="s">
        <v>179</v>
      </c>
      <c r="K30" s="2" t="s">
        <v>13</v>
      </c>
      <c r="L30" s="2"/>
      <c r="M30" s="2">
        <v>256324.6</v>
      </c>
      <c r="N30" s="2">
        <v>21002.6</v>
      </c>
      <c r="O30" s="2"/>
      <c r="P30" s="2"/>
      <c r="Q30" s="3"/>
      <c r="R30" s="41"/>
      <c r="S30" s="2"/>
      <c r="T30" s="2"/>
      <c r="U30" s="2" t="s">
        <v>1385</v>
      </c>
      <c r="V30" s="4">
        <v>3.5999999999999997E-2</v>
      </c>
      <c r="W30" s="2">
        <f>(M30+N30)*V30</f>
        <v>9983.779199999999</v>
      </c>
      <c r="X30" s="2">
        <f>9228+756</f>
        <v>9984</v>
      </c>
      <c r="Y30" s="2">
        <f>9984</f>
        <v>9984</v>
      </c>
      <c r="Z30" s="2">
        <f t="shared" si="14"/>
        <v>-0.22080000000096334</v>
      </c>
      <c r="AA30" s="2">
        <f>77000+200327.2</f>
        <v>277327.2</v>
      </c>
      <c r="AB30" s="2">
        <f>277327.2</f>
        <v>277327.2</v>
      </c>
      <c r="AC30" s="2">
        <f>77000+186427.2+13900</f>
        <v>277327.2</v>
      </c>
      <c r="AD30" s="2">
        <f>277327.2</f>
        <v>277327.2</v>
      </c>
      <c r="AE30" s="4">
        <f>AD30/(M30+N30)</f>
        <v>1</v>
      </c>
      <c r="AF30" s="2">
        <f>307.6+20898+26220.5+25000+2300+16500+18084+78500+30000+45000+12800</f>
        <v>275610.09999999998</v>
      </c>
      <c r="AG30" s="2">
        <f>275610.1</f>
        <v>275610.09999999998</v>
      </c>
      <c r="AH30" s="2">
        <f>307.6+20898+26220.5+25000+2300+16500+18084+78500+30000+45000+12800</f>
        <v>275610.09999999998</v>
      </c>
      <c r="AI30" s="2"/>
      <c r="AJ30" s="2"/>
      <c r="AK30" s="2"/>
      <c r="AL30" s="2">
        <f>275610.1</f>
        <v>275610.09999999998</v>
      </c>
      <c r="AM30" s="4">
        <v>3.4000000000000002E-2</v>
      </c>
      <c r="AN30" s="8">
        <f t="shared" si="6"/>
        <v>9429.1248000000014</v>
      </c>
      <c r="AO30" s="2">
        <f>2618+6811</f>
        <v>9429</v>
      </c>
      <c r="AP30" s="2">
        <f>9429</f>
        <v>9429</v>
      </c>
      <c r="AQ30" s="2">
        <f t="shared" si="11"/>
        <v>0.12480000000141445</v>
      </c>
      <c r="AR30" s="2"/>
      <c r="AS30" s="2">
        <v>4</v>
      </c>
      <c r="AT30" s="2" t="s">
        <v>1386</v>
      </c>
    </row>
    <row r="31" spans="1:46" x14ac:dyDescent="0.15">
      <c r="A31" s="34">
        <v>40184</v>
      </c>
      <c r="B31" s="2" t="s">
        <v>1673</v>
      </c>
      <c r="C31" s="2" t="s">
        <v>1394</v>
      </c>
      <c r="D31" s="2" t="s">
        <v>1513</v>
      </c>
      <c r="E31" s="2" t="s">
        <v>0</v>
      </c>
      <c r="F31" s="2" t="s">
        <v>1514</v>
      </c>
      <c r="G31" s="2" t="s">
        <v>1509</v>
      </c>
      <c r="H31" s="2" t="s">
        <v>1515</v>
      </c>
      <c r="I31" s="2" t="s">
        <v>1479</v>
      </c>
      <c r="J31" s="2" t="s">
        <v>1478</v>
      </c>
      <c r="K31" s="2" t="s">
        <v>13</v>
      </c>
      <c r="L31" s="2"/>
      <c r="M31" s="2">
        <v>931391</v>
      </c>
      <c r="N31" s="2"/>
      <c r="O31" s="2"/>
      <c r="P31" s="2">
        <v>1098362</v>
      </c>
      <c r="Q31" s="3"/>
      <c r="R31" s="41"/>
      <c r="S31" s="2"/>
      <c r="T31" s="2"/>
      <c r="U31" s="2" t="s">
        <v>1516</v>
      </c>
      <c r="V31" s="4">
        <v>3.5999999999999997E-2</v>
      </c>
      <c r="W31" s="2">
        <f>V31*P31</f>
        <v>39541.031999999999</v>
      </c>
      <c r="X31" s="2">
        <f>33530</f>
        <v>33530</v>
      </c>
      <c r="Y31" s="2">
        <f>33530</f>
        <v>33530</v>
      </c>
      <c r="Z31" s="2">
        <f t="shared" si="14"/>
        <v>6011.0319999999992</v>
      </c>
      <c r="AA31" s="2">
        <f>500000+510581</f>
        <v>1010581</v>
      </c>
      <c r="AB31" s="2">
        <f>1010581</f>
        <v>1010581</v>
      </c>
      <c r="AC31" s="2">
        <f>200000+300000</f>
        <v>500000</v>
      </c>
      <c r="AD31" s="2">
        <f>500000</f>
        <v>500000</v>
      </c>
      <c r="AE31" s="4">
        <f t="shared" ref="AE31:AE38" si="17">AD31/(M31+N31)</f>
        <v>0.53683147034918743</v>
      </c>
      <c r="AF31" s="2">
        <f>197000+300000</f>
        <v>497000</v>
      </c>
      <c r="AG31" s="2">
        <f>497000</f>
        <v>497000</v>
      </c>
      <c r="AH31" s="2">
        <f>197000+300000</f>
        <v>497000</v>
      </c>
      <c r="AI31" s="2"/>
      <c r="AJ31" s="2"/>
      <c r="AK31" s="2"/>
      <c r="AL31" s="2">
        <f>497000</f>
        <v>497000</v>
      </c>
      <c r="AM31" s="4">
        <v>3.4000000000000002E-2</v>
      </c>
      <c r="AN31" s="8">
        <f t="shared" si="6"/>
        <v>34359.754000000001</v>
      </c>
      <c r="AO31" s="2">
        <f>17000</f>
        <v>17000</v>
      </c>
      <c r="AP31" s="2">
        <f>17000</f>
        <v>17000</v>
      </c>
      <c r="AQ31" s="2">
        <f t="shared" si="11"/>
        <v>17359.754000000001</v>
      </c>
      <c r="AR31" s="2"/>
      <c r="AS31" s="2"/>
      <c r="AT31" s="2"/>
    </row>
    <row r="32" spans="1:46" x14ac:dyDescent="0.15">
      <c r="A32" s="34">
        <v>40014</v>
      </c>
      <c r="B32" s="2" t="s">
        <v>1674</v>
      </c>
      <c r="C32" s="2" t="s">
        <v>1395</v>
      </c>
      <c r="D32" s="2" t="s">
        <v>1517</v>
      </c>
      <c r="E32" s="2" t="s">
        <v>0</v>
      </c>
      <c r="F32" s="2" t="s">
        <v>1518</v>
      </c>
      <c r="G32" s="2" t="s">
        <v>1519</v>
      </c>
      <c r="H32" s="2" t="s">
        <v>1280</v>
      </c>
      <c r="I32" s="2" t="s">
        <v>1281</v>
      </c>
      <c r="J32" s="2" t="s">
        <v>1282</v>
      </c>
      <c r="K32" s="2" t="s">
        <v>149</v>
      </c>
      <c r="L32" s="2"/>
      <c r="M32" s="2">
        <v>299702</v>
      </c>
      <c r="N32" s="2">
        <f>257261.82+167712.67</f>
        <v>424974.49</v>
      </c>
      <c r="O32" s="2"/>
      <c r="P32" s="2"/>
      <c r="Q32" s="3"/>
      <c r="R32" s="41"/>
      <c r="S32" s="2"/>
      <c r="T32" s="2"/>
      <c r="U32" s="2" t="s">
        <v>1516</v>
      </c>
      <c r="V32" s="4">
        <v>3.5999999999999997E-2</v>
      </c>
      <c r="W32" s="2">
        <f>V32*(M32+N32)</f>
        <v>26088.353639999998</v>
      </c>
      <c r="X32" s="2">
        <f>10789+9261</f>
        <v>20050</v>
      </c>
      <c r="Y32" s="2">
        <f>20050</f>
        <v>20050</v>
      </c>
      <c r="Z32" s="2">
        <f t="shared" si="14"/>
        <v>6038.3536399999975</v>
      </c>
      <c r="AA32" s="2">
        <f>284716.9+272246.92+29313.82+138398.85</f>
        <v>724676.49</v>
      </c>
      <c r="AB32" s="2">
        <f>724676.49</f>
        <v>724676.49</v>
      </c>
      <c r="AC32" s="2">
        <f>284716.9+272246.92+29313.82+138398.85</f>
        <v>724676.49</v>
      </c>
      <c r="AD32" s="2">
        <f>724676.49</f>
        <v>724676.49</v>
      </c>
      <c r="AE32" s="4">
        <f t="shared" si="17"/>
        <v>1</v>
      </c>
      <c r="AF32" s="2">
        <f>80000+205516.95+13778.3+30000+20000+100000+60000</f>
        <v>509295.25</v>
      </c>
      <c r="AG32" s="2">
        <f>509295.25</f>
        <v>509295.25</v>
      </c>
      <c r="AH32" s="2">
        <f>80000+205516.95+13778.3+30000+20000+104706+60000</f>
        <v>514001.25</v>
      </c>
      <c r="AI32" s="2"/>
      <c r="AJ32" s="2"/>
      <c r="AK32" s="2"/>
      <c r="AL32" s="2">
        <f>514001.25</f>
        <v>514001.25</v>
      </c>
      <c r="AM32" s="4">
        <v>3.4000000000000002E-2</v>
      </c>
      <c r="AN32" s="8">
        <f t="shared" si="6"/>
        <v>24639.000660000002</v>
      </c>
      <c r="AO32" s="2">
        <f>9680+9256+997+4706</f>
        <v>24639</v>
      </c>
      <c r="AP32" s="2">
        <f>24639</f>
        <v>24639</v>
      </c>
      <c r="AQ32" s="2">
        <f t="shared" si="11"/>
        <v>6.6000000151689164E-4</v>
      </c>
      <c r="AR32" s="2"/>
      <c r="AS32" s="2"/>
      <c r="AT32" s="2"/>
    </row>
    <row r="33" spans="1:46" x14ac:dyDescent="0.15">
      <c r="A33" s="34">
        <v>40068</v>
      </c>
      <c r="B33" s="2" t="s">
        <v>1675</v>
      </c>
      <c r="C33" s="2" t="s">
        <v>1415</v>
      </c>
      <c r="D33" s="2" t="s">
        <v>1520</v>
      </c>
      <c r="E33" s="2" t="s">
        <v>0</v>
      </c>
      <c r="F33" s="2" t="s">
        <v>1521</v>
      </c>
      <c r="G33" s="2" t="s">
        <v>1522</v>
      </c>
      <c r="H33" s="2" t="s">
        <v>1523</v>
      </c>
      <c r="I33" s="6" t="s">
        <v>165</v>
      </c>
      <c r="J33" s="6" t="s">
        <v>164</v>
      </c>
      <c r="K33" s="6" t="s">
        <v>149</v>
      </c>
      <c r="L33" s="2"/>
      <c r="M33" s="2">
        <v>1180459</v>
      </c>
      <c r="N33" s="2"/>
      <c r="O33" s="2"/>
      <c r="P33" s="2">
        <v>1453643</v>
      </c>
      <c r="Q33" s="3"/>
      <c r="R33" s="41"/>
      <c r="S33" s="2"/>
      <c r="T33" s="2"/>
      <c r="U33" s="2" t="s">
        <v>1516</v>
      </c>
      <c r="V33" s="4">
        <v>3.5999999999999997E-2</v>
      </c>
      <c r="W33" s="2">
        <f>V33*P33</f>
        <v>52331.147999999994</v>
      </c>
      <c r="X33" s="2">
        <f>42497+9835</f>
        <v>52332</v>
      </c>
      <c r="Y33" s="2">
        <f>52332</f>
        <v>52332</v>
      </c>
      <c r="Z33" s="2">
        <f t="shared" si="14"/>
        <v>-0.85200000000622822</v>
      </c>
      <c r="AA33" s="2">
        <f>327360+344640+248160+474460</f>
        <v>1394620</v>
      </c>
      <c r="AB33" s="2">
        <f>1394620</f>
        <v>1394620</v>
      </c>
      <c r="AC33" s="2">
        <f>327360+344640+248160+474460</f>
        <v>1394620</v>
      </c>
      <c r="AD33" s="2">
        <f>1394620</f>
        <v>1394620</v>
      </c>
      <c r="AE33" s="4">
        <f>AD33/P33</f>
        <v>0.95939649556321605</v>
      </c>
      <c r="AF33" s="2">
        <f>273195+50000+141718+51928+150000+108437+40000+48250+50000+6632+65815+408645</f>
        <v>1394620</v>
      </c>
      <c r="AG33" s="2">
        <f>1394620</f>
        <v>1394620</v>
      </c>
      <c r="AH33" s="2">
        <f>273195+50000+141718+51928+150000+108437+40000+48250+50000+6632+65815+408645</f>
        <v>1394620</v>
      </c>
      <c r="AI33" s="2"/>
      <c r="AJ33" s="2"/>
      <c r="AK33" s="2"/>
      <c r="AL33" s="2">
        <f>1394620</f>
        <v>1394620</v>
      </c>
      <c r="AM33" s="4">
        <v>3.4000000000000002E-2</v>
      </c>
      <c r="AN33" s="8">
        <f t="shared" si="6"/>
        <v>47417.08</v>
      </c>
      <c r="AO33" s="2">
        <f>11130+11718+8437+16132</f>
        <v>47417</v>
      </c>
      <c r="AP33" s="2">
        <f>47417</f>
        <v>47417</v>
      </c>
      <c r="AQ33" s="2">
        <f t="shared" si="11"/>
        <v>8.000000000174623E-2</v>
      </c>
      <c r="AR33" s="2"/>
      <c r="AS33" s="2">
        <v>9</v>
      </c>
      <c r="AT33" s="2" t="s">
        <v>1524</v>
      </c>
    </row>
    <row r="34" spans="1:46" x14ac:dyDescent="0.15">
      <c r="A34" s="34">
        <v>40057</v>
      </c>
      <c r="B34" s="2" t="s">
        <v>1676</v>
      </c>
      <c r="C34" s="2" t="s">
        <v>1416</v>
      </c>
      <c r="D34" s="2" t="s">
        <v>1525</v>
      </c>
      <c r="E34" s="2" t="s">
        <v>0</v>
      </c>
      <c r="F34" s="2" t="s">
        <v>123</v>
      </c>
      <c r="G34" s="2" t="s">
        <v>1519</v>
      </c>
      <c r="H34" s="2" t="s">
        <v>1526</v>
      </c>
      <c r="I34" s="2" t="s">
        <v>686</v>
      </c>
      <c r="J34" s="2" t="s">
        <v>687</v>
      </c>
      <c r="K34" s="6" t="s">
        <v>149</v>
      </c>
      <c r="L34" s="2"/>
      <c r="M34" s="2">
        <v>1834000</v>
      </c>
      <c r="N34" s="2">
        <v>256000</v>
      </c>
      <c r="O34" s="2"/>
      <c r="P34" s="2"/>
      <c r="Q34" s="3"/>
      <c r="R34" s="41"/>
      <c r="S34" s="2"/>
      <c r="T34" s="2"/>
      <c r="U34" s="2" t="s">
        <v>1516</v>
      </c>
      <c r="V34" s="4">
        <v>3.5999999999999997E-2</v>
      </c>
      <c r="W34" s="2">
        <f>V34*(M34+N34)</f>
        <v>75240</v>
      </c>
      <c r="X34" s="2">
        <f>66024+9216</f>
        <v>75240</v>
      </c>
      <c r="Y34" s="2">
        <f>75240</f>
        <v>75240</v>
      </c>
      <c r="Z34" s="2">
        <f t="shared" si="14"/>
        <v>0</v>
      </c>
      <c r="AA34" s="2">
        <f>500000+600000+200000+200000+300000+100000+190000</f>
        <v>2090000</v>
      </c>
      <c r="AB34" s="2">
        <f>2090000</f>
        <v>2090000</v>
      </c>
      <c r="AC34" s="2">
        <f>500000+600000+200000+500000+100000+190000</f>
        <v>2090000</v>
      </c>
      <c r="AD34" s="2">
        <f>2090000</f>
        <v>2090000</v>
      </c>
      <c r="AE34" s="4">
        <f t="shared" si="17"/>
        <v>1</v>
      </c>
      <c r="AF34" s="2">
        <f>400000+75652.2+100000+397150+3750+20000+6800+95000+200000+254153+80000+62006+230000</f>
        <v>1924511.2</v>
      </c>
      <c r="AG34" s="2">
        <f>1924511.2</f>
        <v>1924511.2</v>
      </c>
      <c r="AH34" s="2">
        <f>400000+75652.2+100000+397150+3750+20000+6800+95000+200000+254153+150000+80000+62006+9860+230000</f>
        <v>2084371.2</v>
      </c>
      <c r="AI34" s="2"/>
      <c r="AJ34" s="2"/>
      <c r="AK34" s="2"/>
      <c r="AL34" s="2">
        <f>2084371.2</f>
        <v>2084371.2</v>
      </c>
      <c r="AM34" s="4">
        <v>3.4000000000000002E-2</v>
      </c>
      <c r="AN34" s="8">
        <f t="shared" si="6"/>
        <v>71060</v>
      </c>
      <c r="AO34" s="2">
        <f>17000+20400+6800+6800+10200+3400+6460</f>
        <v>71060</v>
      </c>
      <c r="AP34" s="2">
        <f>71060</f>
        <v>71060</v>
      </c>
      <c r="AQ34" s="2">
        <f t="shared" si="11"/>
        <v>0</v>
      </c>
      <c r="AR34" s="2"/>
      <c r="AS34" s="2">
        <v>4</v>
      </c>
      <c r="AT34" s="2" t="s">
        <v>1524</v>
      </c>
    </row>
    <row r="35" spans="1:46" x14ac:dyDescent="0.15">
      <c r="A35" s="34">
        <v>40060</v>
      </c>
      <c r="B35" s="2" t="s">
        <v>1677</v>
      </c>
      <c r="C35" s="2" t="s">
        <v>1417</v>
      </c>
      <c r="D35" s="2" t="s">
        <v>1447</v>
      </c>
      <c r="E35" s="2" t="s">
        <v>0</v>
      </c>
      <c r="F35" s="2" t="s">
        <v>1448</v>
      </c>
      <c r="G35" s="2" t="s">
        <v>1443</v>
      </c>
      <c r="H35" s="2" t="s">
        <v>1444</v>
      </c>
      <c r="I35" s="2"/>
      <c r="J35" s="2"/>
      <c r="K35" s="2"/>
      <c r="L35" s="2"/>
      <c r="M35" s="2">
        <v>1897700</v>
      </c>
      <c r="N35" s="2">
        <f>650000+441221</f>
        <v>1091221</v>
      </c>
      <c r="O35" s="2"/>
      <c r="P35" s="2"/>
      <c r="Q35" s="3"/>
      <c r="R35" s="41"/>
      <c r="S35" s="2"/>
      <c r="T35" s="2"/>
      <c r="U35" s="2" t="s">
        <v>1516</v>
      </c>
      <c r="V35" s="4">
        <v>3.5999999999999997E-2</v>
      </c>
      <c r="W35" s="2">
        <f>(M35+N35)*V35</f>
        <v>107601.15599999999</v>
      </c>
      <c r="X35" s="2">
        <f>68317+23400+15884</f>
        <v>107601</v>
      </c>
      <c r="Y35" s="2">
        <f>107601</f>
        <v>107601</v>
      </c>
      <c r="Z35" s="2">
        <f t="shared" si="14"/>
        <v>0.15599999998812564</v>
      </c>
      <c r="AA35" s="2">
        <f>380000+300000+270000+200000+300000+198000+180000+150000+100000+200000+200000+510921</f>
        <v>2988921</v>
      </c>
      <c r="AB35" s="2">
        <f>2988921</f>
        <v>2988921</v>
      </c>
      <c r="AC35" s="2">
        <f>380000+300000+270000+200000+300000+198000+180000+150000+100000+200000+200000+510921</f>
        <v>2988921</v>
      </c>
      <c r="AD35" s="2">
        <f>2988921</f>
        <v>2988921</v>
      </c>
      <c r="AE35" s="4">
        <f t="shared" si="17"/>
        <v>1</v>
      </c>
      <c r="AF35" s="2">
        <f>84817.7+50000+4800+382899.6+119740+180087.4+80000+6800+50000+170938.8+261766.6+203750+50000+176300.8+129000+100468.9+148000+50000+9000+57590+112770+602063.75+6210</f>
        <v>3037003.55</v>
      </c>
      <c r="AG35" s="2">
        <f>3037003.55</f>
        <v>3037003.55</v>
      </c>
      <c r="AH35" s="2">
        <f>84817.7+50000+4800+382899.6+119740+180087.4+80000+6800+50000+170938.8+261766.6+203750+50000+176300.8+129000+28152+148000+50000+15800+57590+112770+17371+602063.75+6210</f>
        <v>2988857.6500000004</v>
      </c>
      <c r="AI35" s="2"/>
      <c r="AJ35" s="2"/>
      <c r="AK35" s="2"/>
      <c r="AL35" s="2">
        <f>2988857.65</f>
        <v>2988857.65</v>
      </c>
      <c r="AM35" s="4">
        <v>3.4000000000000002E-2</v>
      </c>
      <c r="AN35" s="8">
        <f t="shared" si="6"/>
        <v>101623.31400000001</v>
      </c>
      <c r="AO35" s="2">
        <f>12920+10200+9180+6800+10200+6732+6120+5100+3400+6800+6800+17371</f>
        <v>101623</v>
      </c>
      <c r="AP35" s="2">
        <f>101623</f>
        <v>101623</v>
      </c>
      <c r="AQ35" s="2">
        <f t="shared" si="11"/>
        <v>0.31400000001303852</v>
      </c>
      <c r="AR35" s="2"/>
      <c r="AS35" s="2">
        <v>17</v>
      </c>
      <c r="AT35" s="2" t="s">
        <v>1446</v>
      </c>
    </row>
    <row r="36" spans="1:46" x14ac:dyDescent="0.15">
      <c r="A36" s="34">
        <v>40131</v>
      </c>
      <c r="B36" s="2" t="s">
        <v>1678</v>
      </c>
      <c r="C36" s="2" t="s">
        <v>1418</v>
      </c>
      <c r="D36" s="2" t="s">
        <v>1527</v>
      </c>
      <c r="E36" s="2" t="s">
        <v>0</v>
      </c>
      <c r="F36" s="2" t="s">
        <v>1528</v>
      </c>
      <c r="G36" s="2" t="s">
        <v>1519</v>
      </c>
      <c r="H36" s="2" t="s">
        <v>1529</v>
      </c>
      <c r="I36" s="2" t="s">
        <v>1530</v>
      </c>
      <c r="J36" s="2" t="s">
        <v>1529</v>
      </c>
      <c r="K36" s="2" t="s">
        <v>1531</v>
      </c>
      <c r="L36" s="2"/>
      <c r="M36" s="2">
        <v>3792000</v>
      </c>
      <c r="N36" s="2">
        <f>131703.6+247284</f>
        <v>378987.6</v>
      </c>
      <c r="O36" s="2"/>
      <c r="P36" s="2"/>
      <c r="Q36" s="3"/>
      <c r="R36" s="41"/>
      <c r="S36" s="2"/>
      <c r="T36" s="2"/>
      <c r="U36" s="2" t="s">
        <v>1516</v>
      </c>
      <c r="V36" s="4">
        <v>3.5999999999999997E-2</v>
      </c>
      <c r="W36" s="2">
        <f>V36*(M36+N36)</f>
        <v>150155.55359999998</v>
      </c>
      <c r="X36" s="2">
        <f>136512+4741+8902</f>
        <v>150155</v>
      </c>
      <c r="Y36" s="2">
        <f>150155</f>
        <v>150155</v>
      </c>
      <c r="Z36" s="2">
        <f t="shared" si="14"/>
        <v>0.55359999998472631</v>
      </c>
      <c r="AA36" s="2">
        <f>1600000+300000+1067108+131703.6+350000+100000+300000+322176</f>
        <v>4170987.6</v>
      </c>
      <c r="AB36" s="2">
        <f>4170987.6</f>
        <v>4170987.6</v>
      </c>
      <c r="AC36" s="2">
        <f>1600000+300000+1067108+131703.6+350000+100000+300000+322176</f>
        <v>4170987.6</v>
      </c>
      <c r="AD36" s="2">
        <f>4170987.6</f>
        <v>4170987.6</v>
      </c>
      <c r="AE36" s="4">
        <f t="shared" si="17"/>
        <v>1</v>
      </c>
      <c r="AF36" s="2">
        <f>1053866.2+40770+459800+1137.6+10200+70000+200000+36282+1024200+70000+100000+400000+300000+300000</f>
        <v>4066255.8</v>
      </c>
      <c r="AG36" s="2">
        <f>4066255.8</f>
        <v>4066255.8</v>
      </c>
      <c r="AH36" s="2">
        <f>1053866.2+40770+459800+1137.6+10200+70000+200000+36282+1024200+70000+4478+100000+11900+3400+400000+10200+300000+10954+300000</f>
        <v>4107187.8</v>
      </c>
      <c r="AI36" s="2"/>
      <c r="AJ36" s="2"/>
      <c r="AK36" s="2"/>
      <c r="AL36" s="2">
        <f>4107187.8</f>
        <v>4107187.8</v>
      </c>
      <c r="AM36" s="4">
        <v>3.4000000000000002E-2</v>
      </c>
      <c r="AN36" s="8">
        <f t="shared" si="6"/>
        <v>141813.57840000003</v>
      </c>
      <c r="AO36" s="2">
        <f>54400+10200+36282+4478+11900+3400+10200+10954</f>
        <v>141814</v>
      </c>
      <c r="AP36" s="2">
        <f>141814</f>
        <v>141814</v>
      </c>
      <c r="AQ36" s="2">
        <f t="shared" si="11"/>
        <v>-0.42159999997238629</v>
      </c>
      <c r="AR36" s="2"/>
      <c r="AS36" s="2">
        <v>52</v>
      </c>
      <c r="AT36" s="2" t="s">
        <v>1524</v>
      </c>
    </row>
    <row r="37" spans="1:46" x14ac:dyDescent="0.15">
      <c r="A37" s="34">
        <v>40155</v>
      </c>
      <c r="B37" s="2" t="s">
        <v>1679</v>
      </c>
      <c r="C37" s="2" t="s">
        <v>1419</v>
      </c>
      <c r="D37" s="2" t="s">
        <v>1532</v>
      </c>
      <c r="E37" s="2" t="s">
        <v>0</v>
      </c>
      <c r="F37" s="2" t="s">
        <v>1111</v>
      </c>
      <c r="G37" s="2" t="s">
        <v>1519</v>
      </c>
      <c r="H37" s="2" t="s">
        <v>999</v>
      </c>
      <c r="I37" s="6" t="s">
        <v>1000</v>
      </c>
      <c r="J37" s="6" t="s">
        <v>999</v>
      </c>
      <c r="K37" s="6" t="s">
        <v>149</v>
      </c>
      <c r="L37" s="2"/>
      <c r="M37" s="2">
        <v>1980000</v>
      </c>
      <c r="N37" s="2">
        <f>1800000+427069</f>
        <v>2227069</v>
      </c>
      <c r="O37" s="2"/>
      <c r="P37" s="2">
        <v>4207069</v>
      </c>
      <c r="Q37" s="3"/>
      <c r="R37" s="41"/>
      <c r="S37" s="2"/>
      <c r="T37" s="2"/>
      <c r="U37" s="2" t="s">
        <v>1533</v>
      </c>
      <c r="V37" s="4">
        <v>3.5999999999999997E-2</v>
      </c>
      <c r="W37" s="2">
        <f>V37*P37</f>
        <v>151454.484</v>
      </c>
      <c r="X37" s="2">
        <f>71280+64800+15375</f>
        <v>151455</v>
      </c>
      <c r="Y37" s="2">
        <f>151454</f>
        <v>151454</v>
      </c>
      <c r="Z37" s="2">
        <f t="shared" si="14"/>
        <v>0.48399999999674037</v>
      </c>
      <c r="AA37" s="2">
        <f>1134000+1512000+378000+200000+500000+483069</f>
        <v>4207069</v>
      </c>
      <c r="AB37" s="2">
        <f>4207069</f>
        <v>4207069</v>
      </c>
      <c r="AC37" s="2">
        <f>1134000+1512000+378000+193280+500000</f>
        <v>3717280</v>
      </c>
      <c r="AD37" s="2">
        <f>3717280</f>
        <v>3717280</v>
      </c>
      <c r="AE37" s="4">
        <f t="shared" si="17"/>
        <v>0.88357951818712743</v>
      </c>
      <c r="AF37" s="2">
        <f>858089.88+250000+1434008+37145.85+5940+70000+200000+25000+460000</f>
        <v>3340183.73</v>
      </c>
      <c r="AG37" s="2">
        <f>3340183.73</f>
        <v>3340183.73</v>
      </c>
      <c r="AH37" s="2">
        <f>858089.88+250000+1434008+37145.85+5940+300000+82852+200000+6800+17000+25000+460000</f>
        <v>3676835.73</v>
      </c>
      <c r="AI37" s="2"/>
      <c r="AJ37" s="2"/>
      <c r="AK37" s="2"/>
      <c r="AL37" s="2">
        <f>3676835.73</f>
        <v>3676835.73</v>
      </c>
      <c r="AM37" s="4">
        <v>3.4000000000000002E-2</v>
      </c>
      <c r="AN37" s="8">
        <f t="shared" si="6"/>
        <v>143040.34600000002</v>
      </c>
      <c r="AO37" s="2">
        <f>38556+51408+12852+6800+17000</f>
        <v>126616</v>
      </c>
      <c r="AP37" s="2">
        <f>126616</f>
        <v>126616</v>
      </c>
      <c r="AQ37" s="2">
        <f t="shared" si="11"/>
        <v>16424.34600000002</v>
      </c>
      <c r="AR37" s="2"/>
      <c r="AS37" s="2">
        <v>20</v>
      </c>
      <c r="AT37" s="2" t="s">
        <v>1534</v>
      </c>
    </row>
    <row r="38" spans="1:46" x14ac:dyDescent="0.15">
      <c r="A38" s="34">
        <v>40150</v>
      </c>
      <c r="B38" s="2" t="s">
        <v>1680</v>
      </c>
      <c r="C38" s="2" t="s">
        <v>1420</v>
      </c>
      <c r="D38" s="2" t="s">
        <v>1535</v>
      </c>
      <c r="E38" s="2" t="s">
        <v>0</v>
      </c>
      <c r="F38" s="2" t="s">
        <v>1536</v>
      </c>
      <c r="G38" s="2" t="s">
        <v>1519</v>
      </c>
      <c r="H38" s="2" t="s">
        <v>1537</v>
      </c>
      <c r="I38" s="6" t="s">
        <v>351</v>
      </c>
      <c r="J38" s="6" t="s">
        <v>352</v>
      </c>
      <c r="K38" s="6" t="s">
        <v>35</v>
      </c>
      <c r="L38" s="2"/>
      <c r="M38" s="2">
        <v>4950000</v>
      </c>
      <c r="N38" s="2"/>
      <c r="O38" s="2"/>
      <c r="P38" s="2"/>
      <c r="Q38" s="3"/>
      <c r="R38" s="41"/>
      <c r="S38" s="2"/>
      <c r="T38" s="2"/>
      <c r="U38" s="2" t="s">
        <v>1533</v>
      </c>
      <c r="V38" s="4">
        <v>3.5999999999999997E-2</v>
      </c>
      <c r="W38" s="2">
        <f>V38*(M38+N38)</f>
        <v>178200</v>
      </c>
      <c r="X38" s="2">
        <f>88000+62000</f>
        <v>150000</v>
      </c>
      <c r="Y38" s="2">
        <f>150000</f>
        <v>150000</v>
      </c>
      <c r="Z38" s="2">
        <f t="shared" si="14"/>
        <v>28200</v>
      </c>
      <c r="AA38" s="2">
        <f>1485000+1485000+990000+495000+270068</f>
        <v>4725068</v>
      </c>
      <c r="AB38" s="2">
        <f>4725068</f>
        <v>4725068</v>
      </c>
      <c r="AC38" s="2">
        <f>1485000+1485000+990000+495000+270068</f>
        <v>4725068</v>
      </c>
      <c r="AD38" s="2">
        <f>4725068</f>
        <v>4725068</v>
      </c>
      <c r="AE38" s="4">
        <f t="shared" si="17"/>
        <v>0.95455919191919192</v>
      </c>
      <c r="AF38" s="2">
        <f>457420+459203.6-990+1195490+250000+300000+110000+285145+91000+500000+18000+70000+416830+200000+100000+200000</f>
        <v>4652098.5999999996</v>
      </c>
      <c r="AG38" s="2">
        <f>4652098.6</f>
        <v>4652098.5999999996</v>
      </c>
      <c r="AH38" s="2">
        <f>457420+459203.6-990+1195490+250000+300000+110000+285145+91000+500000+18000+70000+416830+200000+100000+209182</f>
        <v>4661280.5999999996</v>
      </c>
      <c r="AI38" s="2"/>
      <c r="AJ38" s="2"/>
      <c r="AK38" s="2"/>
      <c r="AL38" s="2">
        <f>4661280.6</f>
        <v>4661280.5999999996</v>
      </c>
      <c r="AM38" s="4">
        <v>3.4000000000000002E-2</v>
      </c>
      <c r="AN38" s="8">
        <f t="shared" si="6"/>
        <v>160652.31200000001</v>
      </c>
      <c r="AO38" s="2">
        <f>50490+50490+33660+16830+9182</f>
        <v>160652</v>
      </c>
      <c r="AP38" s="2">
        <f>160652</f>
        <v>160652</v>
      </c>
      <c r="AQ38" s="2">
        <f t="shared" si="11"/>
        <v>0.3120000000053551</v>
      </c>
      <c r="AR38" s="2"/>
      <c r="AS38" s="2">
        <v>28</v>
      </c>
      <c r="AT38" s="2"/>
    </row>
    <row r="39" spans="1:46" x14ac:dyDescent="0.15">
      <c r="A39" s="34">
        <v>40182</v>
      </c>
      <c r="B39" s="2" t="s">
        <v>1681</v>
      </c>
      <c r="C39" s="2" t="s">
        <v>1421</v>
      </c>
      <c r="D39" s="2" t="s">
        <v>1538</v>
      </c>
      <c r="E39" s="2" t="s">
        <v>0</v>
      </c>
      <c r="F39" s="2" t="s">
        <v>1539</v>
      </c>
      <c r="G39" s="2" t="s">
        <v>1519</v>
      </c>
      <c r="H39" s="2" t="s">
        <v>1540</v>
      </c>
      <c r="I39" s="2" t="s">
        <v>23</v>
      </c>
      <c r="J39" s="2" t="s">
        <v>22</v>
      </c>
      <c r="K39" s="2" t="s">
        <v>13</v>
      </c>
      <c r="L39" s="2"/>
      <c r="M39" s="2">
        <v>2158000</v>
      </c>
      <c r="N39" s="2"/>
      <c r="O39" s="2"/>
      <c r="P39" s="2">
        <v>3763860.96</v>
      </c>
      <c r="Q39" s="3"/>
      <c r="R39" s="41"/>
      <c r="S39" s="2"/>
      <c r="T39" s="2"/>
      <c r="U39" s="2" t="s">
        <v>1533</v>
      </c>
      <c r="V39" s="4">
        <v>3.5999999999999997E-2</v>
      </c>
      <c r="W39" s="2">
        <f>V39*P39</f>
        <v>135498.99455999999</v>
      </c>
      <c r="X39" s="2">
        <f>74052.63+3635.4+54000+3811</f>
        <v>135499.03</v>
      </c>
      <c r="Y39" s="2">
        <f>135499</f>
        <v>135499</v>
      </c>
      <c r="Z39" s="2">
        <f t="shared" si="14"/>
        <v>-5.4400000080931932E-3</v>
      </c>
      <c r="AA39" s="2">
        <f>755300+500000-194828+600000+500000+661627+193188.86+195380.13+150000+184999.92+120000+41414.05</f>
        <v>3707081.9599999995</v>
      </c>
      <c r="AB39" s="2">
        <f>3707081.96</f>
        <v>3707081.96</v>
      </c>
      <c r="AC39" s="2">
        <f>755300+905172+500000+661627+193188.86+195380.13+150000+184999.82+120000+41414.05</f>
        <v>3707081.8599999994</v>
      </c>
      <c r="AD39" s="2">
        <f>3707081.86</f>
        <v>3707081.86</v>
      </c>
      <c r="AE39" s="4">
        <f>AD39/P39</f>
        <v>0.98491466592325982</v>
      </c>
      <c r="AF39" s="2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G39" s="2">
        <f>3707081.86</f>
        <v>3707081.86</v>
      </c>
      <c r="AH39" s="2">
        <f>536057.7+106102.3+2158+52452+10500+100000+326885+307256.51+469060.49+57727+53900+18487+226732+4781+193188.86+180305.13+15075+60000+300000+84056.69+75093.76+30849.55+50794+5100+50000+26290+5000+30000+111834.12+45000+9640+1341.7+6135+1408+74799.5+79071.55</f>
        <v>3707081.8599999994</v>
      </c>
      <c r="AI39" s="2"/>
      <c r="AJ39" s="2"/>
      <c r="AK39" s="2"/>
      <c r="AL39" s="2">
        <f>3707081.86</f>
        <v>3707081.86</v>
      </c>
      <c r="AM39" s="4">
        <v>3.4000000000000002E-2</v>
      </c>
      <c r="AN39" s="8">
        <f t="shared" si="6"/>
        <v>126040.78664000001</v>
      </c>
      <c r="AO39" s="2">
        <f>25680+17000+13776+17000+22495+6569+6643+5100+6290+4080+1408</f>
        <v>126041</v>
      </c>
      <c r="AP39" s="2">
        <f>126041</f>
        <v>126041</v>
      </c>
      <c r="AQ39" s="2">
        <f t="shared" si="11"/>
        <v>-0.21335999999428168</v>
      </c>
      <c r="AR39" s="2"/>
      <c r="AS39" s="2">
        <v>20</v>
      </c>
      <c r="AT39" s="2" t="s">
        <v>1541</v>
      </c>
    </row>
    <row r="40" spans="1:46" x14ac:dyDescent="0.15">
      <c r="A40" s="34">
        <v>40352</v>
      </c>
      <c r="B40" s="2" t="s">
        <v>1682</v>
      </c>
      <c r="C40" s="2" t="s">
        <v>1422</v>
      </c>
      <c r="D40" s="2" t="s">
        <v>1423</v>
      </c>
      <c r="E40" s="2" t="s">
        <v>0</v>
      </c>
      <c r="F40" s="2" t="s">
        <v>1424</v>
      </c>
      <c r="G40" s="2" t="s">
        <v>1425</v>
      </c>
      <c r="H40" s="2" t="s">
        <v>1426</v>
      </c>
      <c r="I40" s="2" t="s">
        <v>87</v>
      </c>
      <c r="J40" s="2" t="s">
        <v>86</v>
      </c>
      <c r="K40" s="2" t="s">
        <v>35</v>
      </c>
      <c r="M40" s="2">
        <v>163589</v>
      </c>
      <c r="N40" s="2"/>
      <c r="O40" s="2"/>
      <c r="P40" s="2">
        <f>227633</f>
        <v>227633</v>
      </c>
      <c r="Q40" s="3"/>
      <c r="R40" s="41"/>
      <c r="S40" s="2"/>
      <c r="T40" s="2"/>
      <c r="U40" s="2" t="s">
        <v>1427</v>
      </c>
      <c r="V40" s="4">
        <v>3.5999999999999997E-2</v>
      </c>
      <c r="W40" s="2">
        <f>P40*V40</f>
        <v>8194.7879999999986</v>
      </c>
      <c r="X40" s="2">
        <f>5889</f>
        <v>5889</v>
      </c>
      <c r="Y40" s="2">
        <f>5889</f>
        <v>5889</v>
      </c>
      <c r="Z40" s="2">
        <f>W40-Y40</f>
        <v>2305.7879999999986</v>
      </c>
      <c r="AA40" s="2">
        <f>54000+59000+17500+62988+34145</f>
        <v>227633</v>
      </c>
      <c r="AB40" s="2">
        <f>227633</f>
        <v>227633</v>
      </c>
      <c r="AC40" s="2">
        <f>54000+59000+17500+62988+34145</f>
        <v>227633</v>
      </c>
      <c r="AD40" s="2">
        <f>227633</f>
        <v>227633</v>
      </c>
      <c r="AE40" s="4">
        <f>AD40/P40</f>
        <v>1</v>
      </c>
      <c r="AF40" s="2">
        <f>50000+1836+52006+595+26063+48142+41124</f>
        <v>219766</v>
      </c>
      <c r="AG40" s="2">
        <f>219766</f>
        <v>219766</v>
      </c>
      <c r="AH40" s="2">
        <f>50000+1836+52006+595+26063+48142+42285</f>
        <v>220927</v>
      </c>
      <c r="AI40" s="2"/>
      <c r="AJ40" s="2"/>
      <c r="AK40" s="2"/>
      <c r="AL40" s="2">
        <f>220927</f>
        <v>220927</v>
      </c>
      <c r="AM40" s="4">
        <v>3.4000000000000002E-2</v>
      </c>
      <c r="AN40" s="8">
        <f t="shared" si="6"/>
        <v>7739.5220000000008</v>
      </c>
      <c r="AO40" s="2">
        <f>1836+2006+595+2142+1161</f>
        <v>7740</v>
      </c>
      <c r="AP40" s="2">
        <f>7740</f>
        <v>7740</v>
      </c>
      <c r="AQ40" s="2">
        <f t="shared" si="11"/>
        <v>-0.47799999999915599</v>
      </c>
      <c r="AR40" s="2"/>
      <c r="AS40" s="2"/>
      <c r="AT40" s="2"/>
    </row>
    <row r="41" spans="1:46" x14ac:dyDescent="0.15">
      <c r="A41" s="34">
        <v>40240</v>
      </c>
      <c r="B41" s="2" t="s">
        <v>1683</v>
      </c>
      <c r="C41" s="2" t="s">
        <v>1188</v>
      </c>
      <c r="D41" s="2" t="s">
        <v>1193</v>
      </c>
      <c r="E41" s="2" t="s">
        <v>1194</v>
      </c>
      <c r="F41" s="2" t="s">
        <v>1195</v>
      </c>
      <c r="G41" s="2" t="s">
        <v>1196</v>
      </c>
      <c r="H41" s="2" t="s">
        <v>177</v>
      </c>
      <c r="I41" s="2" t="s">
        <v>178</v>
      </c>
      <c r="J41" s="2" t="s">
        <v>179</v>
      </c>
      <c r="K41" s="2" t="s">
        <v>173</v>
      </c>
      <c r="L41" s="2"/>
      <c r="M41" s="2">
        <v>133641.04</v>
      </c>
      <c r="N41" s="2"/>
      <c r="O41" s="2"/>
      <c r="P41" s="2"/>
      <c r="Q41" s="3"/>
      <c r="R41" s="41"/>
      <c r="S41" s="2"/>
      <c r="T41" s="2"/>
      <c r="U41" s="2" t="s">
        <v>14</v>
      </c>
      <c r="V41" s="4">
        <v>3.5999999999999997E-2</v>
      </c>
      <c r="W41" s="2">
        <f>M41*V41</f>
        <v>4811.07744</v>
      </c>
      <c r="X41" s="2">
        <f>4811</f>
        <v>4811</v>
      </c>
      <c r="Y41" s="2">
        <f>4811</f>
        <v>4811</v>
      </c>
      <c r="Z41" s="2">
        <f>W41-Y41</f>
        <v>7.7440000000024156E-2</v>
      </c>
      <c r="AA41" s="2">
        <f>127641.04</f>
        <v>127641.04</v>
      </c>
      <c r="AB41" s="2">
        <f>127641.04</f>
        <v>127641.04</v>
      </c>
      <c r="AC41" s="2">
        <f>127641.04</f>
        <v>127641.04</v>
      </c>
      <c r="AD41" s="2">
        <f>127641.04</f>
        <v>127641.04</v>
      </c>
      <c r="AE41" s="4">
        <f>AD41/M41</f>
        <v>0.95510361188449289</v>
      </c>
      <c r="AF41" s="2">
        <f>98127.36+10000+19513.68</f>
        <v>127641.04000000001</v>
      </c>
      <c r="AG41" s="2">
        <f>127641.04</f>
        <v>127641.04</v>
      </c>
      <c r="AH41" s="2">
        <f>98127.36+10000+19513.68</f>
        <v>127641.04000000001</v>
      </c>
      <c r="AI41" s="2"/>
      <c r="AJ41" s="2"/>
      <c r="AK41" s="2"/>
      <c r="AL41" s="2">
        <f>127641.04</f>
        <v>127641.04</v>
      </c>
      <c r="AM41" s="4">
        <v>3.4000000000000002E-2</v>
      </c>
      <c r="AN41" s="4">
        <f>AB41*AM41</f>
        <v>4339.7953600000001</v>
      </c>
      <c r="AO41" s="2">
        <f>4340</f>
        <v>4340</v>
      </c>
      <c r="AP41" s="2">
        <f>4340</f>
        <v>4340</v>
      </c>
      <c r="AQ41" s="2">
        <f>AN41-AP41</f>
        <v>-0.20463999999992666</v>
      </c>
      <c r="AR41" s="2"/>
      <c r="AS41" s="2"/>
      <c r="AT41" s="2"/>
    </row>
    <row r="42" spans="1:46" x14ac:dyDescent="0.15">
      <c r="A42" s="34">
        <v>40276</v>
      </c>
      <c r="B42" s="2" t="s">
        <v>1684</v>
      </c>
      <c r="C42" s="2" t="s">
        <v>1189</v>
      </c>
      <c r="D42" s="2" t="s">
        <v>1197</v>
      </c>
      <c r="E42" s="2" t="s">
        <v>1194</v>
      </c>
      <c r="F42" s="2" t="s">
        <v>1198</v>
      </c>
      <c r="G42" s="2" t="s">
        <v>1196</v>
      </c>
      <c r="H42" s="2" t="s">
        <v>177</v>
      </c>
      <c r="I42" s="2" t="s">
        <v>178</v>
      </c>
      <c r="J42" s="2" t="s">
        <v>179</v>
      </c>
      <c r="K42" s="2" t="s">
        <v>173</v>
      </c>
      <c r="L42" s="2"/>
      <c r="M42" s="2">
        <v>990290</v>
      </c>
      <c r="N42" s="2">
        <f>65616</f>
        <v>65616</v>
      </c>
      <c r="O42" s="2"/>
      <c r="P42" s="2"/>
      <c r="Q42" s="3"/>
      <c r="R42" s="41"/>
      <c r="S42" s="2"/>
      <c r="T42" s="2"/>
      <c r="U42" s="2" t="s">
        <v>14</v>
      </c>
      <c r="V42" s="4">
        <v>3.5999999999999997E-2</v>
      </c>
      <c r="W42" s="2">
        <f>(M42+N42)*V42</f>
        <v>38012.615999999995</v>
      </c>
      <c r="X42" s="2">
        <f>35650+2362</f>
        <v>38012</v>
      </c>
      <c r="Y42" s="2">
        <f>38012</f>
        <v>38012</v>
      </c>
      <c r="Z42" s="2">
        <f>W42-Y42</f>
        <v>0.61599999999452848</v>
      </c>
      <c r="AA42" s="2">
        <f>500000+200000+200000+155906</f>
        <v>1055906</v>
      </c>
      <c r="AB42" s="2">
        <f>1055906</f>
        <v>1055906</v>
      </c>
      <c r="AC42" s="2">
        <f>500000+200000+200000+155906</f>
        <v>1055906</v>
      </c>
      <c r="AD42" s="2">
        <f>1055906</f>
        <v>1055906</v>
      </c>
      <c r="AE42" s="4">
        <f>AD42/(M42+N42)</f>
        <v>1</v>
      </c>
      <c r="AF42" s="2">
        <f>346240+85929+63210.6+150000+25200+29420.4+166800+132298+50000+6000</f>
        <v>1055098</v>
      </c>
      <c r="AG42" s="2">
        <f>1055098</f>
        <v>1055098</v>
      </c>
      <c r="AH42" s="2">
        <f>346240+85929+63210.6+150000+25200+29420.4+166800+132298+50000+6000</f>
        <v>1055098</v>
      </c>
      <c r="AI42" s="2"/>
      <c r="AJ42" s="2"/>
      <c r="AK42" s="2"/>
      <c r="AL42" s="2">
        <f>1055098</f>
        <v>1055098</v>
      </c>
      <c r="AM42" s="4">
        <v>3.4000000000000002E-2</v>
      </c>
      <c r="AN42" s="4">
        <f t="shared" ref="AN42:AN45" si="18">AB42*AM42</f>
        <v>35900.804000000004</v>
      </c>
      <c r="AO42" s="2">
        <f>17000+6800+6800+5301</f>
        <v>35901</v>
      </c>
      <c r="AP42" s="2">
        <f>35901</f>
        <v>35901</v>
      </c>
      <c r="AQ42" s="2">
        <f>AN42-AP42</f>
        <v>-0.19599999999627471</v>
      </c>
      <c r="AR42" s="2"/>
      <c r="AS42" s="2">
        <v>4</v>
      </c>
      <c r="AT42" s="2" t="s">
        <v>1199</v>
      </c>
    </row>
    <row r="43" spans="1:46" x14ac:dyDescent="0.15">
      <c r="A43" s="34">
        <v>40341</v>
      </c>
      <c r="B43" s="2" t="s">
        <v>1685</v>
      </c>
      <c r="C43" s="2" t="s">
        <v>1190</v>
      </c>
      <c r="D43" s="2" t="s">
        <v>1200</v>
      </c>
      <c r="E43" s="2" t="s">
        <v>1194</v>
      </c>
      <c r="F43" s="2" t="s">
        <v>1201</v>
      </c>
      <c r="G43" s="2" t="s">
        <v>1202</v>
      </c>
      <c r="H43" s="6" t="s">
        <v>22</v>
      </c>
      <c r="I43" s="2" t="s">
        <v>23</v>
      </c>
      <c r="J43" s="2" t="s">
        <v>22</v>
      </c>
      <c r="K43" s="2" t="s">
        <v>13</v>
      </c>
      <c r="L43" s="2"/>
      <c r="M43" s="2">
        <v>978675</v>
      </c>
      <c r="N43" s="2">
        <f>40964.57+52906.05</f>
        <v>93870.62</v>
      </c>
      <c r="O43" s="2"/>
      <c r="P43" s="2"/>
      <c r="Q43" s="3"/>
      <c r="R43" s="41"/>
      <c r="S43" s="2"/>
      <c r="T43" s="2"/>
      <c r="U43" s="2" t="s">
        <v>14</v>
      </c>
      <c r="V43" s="4">
        <v>3.5999999999999997E-2</v>
      </c>
      <c r="W43" s="2">
        <f>(M43+N43)*V43</f>
        <v>38611.642319999999</v>
      </c>
      <c r="X43" s="2">
        <f>35232+1475+519</f>
        <v>37226</v>
      </c>
      <c r="Y43" s="2">
        <f>37226</f>
        <v>37226</v>
      </c>
      <c r="Z43" s="2">
        <f t="shared" ref="Z43:Z45" si="19">W43-Y43</f>
        <v>1385.642319999999</v>
      </c>
      <c r="AA43" s="2">
        <f>97868+511571+173661+63556.7+14424.7+158558.17+52906.05</f>
        <v>1072545.6199999999</v>
      </c>
      <c r="AB43" s="2">
        <f>1072545.62</f>
        <v>1072545.6200000001</v>
      </c>
      <c r="AC43" s="2">
        <f>97867.5+511571+173661+14424.7+63556.7+158558.17+52906.05</f>
        <v>1072545.1199999999</v>
      </c>
      <c r="AD43" s="2">
        <f>1072545.12</f>
        <v>1072545.1200000001</v>
      </c>
      <c r="AE43" s="4">
        <f t="shared" ref="AE43" si="20">AD43/(M43+N43)</f>
        <v>0.99999953381936335</v>
      </c>
      <c r="AF43" s="2">
        <f>33002.2+37928+4400+534108.8+158449.13+15000+11254.1+2651+64288.17+38000+3538+147645+52735.72</f>
        <v>1103000.1199999999</v>
      </c>
      <c r="AG43" s="2">
        <f>1103000.12</f>
        <v>1103000.1200000001</v>
      </c>
      <c r="AH43" s="2">
        <f>33002.2+37928+4400+534108.8+158449.13+15000+11254.1+2651+64288.17+43391+3538+110000+1799+52735.72</f>
        <v>1072545.1200000001</v>
      </c>
      <c r="AI43" s="2"/>
      <c r="AJ43" s="2"/>
      <c r="AK43" s="2"/>
      <c r="AL43" s="2">
        <f>1072545.12</f>
        <v>1072545.1200000001</v>
      </c>
      <c r="AM43" s="4">
        <v>3.4000000000000002E-2</v>
      </c>
      <c r="AN43" s="4">
        <f t="shared" si="18"/>
        <v>36466.551080000005</v>
      </c>
      <c r="AO43" s="2">
        <f>3328+17393+5905+2161+490+5391+1799</f>
        <v>36467</v>
      </c>
      <c r="AP43" s="2">
        <f>36467</f>
        <v>36467</v>
      </c>
      <c r="AQ43" s="2">
        <f t="shared" ref="AQ43:AQ45" si="21">AN43-AP43</f>
        <v>-0.44891999999526888</v>
      </c>
      <c r="AR43" s="2"/>
      <c r="AS43" s="2">
        <v>13</v>
      </c>
      <c r="AT43" s="2" t="s">
        <v>1203</v>
      </c>
    </row>
    <row r="44" spans="1:46" s="9" customFormat="1" x14ac:dyDescent="0.15">
      <c r="A44" s="35">
        <v>40254</v>
      </c>
      <c r="B44" s="2" t="s">
        <v>1686</v>
      </c>
      <c r="C44" s="6" t="s">
        <v>1191</v>
      </c>
      <c r="D44" s="6" t="s">
        <v>1204</v>
      </c>
      <c r="E44" s="6" t="s">
        <v>1194</v>
      </c>
      <c r="F44" s="6" t="s">
        <v>1205</v>
      </c>
      <c r="G44" s="6" t="s">
        <v>1196</v>
      </c>
      <c r="H44" s="6" t="s">
        <v>429</v>
      </c>
      <c r="I44" s="6" t="s">
        <v>430</v>
      </c>
      <c r="J44" s="6" t="s">
        <v>429</v>
      </c>
      <c r="K44" s="6" t="s">
        <v>13</v>
      </c>
      <c r="L44" s="6"/>
      <c r="M44" s="6">
        <v>9501850</v>
      </c>
      <c r="N44" s="6"/>
      <c r="O44" s="6"/>
      <c r="P44" s="6">
        <f>3181660.92+3003645.9</f>
        <v>6185306.8200000003</v>
      </c>
      <c r="Q44" s="7"/>
      <c r="R44" s="42"/>
      <c r="S44" s="6"/>
      <c r="T44" s="6"/>
      <c r="U44" s="2" t="s">
        <v>14</v>
      </c>
      <c r="V44" s="8">
        <v>0.03</v>
      </c>
      <c r="W44" s="6">
        <f>P44*V44</f>
        <v>185559.2046</v>
      </c>
      <c r="X44" s="6">
        <f>285056-99497</f>
        <v>185559</v>
      </c>
      <c r="Y44" s="6">
        <f>185559</f>
        <v>185559</v>
      </c>
      <c r="Z44" s="6">
        <f t="shared" si="19"/>
        <v>0.20459999999729916</v>
      </c>
      <c r="AA44" s="6">
        <f>2600000+2500000+300000+300000+86000+200000+150000</f>
        <v>6136000</v>
      </c>
      <c r="AB44" s="6">
        <f>5986000+150000</f>
        <v>6136000</v>
      </c>
      <c r="AC44" s="6">
        <f>1600000+1000000+1500000+1000000+300000+300000+200000</f>
        <v>5900000</v>
      </c>
      <c r="AD44" s="6">
        <f>5900000</f>
        <v>5900000</v>
      </c>
      <c r="AE44" s="8">
        <f>AD44/P44</f>
        <v>0.9538734571618227</v>
      </c>
      <c r="AF44" s="6">
        <f>333472.5+656539+8090.65+1043639.15+110000+225685.24+220000+1080000+413494.21+900000+1000+251252+56525.95+70000+200000</f>
        <v>5569698.7000000002</v>
      </c>
      <c r="AG44" s="6">
        <f>5569698.7</f>
        <v>5569698.7000000002</v>
      </c>
      <c r="AH44" s="6">
        <f>333472.5+656539+8090.65+1043639.15+110000+225685.24+220000+1080000+413494.21+900000+1000+251252+10200+49173.29+10000+10200+100000+70000+198000+6800+200000</f>
        <v>5897546.04</v>
      </c>
      <c r="AI44" s="6"/>
      <c r="AJ44" s="6"/>
      <c r="AK44" s="6"/>
      <c r="AL44" s="6">
        <f>5897546.04</f>
        <v>5897546.04</v>
      </c>
      <c r="AM44" s="8">
        <v>3.4000000000000002E-2</v>
      </c>
      <c r="AN44" s="8">
        <f t="shared" si="18"/>
        <v>208624.00000000003</v>
      </c>
      <c r="AO44" s="6">
        <f>88400+85000+10200+10200+2924+6800</f>
        <v>203524</v>
      </c>
      <c r="AP44" s="6">
        <f>203524</f>
        <v>203524</v>
      </c>
      <c r="AQ44" s="6">
        <f t="shared" si="21"/>
        <v>5100.0000000000291</v>
      </c>
      <c r="AR44" s="6"/>
      <c r="AS44" s="6">
        <v>63</v>
      </c>
      <c r="AT44" s="6"/>
    </row>
    <row r="45" spans="1:46" s="9" customFormat="1" x14ac:dyDescent="0.15">
      <c r="A45" s="35">
        <v>40282</v>
      </c>
      <c r="B45" s="2" t="s">
        <v>1687</v>
      </c>
      <c r="C45" s="6" t="s">
        <v>1192</v>
      </c>
      <c r="D45" s="6" t="s">
        <v>1214</v>
      </c>
      <c r="E45" s="6" t="s">
        <v>1194</v>
      </c>
      <c r="F45" s="6" t="s">
        <v>1215</v>
      </c>
      <c r="G45" s="6" t="s">
        <v>1216</v>
      </c>
      <c r="H45" s="6" t="s">
        <v>1217</v>
      </c>
      <c r="I45" s="6" t="s">
        <v>1218</v>
      </c>
      <c r="J45" s="6" t="s">
        <v>1219</v>
      </c>
      <c r="K45" s="6" t="s">
        <v>1220</v>
      </c>
      <c r="L45" s="6"/>
      <c r="M45" s="6">
        <v>9596461.0299999993</v>
      </c>
      <c r="N45" s="6"/>
      <c r="O45" s="6"/>
      <c r="P45" s="6">
        <f>7329152.99+898568.73</f>
        <v>8227721.7200000007</v>
      </c>
      <c r="Q45" s="7"/>
      <c r="R45" s="42"/>
      <c r="S45" s="6"/>
      <c r="T45" s="6"/>
      <c r="U45" s="2" t="s">
        <v>14</v>
      </c>
      <c r="V45" s="8">
        <v>0.03</v>
      </c>
      <c r="W45" s="6">
        <f>P45*V45</f>
        <v>246831.65160000001</v>
      </c>
      <c r="X45" s="6">
        <f>150000+20000+33955+42877</f>
        <v>246832</v>
      </c>
      <c r="Y45" s="6">
        <f>246832</f>
        <v>246832</v>
      </c>
      <c r="Z45" s="6">
        <f t="shared" si="19"/>
        <v>-0.3483999999880325</v>
      </c>
      <c r="AA45" s="6">
        <f>1995956+1099494+275407+215374+1047049+100000+181830+500000+400000+2254342.99+158268.73</f>
        <v>8227721.7200000007</v>
      </c>
      <c r="AB45" s="6">
        <f>8227721.72</f>
        <v>8227721.7199999997</v>
      </c>
      <c r="AC45" s="6">
        <f>1792000+203956+1099494+275407+215374+1047049+100000+351830+330000+400000+1888342.99+113268.73+366000</f>
        <v>8182721.7200000007</v>
      </c>
      <c r="AD45" s="6">
        <f>8182721.72</f>
        <v>8182721.7199999997</v>
      </c>
      <c r="AE45" s="8">
        <f>AD45/P45</f>
        <v>0.99453068522108434</v>
      </c>
      <c r="AF45" s="6">
        <f>100000+7494.7+150000+177450+145000+386000+567863+117584.35+180000+20000+37383+70000+254500+200000+100000+188961.5+150000+157600+80000+200000+5000+4494+752287+80000+80000+83436+50000+83436+170000+10330.6+100000+30236+3000+139062.4+150000+200000+81236.72+36030.53+18913.3+60000+21000+166000+593+47678.7+50000+40500+169505+685742.5+600000+56023.2+360000+13500+15667</f>
        <v>7653508.5</v>
      </c>
      <c r="AG45" s="6">
        <f>7653508.5</f>
        <v>7653508.5</v>
      </c>
      <c r="AH45" s="6">
        <f>100000+7494.7+150000+177450+145000+386000+567863+117584.35+180000+20000+37383+70000+254500+200000+100000+188961.5+150000+157600+80000+200000+5000+4494+752287+80000+80000+83436+30560+9500+100000+93400+2345+53418+3000+139062.4+17293.3+100000+50000+171000+19000+13600+269727.38+37650.53+49460+21000+166000+593+47678.7+50000+40500+251534+685742.5+600000+56023.2+360000+13500+15667-1514</f>
        <v>7760794.5600000005</v>
      </c>
      <c r="AI45" s="6"/>
      <c r="AJ45" s="6"/>
      <c r="AK45" s="6"/>
      <c r="AL45" s="6">
        <f>7760794.56</f>
        <v>7760794.5599999996</v>
      </c>
      <c r="AM45" s="8">
        <v>3.4000000000000002E-2</v>
      </c>
      <c r="AN45" s="8">
        <f t="shared" si="18"/>
        <v>279742.53847999999</v>
      </c>
      <c r="AO45" s="6">
        <f>67863+37383+9364+7323+35600+3400+6182+17000+13600+76648+5381</f>
        <v>279744</v>
      </c>
      <c r="AP45" s="6">
        <f>279742.54</f>
        <v>279742.53999999998</v>
      </c>
      <c r="AQ45" s="6">
        <f t="shared" si="21"/>
        <v>-1.5199999907054007E-3</v>
      </c>
      <c r="AR45" s="6"/>
      <c r="AS45" s="6">
        <v>40</v>
      </c>
      <c r="AT45" s="6" t="s">
        <v>1222</v>
      </c>
    </row>
    <row r="46" spans="1:46" x14ac:dyDescent="0.15">
      <c r="A46" s="34">
        <v>40283</v>
      </c>
      <c r="B46" s="2" t="s">
        <v>1688</v>
      </c>
      <c r="C46" s="2" t="s">
        <v>459</v>
      </c>
      <c r="D46" s="2" t="s">
        <v>460</v>
      </c>
      <c r="E46" s="2" t="s">
        <v>30</v>
      </c>
      <c r="F46" s="2" t="s">
        <v>461</v>
      </c>
      <c r="G46" s="2" t="s">
        <v>453</v>
      </c>
      <c r="H46" s="2" t="s">
        <v>462</v>
      </c>
      <c r="I46" s="2" t="s">
        <v>802</v>
      </c>
      <c r="J46" s="2" t="s">
        <v>462</v>
      </c>
      <c r="K46" s="2" t="s">
        <v>455</v>
      </c>
      <c r="L46" s="2"/>
      <c r="M46" s="2">
        <v>4300000</v>
      </c>
      <c r="N46" s="2"/>
      <c r="O46" s="2"/>
      <c r="P46" s="2"/>
      <c r="Q46" s="3"/>
      <c r="R46" s="41"/>
      <c r="S46" s="2"/>
      <c r="T46" s="2"/>
      <c r="U46" s="2" t="s">
        <v>14</v>
      </c>
      <c r="V46" s="4">
        <v>3.5999999999999997E-2</v>
      </c>
      <c r="W46" s="2">
        <f t="shared" ref="W46:W51" si="22">(M46+N46)*V46</f>
        <v>154800</v>
      </c>
      <c r="X46" s="2">
        <f>154800</f>
        <v>154800</v>
      </c>
      <c r="Y46" s="2">
        <f>154800</f>
        <v>154800</v>
      </c>
      <c r="Z46" s="2">
        <v>0</v>
      </c>
      <c r="AA46" s="2">
        <f>860000+1290000+1290000+200000+200000+100000</f>
        <v>3940000</v>
      </c>
      <c r="AB46" s="2">
        <f>3940000</f>
        <v>3940000</v>
      </c>
      <c r="AC46" s="2">
        <f>860000+1290000+1290000+200000+150000+150000</f>
        <v>3940000</v>
      </c>
      <c r="AD46" s="2">
        <f>3940000</f>
        <v>3940000</v>
      </c>
      <c r="AE46" s="4">
        <f t="shared" ref="AE46" si="23">AC46/(N46+M46)</f>
        <v>0.91627906976744189</v>
      </c>
      <c r="AF46" s="2">
        <f>3354+450000+199568+207078+692057.4+200000+133102+204980+437720+100000+373359.5+350000+40000+123750+100000+200000</f>
        <v>3814968.9</v>
      </c>
      <c r="AG46" s="2">
        <f>3814968.9</f>
        <v>3814968.9</v>
      </c>
      <c r="AH46" s="2">
        <f>3354+450000+199568+207078+692057.4+200000+133102+204980+437720+100000+373359.5+350000+40000+200000+13600+100000+203400</f>
        <v>3908218.9</v>
      </c>
      <c r="AI46" s="2"/>
      <c r="AJ46" s="2"/>
      <c r="AK46" s="2"/>
      <c r="AL46" s="2">
        <f>3908218.9</f>
        <v>3908218.9</v>
      </c>
      <c r="AM46" s="4">
        <v>3.4000000000000002E-2</v>
      </c>
      <c r="AN46" s="4">
        <f>AB46*AM46</f>
        <v>133960</v>
      </c>
      <c r="AO46" s="2">
        <f>29240+43860+43860+6800+6800+3400</f>
        <v>133960</v>
      </c>
      <c r="AP46" s="2">
        <f>133960</f>
        <v>133960</v>
      </c>
      <c r="AQ46" s="2">
        <f>AN46-AP46</f>
        <v>0</v>
      </c>
      <c r="AR46" s="2"/>
      <c r="AS46" s="2">
        <v>65</v>
      </c>
      <c r="AT46" s="2" t="s">
        <v>463</v>
      </c>
    </row>
    <row r="47" spans="1:46" x14ac:dyDescent="0.15">
      <c r="A47" s="34">
        <v>40281</v>
      </c>
      <c r="B47" s="2" t="s">
        <v>1689</v>
      </c>
      <c r="C47" s="2" t="s">
        <v>806</v>
      </c>
      <c r="D47" s="2" t="s">
        <v>1223</v>
      </c>
      <c r="E47" s="2" t="s">
        <v>0</v>
      </c>
      <c r="F47" s="2" t="s">
        <v>1224</v>
      </c>
      <c r="G47" s="2" t="s">
        <v>1225</v>
      </c>
      <c r="H47" s="2" t="s">
        <v>1226</v>
      </c>
      <c r="I47" s="2" t="s">
        <v>1227</v>
      </c>
      <c r="J47" s="2" t="s">
        <v>1226</v>
      </c>
      <c r="K47" s="2" t="s">
        <v>1228</v>
      </c>
      <c r="L47" s="2"/>
      <c r="M47" s="2">
        <f>8961523</f>
        <v>8961523</v>
      </c>
      <c r="N47" s="2">
        <f>38500+22856+49019+10286+36782</f>
        <v>157443</v>
      </c>
      <c r="O47" s="2"/>
      <c r="P47" s="2">
        <v>9336514</v>
      </c>
      <c r="Q47" s="3"/>
      <c r="R47" s="41"/>
      <c r="S47" s="2"/>
      <c r="T47" s="2"/>
      <c r="U47" s="2" t="s">
        <v>14</v>
      </c>
      <c r="V47" s="4">
        <v>0.03</v>
      </c>
      <c r="W47" s="2">
        <f>(P47+N47)*V47+(77000*0.036)</f>
        <v>287590.70999999996</v>
      </c>
      <c r="X47" s="2">
        <f>268846+1155+686+2772+11250+1780+1104</f>
        <v>287593</v>
      </c>
      <c r="Y47" s="2">
        <f>287593</f>
        <v>287593</v>
      </c>
      <c r="Z47" s="2">
        <f>W47-Y47</f>
        <v>-2.2900000000372529</v>
      </c>
      <c r="AA47" s="2">
        <f>2688457+2400000+800000+500000+600000+350000+100000+500000+708536+38500+22856+77000+689521+30858+10286+36782+18161</f>
        <v>9570957</v>
      </c>
      <c r="AB47" s="2">
        <f>9570957</f>
        <v>9570957</v>
      </c>
      <c r="AC47" s="2">
        <f>2688457+2400000+800000+500000+600000+450000+500000+300000+400000+19250+77000+42106+495828.18+24509.5+10286+15429+100000+9080.5+36782</f>
        <v>9468728.1799999997</v>
      </c>
      <c r="AD47" s="2">
        <f>9468728.18</f>
        <v>9468728.1799999997</v>
      </c>
      <c r="AE47" s="4">
        <f>AC47/(N47+P47+77000)</f>
        <v>0.98931885076905057</v>
      </c>
      <c r="AF47" s="2">
        <f>2070000+6989.99+500000+15854-300000+170000+154608+40000+900000+509000+300000+514627.2+204000+200000+176250+267000+150000+120000+637258+150000+50000+100000+350000+100000+24000+15800+435736+310000+64090+119171.6+270800+19250+2086+77000+9900+495828.18+19840+105875+45780</f>
        <v>9400743.9699999988</v>
      </c>
      <c r="AG47" s="2">
        <f>9400743.97</f>
        <v>9400743.9700000007</v>
      </c>
      <c r="AH47" s="2">
        <f>2070000+6989.99+500000+15854-300000+170000+154608+40000+900000+509000+300000+514627.2+204000+200000+176250+267000+150000+120000+637258+150000+50000+100000+350000+100000+24000+15800+435736+310000+64090+119171.6+270800+19250+2086+77000+29000+23444+495828.18+25357.71+19840+105875+45782</f>
        <v>9468647.6799999997</v>
      </c>
      <c r="AI47" s="2"/>
      <c r="AJ47" s="2"/>
      <c r="AK47" s="2"/>
      <c r="AL47" s="2">
        <f>9468647.68</f>
        <v>9468647.6799999997</v>
      </c>
      <c r="AM47" s="4">
        <v>3.4000000000000002E-2</v>
      </c>
      <c r="AN47" s="4">
        <f>AB47*AM47</f>
        <v>325412.538</v>
      </c>
      <c r="AO47" s="2">
        <f>91408+81600+27200+17000+20400+11900+3400+17000+24090+1309+777+23444+1049+350+1251+617+2618</f>
        <v>325413</v>
      </c>
      <c r="AP47" s="2">
        <f>322795+2618</f>
        <v>325413</v>
      </c>
      <c r="AQ47" s="2">
        <f t="shared" ref="AQ47:AQ177" si="24">AN47-AP47</f>
        <v>-0.46199999999953434</v>
      </c>
      <c r="AR47" s="2"/>
      <c r="AS47" s="2">
        <v>20</v>
      </c>
      <c r="AT47" s="2" t="s">
        <v>1222</v>
      </c>
    </row>
    <row r="48" spans="1:46" x14ac:dyDescent="0.15">
      <c r="A48" s="34">
        <v>40284</v>
      </c>
      <c r="B48" s="2" t="s">
        <v>1690</v>
      </c>
      <c r="C48" s="2" t="s">
        <v>807</v>
      </c>
      <c r="D48" s="2" t="s">
        <v>1229</v>
      </c>
      <c r="E48" s="2" t="s">
        <v>30</v>
      </c>
      <c r="F48" s="2" t="s">
        <v>1230</v>
      </c>
      <c r="G48" s="2" t="s">
        <v>1231</v>
      </c>
      <c r="H48" s="2" t="s">
        <v>1232</v>
      </c>
      <c r="I48" s="2" t="s">
        <v>1233</v>
      </c>
      <c r="J48" s="2" t="s">
        <v>1232</v>
      </c>
      <c r="K48" s="2"/>
      <c r="L48" s="2"/>
      <c r="M48" s="2">
        <v>3685200.75</v>
      </c>
      <c r="N48" s="2"/>
      <c r="O48" s="2"/>
      <c r="P48" s="2"/>
      <c r="Q48" s="3"/>
      <c r="R48" s="41"/>
      <c r="S48" s="2"/>
      <c r="T48" s="2"/>
      <c r="U48" s="2" t="s">
        <v>14</v>
      </c>
      <c r="V48" s="4">
        <v>3.5999999999999997E-2</v>
      </c>
      <c r="W48" s="2">
        <f t="shared" si="22"/>
        <v>132667.22699999998</v>
      </c>
      <c r="X48" s="2">
        <f>132667</f>
        <v>132667</v>
      </c>
      <c r="Y48" s="2">
        <f>132667</f>
        <v>132667</v>
      </c>
      <c r="Z48" s="2">
        <f t="shared" ref="Z48:Z60" si="25">W48-Y48</f>
        <v>0.22699999998440035</v>
      </c>
      <c r="AA48" s="2"/>
      <c r="AB48" s="2"/>
      <c r="AC48" s="2">
        <f>200000</f>
        <v>200000</v>
      </c>
      <c r="AD48" s="2">
        <f>200000</f>
        <v>200000</v>
      </c>
      <c r="AE48" s="4">
        <f t="shared" ref="AE48:AE64" si="26">AC48/(N48+M48)</f>
        <v>5.427112756340343E-2</v>
      </c>
      <c r="AF48" s="2">
        <f>150000+41400</f>
        <v>191400</v>
      </c>
      <c r="AG48" s="2">
        <f>191400</f>
        <v>191400</v>
      </c>
      <c r="AH48" s="2">
        <f>150000+41400</f>
        <v>191400</v>
      </c>
      <c r="AI48" s="2"/>
      <c r="AJ48" s="2"/>
      <c r="AK48" s="2"/>
      <c r="AL48" s="2">
        <f>191400</f>
        <v>191400</v>
      </c>
      <c r="AM48" s="4"/>
      <c r="AN48" s="4">
        <f t="shared" ref="AN48:AN60" si="27">AB48*AM48</f>
        <v>0</v>
      </c>
      <c r="AO48" s="2"/>
      <c r="AP48" s="2"/>
      <c r="AQ48" s="2">
        <f t="shared" si="24"/>
        <v>0</v>
      </c>
      <c r="AR48" s="2"/>
      <c r="AS48" s="2">
        <v>17</v>
      </c>
      <c r="AT48" s="2" t="s">
        <v>1234</v>
      </c>
    </row>
    <row r="49" spans="1:46" x14ac:dyDescent="0.15">
      <c r="A49" s="34">
        <v>40310</v>
      </c>
      <c r="B49" s="2" t="s">
        <v>1691</v>
      </c>
      <c r="C49" s="2" t="s">
        <v>808</v>
      </c>
      <c r="D49" s="2" t="s">
        <v>1235</v>
      </c>
      <c r="E49" s="2" t="s">
        <v>30</v>
      </c>
      <c r="F49" s="2" t="s">
        <v>1236</v>
      </c>
      <c r="G49" s="2" t="s">
        <v>1225</v>
      </c>
      <c r="H49" s="2" t="s">
        <v>1238</v>
      </c>
      <c r="I49" s="2" t="s">
        <v>1237</v>
      </c>
      <c r="J49" s="2" t="s">
        <v>1239</v>
      </c>
      <c r="K49" s="2" t="s">
        <v>1228</v>
      </c>
      <c r="L49" s="2"/>
      <c r="M49" s="2">
        <v>1764098</v>
      </c>
      <c r="N49" s="2"/>
      <c r="O49" s="2"/>
      <c r="P49" s="2"/>
      <c r="Q49" s="3"/>
      <c r="R49" s="41"/>
      <c r="S49" s="2"/>
      <c r="T49" s="2"/>
      <c r="U49" s="2" t="s">
        <v>14</v>
      </c>
      <c r="V49" s="4">
        <v>3.5999999999999997E-2</v>
      </c>
      <c r="W49" s="2">
        <f t="shared" si="22"/>
        <v>63507.527999999998</v>
      </c>
      <c r="X49" s="2">
        <f>63508</f>
        <v>63508</v>
      </c>
      <c r="Y49" s="2">
        <f>63508</f>
        <v>63508</v>
      </c>
      <c r="Z49" s="2">
        <f t="shared" si="25"/>
        <v>-0.47200000000157161</v>
      </c>
      <c r="AA49" s="2">
        <f>244272.6+244272.6+98270.7+244272.6+98270.7+98270.6+244272.6+98270+222247.55</f>
        <v>1592419.95</v>
      </c>
      <c r="AB49" s="2">
        <f>1592419.95</f>
        <v>1592419.95</v>
      </c>
      <c r="AC49" s="2">
        <f>244272.6+244272.6+98270.6+98270.6+244272.6+98270.6+244272.6+98270+222247.55</f>
        <v>1592419.75</v>
      </c>
      <c r="AD49" s="2">
        <f>1592419.75</f>
        <v>1592419.75</v>
      </c>
      <c r="AE49" s="4">
        <f t="shared" si="26"/>
        <v>0.90268213557296706</v>
      </c>
      <c r="AF49" s="2">
        <f>46610+10000+30000+337260.18+91646+50000+73341+153531.99+93341+71121+14616+30000+8305+250000+3341+100000+170000+57556</f>
        <v>1590669.17</v>
      </c>
      <c r="AG49" s="2">
        <f>1590669.17</f>
        <v>1590669.17</v>
      </c>
      <c r="AH49" s="2">
        <f>46610+10000+30000+337260.18+91646+50000+73341+153531.99+93341+71121+14616+30000+8305+250000+3341+100000+170000+57556</f>
        <v>1590669.17</v>
      </c>
      <c r="AI49" s="2"/>
      <c r="AJ49" s="2"/>
      <c r="AK49" s="2"/>
      <c r="AL49" s="2">
        <f>1590669.17</f>
        <v>1590669.17</v>
      </c>
      <c r="AM49" s="4">
        <v>3.4000000000000002E-2</v>
      </c>
      <c r="AN49" s="4">
        <f t="shared" si="27"/>
        <v>54142.278300000005</v>
      </c>
      <c r="AO49" s="2">
        <f>8305+8305+3341+8305+3341+3341+8305+3341+7556</f>
        <v>54140</v>
      </c>
      <c r="AP49" s="2">
        <f>54140</f>
        <v>54140</v>
      </c>
      <c r="AQ49" s="2">
        <f t="shared" si="24"/>
        <v>2.2783000000054017</v>
      </c>
      <c r="AR49" s="2"/>
      <c r="AS49" s="2">
        <v>12</v>
      </c>
      <c r="AT49" s="2" t="s">
        <v>1222</v>
      </c>
    </row>
    <row r="50" spans="1:46" x14ac:dyDescent="0.15">
      <c r="A50" s="34">
        <v>40447</v>
      </c>
      <c r="B50" s="2" t="s">
        <v>1692</v>
      </c>
      <c r="C50" s="2" t="s">
        <v>809</v>
      </c>
      <c r="D50" s="2" t="s">
        <v>1240</v>
      </c>
      <c r="E50" s="2" t="s">
        <v>30</v>
      </c>
      <c r="F50" s="2" t="s">
        <v>1241</v>
      </c>
      <c r="G50" s="2" t="s">
        <v>1242</v>
      </c>
      <c r="H50" s="2" t="s">
        <v>1243</v>
      </c>
      <c r="I50" s="2" t="s">
        <v>1244</v>
      </c>
      <c r="J50" s="2" t="s">
        <v>1243</v>
      </c>
      <c r="K50" s="2" t="s">
        <v>5</v>
      </c>
      <c r="L50" s="2"/>
      <c r="M50" s="2">
        <v>10961802</v>
      </c>
      <c r="N50" s="2"/>
      <c r="O50" s="2"/>
      <c r="P50" s="2"/>
      <c r="Q50" s="3"/>
      <c r="R50" s="41"/>
      <c r="S50" s="2"/>
      <c r="T50" s="2"/>
      <c r="U50" s="2" t="s">
        <v>14</v>
      </c>
      <c r="V50" s="4">
        <v>0.04</v>
      </c>
      <c r="W50" s="2">
        <f t="shared" si="22"/>
        <v>438472.08</v>
      </c>
      <c r="X50" s="2">
        <f>71544+140000+144219</f>
        <v>355763</v>
      </c>
      <c r="Y50" s="2">
        <f>355763</f>
        <v>355763</v>
      </c>
      <c r="Z50" s="2">
        <f t="shared" si="25"/>
        <v>82709.080000000016</v>
      </c>
      <c r="AA50" s="2"/>
      <c r="AB50" s="2"/>
      <c r="AC50" s="2">
        <f>539389.6</f>
        <v>539389.6</v>
      </c>
      <c r="AD50" s="2">
        <f>539389.6</f>
        <v>539389.6</v>
      </c>
      <c r="AE50" s="4">
        <f t="shared" si="26"/>
        <v>4.9206289257915807E-2</v>
      </c>
      <c r="AF50" s="2"/>
      <c r="AG50" s="2"/>
      <c r="AH50" s="2"/>
      <c r="AI50" s="2"/>
      <c r="AJ50" s="2"/>
      <c r="AK50" s="2"/>
      <c r="AL50" s="2"/>
      <c r="AM50" s="4"/>
      <c r="AN50" s="4">
        <f t="shared" si="27"/>
        <v>0</v>
      </c>
      <c r="AO50" s="2"/>
      <c r="AP50" s="2"/>
      <c r="AQ50" s="2">
        <f t="shared" si="24"/>
        <v>0</v>
      </c>
      <c r="AR50" s="2"/>
      <c r="AS50" s="2"/>
      <c r="AT50" s="2"/>
    </row>
    <row r="51" spans="1:46" x14ac:dyDescent="0.15">
      <c r="A51" s="34">
        <v>40450</v>
      </c>
      <c r="B51" s="2" t="s">
        <v>1693</v>
      </c>
      <c r="C51" s="2" t="s">
        <v>810</v>
      </c>
      <c r="D51" s="2" t="s">
        <v>1245</v>
      </c>
      <c r="E51" s="2" t="s">
        <v>30</v>
      </c>
      <c r="F51" s="2" t="s">
        <v>1246</v>
      </c>
      <c r="G51" s="2" t="s">
        <v>1225</v>
      </c>
      <c r="H51" s="2" t="s">
        <v>1247</v>
      </c>
      <c r="I51" s="6" t="s">
        <v>430</v>
      </c>
      <c r="J51" s="6" t="s">
        <v>429</v>
      </c>
      <c r="K51" s="6" t="s">
        <v>13</v>
      </c>
      <c r="L51" s="2"/>
      <c r="M51" s="2">
        <v>822773</v>
      </c>
      <c r="N51" s="2"/>
      <c r="O51" s="2"/>
      <c r="P51" s="2"/>
      <c r="Q51" s="3"/>
      <c r="R51" s="41"/>
      <c r="S51" s="2"/>
      <c r="T51" s="2"/>
      <c r="U51" s="2" t="s">
        <v>14</v>
      </c>
      <c r="V51" s="4">
        <v>3.5999999999999997E-2</v>
      </c>
      <c r="W51" s="2">
        <f t="shared" si="22"/>
        <v>29619.827999999998</v>
      </c>
      <c r="X51" s="2">
        <f>29620</f>
        <v>29620</v>
      </c>
      <c r="Y51" s="2">
        <f>29620</f>
        <v>29620</v>
      </c>
      <c r="Z51" s="2">
        <f t="shared" si="25"/>
        <v>-0.1720000000022992</v>
      </c>
      <c r="AA51" s="2"/>
      <c r="AB51" s="2"/>
      <c r="AC51" s="2"/>
      <c r="AD51" s="2"/>
      <c r="AE51" s="4">
        <f t="shared" si="26"/>
        <v>0</v>
      </c>
      <c r="AF51" s="2"/>
      <c r="AG51" s="2"/>
      <c r="AH51" s="2"/>
      <c r="AI51" s="2"/>
      <c r="AJ51" s="2"/>
      <c r="AK51" s="2"/>
      <c r="AL51" s="2"/>
      <c r="AM51" s="4"/>
      <c r="AN51" s="4">
        <f t="shared" si="27"/>
        <v>0</v>
      </c>
      <c r="AO51" s="2"/>
      <c r="AP51" s="2"/>
      <c r="AQ51" s="2">
        <f t="shared" si="24"/>
        <v>0</v>
      </c>
      <c r="AR51" s="2"/>
      <c r="AS51" s="2"/>
      <c r="AT51" s="2"/>
    </row>
    <row r="52" spans="1:46" x14ac:dyDescent="0.15">
      <c r="A52" s="34">
        <v>40380</v>
      </c>
      <c r="B52" s="2" t="s">
        <v>1694</v>
      </c>
      <c r="C52" s="2" t="s">
        <v>811</v>
      </c>
      <c r="D52" s="2" t="s">
        <v>1248</v>
      </c>
      <c r="E52" s="2" t="s">
        <v>30</v>
      </c>
      <c r="F52" s="2" t="s">
        <v>1249</v>
      </c>
      <c r="G52" s="2" t="s">
        <v>1225</v>
      </c>
      <c r="H52" s="2" t="s">
        <v>1250</v>
      </c>
      <c r="I52" s="2" t="s">
        <v>623</v>
      </c>
      <c r="J52" s="2" t="s">
        <v>624</v>
      </c>
      <c r="K52" s="2" t="s">
        <v>13</v>
      </c>
      <c r="L52" s="2"/>
      <c r="M52" s="2">
        <v>114277558</v>
      </c>
      <c r="N52" s="2"/>
      <c r="O52" s="2"/>
      <c r="P52" s="2">
        <v>16314498</v>
      </c>
      <c r="Q52" s="3"/>
      <c r="R52" s="41"/>
      <c r="S52" s="2"/>
      <c r="T52" s="2"/>
      <c r="U52" s="2" t="s">
        <v>14</v>
      </c>
      <c r="V52" s="4">
        <v>0.03</v>
      </c>
      <c r="W52" s="2">
        <f>P52*V52</f>
        <v>489434.94</v>
      </c>
      <c r="X52" s="2">
        <f>342827+50764+95844</f>
        <v>489435</v>
      </c>
      <c r="Y52" s="2">
        <f>489435</f>
        <v>489435</v>
      </c>
      <c r="Z52" s="2">
        <f t="shared" si="25"/>
        <v>-5.9999999997671694E-2</v>
      </c>
      <c r="AA52" s="2">
        <f>3428267.4+1761661.8+2754598.36+1441373.63+936551.9+1297254.54+1500000+3194790.37</f>
        <v>16314498.000000004</v>
      </c>
      <c r="AB52" s="2">
        <f>16314498</f>
        <v>16314498</v>
      </c>
      <c r="AC52" s="2">
        <f>3428267.4+1761661.8+2754598.36+1441373.63+936551.9+1297254.54+1500000+2379065.47+815724.9</f>
        <v>16314498.000000004</v>
      </c>
      <c r="AD52" s="2">
        <f>15498773.1+815724.9</f>
        <v>16314498</v>
      </c>
      <c r="AE52" s="4">
        <f>AC52/P52</f>
        <v>1.0000000000000002</v>
      </c>
      <c r="AF52" s="2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+700000</f>
        <v>16263518.270000001</v>
      </c>
      <c r="AG52" s="2">
        <f>15563518.27+700000</f>
        <v>16263518.27</v>
      </c>
      <c r="AH52" s="2">
        <f>592250+599600+1320000+500888.83+415528.57+659747+1073914.8+8000+1450858.5+93656+99995.1+857100+270000+549068.12+799002+8904.88+55000+937843+10000+500000+487885+100000+100000+74346.83+63035+29250+16754.91+1647.15+1452300+20000+10000-20000-10000+23328+9000+22000+1108523+1239489+34602.58-65000+700000</f>
        <v>16198518.270000001</v>
      </c>
      <c r="AI52" s="2"/>
      <c r="AJ52" s="2"/>
      <c r="AK52" s="2"/>
      <c r="AL52" s="2">
        <f>15498518.27+700000</f>
        <v>16198518.27</v>
      </c>
      <c r="AM52" s="4">
        <v>3.4000000000000002E-2</v>
      </c>
      <c r="AN52" s="4">
        <f t="shared" si="27"/>
        <v>554692.93200000003</v>
      </c>
      <c r="AO52" s="2">
        <f>116561+59897+93656+49007+31843+44107+51000+108623</f>
        <v>554694</v>
      </c>
      <c r="AP52" s="2">
        <f>554694</f>
        <v>554694</v>
      </c>
      <c r="AQ52" s="2">
        <f t="shared" si="24"/>
        <v>-1.0679999999701977</v>
      </c>
      <c r="AR52" s="2"/>
      <c r="AS52" s="2"/>
      <c r="AT52" s="2"/>
    </row>
    <row r="53" spans="1:46" x14ac:dyDescent="0.15">
      <c r="A53" s="34">
        <v>40346</v>
      </c>
      <c r="B53" s="2" t="s">
        <v>1695</v>
      </c>
      <c r="C53" s="2" t="s">
        <v>812</v>
      </c>
      <c r="D53" s="2" t="s">
        <v>1251</v>
      </c>
      <c r="E53" s="2" t="s">
        <v>30</v>
      </c>
      <c r="F53" s="2" t="s">
        <v>1252</v>
      </c>
      <c r="G53" s="2" t="s">
        <v>1225</v>
      </c>
      <c r="H53" s="2" t="s">
        <v>1253</v>
      </c>
      <c r="I53" s="2" t="s">
        <v>1254</v>
      </c>
      <c r="J53" s="2" t="s">
        <v>1253</v>
      </c>
      <c r="K53" s="2" t="s">
        <v>1228</v>
      </c>
      <c r="L53" s="2"/>
      <c r="M53" s="2">
        <v>5099252</v>
      </c>
      <c r="N53" s="2"/>
      <c r="O53" s="2"/>
      <c r="P53" s="2">
        <v>6744848</v>
      </c>
      <c r="Q53" s="3"/>
      <c r="R53" s="41"/>
      <c r="S53" s="2"/>
      <c r="T53" s="2"/>
      <c r="U53" s="2" t="s">
        <v>14</v>
      </c>
      <c r="V53" s="4">
        <v>0.03</v>
      </c>
      <c r="W53" s="2">
        <f>P53*V53</f>
        <v>202345.44</v>
      </c>
      <c r="X53" s="2">
        <f>152978+49368</f>
        <v>202346</v>
      </c>
      <c r="Y53" s="2">
        <f>202346</f>
        <v>202346</v>
      </c>
      <c r="Z53" s="2">
        <f t="shared" si="25"/>
        <v>-0.55999999999767169</v>
      </c>
      <c r="AA53" s="2">
        <f>1019850.4+2914262+655214.4+254962.6+1563316.2+337242.4</f>
        <v>6744848</v>
      </c>
      <c r="AB53" s="2">
        <f>6744848</f>
        <v>6744848</v>
      </c>
      <c r="AC53" s="2">
        <f>1019850.4+2914262+655214.4+254962.6+1563316.2+337242.4</f>
        <v>6744848</v>
      </c>
      <c r="AD53" s="2">
        <f>6744848</f>
        <v>6744848</v>
      </c>
      <c r="AE53" s="4">
        <f>AC53/P53</f>
        <v>1</v>
      </c>
      <c r="AF53" s="2">
        <f>350000+150000+200000+797562+362978+180000+784623+647022+220000+11130+72509.16+49048+50000+74600+80000+55364+54000+226302+40000+50000+150000+940000+70000+89042+450000+50000+300000</f>
        <v>6504180.1600000001</v>
      </c>
      <c r="AG53" s="2">
        <f>6504180.16</f>
        <v>6504180.1600000001</v>
      </c>
      <c r="AH53" s="2">
        <f>350000+150000+200000+797562+362978+180000+784623+647022+220000+11130+72509.16+49048+50000+127112+100000+65364+54000+102000+196037+20000+158669+50000+993153+70000+89042+450000+50000+300000+11466</f>
        <v>6711715.1600000001</v>
      </c>
      <c r="AI53" s="2"/>
      <c r="AJ53" s="2"/>
      <c r="AK53" s="2"/>
      <c r="AL53" s="2">
        <f>6711715.16</f>
        <v>6711715.1600000001</v>
      </c>
      <c r="AM53" s="4">
        <v>3.4000000000000002E-2</v>
      </c>
      <c r="AN53" s="4">
        <f t="shared" si="27"/>
        <v>229324.83200000002</v>
      </c>
      <c r="AO53" s="2">
        <f>34675+99085+22277+8669+53153+11466</f>
        <v>229325</v>
      </c>
      <c r="AP53" s="2">
        <f>229325</f>
        <v>229325</v>
      </c>
      <c r="AQ53" s="2">
        <f t="shared" si="24"/>
        <v>-0.16799999997601844</v>
      </c>
      <c r="AR53" s="2"/>
      <c r="AS53" s="2"/>
      <c r="AT53" s="2"/>
    </row>
    <row r="54" spans="1:46" x14ac:dyDescent="0.15">
      <c r="A54" s="34">
        <v>40368</v>
      </c>
      <c r="B54" s="2" t="s">
        <v>1696</v>
      </c>
      <c r="C54" s="2" t="s">
        <v>813</v>
      </c>
      <c r="D54" s="2" t="s">
        <v>1255</v>
      </c>
      <c r="E54" s="2" t="s">
        <v>30</v>
      </c>
      <c r="F54" s="2" t="s">
        <v>1256</v>
      </c>
      <c r="G54" s="2" t="s">
        <v>1225</v>
      </c>
      <c r="H54" s="2" t="s">
        <v>1257</v>
      </c>
      <c r="I54" s="6" t="s">
        <v>1053</v>
      </c>
      <c r="J54" s="6" t="s">
        <v>1054</v>
      </c>
      <c r="K54" s="6" t="s">
        <v>13</v>
      </c>
      <c r="L54" s="2"/>
      <c r="M54" s="2">
        <v>15000589.82</v>
      </c>
      <c r="N54" s="2">
        <f>456072+992381.5</f>
        <v>1448453.5</v>
      </c>
      <c r="O54" s="2"/>
      <c r="P54" s="2">
        <v>17657354.02</v>
      </c>
      <c r="Q54" s="3"/>
      <c r="R54" s="41"/>
      <c r="S54" s="2"/>
      <c r="T54" s="2"/>
      <c r="U54" s="2" t="s">
        <v>14</v>
      </c>
      <c r="V54" s="4">
        <v>0.03</v>
      </c>
      <c r="W54" s="2">
        <f>P54*V54</f>
        <v>529720.62060000002</v>
      </c>
      <c r="X54" s="2">
        <f>230000+220018+43454+36250</f>
        <v>529722</v>
      </c>
      <c r="Y54" s="2">
        <f>529722</f>
        <v>529722</v>
      </c>
      <c r="Z54" s="2">
        <f t="shared" si="25"/>
        <v>-1.3793999999761581</v>
      </c>
      <c r="AA54" s="2">
        <f>4865321.11+5090045.64+1425361.42+480019+1376030.83+139730+105094+3292883+882869.02</f>
        <v>17657354.02</v>
      </c>
      <c r="AB54" s="2">
        <f>17657354.02</f>
        <v>17657354.02</v>
      </c>
      <c r="AC54" s="2">
        <f>4865321.11+5090045.64+1425361.42+480019+1376030.83+139730+105094+3292883+882869.02</f>
        <v>17657354.02</v>
      </c>
      <c r="AD54" s="2">
        <f>17657354.02</f>
        <v>17657354.02</v>
      </c>
      <c r="AE54" s="4">
        <f>AC54/P54</f>
        <v>1</v>
      </c>
      <c r="AF54" s="2">
        <f>2670930+1649053+545338.11+4350018+740027.64+925361.42+500000+480019+1376030.83+139730+64500+2245959.09+230000+275323</f>
        <v>16192290.09</v>
      </c>
      <c r="AG54" s="2">
        <f>16192290.09</f>
        <v>16192290.09</v>
      </c>
      <c r="AH54" s="2">
        <f>2670930+1649053+545338.11+4350018+740027.64+925361.42+500000+480019+1376030.83+139730+64500+2813692.26+230000+275323+880018</f>
        <v>17640041.259999998</v>
      </c>
      <c r="AI54" s="2"/>
      <c r="AJ54" s="2"/>
      <c r="AK54" s="2"/>
      <c r="AL54" s="2">
        <f>17640041.26</f>
        <v>17640041.260000002</v>
      </c>
      <c r="AM54" s="4">
        <v>3.4000000000000002E-2</v>
      </c>
      <c r="AN54" s="4">
        <f t="shared" si="27"/>
        <v>600350.03668000002</v>
      </c>
      <c r="AO54" s="2">
        <f>165421+173062+48462+16320.65+46785+4751+3573+111958+30018</f>
        <v>600350.65</v>
      </c>
      <c r="AP54" s="2">
        <f>600350.65</f>
        <v>600350.65</v>
      </c>
      <c r="AQ54" s="2">
        <f t="shared" si="24"/>
        <v>-0.61332000000402331</v>
      </c>
      <c r="AR54" s="2"/>
      <c r="AS54" s="2"/>
      <c r="AT54" s="2"/>
    </row>
    <row r="55" spans="1:46" x14ac:dyDescent="0.15">
      <c r="A55" s="34">
        <v>40364</v>
      </c>
      <c r="B55" s="2" t="s">
        <v>1697</v>
      </c>
      <c r="C55" s="2" t="s">
        <v>814</v>
      </c>
      <c r="D55" s="2" t="s">
        <v>1258</v>
      </c>
      <c r="E55" s="2" t="s">
        <v>30</v>
      </c>
      <c r="F55" s="2" t="s">
        <v>1259</v>
      </c>
      <c r="G55" s="2" t="s">
        <v>1225</v>
      </c>
      <c r="H55" s="2" t="s">
        <v>1260</v>
      </c>
      <c r="I55" s="2" t="s">
        <v>23</v>
      </c>
      <c r="J55" s="2" t="s">
        <v>22</v>
      </c>
      <c r="K55" s="2" t="s">
        <v>13</v>
      </c>
      <c r="L55" s="2"/>
      <c r="M55" s="2">
        <v>5500000</v>
      </c>
      <c r="N55" s="2"/>
      <c r="O55" s="2"/>
      <c r="P55" s="2"/>
      <c r="Q55" s="3"/>
      <c r="R55" s="41"/>
      <c r="S55" s="2"/>
      <c r="T55" s="2"/>
      <c r="U55" s="2" t="s">
        <v>14</v>
      </c>
      <c r="V55" s="4">
        <v>0.03</v>
      </c>
      <c r="W55" s="2">
        <f>M55*V55</f>
        <v>165000</v>
      </c>
      <c r="X55" s="2">
        <f>50000+30000+85000</f>
        <v>165000</v>
      </c>
      <c r="Y55" s="2">
        <f>165000</f>
        <v>165000</v>
      </c>
      <c r="Z55" s="2">
        <f t="shared" si="25"/>
        <v>0</v>
      </c>
      <c r="AA55" s="2">
        <f>550000+550000+550000+750000+300000+1300000+200000+100000</f>
        <v>4300000</v>
      </c>
      <c r="AB55" s="2">
        <f>4300000</f>
        <v>4300000</v>
      </c>
      <c r="AC55" s="2">
        <f>550000+550000+550000+150000+100000+250000+100000+250000+100000+100000+300000+100000+200000+300000+300000+100000+300000</f>
        <v>4300000</v>
      </c>
      <c r="AD55" s="2">
        <f>4300000</f>
        <v>4300000</v>
      </c>
      <c r="AE55" s="4">
        <f t="shared" si="26"/>
        <v>0.78181818181818186</v>
      </c>
      <c r="AF55" s="2">
        <f>531300+18700+500000+38700+550000+11300+150000+100000+250000+100000+440000+100000+100000+300000+111209+100000+300000+300000+100000+107940+89726.85</f>
        <v>4298875.8499999996</v>
      </c>
      <c r="AG55" s="2">
        <f>4298875.85</f>
        <v>4298875.8499999996</v>
      </c>
      <c r="AH55" s="2">
        <f>531300+18700+500000+38700+550000+11300+150000+100000+250000+100000+250000+100000+100000+300000-11300+105400+99209+100000+300000+300000+3400+100000+107940+84110.2+89726.85+5000+1733.51+10000-5000+6442+2368</f>
        <v>4299029.5599999996</v>
      </c>
      <c r="AI55" s="2"/>
      <c r="AJ55" s="2"/>
      <c r="AK55" s="2"/>
      <c r="AL55" s="2">
        <f>4299029.56</f>
        <v>4299029.5599999996</v>
      </c>
      <c r="AM55" s="4">
        <v>3.4000000000000002E-2</v>
      </c>
      <c r="AN55" s="4">
        <f t="shared" si="27"/>
        <v>146200</v>
      </c>
      <c r="AO55" s="2">
        <f>18700+18700+18700+25500+10200+44200+6800+3400</f>
        <v>146200</v>
      </c>
      <c r="AP55" s="2">
        <f>146200</f>
        <v>146200</v>
      </c>
      <c r="AQ55" s="2">
        <f t="shared" si="24"/>
        <v>0</v>
      </c>
      <c r="AR55" s="2"/>
      <c r="AS55" s="2"/>
      <c r="AT55" s="2"/>
    </row>
    <row r="56" spans="1:46" s="9" customFormat="1" x14ac:dyDescent="0.15">
      <c r="A56" s="35">
        <v>40361</v>
      </c>
      <c r="B56" s="2" t="s">
        <v>1698</v>
      </c>
      <c r="C56" s="6" t="s">
        <v>815</v>
      </c>
      <c r="D56" s="6" t="s">
        <v>1261</v>
      </c>
      <c r="E56" s="6" t="s">
        <v>30</v>
      </c>
      <c r="F56" s="6" t="s">
        <v>1262</v>
      </c>
      <c r="G56" s="6" t="s">
        <v>1263</v>
      </c>
      <c r="H56" s="6" t="s">
        <v>852</v>
      </c>
      <c r="I56" s="6" t="s">
        <v>851</v>
      </c>
      <c r="J56" s="6" t="s">
        <v>852</v>
      </c>
      <c r="K56" s="6" t="s">
        <v>13</v>
      </c>
      <c r="L56" s="6"/>
      <c r="M56" s="6">
        <v>8112809.9000000004</v>
      </c>
      <c r="N56" s="6">
        <v>654468</v>
      </c>
      <c r="O56" s="6"/>
      <c r="P56" s="6"/>
      <c r="Q56" s="7"/>
      <c r="R56" s="42"/>
      <c r="S56" s="6"/>
      <c r="T56" s="6"/>
      <c r="U56" s="6" t="s">
        <v>14</v>
      </c>
      <c r="V56" s="8">
        <v>0.04</v>
      </c>
      <c r="W56" s="6">
        <f>(M56+N56)*V56</f>
        <v>350691.11600000004</v>
      </c>
      <c r="X56" s="6">
        <f>300000+50691</f>
        <v>350691</v>
      </c>
      <c r="Y56" s="6">
        <f>350691</f>
        <v>350691</v>
      </c>
      <c r="Z56" s="6">
        <f t="shared" si="25"/>
        <v>0.11600000003818423</v>
      </c>
      <c r="AA56" s="6">
        <f>5502389.75</f>
        <v>5502389.75</v>
      </c>
      <c r="AB56" s="6">
        <f>5502389.75</f>
        <v>5502389.75</v>
      </c>
      <c r="AC56" s="6">
        <f>1216921+1720732.18+2564736.57+180320+1269589.82</f>
        <v>6952299.5700000003</v>
      </c>
      <c r="AD56" s="6">
        <f>6952299.57</f>
        <v>6952299.5700000003</v>
      </c>
      <c r="AE56" s="8">
        <f t="shared" si="26"/>
        <v>0.79298268508176295</v>
      </c>
      <c r="AF56" s="6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+18231.1+42750+40000+25689.2</f>
        <v>6965370.3400000008</v>
      </c>
      <c r="AG56" s="6">
        <f>6965370.34</f>
        <v>6965370.3399999999</v>
      </c>
      <c r="AH56" s="6">
        <f>119170.25+300000+50000+6400+640000+1000691+300000+10000+32211+40500+28530+120000+30000+80000+2434+775428.78+5032.86+155000+7480+90000+306686+120000-65805.24+100000+100000+45632.53+100000+50000+100000+10000+11110.6+10000+225536.4+37696.56+230452.6+92360+34002+50000+201606.54+14700+294078.4+312082+598551.36+65772+1360.4+20000+40000+18960</f>
        <v>6917660.040000001</v>
      </c>
      <c r="AI56" s="6"/>
      <c r="AJ56" s="6"/>
      <c r="AK56" s="6"/>
      <c r="AL56" s="6">
        <f>6917660.04</f>
        <v>6917660.04</v>
      </c>
      <c r="AM56" s="8">
        <v>3.4000000000000002E-2</v>
      </c>
      <c r="AN56" s="8">
        <f t="shared" si="27"/>
        <v>187081.25150000001</v>
      </c>
      <c r="AO56" s="6">
        <f>187081</f>
        <v>187081</v>
      </c>
      <c r="AP56" s="6">
        <f>187081</f>
        <v>187081</v>
      </c>
      <c r="AQ56" s="6">
        <f t="shared" si="24"/>
        <v>0.25150000001303852</v>
      </c>
      <c r="AR56" s="6"/>
      <c r="AS56" s="6"/>
      <c r="AT56" s="6" t="s">
        <v>1264</v>
      </c>
    </row>
    <row r="57" spans="1:46" x14ac:dyDescent="0.15">
      <c r="A57" s="34">
        <v>40374</v>
      </c>
      <c r="B57" s="2" t="s">
        <v>1699</v>
      </c>
      <c r="C57" s="2" t="s">
        <v>816</v>
      </c>
      <c r="D57" s="2" t="s">
        <v>1265</v>
      </c>
      <c r="E57" s="2" t="s">
        <v>30</v>
      </c>
      <c r="F57" s="2" t="s">
        <v>1266</v>
      </c>
      <c r="G57" s="2" t="s">
        <v>1267</v>
      </c>
      <c r="H57" s="6" t="s">
        <v>86</v>
      </c>
      <c r="I57" s="2" t="s">
        <v>87</v>
      </c>
      <c r="J57" s="2" t="s">
        <v>86</v>
      </c>
      <c r="K57" s="2" t="s">
        <v>35</v>
      </c>
      <c r="L57" s="2"/>
      <c r="M57" s="2">
        <v>1499245.27</v>
      </c>
      <c r="N57" s="2"/>
      <c r="O57" s="2"/>
      <c r="P57" s="2">
        <v>1397004</v>
      </c>
      <c r="Q57" s="3"/>
      <c r="R57" s="41"/>
      <c r="S57" s="2"/>
      <c r="T57" s="2"/>
      <c r="U57" s="2" t="s">
        <v>14</v>
      </c>
      <c r="V57" s="4">
        <v>3.5999999999999997E-2</v>
      </c>
      <c r="W57" s="2">
        <f>P57*V57</f>
        <v>50292.143999999993</v>
      </c>
      <c r="X57" s="2">
        <f>53973+4320</f>
        <v>58293</v>
      </c>
      <c r="Y57" s="2">
        <f>58293</f>
        <v>58293</v>
      </c>
      <c r="Z57" s="2">
        <f t="shared" si="25"/>
        <v>-8000.856000000007</v>
      </c>
      <c r="AA57" s="2">
        <f>600000+589577+137577+69850</f>
        <v>1397004</v>
      </c>
      <c r="AB57" s="2">
        <f>1397004</f>
        <v>1397004</v>
      </c>
      <c r="AC57" s="2">
        <f>600000+589577+137577+69850</f>
        <v>1397004</v>
      </c>
      <c r="AD57" s="2">
        <f>1397004</f>
        <v>1397004</v>
      </c>
      <c r="AE57" s="4">
        <f>AC57/P57</f>
        <v>1</v>
      </c>
      <c r="AF57" s="2">
        <f>253996.9+196000+150000+489056+71344.4+28320+150000+50000+17000</f>
        <v>1405717.2999999998</v>
      </c>
      <c r="AG57" s="2">
        <f>1405717.3</f>
        <v>1405717.3</v>
      </c>
      <c r="AH57" s="2">
        <f>253996.9+196000+150000+489056+71344.4+28320+104678+33758.7+2375+50000+17000</f>
        <v>1396528.9999999998</v>
      </c>
      <c r="AI57" s="2"/>
      <c r="AJ57" s="2"/>
      <c r="AK57" s="2"/>
      <c r="AL57" s="2">
        <f>1396529</f>
        <v>1396529</v>
      </c>
      <c r="AM57" s="4">
        <v>3.4000000000000002E-2</v>
      </c>
      <c r="AN57" s="4">
        <f t="shared" si="27"/>
        <v>47498.136000000006</v>
      </c>
      <c r="AO57" s="2">
        <f>20400+20046+4678+2375</f>
        <v>47499</v>
      </c>
      <c r="AP57" s="2">
        <f>47499</f>
        <v>47499</v>
      </c>
      <c r="AQ57" s="2">
        <f t="shared" si="24"/>
        <v>-0.86399999999412103</v>
      </c>
      <c r="AR57" s="2"/>
      <c r="AS57" s="2"/>
      <c r="AT57" s="2"/>
    </row>
    <row r="58" spans="1:46" x14ac:dyDescent="0.15">
      <c r="A58" s="34">
        <v>40414</v>
      </c>
      <c r="B58" s="2" t="s">
        <v>1700</v>
      </c>
      <c r="C58" s="2" t="s">
        <v>817</v>
      </c>
      <c r="D58" s="2" t="s">
        <v>1268</v>
      </c>
      <c r="E58" s="2" t="s">
        <v>30</v>
      </c>
      <c r="F58" s="2" t="s">
        <v>1269</v>
      </c>
      <c r="G58" s="2" t="s">
        <v>1267</v>
      </c>
      <c r="H58" s="2" t="s">
        <v>1270</v>
      </c>
      <c r="I58" s="2" t="s">
        <v>332</v>
      </c>
      <c r="J58" s="2" t="s">
        <v>333</v>
      </c>
      <c r="K58" s="2" t="s">
        <v>310</v>
      </c>
      <c r="L58" s="2"/>
      <c r="M58" s="2">
        <v>976091.08</v>
      </c>
      <c r="N58" s="2"/>
      <c r="O58" s="2"/>
      <c r="P58" s="2">
        <f>976091.08+48805</f>
        <v>1024896.08</v>
      </c>
      <c r="Q58" s="3"/>
      <c r="R58" s="41"/>
      <c r="S58" s="2"/>
      <c r="T58" s="2"/>
      <c r="U58" s="2" t="s">
        <v>14</v>
      </c>
      <c r="V58" s="4">
        <v>3.5999999999999997E-2</v>
      </c>
      <c r="W58" s="2">
        <f>P58*V58</f>
        <v>36896.258879999994</v>
      </c>
      <c r="X58" s="2">
        <f>35280</f>
        <v>35280</v>
      </c>
      <c r="Y58" s="2">
        <f>35280</f>
        <v>35280</v>
      </c>
      <c r="Z58" s="2">
        <f t="shared" si="25"/>
        <v>1616.258879999994</v>
      </c>
      <c r="AA58" s="2">
        <v>976091.08</v>
      </c>
      <c r="AB58" s="2">
        <f>976091.08</f>
        <v>976091.08</v>
      </c>
      <c r="AC58" s="2">
        <f>292827.32+195218.22+341631.88+146413.66+48805</f>
        <v>1024896.0800000001</v>
      </c>
      <c r="AD58" s="2">
        <f>1024896.08</f>
        <v>1024896.08</v>
      </c>
      <c r="AE58" s="4">
        <f>AC58/P58</f>
        <v>1.0000000000000002</v>
      </c>
      <c r="AF58" s="2">
        <f>260000+200000+300000+161005+33187+20000+48805</f>
        <v>1022997</v>
      </c>
      <c r="AG58" s="2">
        <f>1022997</f>
        <v>1022997</v>
      </c>
      <c r="AH58" s="2">
        <f>260000+200000+300000+161005+33187+20000+48805</f>
        <v>1022997</v>
      </c>
      <c r="AI58" s="2"/>
      <c r="AJ58" s="2"/>
      <c r="AK58" s="2"/>
      <c r="AL58" s="2">
        <f>1022997</f>
        <v>1022997</v>
      </c>
      <c r="AM58" s="4">
        <v>3.4000000000000002E-2</v>
      </c>
      <c r="AN58" s="4">
        <f t="shared" si="27"/>
        <v>33187.096720000001</v>
      </c>
      <c r="AO58" s="2">
        <f>33187</f>
        <v>33187</v>
      </c>
      <c r="AP58" s="2">
        <f>33187</f>
        <v>33187</v>
      </c>
      <c r="AQ58" s="2">
        <f t="shared" si="24"/>
        <v>9.6720000001369044E-2</v>
      </c>
      <c r="AR58" s="2"/>
      <c r="AS58" s="2">
        <v>5</v>
      </c>
      <c r="AT58" s="2" t="s">
        <v>1271</v>
      </c>
    </row>
    <row r="59" spans="1:46" x14ac:dyDescent="0.15">
      <c r="A59" s="34">
        <v>40388</v>
      </c>
      <c r="B59" s="2" t="s">
        <v>1701</v>
      </c>
      <c r="C59" s="2" t="s">
        <v>818</v>
      </c>
      <c r="D59" s="2" t="s">
        <v>1272</v>
      </c>
      <c r="E59" s="2" t="s">
        <v>30</v>
      </c>
      <c r="F59" s="2" t="s">
        <v>1273</v>
      </c>
      <c r="G59" s="2" t="s">
        <v>1267</v>
      </c>
      <c r="H59" s="2" t="s">
        <v>999</v>
      </c>
      <c r="I59" s="6" t="s">
        <v>1000</v>
      </c>
      <c r="J59" s="6" t="s">
        <v>999</v>
      </c>
      <c r="K59" s="6" t="s">
        <v>149</v>
      </c>
      <c r="L59" s="2"/>
      <c r="M59" s="2">
        <v>1506409.86</v>
      </c>
      <c r="N59" s="2"/>
      <c r="O59" s="2"/>
      <c r="P59" s="2"/>
      <c r="Q59" s="3"/>
      <c r="R59" s="41"/>
      <c r="S59" s="2"/>
      <c r="T59" s="2"/>
      <c r="U59" s="2" t="s">
        <v>14</v>
      </c>
      <c r="V59" s="4">
        <v>3.5999999999999997E-2</v>
      </c>
      <c r="W59" s="2">
        <f t="shared" ref="W59" si="28">(M59+N59)*V59</f>
        <v>54230.754959999998</v>
      </c>
      <c r="X59" s="2">
        <f>54231</f>
        <v>54231</v>
      </c>
      <c r="Y59" s="2">
        <f>54231</f>
        <v>54231</v>
      </c>
      <c r="Z59" s="2">
        <f t="shared" si="25"/>
        <v>-0.24504000000160886</v>
      </c>
      <c r="AA59" s="2">
        <f>150640.99+903845.92+150640.98+150641.97+85962.39+35000</f>
        <v>1476732.25</v>
      </c>
      <c r="AB59" s="2">
        <f>1476732.25</f>
        <v>1476732.25</v>
      </c>
      <c r="AC59" s="2">
        <f>150640+903845.92+150640.98+150641.97+85962.39+35000</f>
        <v>1476731.2599999998</v>
      </c>
      <c r="AD59" s="2">
        <f>1476731.26</f>
        <v>1476731.26</v>
      </c>
      <c r="AE59" s="4">
        <f t="shared" si="26"/>
        <v>0.98029845609215516</v>
      </c>
      <c r="AF59" s="2">
        <f>107906.35+844968.14+50000+20000+5122+50000+100000+143000+9999+50000+16000+70500</f>
        <v>1467495.49</v>
      </c>
      <c r="AG59" s="2">
        <f>1467495.49</f>
        <v>1467495.49</v>
      </c>
      <c r="AH59" s="2">
        <f>107906.35+844968.14+50000+20000+5122+50000+100000+148122+2923+9999+50000+17190+70500</f>
        <v>1476730.49</v>
      </c>
      <c r="AI59" s="2"/>
      <c r="AJ59" s="2"/>
      <c r="AK59" s="2"/>
      <c r="AL59" s="2">
        <f>1476730.49</f>
        <v>1476730.49</v>
      </c>
      <c r="AM59" s="4">
        <v>3.4000000000000002E-2</v>
      </c>
      <c r="AN59" s="4">
        <f t="shared" si="27"/>
        <v>50208.896500000003</v>
      </c>
      <c r="AO59" s="2">
        <f>5122+30731+5122+5122+2923+1190</f>
        <v>50210</v>
      </c>
      <c r="AP59" s="2">
        <f>50210</f>
        <v>50210</v>
      </c>
      <c r="AQ59" s="2">
        <f t="shared" si="24"/>
        <v>-1.1034999999974389</v>
      </c>
      <c r="AR59" s="2"/>
      <c r="AS59" s="2">
        <v>19</v>
      </c>
      <c r="AT59" s="2" t="s">
        <v>1274</v>
      </c>
    </row>
    <row r="60" spans="1:46" x14ac:dyDescent="0.15">
      <c r="A60" s="34">
        <v>40401</v>
      </c>
      <c r="B60" s="2" t="s">
        <v>1702</v>
      </c>
      <c r="C60" s="2" t="s">
        <v>819</v>
      </c>
      <c r="D60" s="2" t="s">
        <v>1275</v>
      </c>
      <c r="E60" s="2" t="s">
        <v>30</v>
      </c>
      <c r="F60" s="2" t="s">
        <v>1276</v>
      </c>
      <c r="G60" s="2" t="s">
        <v>1267</v>
      </c>
      <c r="H60" s="6" t="s">
        <v>273</v>
      </c>
      <c r="I60" s="6" t="s">
        <v>274</v>
      </c>
      <c r="J60" s="6" t="s">
        <v>273</v>
      </c>
      <c r="K60" s="6" t="s">
        <v>35</v>
      </c>
      <c r="L60" s="2"/>
      <c r="M60" s="2">
        <v>3242216.22</v>
      </c>
      <c r="N60" s="2"/>
      <c r="O60" s="2"/>
      <c r="P60" s="2">
        <v>3461811.44</v>
      </c>
      <c r="Q60" s="3"/>
      <c r="R60" s="41"/>
      <c r="S60" s="2"/>
      <c r="T60" s="2"/>
      <c r="U60" s="2" t="s">
        <v>14</v>
      </c>
      <c r="V60" s="4">
        <v>3.5999999999999997E-2</v>
      </c>
      <c r="W60" s="2">
        <f>V60*P60</f>
        <v>124625.21183999999</v>
      </c>
      <c r="X60" s="2">
        <f>116720+5195+2710</f>
        <v>124625</v>
      </c>
      <c r="Y60" s="2">
        <f>124625</f>
        <v>124625</v>
      </c>
      <c r="Z60" s="2">
        <f t="shared" si="25"/>
        <v>0.21183999998902436</v>
      </c>
      <c r="AA60" s="2">
        <f>928895+619263.26+190777.07+300000+592933.69+508859.41+165301.5</f>
        <v>3306029.93</v>
      </c>
      <c r="AB60" s="2">
        <f>3306029.93</f>
        <v>3306029.93</v>
      </c>
      <c r="AC60" s="2">
        <f>928895+619263.26+190777.07+300000+592933.69+508859.41+165301.5</f>
        <v>3306029.93</v>
      </c>
      <c r="AD60" s="2">
        <f>3306029.93</f>
        <v>3306029.93</v>
      </c>
      <c r="AE60" s="4">
        <f>AC60/P60</f>
        <v>0.95500000138655738</v>
      </c>
      <c r="AF60" s="2">
        <f>843688.14+70000+10000+518200+40000+17613.75+40000+99433.44+79600+307730+592724.58+480000+1275</f>
        <v>3100264.91</v>
      </c>
      <c r="AG60" s="2">
        <f>3100264.91</f>
        <v>3100264.91</v>
      </c>
      <c r="AH60" s="2">
        <f>843688.14+70000+10000+518200+40000+17613.75+40000+99433.44+79600+307730+592724.58+497301+5620+180000+1275</f>
        <v>3303185.91</v>
      </c>
      <c r="AI60" s="2"/>
      <c r="AJ60" s="2"/>
      <c r="AK60" s="2"/>
      <c r="AL60" s="2">
        <f>3303185.91</f>
        <v>3303185.91</v>
      </c>
      <c r="AM60" s="4">
        <v>3.4000000000000002E-2</v>
      </c>
      <c r="AN60" s="4">
        <f t="shared" si="27"/>
        <v>112405.01762000001</v>
      </c>
      <c r="AO60" s="2">
        <f>31582+21055+6486+10200+20160+17301+5620</f>
        <v>112404</v>
      </c>
      <c r="AP60" s="2">
        <f>112404</f>
        <v>112404</v>
      </c>
      <c r="AQ60" s="2">
        <f t="shared" si="24"/>
        <v>1.0176200000132667</v>
      </c>
      <c r="AR60" s="2"/>
      <c r="AS60" s="2">
        <v>8</v>
      </c>
      <c r="AT60" s="2" t="s">
        <v>1277</v>
      </c>
    </row>
    <row r="61" spans="1:46" x14ac:dyDescent="0.15">
      <c r="A61" s="34">
        <v>40446</v>
      </c>
      <c r="B61" s="2" t="s">
        <v>1703</v>
      </c>
      <c r="C61" s="2" t="s">
        <v>820</v>
      </c>
      <c r="D61" s="2" t="s">
        <v>1211</v>
      </c>
      <c r="E61" s="2" t="s">
        <v>30</v>
      </c>
      <c r="F61" s="2" t="s">
        <v>1117</v>
      </c>
      <c r="G61" s="2" t="s">
        <v>1212</v>
      </c>
      <c r="H61" s="6" t="s">
        <v>86</v>
      </c>
      <c r="I61" s="2" t="s">
        <v>87</v>
      </c>
      <c r="J61" s="2" t="s">
        <v>86</v>
      </c>
      <c r="K61" s="2" t="s">
        <v>35</v>
      </c>
      <c r="L61" s="2"/>
      <c r="M61" s="2">
        <v>18212715</v>
      </c>
      <c r="N61" s="2"/>
      <c r="O61" s="2"/>
      <c r="P61" s="2">
        <v>22948971</v>
      </c>
      <c r="Q61" s="3"/>
      <c r="R61" s="41"/>
      <c r="S61" s="2"/>
      <c r="T61" s="2"/>
      <c r="U61" s="2" t="s">
        <v>14</v>
      </c>
      <c r="V61" s="4">
        <v>0.03</v>
      </c>
      <c r="W61" s="2">
        <f>P61*V61</f>
        <v>688469.13</v>
      </c>
      <c r="X61" s="2">
        <f>300000+246382+142088</f>
        <v>688470</v>
      </c>
      <c r="Y61" s="2">
        <f>688470</f>
        <v>688470</v>
      </c>
      <c r="Z61" s="2">
        <f>W61-Y61</f>
        <v>-0.86999999999534339</v>
      </c>
      <c r="AA61" s="2">
        <f>529121+4108782+3769492+3540744+1861300+611640+278250+1267587+2328885+4653170</f>
        <v>22948971</v>
      </c>
      <c r="AB61" s="2">
        <f>22948971</f>
        <v>22948971</v>
      </c>
      <c r="AC61" s="2">
        <f>529121+4108782+3769492+3540744+1861300+611640+278250+1267587+2328885+4653170</f>
        <v>22948971</v>
      </c>
      <c r="AD61" s="2">
        <f>22948971</f>
        <v>22948971</v>
      </c>
      <c r="AE61" s="4">
        <f>AC61/P61</f>
        <v>1</v>
      </c>
      <c r="AF61" s="2">
        <f>397653.32+124000+3456614.77+260000+380000+6792+1172862+100000+1006481.57+600000+50000+450000+390047.3+3321612.73+100000+120385+8600+463284+449110+505184+164720+220000+60000+424968+110000+291000+7440.15+150000+1010000+360+300+1198068+99999+3439.6+50000+20000+560000+50000+567337+1795420+495000+29990+400000+300000+100000</f>
        <v>21470668.440000005</v>
      </c>
      <c r="AG61" s="2">
        <f>21370668.44+100000</f>
        <v>21470668.440000001</v>
      </c>
      <c r="AH61" s="2">
        <f>397653.32+124000+3456614.77+260000+380000+6792+1172862+100000+1006481.57+600000+50000+450000+390047.3+3321612.73+100000+120385+8600+463284+449110+505184+164720+220000+60000+240764+110000+255000+116901.15+150000+143098+1010000+130000+360+300+79182+1198068+99999+878556.82+3439.6+50000+20000+718208+50000+567337+1795420+495000+29990+400000+100000+300000+200000-100000+100000</f>
        <v>22948970.260000005</v>
      </c>
      <c r="AI61" s="2"/>
      <c r="AJ61" s="2"/>
      <c r="AK61" s="2"/>
      <c r="AL61" s="2">
        <f>22848970.26+100000</f>
        <v>22948970.260000002</v>
      </c>
      <c r="AM61" s="4">
        <v>3.4000000000000002E-2</v>
      </c>
      <c r="AN61" s="4">
        <f>AB61*AM61</f>
        <v>780265.01400000008</v>
      </c>
      <c r="AO61" s="2">
        <f>17990+139699+128163+120385+63284+20796+9461+43098+79182+158208</f>
        <v>780266</v>
      </c>
      <c r="AP61" s="2">
        <f>780266</f>
        <v>780266</v>
      </c>
      <c r="AQ61" s="2">
        <f t="shared" si="24"/>
        <v>-0.98599999991711229</v>
      </c>
      <c r="AR61" s="2"/>
      <c r="AS61" s="2">
        <v>160</v>
      </c>
      <c r="AT61" s="2" t="s">
        <v>1213</v>
      </c>
    </row>
    <row r="62" spans="1:46" x14ac:dyDescent="0.15">
      <c r="A62" s="34">
        <v>40522</v>
      </c>
      <c r="B62" s="2" t="s">
        <v>1704</v>
      </c>
      <c r="C62" s="2" t="s">
        <v>821</v>
      </c>
      <c r="D62" s="2" t="s">
        <v>1278</v>
      </c>
      <c r="E62" s="2" t="s">
        <v>0</v>
      </c>
      <c r="F62" s="2" t="s">
        <v>1279</v>
      </c>
      <c r="G62" s="2" t="s">
        <v>1267</v>
      </c>
      <c r="H62" s="2" t="s">
        <v>1280</v>
      </c>
      <c r="I62" s="2" t="s">
        <v>1281</v>
      </c>
      <c r="J62" s="2" t="s">
        <v>1282</v>
      </c>
      <c r="K62" s="2" t="s">
        <v>1283</v>
      </c>
      <c r="L62" s="2"/>
      <c r="M62" s="2">
        <v>6039289.1299999999</v>
      </c>
      <c r="N62" s="2"/>
      <c r="O62" s="2"/>
      <c r="P62" s="2"/>
      <c r="Q62" s="3"/>
      <c r="R62" s="41"/>
      <c r="S62" s="2"/>
      <c r="T62" s="2"/>
      <c r="U62" s="2" t="s">
        <v>14</v>
      </c>
      <c r="V62" s="4"/>
      <c r="W62" s="2"/>
      <c r="X62" s="2"/>
      <c r="Y62" s="2"/>
      <c r="Z62" s="2"/>
      <c r="AA62" s="2">
        <f>150000</f>
        <v>150000</v>
      </c>
      <c r="AB62" s="2">
        <f>150000</f>
        <v>150000</v>
      </c>
      <c r="AC62" s="2">
        <f>150000</f>
        <v>150000</v>
      </c>
      <c r="AD62" s="2">
        <f>150000</f>
        <v>150000</v>
      </c>
      <c r="AE62" s="4">
        <f t="shared" si="26"/>
        <v>2.4837360287136973E-2</v>
      </c>
      <c r="AF62" s="2"/>
      <c r="AG62" s="2"/>
      <c r="AH62" s="2"/>
      <c r="AI62" s="2"/>
      <c r="AJ62" s="2"/>
      <c r="AK62" s="2"/>
      <c r="AL62" s="2"/>
      <c r="AM62" s="4">
        <v>3.4000000000000002E-2</v>
      </c>
      <c r="AN62" s="4">
        <f>AB62*AM62</f>
        <v>5100</v>
      </c>
      <c r="AO62" s="2"/>
      <c r="AP62" s="2"/>
      <c r="AQ62" s="2">
        <f t="shared" si="24"/>
        <v>5100</v>
      </c>
      <c r="AR62" s="2"/>
      <c r="AS62" s="2"/>
      <c r="AT62" s="2"/>
    </row>
    <row r="63" spans="1:46" x14ac:dyDescent="0.15">
      <c r="A63" s="34">
        <v>40414</v>
      </c>
      <c r="B63" s="2" t="s">
        <v>1705</v>
      </c>
      <c r="C63" s="2" t="s">
        <v>822</v>
      </c>
      <c r="D63" s="2" t="s">
        <v>1284</v>
      </c>
      <c r="E63" s="2" t="s">
        <v>0</v>
      </c>
      <c r="F63" s="2" t="s">
        <v>1285</v>
      </c>
      <c r="G63" s="2" t="s">
        <v>1267</v>
      </c>
      <c r="H63" s="2" t="s">
        <v>1286</v>
      </c>
      <c r="I63" s="2" t="s">
        <v>430</v>
      </c>
      <c r="J63" s="2" t="s">
        <v>429</v>
      </c>
      <c r="K63" s="2" t="s">
        <v>431</v>
      </c>
      <c r="L63" s="2"/>
      <c r="M63" s="2">
        <v>5003400</v>
      </c>
      <c r="N63" s="2">
        <f>3085949</f>
        <v>3085949</v>
      </c>
      <c r="O63" s="2"/>
      <c r="P63" s="2"/>
      <c r="Q63" s="3"/>
      <c r="R63" s="41"/>
      <c r="S63" s="2"/>
      <c r="T63" s="2"/>
      <c r="U63" s="2" t="s">
        <v>14</v>
      </c>
      <c r="V63" s="4">
        <v>0.03</v>
      </c>
      <c r="W63" s="2">
        <f>V63*(M63+N63)</f>
        <v>242680.47</v>
      </c>
      <c r="X63" s="2">
        <f>150102+8483+35344.43+48751</f>
        <v>242680.43</v>
      </c>
      <c r="Y63" s="2">
        <f>242680.43</f>
        <v>242680.43</v>
      </c>
      <c r="Z63" s="2">
        <f>W63-Y63</f>
        <v>4.0000000008149073E-2</v>
      </c>
      <c r="AA63" s="2">
        <f>1501020+156000+1052333+754164+925748+30000+1039542+445885</f>
        <v>5904692</v>
      </c>
      <c r="AB63" s="2">
        <f>5904692</f>
        <v>5904692</v>
      </c>
      <c r="AC63" s="2">
        <f>1501020+156000+1052333+754164+925748+889679</f>
        <v>5278944</v>
      </c>
      <c r="AD63" s="2">
        <f>5278944</f>
        <v>5278944</v>
      </c>
      <c r="AE63" s="4">
        <f t="shared" si="26"/>
        <v>0.65257958335089761</v>
      </c>
      <c r="AF63" s="2">
        <f>495000+8934.24+217727.29+281732+100000+56524+292721.34-44536+59404+144977.13+948145.99+673020+25642+100000+52600+715410.46+38103+31883+20000+15160+139063.45+148142.73+280000+1025000</f>
        <v>5824654.6300000008</v>
      </c>
      <c r="AG63" s="2">
        <f>5824654.63</f>
        <v>5824654.6299999999</v>
      </c>
      <c r="AH63" s="2">
        <f>495000+8934.24+217727.29+281732+100000+56524+292721.34-44536+59404+144977.13+948145.99+673020+25642+100000+52600+715410.46+38103+31883+20000+15160+139063.45+890000-29173+44536</f>
        <v>5276874.9000000004</v>
      </c>
      <c r="AI63" s="2"/>
      <c r="AJ63" s="2"/>
      <c r="AK63" s="2"/>
      <c r="AL63" s="2">
        <f>5276874.9</f>
        <v>5276874.9000000004</v>
      </c>
      <c r="AM63" s="4">
        <v>3.4000000000000002E-2</v>
      </c>
      <c r="AN63" s="4">
        <f>AB63*AM63</f>
        <v>200759.52800000002</v>
      </c>
      <c r="AO63" s="2">
        <f>51035+5304+35779+25642+31475+1020+35344+15160</f>
        <v>200759</v>
      </c>
      <c r="AP63" s="2">
        <f>200759</f>
        <v>200759</v>
      </c>
      <c r="AQ63" s="2">
        <f t="shared" si="24"/>
        <v>0.52800000002025627</v>
      </c>
      <c r="AR63" s="2"/>
      <c r="AS63" s="2">
        <v>85</v>
      </c>
      <c r="AT63" s="2" t="s">
        <v>1287</v>
      </c>
    </row>
    <row r="64" spans="1:46" s="9" customFormat="1" x14ac:dyDescent="0.15">
      <c r="A64" s="35">
        <v>40410</v>
      </c>
      <c r="B64" s="2" t="s">
        <v>1706</v>
      </c>
      <c r="C64" s="6" t="s">
        <v>823</v>
      </c>
      <c r="D64" s="6" t="s">
        <v>1288</v>
      </c>
      <c r="E64" s="6" t="s">
        <v>0</v>
      </c>
      <c r="F64" s="6" t="s">
        <v>1289</v>
      </c>
      <c r="G64" s="6" t="s">
        <v>1290</v>
      </c>
      <c r="H64" s="6" t="s">
        <v>1291</v>
      </c>
      <c r="I64" s="6" t="s">
        <v>351</v>
      </c>
      <c r="J64" s="6" t="s">
        <v>352</v>
      </c>
      <c r="K64" s="6" t="s">
        <v>35</v>
      </c>
      <c r="L64" s="6"/>
      <c r="M64" s="6">
        <v>25000000</v>
      </c>
      <c r="N64" s="6"/>
      <c r="O64" s="6"/>
      <c r="P64" s="6"/>
      <c r="Q64" s="7"/>
      <c r="R64" s="42"/>
      <c r="S64" s="6"/>
      <c r="T64" s="6"/>
      <c r="U64" s="6" t="s">
        <v>14</v>
      </c>
      <c r="V64" s="8">
        <v>0.03</v>
      </c>
      <c r="W64" s="6">
        <f>V64*(M64+N64)</f>
        <v>750000</v>
      </c>
      <c r="X64" s="6">
        <f>700000+50000</f>
        <v>750000</v>
      </c>
      <c r="Y64" s="6">
        <f>750000</f>
        <v>750000</v>
      </c>
      <c r="Z64" s="6">
        <f>W64-Y64</f>
        <v>0</v>
      </c>
      <c r="AA64" s="6">
        <f>17600000+7300000</f>
        <v>24900000</v>
      </c>
      <c r="AB64" s="6">
        <f>24900000</f>
        <v>24900000</v>
      </c>
      <c r="AC64" s="6">
        <f>1800000+8000000+3600000+1800000+1200000+1200000+4000000+500000+800000</f>
        <v>22900000</v>
      </c>
      <c r="AD64" s="6">
        <f>22900000</f>
        <v>22900000</v>
      </c>
      <c r="AE64" s="8">
        <f t="shared" si="26"/>
        <v>0.91600000000000004</v>
      </c>
      <c r="AF64" s="6">
        <f>500000+500000+600000+1849810.94+200000+970000+400000+200000+1100000+1872000+800000+230000+1715236+50000+966928+1650000+605252+200000+804320+250000+7500+1500000+600000+300000+95184+2024940+1966000+221889+138240+210000+500000</f>
        <v>23027299.939999998</v>
      </c>
      <c r="AG64" s="6">
        <f>23027299.94</f>
        <v>23027299.940000001</v>
      </c>
      <c r="AH64" s="6">
        <f>500000+500000+600000+1849810.94+200000+970000+400000+200000+1100000+1872000+800000+230000+1715236+50000+966928+1650000+605252+200000+804320+250000+7500+1500000+600000+300000+95184+2024940+1966000+221889+110000+138240+710000-366928</f>
        <v>22770371.939999998</v>
      </c>
      <c r="AI64" s="6"/>
      <c r="AJ64" s="6"/>
      <c r="AK64" s="6"/>
      <c r="AL64" s="6">
        <f>22770371.94</f>
        <v>22770371.940000001</v>
      </c>
      <c r="AM64" s="8"/>
      <c r="AN64" s="4">
        <f t="shared" ref="AN64:AN66" si="29">AB64*AM64</f>
        <v>0</v>
      </c>
      <c r="AO64" s="6"/>
      <c r="AP64" s="6"/>
      <c r="AQ64" s="6">
        <f t="shared" si="24"/>
        <v>0</v>
      </c>
      <c r="AR64" s="6"/>
      <c r="AS64" s="6">
        <v>20</v>
      </c>
      <c r="AT64" s="6" t="s">
        <v>1271</v>
      </c>
    </row>
    <row r="65" spans="1:46" x14ac:dyDescent="0.15">
      <c r="A65" s="34">
        <v>40420</v>
      </c>
      <c r="B65" s="2" t="s">
        <v>1707</v>
      </c>
      <c r="C65" s="2" t="s">
        <v>824</v>
      </c>
      <c r="D65" s="2" t="s">
        <v>825</v>
      </c>
      <c r="E65" s="2" t="s">
        <v>0</v>
      </c>
      <c r="F65" s="2" t="s">
        <v>826</v>
      </c>
      <c r="G65" s="2" t="s">
        <v>827</v>
      </c>
      <c r="H65" s="2" t="s">
        <v>69</v>
      </c>
      <c r="I65" s="2" t="s">
        <v>70</v>
      </c>
      <c r="J65" s="2" t="s">
        <v>69</v>
      </c>
      <c r="K65" s="2" t="s">
        <v>13</v>
      </c>
      <c r="L65" s="2"/>
      <c r="M65" s="2">
        <v>28413645.140000001</v>
      </c>
      <c r="N65" s="2">
        <f>4112809.9+7820525.32+2120000+567000+250000+1150000</f>
        <v>16020335.220000001</v>
      </c>
      <c r="O65" s="2"/>
      <c r="P65" s="2">
        <f>27326521.14+9574303.58+4194588.25</f>
        <v>41095412.969999999</v>
      </c>
      <c r="Q65" s="3"/>
      <c r="R65" s="41"/>
      <c r="S65" s="2"/>
      <c r="T65" s="2"/>
      <c r="U65" s="2" t="s">
        <v>828</v>
      </c>
      <c r="V65" s="4">
        <v>0.03</v>
      </c>
      <c r="W65" s="2">
        <f>P65*V65</f>
        <v>1232862.3891</v>
      </c>
      <c r="X65" s="2">
        <f>300000+123384+300000+250000+237025</f>
        <v>1210409</v>
      </c>
      <c r="Y65" s="2">
        <f>1210409</f>
        <v>1210409</v>
      </c>
      <c r="Z65" s="2">
        <f>W65-Y65</f>
        <v>22453.389100000029</v>
      </c>
      <c r="AA65" s="2">
        <f>18920000+4484105.06+1900000+5000000+824588.25+1680000+1380000+650000+1500000+500000+1500000+966521.14+1790198.52</f>
        <v>41095412.970000006</v>
      </c>
      <c r="AB65" s="2">
        <f>41095412.97</f>
        <v>41095412.969999999</v>
      </c>
      <c r="AC65" s="2">
        <f>1400000+2600000+3407000+1511081.91+4560000+1439900+5000000+580491.5+2937607+462196+700000+1000000+300000+500000+800000+1031731+500000+300000+230500+1000000+350000+273048+1333218+586905.29+627965+419150+300000+30000+200000+200000+300000+1449434.94+50000+500000+300000+459729.41+100000</f>
        <v>37739958.049999997</v>
      </c>
      <c r="AD65" s="2">
        <f>37639958.05+100000</f>
        <v>37739958.049999997</v>
      </c>
      <c r="AE65" s="4">
        <f>AD65/P65</f>
        <v>0.91834964835492683</v>
      </c>
      <c r="AF65" s="2">
        <f>1000000+187839.09+207828+1157900+33860+100000+535609.32+42884.5+295000+54043.5+171538+49000+106667+843420.29+180000+493420.29+21374.5+396547.13+500000+600000+200000+900000+3463540+1676895+89239.65+2000000+44814.7+600000+28584.36+1000000+1000000+87791.6+637025+629470+310000+37258+1000000+695000+549582.6+488525.35+5999.5+30786.75+48397.35+389834.51+700000+110089+1000000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+214986.42+75285.1+135232.78+80000</f>
        <v>36903266.610000007</v>
      </c>
      <c r="AG65" s="2">
        <f>36397762.31+214986.42+75285.1+135232.78+80000</f>
        <v>36903266.610000007</v>
      </c>
      <c r="AH65" s="2">
        <f>1000000+187839.09+207828+1157900+33860+100000+535609.32+42884.5+295000+54043.5+171538+49000+106667+843420.29+180000+650000+21374.5+396547.13+505999.5+1167994.31+200000+250000+1150000+2613540+1676895+89239.65+2000000+237025+44814.7+1100000+28584.36+1000000-250000+1000000+87791.6+400000+629470+400000+37258+1000000+695000+549582.6+488525.35+7820+30786.75+48397.35+389834.51+700000+110089+1000000+57397.78+300000+500000+413260+501815.74+622650+500000+300000+100000+103821.35+230500+64528.2+441154.42+294860+7963.05+9146+202000+232135.3+71891.87+437400+1234873.27+1307610+206000+300000+200000+200000+199430+300000+1193600+15593.3+300000+85736.16+68815.66+95000+38213+50000+200000+200000+170000+414986.42+75285.1-200000+135232.78+80000-0.42</f>
        <v>37683057.990000002</v>
      </c>
      <c r="AI65" s="2"/>
      <c r="AJ65" s="2"/>
      <c r="AK65" s="2"/>
      <c r="AL65" s="2">
        <f>37177554.11+414986.42+75285.1-200000+135232.78+80000-0.42</f>
        <v>37683057.990000002</v>
      </c>
      <c r="AM65" s="4"/>
      <c r="AN65" s="4">
        <f t="shared" si="29"/>
        <v>0</v>
      </c>
      <c r="AO65" s="2"/>
      <c r="AP65" s="2"/>
      <c r="AQ65" s="2">
        <f t="shared" si="24"/>
        <v>0</v>
      </c>
      <c r="AR65" s="2"/>
      <c r="AS65" s="2">
        <v>218</v>
      </c>
      <c r="AT65" s="2" t="s">
        <v>161</v>
      </c>
    </row>
    <row r="66" spans="1:46" x14ac:dyDescent="0.15">
      <c r="A66" s="34">
        <v>40421</v>
      </c>
      <c r="B66" s="2" t="s">
        <v>1708</v>
      </c>
      <c r="C66" s="2" t="s">
        <v>1292</v>
      </c>
      <c r="D66" s="2" t="s">
        <v>1293</v>
      </c>
      <c r="E66" s="2" t="s">
        <v>0</v>
      </c>
      <c r="F66" s="2" t="s">
        <v>1294</v>
      </c>
      <c r="G66" s="2" t="s">
        <v>1267</v>
      </c>
      <c r="H66" s="12" t="s">
        <v>1295</v>
      </c>
      <c r="I66" s="2" t="s">
        <v>1296</v>
      </c>
      <c r="J66" s="2" t="s">
        <v>1297</v>
      </c>
      <c r="K66" s="2" t="s">
        <v>1283</v>
      </c>
      <c r="L66" s="2"/>
      <c r="M66" s="2">
        <v>150000</v>
      </c>
      <c r="N66" s="2"/>
      <c r="O66" s="2"/>
      <c r="P66" s="2"/>
      <c r="Q66" s="3"/>
      <c r="R66" s="41"/>
      <c r="S66" s="2"/>
      <c r="T66" s="2"/>
      <c r="U66" s="2" t="s">
        <v>82</v>
      </c>
      <c r="V66" s="4">
        <v>3.5999999999999997E-2</v>
      </c>
      <c r="W66" s="2">
        <f>V66*(M66+N66)</f>
        <v>5400</v>
      </c>
      <c r="X66" s="2">
        <f>5400</f>
        <v>5400</v>
      </c>
      <c r="Y66" s="2">
        <f>5400</f>
        <v>5400</v>
      </c>
      <c r="Z66" s="2">
        <f>W66-Y66</f>
        <v>0</v>
      </c>
      <c r="AA66" s="2"/>
      <c r="AB66" s="2"/>
      <c r="AC66" s="2"/>
      <c r="AD66" s="2"/>
      <c r="AE66" s="4"/>
      <c r="AF66" s="2"/>
      <c r="AG66" s="2"/>
      <c r="AH66" s="2"/>
      <c r="AI66" s="2"/>
      <c r="AJ66" s="2"/>
      <c r="AK66" s="2"/>
      <c r="AL66" s="2"/>
      <c r="AM66" s="4">
        <v>3.4000000000000002E-2</v>
      </c>
      <c r="AN66" s="4">
        <f t="shared" si="29"/>
        <v>0</v>
      </c>
      <c r="AO66" s="2"/>
      <c r="AP66" s="2"/>
      <c r="AQ66" s="2"/>
      <c r="AR66" s="2"/>
      <c r="AS66" s="2"/>
      <c r="AT66" s="2"/>
    </row>
    <row r="67" spans="1:46" x14ac:dyDescent="0.15">
      <c r="A67" s="34">
        <v>40491</v>
      </c>
      <c r="B67" s="2" t="s">
        <v>1709</v>
      </c>
      <c r="C67" s="2" t="s">
        <v>43</v>
      </c>
      <c r="D67" s="2" t="s">
        <v>44</v>
      </c>
      <c r="E67" s="2" t="s">
        <v>0</v>
      </c>
      <c r="F67" s="2" t="s">
        <v>9</v>
      </c>
      <c r="G67" s="2" t="s">
        <v>10</v>
      </c>
      <c r="H67" s="2" t="s">
        <v>11</v>
      </c>
      <c r="I67" s="2" t="s">
        <v>12</v>
      </c>
      <c r="J67" s="2" t="s">
        <v>11</v>
      </c>
      <c r="K67" s="2" t="s">
        <v>13</v>
      </c>
      <c r="L67" s="2"/>
      <c r="M67" s="2">
        <v>842038</v>
      </c>
      <c r="N67" s="2"/>
      <c r="O67" s="2"/>
      <c r="P67" s="2"/>
      <c r="Q67" s="3"/>
      <c r="R67" s="41"/>
      <c r="S67" s="2">
        <v>253</v>
      </c>
      <c r="T67" s="2"/>
      <c r="U67" s="2" t="s">
        <v>82</v>
      </c>
      <c r="V67" s="4">
        <v>3.5999999999999997E-2</v>
      </c>
      <c r="W67" s="2">
        <f>M67*V67</f>
        <v>30313.367999999999</v>
      </c>
      <c r="X67" s="2">
        <v>30313</v>
      </c>
      <c r="Y67" s="2">
        <v>30313</v>
      </c>
      <c r="Z67" s="2">
        <f t="shared" ref="Z67:Z82" si="30">W67-Y67</f>
        <v>0.36799999999857391</v>
      </c>
      <c r="AA67" s="2">
        <f>500000+200000</f>
        <v>700000</v>
      </c>
      <c r="AB67" s="2">
        <f>700000</f>
        <v>700000</v>
      </c>
      <c r="AC67" s="2">
        <f>500000+200000</f>
        <v>700000</v>
      </c>
      <c r="AD67" s="2">
        <f>700000</f>
        <v>700000</v>
      </c>
      <c r="AE67" s="4">
        <f>AC67/(M67+N67)</f>
        <v>0.83131640139756158</v>
      </c>
      <c r="AF67" s="2">
        <f>67000+400000+33000+193200</f>
        <v>693200</v>
      </c>
      <c r="AG67" s="2">
        <f>693200</f>
        <v>693200</v>
      </c>
      <c r="AH67" s="2">
        <f>67000+400000+33000+193200</f>
        <v>693200</v>
      </c>
      <c r="AI67" s="2"/>
      <c r="AJ67" s="2"/>
      <c r="AK67" s="2"/>
      <c r="AL67" s="2">
        <f>693200</f>
        <v>693200</v>
      </c>
      <c r="AM67" s="4">
        <v>3.4000000000000002E-2</v>
      </c>
      <c r="AN67" s="4">
        <f>AM67*AB67</f>
        <v>23800</v>
      </c>
      <c r="AO67" s="2">
        <f>17000</f>
        <v>17000</v>
      </c>
      <c r="AP67" s="2">
        <f>17000</f>
        <v>17000</v>
      </c>
      <c r="AQ67" s="2">
        <f t="shared" si="24"/>
        <v>6800</v>
      </c>
      <c r="AR67" s="2"/>
      <c r="AS67" s="2"/>
      <c r="AT67" s="2"/>
    </row>
    <row r="68" spans="1:46" s="9" customFormat="1" x14ac:dyDescent="0.15">
      <c r="A68" s="35">
        <v>40447</v>
      </c>
      <c r="B68" s="2" t="s">
        <v>1710</v>
      </c>
      <c r="C68" s="6" t="s">
        <v>1298</v>
      </c>
      <c r="D68" s="6" t="s">
        <v>1304</v>
      </c>
      <c r="E68" s="6" t="s">
        <v>0</v>
      </c>
      <c r="F68" s="6" t="s">
        <v>1305</v>
      </c>
      <c r="G68" s="6" t="s">
        <v>1306</v>
      </c>
      <c r="H68" s="6" t="s">
        <v>1307</v>
      </c>
      <c r="I68" s="6" t="s">
        <v>1077</v>
      </c>
      <c r="J68" s="6" t="s">
        <v>1076</v>
      </c>
      <c r="K68" s="6" t="s">
        <v>5</v>
      </c>
      <c r="L68" s="6"/>
      <c r="M68" s="6">
        <v>4833074.3899999997</v>
      </c>
      <c r="N68" s="6"/>
      <c r="O68" s="6"/>
      <c r="P68" s="6"/>
      <c r="Q68" s="7"/>
      <c r="R68" s="42"/>
      <c r="S68" s="6"/>
      <c r="T68" s="6"/>
      <c r="U68" s="6" t="s">
        <v>82</v>
      </c>
      <c r="V68" s="8">
        <v>3.5999999999999997E-2</v>
      </c>
      <c r="W68" s="6">
        <f>V68*(M68+N68)</f>
        <v>173990.67803999997</v>
      </c>
      <c r="X68" s="6">
        <f>173991</f>
        <v>173991</v>
      </c>
      <c r="Y68" s="6">
        <f>173991</f>
        <v>173991</v>
      </c>
      <c r="Z68" s="6">
        <f>W68-Y68</f>
        <v>-0.32196000003023073</v>
      </c>
      <c r="AA68" s="6">
        <f>479707+959415+959415+959415+719561+742270</f>
        <v>4819783</v>
      </c>
      <c r="AB68" s="6">
        <f>4819783</f>
        <v>4819783</v>
      </c>
      <c r="AC68" s="6">
        <f>479707+959415+959415+700000+400000+319561+501280+220990</f>
        <v>4540368</v>
      </c>
      <c r="AD68" s="6">
        <f>4540368</f>
        <v>4540368</v>
      </c>
      <c r="AE68" s="8">
        <f t="shared" ref="AE68:AE73" si="31">AC68/(M68+N68)</f>
        <v>0.93943681259994016</v>
      </c>
      <c r="AF68" s="6">
        <f>479707+875262.03+850000+102705.97+689854.8+400000+100000+100000+219561+100000+500000+220980</f>
        <v>4638070.8000000007</v>
      </c>
      <c r="AG68" s="6">
        <f>4638070.8</f>
        <v>4638070.8</v>
      </c>
      <c r="AH68" s="6">
        <f>479707+875262.03+850000+102705.97+689854.8+400000+100000+100000+219561-100000+100000+500000+220980</f>
        <v>4538070.8000000007</v>
      </c>
      <c r="AI68" s="6"/>
      <c r="AJ68" s="6"/>
      <c r="AK68" s="6"/>
      <c r="AL68" s="6">
        <f>4538070.8</f>
        <v>4538070.8</v>
      </c>
      <c r="AM68" s="8">
        <v>3.7600000000000001E-2</v>
      </c>
      <c r="AN68" s="8">
        <f t="shared" ref="AN68:AN73" si="32">AM68*AB68</f>
        <v>181223.84080000001</v>
      </c>
      <c r="AO68" s="6">
        <f>181223.84</f>
        <v>181223.84</v>
      </c>
      <c r="AP68" s="6">
        <f>181223.84</f>
        <v>181223.84</v>
      </c>
      <c r="AQ68" s="6">
        <f>AN68-AP68</f>
        <v>8.0000000889413059E-4</v>
      </c>
      <c r="AR68" s="6"/>
      <c r="AS68" s="6">
        <v>80</v>
      </c>
      <c r="AT68" s="6" t="s">
        <v>1308</v>
      </c>
    </row>
    <row r="69" spans="1:46" x14ac:dyDescent="0.15">
      <c r="A69" s="34">
        <v>40438</v>
      </c>
      <c r="B69" s="2" t="s">
        <v>1711</v>
      </c>
      <c r="C69" s="2" t="s">
        <v>1299</v>
      </c>
      <c r="D69" s="2" t="s">
        <v>1309</v>
      </c>
      <c r="E69" s="2" t="s">
        <v>0</v>
      </c>
      <c r="F69" s="2" t="s">
        <v>1310</v>
      </c>
      <c r="G69" s="2" t="s">
        <v>1311</v>
      </c>
      <c r="H69" s="2" t="s">
        <v>1312</v>
      </c>
      <c r="I69" s="2" t="s">
        <v>623</v>
      </c>
      <c r="J69" s="2" t="s">
        <v>624</v>
      </c>
      <c r="K69" s="2" t="s">
        <v>13</v>
      </c>
      <c r="L69" s="2"/>
      <c r="M69" s="2">
        <v>2426830</v>
      </c>
      <c r="N69" s="2"/>
      <c r="O69" s="2"/>
      <c r="P69" s="2"/>
      <c r="Q69" s="3"/>
      <c r="R69" s="41"/>
      <c r="S69" s="2"/>
      <c r="T69" s="2"/>
      <c r="U69" s="2" t="s">
        <v>82</v>
      </c>
      <c r="V69" s="4">
        <v>3.5999999999999997E-2</v>
      </c>
      <c r="W69" s="6">
        <f t="shared" ref="W69:W72" si="33">V69*(M69+N69)</f>
        <v>87365.87999999999</v>
      </c>
      <c r="X69" s="2">
        <f>87366</f>
        <v>87366</v>
      </c>
      <c r="Y69" s="2">
        <f>87366</f>
        <v>87366</v>
      </c>
      <c r="Z69" s="2">
        <f t="shared" ref="Z69:Z73" si="34">W69-Y69</f>
        <v>-0.1200000000098953</v>
      </c>
      <c r="AA69" s="2">
        <f>400000+1600000+400000</f>
        <v>2400000</v>
      </c>
      <c r="AB69" s="2">
        <f>2400000</f>
        <v>2400000</v>
      </c>
      <c r="AC69" s="2">
        <f>700000+700000+400000+200000+400000</f>
        <v>2400000</v>
      </c>
      <c r="AD69" s="2">
        <f>2400000</f>
        <v>2400000</v>
      </c>
      <c r="AE69" s="4">
        <f t="shared" si="31"/>
        <v>0.98894442544389183</v>
      </c>
      <c r="AF69" s="2">
        <f>500000+267500+70589+51537.22+46292.42+30000+420000+350000+199980+52800+360000</f>
        <v>2348698.64</v>
      </c>
      <c r="AG69" s="2">
        <f>2348698.64</f>
        <v>2348698.64</v>
      </c>
      <c r="AH69" s="2">
        <f>500000+267500+70589+51537.22+46292.42+30000+420000+350000+199980+52800+13200+360000</f>
        <v>2361898.64</v>
      </c>
      <c r="AI69" s="2"/>
      <c r="AJ69" s="2"/>
      <c r="AK69" s="2"/>
      <c r="AL69" s="2">
        <f>2361898.64</f>
        <v>2361898.64</v>
      </c>
      <c r="AM69" s="4"/>
      <c r="AN69" s="4">
        <f t="shared" si="32"/>
        <v>0</v>
      </c>
      <c r="AO69" s="2"/>
      <c r="AP69" s="2"/>
      <c r="AQ69" s="6">
        <f t="shared" ref="AQ69:AQ73" si="35">AN69-AP69</f>
        <v>0</v>
      </c>
      <c r="AR69" s="2"/>
      <c r="AS69" s="2">
        <v>24</v>
      </c>
      <c r="AT69" s="2" t="s">
        <v>1313</v>
      </c>
    </row>
    <row r="70" spans="1:46" x14ac:dyDescent="0.15">
      <c r="A70" s="34">
        <v>40428</v>
      </c>
      <c r="B70" s="2" t="s">
        <v>1712</v>
      </c>
      <c r="C70" s="2" t="s">
        <v>1300</v>
      </c>
      <c r="D70" s="2" t="s">
        <v>1314</v>
      </c>
      <c r="E70" s="2" t="s">
        <v>0</v>
      </c>
      <c r="F70" s="2" t="s">
        <v>1315</v>
      </c>
      <c r="G70" s="2" t="s">
        <v>1316</v>
      </c>
      <c r="H70" s="2" t="s">
        <v>1317</v>
      </c>
      <c r="I70" s="2" t="s">
        <v>1318</v>
      </c>
      <c r="J70" s="2" t="s">
        <v>1317</v>
      </c>
      <c r="K70" s="2" t="s">
        <v>1319</v>
      </c>
      <c r="L70" s="2"/>
      <c r="M70" s="2">
        <v>6920000</v>
      </c>
      <c r="N70" s="2"/>
      <c r="O70" s="2"/>
      <c r="P70" s="2"/>
      <c r="Q70" s="3"/>
      <c r="R70" s="41"/>
      <c r="S70" s="2"/>
      <c r="T70" s="2"/>
      <c r="U70" s="2" t="s">
        <v>82</v>
      </c>
      <c r="V70" s="4">
        <v>0.03</v>
      </c>
      <c r="W70" s="6">
        <f t="shared" si="33"/>
        <v>207600</v>
      </c>
      <c r="X70" s="2">
        <f>97700+112517</f>
        <v>210217</v>
      </c>
      <c r="Y70" s="2">
        <f>210217</f>
        <v>210217</v>
      </c>
      <c r="Z70" s="2">
        <f t="shared" si="34"/>
        <v>-2617</v>
      </c>
      <c r="AA70" s="2">
        <f>2076000+500000+1412095+2931905</f>
        <v>6920000</v>
      </c>
      <c r="AB70" s="2">
        <f>6920000</f>
        <v>6920000</v>
      </c>
      <c r="AC70" s="2">
        <f>1000000+1076000+500000+1412095+294912+2000000+290993+346000</f>
        <v>6920000</v>
      </c>
      <c r="AD70" s="2">
        <f>6920000</f>
        <v>6920000</v>
      </c>
      <c r="AE70" s="4">
        <f t="shared" si="31"/>
        <v>1</v>
      </c>
      <c r="AF70" s="2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+350000+100000+16424</f>
        <v>6694576.71</v>
      </c>
      <c r="AG70" s="2">
        <f>6678152.71+16424</f>
        <v>6694576.71</v>
      </c>
      <c r="AH70" s="2">
        <f>159900+154260+125459+80903.95+95909+60000+221829+695076+32000+27770+324244+72000+17000+50000+15006+80000+12640+163605+10000+15000+50000+35000+121000+327696+102387+54690+106080+53900+99800+69980+255091.26+30000+25000+80000+21000+100000+99800+57000+16711.5+56780+1100000+100000+50000+42500+20000+14960+43000+96642+20000+40000+48000+6000+50000+64533+23000+30000+65000+150000+90000+345000</f>
        <v>6573152.71</v>
      </c>
      <c r="AI70" s="2"/>
      <c r="AJ70" s="2"/>
      <c r="AK70" s="2"/>
      <c r="AL70" s="2">
        <f>6573152.71</f>
        <v>6573152.71</v>
      </c>
      <c r="AM70" s="4">
        <v>3.4000000000000002E-2</v>
      </c>
      <c r="AN70" s="4">
        <f t="shared" si="32"/>
        <v>235280.00000000003</v>
      </c>
      <c r="AO70" s="2">
        <f>70584+17000+48011+99685</f>
        <v>235280</v>
      </c>
      <c r="AP70" s="2">
        <f>235280</f>
        <v>235280</v>
      </c>
      <c r="AQ70" s="6">
        <f t="shared" si="35"/>
        <v>0</v>
      </c>
      <c r="AR70" s="2"/>
      <c r="AS70" s="2">
        <v>48</v>
      </c>
      <c r="AT70" s="2" t="s">
        <v>1320</v>
      </c>
    </row>
    <row r="71" spans="1:46" x14ac:dyDescent="0.15">
      <c r="A71" s="34">
        <v>40441</v>
      </c>
      <c r="B71" s="2" t="s">
        <v>1713</v>
      </c>
      <c r="C71" s="2" t="s">
        <v>1301</v>
      </c>
      <c r="D71" s="2" t="s">
        <v>1321</v>
      </c>
      <c r="E71" s="2" t="s">
        <v>0</v>
      </c>
      <c r="F71" s="2" t="s">
        <v>1322</v>
      </c>
      <c r="G71" s="2" t="s">
        <v>1323</v>
      </c>
      <c r="H71" s="2" t="s">
        <v>268</v>
      </c>
      <c r="I71" s="2" t="s">
        <v>178</v>
      </c>
      <c r="J71" s="2" t="s">
        <v>179</v>
      </c>
      <c r="K71" s="2" t="s">
        <v>173</v>
      </c>
      <c r="L71" s="2"/>
      <c r="M71" s="2">
        <v>158100</v>
      </c>
      <c r="N71" s="2"/>
      <c r="O71" s="2"/>
      <c r="P71" s="2"/>
      <c r="Q71" s="3"/>
      <c r="R71" s="41"/>
      <c r="S71" s="2"/>
      <c r="T71" s="2"/>
      <c r="U71" s="2" t="s">
        <v>82</v>
      </c>
      <c r="V71" s="4">
        <v>3.5999999999999997E-2</v>
      </c>
      <c r="W71" s="6">
        <f t="shared" si="33"/>
        <v>5691.5999999999995</v>
      </c>
      <c r="X71" s="2">
        <f>5692</f>
        <v>5692</v>
      </c>
      <c r="Y71" s="2">
        <f>5692</f>
        <v>5692</v>
      </c>
      <c r="Z71" s="2">
        <f t="shared" si="34"/>
        <v>-0.4000000000005457</v>
      </c>
      <c r="AA71" s="2">
        <f>47000+111100</f>
        <v>158100</v>
      </c>
      <c r="AB71" s="2">
        <f>158100</f>
        <v>158100</v>
      </c>
      <c r="AC71" s="2">
        <f>47000+103200+7900</f>
        <v>158100</v>
      </c>
      <c r="AD71" s="2">
        <f>158100</f>
        <v>158100</v>
      </c>
      <c r="AE71" s="4">
        <f t="shared" si="31"/>
        <v>1</v>
      </c>
      <c r="AF71" s="2">
        <f>43777+100000+9800</f>
        <v>153577</v>
      </c>
      <c r="AG71" s="2">
        <f>143777+9800</f>
        <v>153577</v>
      </c>
      <c r="AH71" s="2">
        <f>43777+100000+9800</f>
        <v>153577</v>
      </c>
      <c r="AI71" s="2"/>
      <c r="AJ71" s="2"/>
      <c r="AK71" s="2"/>
      <c r="AL71" s="2">
        <f>143777+9800</f>
        <v>153577</v>
      </c>
      <c r="AM71" s="4">
        <v>3.4000000000000002E-2</v>
      </c>
      <c r="AN71" s="4">
        <f t="shared" si="32"/>
        <v>5375.4000000000005</v>
      </c>
      <c r="AO71" s="2">
        <f>1598+3777</f>
        <v>5375</v>
      </c>
      <c r="AP71" s="2">
        <f>5375</f>
        <v>5375</v>
      </c>
      <c r="AQ71" s="6">
        <f t="shared" si="35"/>
        <v>0.4000000000005457</v>
      </c>
      <c r="AR71" s="2"/>
      <c r="AS71" s="2">
        <v>2</v>
      </c>
      <c r="AT71" s="2" t="s">
        <v>1320</v>
      </c>
    </row>
    <row r="72" spans="1:46" s="9" customFormat="1" x14ac:dyDescent="0.15">
      <c r="A72" s="35">
        <v>40450</v>
      </c>
      <c r="B72" s="2" t="s">
        <v>1714</v>
      </c>
      <c r="C72" s="6" t="s">
        <v>1302</v>
      </c>
      <c r="D72" s="6" t="s">
        <v>1324</v>
      </c>
      <c r="E72" s="6" t="s">
        <v>0</v>
      </c>
      <c r="F72" s="6" t="s">
        <v>1325</v>
      </c>
      <c r="G72" s="6" t="s">
        <v>1316</v>
      </c>
      <c r="H72" s="6" t="s">
        <v>86</v>
      </c>
      <c r="I72" s="6" t="s">
        <v>87</v>
      </c>
      <c r="J72" s="6" t="s">
        <v>86</v>
      </c>
      <c r="K72" s="6" t="s">
        <v>35</v>
      </c>
      <c r="L72" s="6"/>
      <c r="M72" s="6">
        <v>8490000</v>
      </c>
      <c r="N72" s="6"/>
      <c r="O72" s="6"/>
      <c r="P72" s="6"/>
      <c r="Q72" s="7"/>
      <c r="R72" s="42"/>
      <c r="S72" s="6"/>
      <c r="T72" s="6"/>
      <c r="U72" s="6" t="s">
        <v>82</v>
      </c>
      <c r="V72" s="8">
        <v>0.03</v>
      </c>
      <c r="W72" s="6">
        <f t="shared" si="33"/>
        <v>254700</v>
      </c>
      <c r="X72" s="6">
        <f>100000+154700</f>
        <v>254700</v>
      </c>
      <c r="Y72" s="6">
        <f>254700</f>
        <v>254700</v>
      </c>
      <c r="Z72" s="6">
        <f t="shared" si="34"/>
        <v>0</v>
      </c>
      <c r="AA72" s="6">
        <f>2000000+1500000+1500000+400000+300000+500000+200000+600000</f>
        <v>7000000</v>
      </c>
      <c r="AB72" s="6">
        <f>7000000</f>
        <v>7000000</v>
      </c>
      <c r="AC72" s="6">
        <f>2000000+1500000+1500000+400000+300000+500000+200000+600000</f>
        <v>7000000</v>
      </c>
      <c r="AD72" s="6">
        <f>7000000</f>
        <v>7000000</v>
      </c>
      <c r="AE72" s="8">
        <f t="shared" si="31"/>
        <v>0.82449941107184921</v>
      </c>
      <c r="AF72" s="6">
        <f>956757.85+750000+216020.08+72547+1001000+250000+160000+90000+1185917+258610.4+300000+300000+369519+261884+99800+90000+499995+118699.03</f>
        <v>6980749.3600000003</v>
      </c>
      <c r="AG72" s="6">
        <f>6980749.36</f>
        <v>6980749.3600000003</v>
      </c>
      <c r="AH72" s="6">
        <f>956757.85+750000+216020.08+72547+1001000+250000+160000+90000+1185917+258610.4+413253.64+310200+238116+261884+99800+6800+90000+520395+118699.03</f>
        <v>7000000</v>
      </c>
      <c r="AI72" s="6"/>
      <c r="AJ72" s="6"/>
      <c r="AK72" s="6"/>
      <c r="AL72" s="6">
        <f>7000000</f>
        <v>7000000</v>
      </c>
      <c r="AM72" s="8">
        <v>3.4000000000000002E-2</v>
      </c>
      <c r="AN72" s="8">
        <f t="shared" si="32"/>
        <v>238000.00000000003</v>
      </c>
      <c r="AO72" s="6">
        <f>68000+51000+51000+13600+10200+17000+6800+20400</f>
        <v>238000</v>
      </c>
      <c r="AP72" s="6">
        <f>238000</f>
        <v>238000</v>
      </c>
      <c r="AQ72" s="6">
        <f t="shared" si="35"/>
        <v>0</v>
      </c>
      <c r="AR72" s="6"/>
      <c r="AS72" s="6">
        <v>120</v>
      </c>
      <c r="AT72" s="6" t="s">
        <v>1326</v>
      </c>
    </row>
    <row r="73" spans="1:46" x14ac:dyDescent="0.15">
      <c r="A73" s="34">
        <v>40476</v>
      </c>
      <c r="B73" s="2" t="s">
        <v>1715</v>
      </c>
      <c r="C73" s="2" t="s">
        <v>1303</v>
      </c>
      <c r="D73" s="2" t="s">
        <v>1327</v>
      </c>
      <c r="E73" s="2" t="s">
        <v>0</v>
      </c>
      <c r="F73" s="2" t="s">
        <v>1328</v>
      </c>
      <c r="G73" s="2" t="s">
        <v>1329</v>
      </c>
      <c r="H73" s="2" t="s">
        <v>1330</v>
      </c>
      <c r="I73" s="2" t="s">
        <v>623</v>
      </c>
      <c r="J73" s="2" t="s">
        <v>624</v>
      </c>
      <c r="K73" s="2" t="s">
        <v>13</v>
      </c>
      <c r="L73" s="2"/>
      <c r="M73" s="2">
        <v>22884390.190000001</v>
      </c>
      <c r="N73" s="2">
        <f>11136507.11</f>
        <v>11136507.109999999</v>
      </c>
      <c r="O73" s="2"/>
      <c r="P73" s="2">
        <v>26259755.09</v>
      </c>
      <c r="Q73" s="3"/>
      <c r="R73" s="41"/>
      <c r="S73" s="2"/>
      <c r="T73" s="2"/>
      <c r="U73" s="2" t="s">
        <v>82</v>
      </c>
      <c r="V73" s="4">
        <v>0.03</v>
      </c>
      <c r="W73" s="6">
        <f>(M73*V73)+(N73*0.01)+(3375364.9*0.035)</f>
        <v>916034.54830000014</v>
      </c>
      <c r="X73" s="2">
        <f>200000+200000+286532+111366+118138</f>
        <v>916036</v>
      </c>
      <c r="Y73" s="2">
        <f>916036</f>
        <v>916036</v>
      </c>
      <c r="Z73" s="2">
        <f t="shared" si="34"/>
        <v>-1.4516999998595566</v>
      </c>
      <c r="AA73" s="2">
        <f>2430571+3945200+3945200+834986.31+3945200+1970232.99+3000000+6188364.79</f>
        <v>26259755.09</v>
      </c>
      <c r="AB73" s="2">
        <f>26259755.09</f>
        <v>26259755.09</v>
      </c>
      <c r="AC73" s="2">
        <f>2430571+1972600+1972600+3945200+2807586.31+1972600+1970232.99+3000000+3281344.31+1112987.75</f>
        <v>24465722.359999999</v>
      </c>
      <c r="AD73" s="2">
        <f>24465722.36</f>
        <v>24465722.359999999</v>
      </c>
      <c r="AE73" s="4">
        <f t="shared" si="31"/>
        <v>0.71913806811909109</v>
      </c>
      <c r="AF73" s="2">
        <f>482639+195000+1000000+400000+200000+18307.5+400000+1016997+173997+450972.2+1134881.5+451169.6+450000+2434640+580000+134137+20000+774900-500000+430000+70990-20000+20000+2573605.49+22400.04+162527+50000+1147190+500000+250000+50000+30000+1293308+25000+200000+52306.33+56552+240436+20000+30000+107606.4+6564+1692.67+55000+2840800+100000+20427.67+87270.71+74100+379499+1000000+835000+532795+1000000</f>
        <v>24062711.110000003</v>
      </c>
      <c r="AG73" s="2">
        <f>23062711.11+1000000</f>
        <v>24062711.109999999</v>
      </c>
      <c r="AH73" s="2">
        <f>482639+195000+1000000+400000+200000+18307.5+400000+1016997+173997+450972.2+1134881.5+451169.6+450000+2434640+580000+134137+20000+774900-500000+430000+70990-20000+20000+2573605.49+22400.04+162527+50000+1147190+500000+250000+50000+30000+1293308+25600+200000+52306.33+56552+240436+20000+30000+7000+40000+1692.67+55000+2942800+310404+20427.67+87270.71+74100+379499+1000000+835000+532795+1000000</f>
        <v>24308544.710000005</v>
      </c>
      <c r="AI73" s="2"/>
      <c r="AJ73" s="2"/>
      <c r="AK73" s="2"/>
      <c r="AL73" s="2">
        <f>23308544.71+1000000</f>
        <v>24308544.710000001</v>
      </c>
      <c r="AM73" s="4">
        <v>3.4000000000000002E-2</v>
      </c>
      <c r="AN73" s="4">
        <f t="shared" si="32"/>
        <v>892831.67306000006</v>
      </c>
      <c r="AO73" s="2">
        <f>82639+134137+134137+28390+134137+66988+102000+210404</f>
        <v>892832</v>
      </c>
      <c r="AP73" s="2">
        <f>892832</f>
        <v>892832</v>
      </c>
      <c r="AQ73" s="6">
        <f t="shared" si="35"/>
        <v>-0.32693999994080514</v>
      </c>
      <c r="AR73" s="2"/>
      <c r="AS73" s="2">
        <v>60</v>
      </c>
      <c r="AT73" s="2" t="s">
        <v>1326</v>
      </c>
    </row>
    <row r="74" spans="1:46" s="9" customFormat="1" x14ac:dyDescent="0.15">
      <c r="A74" s="35">
        <v>40467</v>
      </c>
      <c r="B74" s="2" t="s">
        <v>1716</v>
      </c>
      <c r="C74" s="6" t="s">
        <v>664</v>
      </c>
      <c r="D74" s="6" t="s">
        <v>665</v>
      </c>
      <c r="E74" s="6" t="s">
        <v>0</v>
      </c>
      <c r="F74" s="6" t="s">
        <v>666</v>
      </c>
      <c r="G74" s="6" t="s">
        <v>656</v>
      </c>
      <c r="H74" s="6" t="s">
        <v>667</v>
      </c>
      <c r="I74" s="6" t="s">
        <v>244</v>
      </c>
      <c r="J74" s="6" t="s">
        <v>254</v>
      </c>
      <c r="K74" s="6" t="s">
        <v>13</v>
      </c>
      <c r="L74" s="6"/>
      <c r="M74" s="6">
        <v>1787170</v>
      </c>
      <c r="N74" s="6">
        <f>847000+21000</f>
        <v>868000</v>
      </c>
      <c r="O74" s="6"/>
      <c r="P74" s="6">
        <f>2589000+21000</f>
        <v>2610000</v>
      </c>
      <c r="Q74" s="7"/>
      <c r="R74" s="42"/>
      <c r="S74" s="6"/>
      <c r="T74" s="6"/>
      <c r="U74" s="6" t="s">
        <v>659</v>
      </c>
      <c r="V74" s="8">
        <v>3.5999999999999997E-2</v>
      </c>
      <c r="W74" s="6">
        <f>P74*V74</f>
        <v>93960</v>
      </c>
      <c r="X74" s="6">
        <f>64338+30492</f>
        <v>94830</v>
      </c>
      <c r="Y74" s="6">
        <f>94830</f>
        <v>94830</v>
      </c>
      <c r="Z74" s="2">
        <f t="shared" si="30"/>
        <v>-870</v>
      </c>
      <c r="AA74" s="6">
        <f>150000+500000+210000+500000+200000+200000+350000+200000+100000+200000</f>
        <v>2610000</v>
      </c>
      <c r="AB74" s="6">
        <f>2610000</f>
        <v>2610000</v>
      </c>
      <c r="AC74" s="6">
        <f>150000+500000+210000+500000+200000+200000+350000+200000+100000+200000</f>
        <v>2610000</v>
      </c>
      <c r="AD74" s="6">
        <f>2410000+200000</f>
        <v>2610000</v>
      </c>
      <c r="AE74" s="8">
        <f>AC74/P74</f>
        <v>1</v>
      </c>
      <c r="AF74" s="6">
        <f>150000+367100+100000+7140+102000+50000+200000+148800+100000+50000+50000+6800+150000+40000+6800+150000+397877+180000+100000+100000+90000-90000+99000</f>
        <v>2555517</v>
      </c>
      <c r="AG74" s="6">
        <f>2356517+100000+90000-90000+99000</f>
        <v>2555517</v>
      </c>
      <c r="AH74" s="6">
        <f>150000+367100+100000+7140+102000+50000+200000+148800+100000+50000+50000+6800+150000+40000+6800+150000+11900+397877+20000+186800+1810.08+3400+100000+6800+100000+90000-90000+99000</f>
        <v>2606227.08</v>
      </c>
      <c r="AI74" s="6"/>
      <c r="AJ74" s="6"/>
      <c r="AK74" s="6"/>
      <c r="AL74" s="6">
        <f>2407227.08+100000+90000-90000+99000</f>
        <v>2606227.08</v>
      </c>
      <c r="AM74" s="8">
        <v>3.4000000000000002E-2</v>
      </c>
      <c r="AN74" s="8">
        <f t="shared" ref="AN74:AN114" si="36">AM74*AB74</f>
        <v>88740</v>
      </c>
      <c r="AO74" s="6">
        <f>20000+2100+7140+17000+6800+6800+11900+6800+3400+6800</f>
        <v>88740</v>
      </c>
      <c r="AP74" s="6">
        <f>88740</f>
        <v>88740</v>
      </c>
      <c r="AQ74" s="2">
        <f t="shared" si="24"/>
        <v>0</v>
      </c>
      <c r="AR74" s="6"/>
      <c r="AS74" s="6"/>
      <c r="AT74" s="6"/>
    </row>
    <row r="75" spans="1:46" s="9" customFormat="1" x14ac:dyDescent="0.15">
      <c r="A75" s="35">
        <v>40479</v>
      </c>
      <c r="B75" s="2" t="s">
        <v>1717</v>
      </c>
      <c r="C75" s="6" t="s">
        <v>967</v>
      </c>
      <c r="D75" s="6" t="s">
        <v>1331</v>
      </c>
      <c r="E75" s="6" t="s">
        <v>0</v>
      </c>
      <c r="F75" s="6" t="s">
        <v>1332</v>
      </c>
      <c r="G75" s="6" t="s">
        <v>1329</v>
      </c>
      <c r="H75" s="6" t="s">
        <v>308</v>
      </c>
      <c r="I75" s="2" t="s">
        <v>309</v>
      </c>
      <c r="J75" s="2" t="s">
        <v>308</v>
      </c>
      <c r="K75" s="2" t="s">
        <v>35</v>
      </c>
      <c r="L75" s="6"/>
      <c r="M75" s="6">
        <v>2940379.79</v>
      </c>
      <c r="N75" s="6"/>
      <c r="O75" s="6"/>
      <c r="P75" s="6">
        <v>3822000</v>
      </c>
      <c r="Q75" s="7"/>
      <c r="R75" s="42"/>
      <c r="S75" s="6"/>
      <c r="T75" s="6"/>
      <c r="U75" s="6" t="s">
        <v>14</v>
      </c>
      <c r="V75" s="8">
        <v>3.5999999999999997E-2</v>
      </c>
      <c r="W75" s="6">
        <f>P75*V75</f>
        <v>137592</v>
      </c>
      <c r="X75" s="6">
        <f>35854+70000+31738</f>
        <v>137592</v>
      </c>
      <c r="Y75" s="6">
        <f>137592</f>
        <v>137592</v>
      </c>
      <c r="Z75" s="2">
        <f t="shared" si="30"/>
        <v>0</v>
      </c>
      <c r="AA75" s="6">
        <f>800000+500000+300000+1200000+530000+300900+191100</f>
        <v>3822000</v>
      </c>
      <c r="AB75" s="6">
        <f>3822000</f>
        <v>3822000</v>
      </c>
      <c r="AC75" s="6">
        <f>800000+500000+300000+1200000+530000+300900+191100</f>
        <v>3822000</v>
      </c>
      <c r="AD75" s="6">
        <f>3822000</f>
        <v>3822000</v>
      </c>
      <c r="AE75" s="8">
        <f>AC75/P75</f>
        <v>1</v>
      </c>
      <c r="AF75" s="6">
        <f>347200+170000+177411.81+88000+451700+59522+287358.44+15264.11+863019.58+103440+33000+18671+45542.5+20000+106033.4+212737.36+119950+200000+241057+20000+86000+37080+163111+29705+123600+30000</f>
        <v>4049403.1999999997</v>
      </c>
      <c r="AG75" s="6">
        <f>4049403.2</f>
        <v>4049403.2</v>
      </c>
      <c r="AH75" s="6">
        <f>347200+170000+177411.81+88000+451700+59522+287358.44+15264.11+863019.58+103440+33000+18671+45542.5+20000+106033.4+212737.36+119950+200000+241057+20000+86000+37080+126031+37497+123600+30000-200000</f>
        <v>3820115.1999999997</v>
      </c>
      <c r="AI75" s="6"/>
      <c r="AJ75" s="6"/>
      <c r="AK75" s="6"/>
      <c r="AL75" s="6">
        <f>3820115.2</f>
        <v>3820115.2</v>
      </c>
      <c r="AM75" s="8">
        <v>3.4000000000000002E-2</v>
      </c>
      <c r="AN75" s="8">
        <f t="shared" si="36"/>
        <v>129948.00000000001</v>
      </c>
      <c r="AO75" s="6">
        <f>27200+17000+10200+40800+18020+10231+6497</f>
        <v>129948</v>
      </c>
      <c r="AP75" s="6">
        <f>129948</f>
        <v>129948</v>
      </c>
      <c r="AQ75" s="2">
        <f t="shared" si="24"/>
        <v>0</v>
      </c>
      <c r="AR75" s="6"/>
      <c r="AS75" s="6">
        <v>14</v>
      </c>
      <c r="AT75" s="6" t="s">
        <v>1326</v>
      </c>
    </row>
    <row r="76" spans="1:46" s="9" customFormat="1" x14ac:dyDescent="0.15">
      <c r="A76" s="35">
        <v>40470</v>
      </c>
      <c r="B76" s="2" t="s">
        <v>1718</v>
      </c>
      <c r="C76" s="6" t="s">
        <v>968</v>
      </c>
      <c r="D76" s="6" t="s">
        <v>1206</v>
      </c>
      <c r="E76" s="6" t="s">
        <v>0</v>
      </c>
      <c r="F76" s="6" t="s">
        <v>1207</v>
      </c>
      <c r="G76" s="6" t="s">
        <v>1208</v>
      </c>
      <c r="H76" s="6" t="s">
        <v>1209</v>
      </c>
      <c r="I76" s="2" t="s">
        <v>686</v>
      </c>
      <c r="J76" s="2" t="s">
        <v>687</v>
      </c>
      <c r="K76" s="2" t="s">
        <v>13</v>
      </c>
      <c r="L76" s="6"/>
      <c r="M76" s="6">
        <v>667808</v>
      </c>
      <c r="N76" s="6">
        <f>112536.84+363510.17+54576</f>
        <v>530623.01</v>
      </c>
      <c r="O76" s="6"/>
      <c r="P76" s="6"/>
      <c r="Q76" s="7"/>
      <c r="R76" s="42"/>
      <c r="S76" s="6"/>
      <c r="T76" s="6"/>
      <c r="U76" s="6" t="s">
        <v>14</v>
      </c>
      <c r="V76" s="8">
        <v>3.5999999999999997E-2</v>
      </c>
      <c r="W76" s="6">
        <f>(M76+N76)*V76</f>
        <v>43143.516359999994</v>
      </c>
      <c r="X76" s="6">
        <f>24041+4051+15051</f>
        <v>43143</v>
      </c>
      <c r="Y76" s="6">
        <f>28092+15051</f>
        <v>43143</v>
      </c>
      <c r="Z76" s="2">
        <f t="shared" si="30"/>
        <v>0.51635999999416526</v>
      </c>
      <c r="AA76" s="6">
        <f>467500+106910+569445.01+54576</f>
        <v>1198431.01</v>
      </c>
      <c r="AB76" s="6">
        <f>1198431.01</f>
        <v>1198431.01</v>
      </c>
      <c r="AC76" s="6">
        <f>467500+106910+569445.01+54576</f>
        <v>1198431.01</v>
      </c>
      <c r="AD76" s="6">
        <f>1143855.01+54576</f>
        <v>1198431.01</v>
      </c>
      <c r="AE76" s="8">
        <f>AD76/(M76+N76)</f>
        <v>1</v>
      </c>
      <c r="AF76" s="6">
        <f>71579+1000+80000+250000+458292.45+100000+108499.95+34011.3+70196.31</f>
        <v>1173579.01</v>
      </c>
      <c r="AG76" s="6">
        <f>1103382.7+70196.31</f>
        <v>1173579.01</v>
      </c>
      <c r="AH76" s="6">
        <f>71579+1000+80000+250000+481288.45+100000+108499.95+34011.3+72052.31</f>
        <v>1198431.01</v>
      </c>
      <c r="AI76" s="6"/>
      <c r="AJ76" s="6"/>
      <c r="AK76" s="6"/>
      <c r="AL76" s="6">
        <f>1126378.7+72052.31</f>
        <v>1198431.01</v>
      </c>
      <c r="AM76" s="8">
        <v>3.4000000000000002E-2</v>
      </c>
      <c r="AN76" s="8">
        <f t="shared" si="36"/>
        <v>40746.654340000001</v>
      </c>
      <c r="AO76" s="6">
        <f>15895+3635+19361+1856</f>
        <v>40747</v>
      </c>
      <c r="AP76" s="6">
        <f>38891+1856</f>
        <v>40747</v>
      </c>
      <c r="AQ76" s="2">
        <f t="shared" si="24"/>
        <v>-0.34565999999904307</v>
      </c>
      <c r="AR76" s="6"/>
      <c r="AS76" s="6">
        <v>8</v>
      </c>
      <c r="AT76" s="6" t="s">
        <v>1210</v>
      </c>
    </row>
    <row r="77" spans="1:46" s="9" customFormat="1" x14ac:dyDescent="0.15">
      <c r="A77" s="35">
        <v>40485</v>
      </c>
      <c r="B77" s="2" t="s">
        <v>1719</v>
      </c>
      <c r="C77" s="6" t="s">
        <v>969</v>
      </c>
      <c r="D77" s="6" t="s">
        <v>1333</v>
      </c>
      <c r="E77" s="6" t="s">
        <v>0</v>
      </c>
      <c r="F77" s="6" t="s">
        <v>1334</v>
      </c>
      <c r="G77" s="6" t="s">
        <v>1329</v>
      </c>
      <c r="H77" s="6" t="s">
        <v>1335</v>
      </c>
      <c r="I77" s="6" t="s">
        <v>1336</v>
      </c>
      <c r="J77" s="6" t="s">
        <v>1337</v>
      </c>
      <c r="K77" s="6" t="s">
        <v>1338</v>
      </c>
      <c r="L77" s="6"/>
      <c r="M77" s="6">
        <v>703342.8</v>
      </c>
      <c r="N77" s="6"/>
      <c r="O77" s="6"/>
      <c r="P77" s="6">
        <v>742019.99800000002</v>
      </c>
      <c r="Q77" s="7"/>
      <c r="R77" s="42"/>
      <c r="S77" s="6"/>
      <c r="T77" s="6"/>
      <c r="U77" s="6" t="s">
        <v>14</v>
      </c>
      <c r="V77" s="8">
        <v>3.5999999999999997E-2</v>
      </c>
      <c r="W77" s="6">
        <f>P77*V77</f>
        <v>26712.719927999999</v>
      </c>
      <c r="X77" s="6">
        <f>25320</f>
        <v>25320</v>
      </c>
      <c r="Y77" s="6">
        <f>25320</f>
        <v>25320</v>
      </c>
      <c r="Z77" s="6">
        <f t="shared" si="30"/>
        <v>1392.7199279999986</v>
      </c>
      <c r="AA77" s="6">
        <f>156298+234447.6+239971</f>
        <v>630716.6</v>
      </c>
      <c r="AB77" s="6">
        <f>630716.6</f>
        <v>630716.6</v>
      </c>
      <c r="AC77" s="6">
        <f>156298+234447.6+239971</f>
        <v>630716.6</v>
      </c>
      <c r="AD77" s="6">
        <f>630716.6</f>
        <v>630716.6</v>
      </c>
      <c r="AE77" s="8">
        <f>AD77/P77</f>
        <v>0.84999946322201403</v>
      </c>
      <c r="AF77" s="6">
        <f>1000+155298+171671.23+52000+10188+229812</f>
        <v>619969.23</v>
      </c>
      <c r="AG77" s="6">
        <f>619969.23</f>
        <v>619969.23</v>
      </c>
      <c r="AH77" s="6">
        <f>1000+155298+171671.23+52000+237971</f>
        <v>617940.23</v>
      </c>
      <c r="AI77" s="6"/>
      <c r="AJ77" s="6"/>
      <c r="AK77" s="6"/>
      <c r="AL77" s="6">
        <f>617940.23</f>
        <v>617940.23</v>
      </c>
      <c r="AM77" s="8">
        <v>3.4000000000000002E-2</v>
      </c>
      <c r="AN77" s="8">
        <f t="shared" si="36"/>
        <v>21444.364400000002</v>
      </c>
      <c r="AO77" s="6">
        <f>5314+7971+8159</f>
        <v>21444</v>
      </c>
      <c r="AP77" s="6">
        <f>21444</f>
        <v>21444</v>
      </c>
      <c r="AQ77" s="6">
        <f t="shared" si="24"/>
        <v>0.36440000000220607</v>
      </c>
      <c r="AR77" s="6"/>
      <c r="AS77" s="6"/>
      <c r="AT77" s="6"/>
    </row>
    <row r="78" spans="1:46" s="9" customFormat="1" x14ac:dyDescent="0.15">
      <c r="A78" s="35">
        <v>40499</v>
      </c>
      <c r="B78" s="2" t="s">
        <v>1720</v>
      </c>
      <c r="C78" s="6" t="s">
        <v>970</v>
      </c>
      <c r="D78" s="6" t="s">
        <v>1339</v>
      </c>
      <c r="E78" s="6" t="s">
        <v>0</v>
      </c>
      <c r="F78" s="6" t="s">
        <v>1340</v>
      </c>
      <c r="G78" s="6" t="s">
        <v>1329</v>
      </c>
      <c r="H78" s="2" t="s">
        <v>685</v>
      </c>
      <c r="I78" s="2" t="s">
        <v>686</v>
      </c>
      <c r="J78" s="2" t="s">
        <v>687</v>
      </c>
      <c r="K78" s="6" t="s">
        <v>1338</v>
      </c>
      <c r="L78" s="6"/>
      <c r="M78" s="6">
        <v>323422.09999999998</v>
      </c>
      <c r="N78" s="6"/>
      <c r="O78" s="6"/>
      <c r="P78" s="6">
        <v>317765.36</v>
      </c>
      <c r="Q78" s="7"/>
      <c r="R78" s="42"/>
      <c r="S78" s="6"/>
      <c r="T78" s="6"/>
      <c r="U78" s="6" t="s">
        <v>14</v>
      </c>
      <c r="V78" s="8">
        <v>3.5999999999999997E-2</v>
      </c>
      <c r="W78" s="6">
        <f>P78*V78</f>
        <v>11439.552959999999</v>
      </c>
      <c r="X78" s="6">
        <f>11643</f>
        <v>11643</v>
      </c>
      <c r="Y78" s="6">
        <f>11643</f>
        <v>11643</v>
      </c>
      <c r="Z78" s="2">
        <f t="shared" si="30"/>
        <v>-203.44704000000092</v>
      </c>
      <c r="AA78" s="6">
        <f>200000+101877.07</f>
        <v>301877.07</v>
      </c>
      <c r="AB78" s="6">
        <f>301877.07</f>
        <v>301877.07</v>
      </c>
      <c r="AC78" s="6">
        <f>98823+100000</f>
        <v>198823</v>
      </c>
      <c r="AD78" s="6">
        <f>198823</f>
        <v>198823</v>
      </c>
      <c r="AE78" s="8">
        <f t="shared" ref="AE78" si="37">AD78/P78</f>
        <v>0.625691233304977</v>
      </c>
      <c r="AF78" s="6">
        <f>150000+10264+6232+23608.3+8718.7</f>
        <v>198823</v>
      </c>
      <c r="AG78" s="6">
        <f>198823</f>
        <v>198823</v>
      </c>
      <c r="AH78" s="6">
        <f>150000+10264+6232+23608.3+8718.7</f>
        <v>198823</v>
      </c>
      <c r="AI78" s="6"/>
      <c r="AJ78" s="6"/>
      <c r="AK78" s="6"/>
      <c r="AL78" s="6">
        <f>198823</f>
        <v>198823</v>
      </c>
      <c r="AM78" s="8">
        <v>3.4000000000000002E-2</v>
      </c>
      <c r="AN78" s="8">
        <f t="shared" si="36"/>
        <v>10263.820380000001</v>
      </c>
      <c r="AO78" s="6">
        <f>6800+3464</f>
        <v>10264</v>
      </c>
      <c r="AP78" s="6">
        <f>10264</f>
        <v>10264</v>
      </c>
      <c r="AQ78" s="2">
        <f t="shared" si="24"/>
        <v>-0.17961999999897671</v>
      </c>
      <c r="AR78" s="6"/>
      <c r="AS78" s="6">
        <v>4</v>
      </c>
      <c r="AT78" s="6" t="s">
        <v>1341</v>
      </c>
    </row>
    <row r="79" spans="1:46" s="9" customFormat="1" x14ac:dyDescent="0.15">
      <c r="A79" s="35">
        <v>40562</v>
      </c>
      <c r="B79" s="2" t="s">
        <v>1721</v>
      </c>
      <c r="C79" s="6" t="s">
        <v>971</v>
      </c>
      <c r="D79" s="6" t="s">
        <v>1342</v>
      </c>
      <c r="E79" s="6" t="s">
        <v>0</v>
      </c>
      <c r="F79" s="6" t="s">
        <v>1343</v>
      </c>
      <c r="G79" s="6" t="s">
        <v>1329</v>
      </c>
      <c r="H79" s="6" t="s">
        <v>1344</v>
      </c>
      <c r="I79" s="11" t="s">
        <v>247</v>
      </c>
      <c r="J79" s="11" t="s">
        <v>248</v>
      </c>
      <c r="K79" s="11" t="s">
        <v>13</v>
      </c>
      <c r="L79" s="6"/>
      <c r="M79" s="6">
        <v>460897.4</v>
      </c>
      <c r="N79" s="6"/>
      <c r="O79" s="6"/>
      <c r="P79" s="6"/>
      <c r="Q79" s="7"/>
      <c r="R79" s="42"/>
      <c r="S79" s="6"/>
      <c r="T79" s="6"/>
      <c r="U79" s="6" t="s">
        <v>14</v>
      </c>
      <c r="V79" s="8">
        <v>3.5999999999999997E-2</v>
      </c>
      <c r="W79" s="6">
        <f t="shared" ref="W79:W82" si="38">(M79+N79)*V79</f>
        <v>16592.306400000001</v>
      </c>
      <c r="X79" s="6">
        <f>16592</f>
        <v>16592</v>
      </c>
      <c r="Y79" s="6">
        <f>16592</f>
        <v>16592</v>
      </c>
      <c r="Z79" s="2">
        <f t="shared" si="30"/>
        <v>0.30640000000130385</v>
      </c>
      <c r="AA79" s="6">
        <f>437852.53+23044.87</f>
        <v>460897.4</v>
      </c>
      <c r="AB79" s="6">
        <f>460897.4</f>
        <v>460897.4</v>
      </c>
      <c r="AC79" s="6">
        <f>437852.53</f>
        <v>437852.53</v>
      </c>
      <c r="AD79" s="6">
        <f>437852.53</f>
        <v>437852.53</v>
      </c>
      <c r="AE79" s="8">
        <f>AD79/(M79+N79)</f>
        <v>0.95000000000000007</v>
      </c>
      <c r="AF79" s="6">
        <f>370700+67152.53</f>
        <v>437852.53</v>
      </c>
      <c r="AG79" s="6">
        <f>437852.53</f>
        <v>437852.53</v>
      </c>
      <c r="AH79" s="6">
        <f>370700+67152.53</f>
        <v>437852.53</v>
      </c>
      <c r="AI79" s="6"/>
      <c r="AJ79" s="6"/>
      <c r="AK79" s="6"/>
      <c r="AL79" s="6">
        <f>437852.53</f>
        <v>437852.53</v>
      </c>
      <c r="AM79" s="8">
        <v>3.4000000000000002E-2</v>
      </c>
      <c r="AN79" s="8">
        <f t="shared" si="36"/>
        <v>15670.511600000002</v>
      </c>
      <c r="AO79" s="6">
        <f>14887+784</f>
        <v>15671</v>
      </c>
      <c r="AP79" s="6">
        <f>15671</f>
        <v>15671</v>
      </c>
      <c r="AQ79" s="2">
        <f t="shared" si="24"/>
        <v>-0.48839999999836436</v>
      </c>
      <c r="AR79" s="6"/>
      <c r="AS79" s="6"/>
      <c r="AT79" s="6"/>
    </row>
    <row r="80" spans="1:46" s="9" customFormat="1" x14ac:dyDescent="0.15">
      <c r="A80" s="35">
        <v>40515</v>
      </c>
      <c r="B80" s="2" t="s">
        <v>1722</v>
      </c>
      <c r="C80" s="6" t="s">
        <v>972</v>
      </c>
      <c r="D80" s="6" t="s">
        <v>1345</v>
      </c>
      <c r="E80" s="6" t="s">
        <v>0</v>
      </c>
      <c r="F80" s="6" t="s">
        <v>469</v>
      </c>
      <c r="G80" s="6" t="s">
        <v>1329</v>
      </c>
      <c r="H80" s="6" t="s">
        <v>1347</v>
      </c>
      <c r="I80" s="6" t="s">
        <v>1346</v>
      </c>
      <c r="J80" s="13" t="s">
        <v>414</v>
      </c>
      <c r="K80" s="13" t="s">
        <v>40</v>
      </c>
      <c r="L80" s="6"/>
      <c r="M80" s="6">
        <v>309190</v>
      </c>
      <c r="N80" s="6"/>
      <c r="O80" s="6"/>
      <c r="P80" s="6"/>
      <c r="Q80" s="7"/>
      <c r="R80" s="42"/>
      <c r="S80" s="6"/>
      <c r="T80" s="6"/>
      <c r="U80" s="6" t="s">
        <v>14</v>
      </c>
      <c r="V80" s="8">
        <v>3.5999999999999997E-2</v>
      </c>
      <c r="W80" s="6">
        <f t="shared" si="38"/>
        <v>11130.839999999998</v>
      </c>
      <c r="X80" s="6">
        <f>11131</f>
        <v>11131</v>
      </c>
      <c r="Y80" s="6">
        <f>11131</f>
        <v>11131</v>
      </c>
      <c r="Z80" s="2">
        <f t="shared" si="30"/>
        <v>-0.16000000000167347</v>
      </c>
      <c r="AA80" s="6">
        <f>92757+118821</f>
        <v>211578</v>
      </c>
      <c r="AB80" s="6">
        <f>211578</f>
        <v>211578</v>
      </c>
      <c r="AC80" s="6">
        <f>92757+118821</f>
        <v>211578</v>
      </c>
      <c r="AD80" s="6">
        <f>211578</f>
        <v>211578</v>
      </c>
      <c r="AE80" s="8">
        <f t="shared" ref="AE80:AE82" si="39">AD80/(M80+N80)</f>
        <v>0.68429768103754973</v>
      </c>
      <c r="AF80" s="6">
        <f>14285+63399.85+4040+101585+18838.8</f>
        <v>202148.65</v>
      </c>
      <c r="AG80" s="6">
        <f>202148.65</f>
        <v>202148.65</v>
      </c>
      <c r="AH80" s="6">
        <f>14285+63399.85+4040+101585+18838.8</f>
        <v>202148.65</v>
      </c>
      <c r="AI80" s="6"/>
      <c r="AJ80" s="6"/>
      <c r="AK80" s="6"/>
      <c r="AL80" s="6">
        <f>202148.65</f>
        <v>202148.65</v>
      </c>
      <c r="AM80" s="8">
        <v>3.4000000000000002E-2</v>
      </c>
      <c r="AN80" s="8">
        <f t="shared" si="36"/>
        <v>7193.652000000001</v>
      </c>
      <c r="AO80" s="6">
        <f>3154+4040</f>
        <v>7194</v>
      </c>
      <c r="AP80" s="6">
        <f>7194</f>
        <v>7194</v>
      </c>
      <c r="AQ80" s="2">
        <f t="shared" si="24"/>
        <v>-0.34799999999904685</v>
      </c>
      <c r="AR80" s="6"/>
      <c r="AS80" s="6"/>
      <c r="AT80" s="6"/>
    </row>
    <row r="81" spans="1:46" s="9" customFormat="1" x14ac:dyDescent="0.15">
      <c r="A81" s="35">
        <v>40507</v>
      </c>
      <c r="B81" s="2" t="s">
        <v>1723</v>
      </c>
      <c r="C81" s="6" t="s">
        <v>973</v>
      </c>
      <c r="D81" s="6" t="s">
        <v>1348</v>
      </c>
      <c r="E81" s="6" t="s">
        <v>0</v>
      </c>
      <c r="F81" s="6" t="s">
        <v>1349</v>
      </c>
      <c r="G81" s="6" t="s">
        <v>1350</v>
      </c>
      <c r="H81" s="6" t="s">
        <v>999</v>
      </c>
      <c r="I81" s="6" t="s">
        <v>1000</v>
      </c>
      <c r="J81" s="6" t="s">
        <v>999</v>
      </c>
      <c r="K81" s="6" t="s">
        <v>13</v>
      </c>
      <c r="L81" s="6"/>
      <c r="M81" s="6">
        <v>3602250</v>
      </c>
      <c r="N81" s="6"/>
      <c r="O81" s="6"/>
      <c r="P81" s="6">
        <v>3176000</v>
      </c>
      <c r="Q81" s="7"/>
      <c r="R81" s="42"/>
      <c r="S81" s="6"/>
      <c r="T81" s="6"/>
      <c r="U81" s="6" t="s">
        <v>14</v>
      </c>
      <c r="V81" s="8">
        <v>3.5999999999999997E-2</v>
      </c>
      <c r="W81" s="6">
        <f>P81*V81</f>
        <v>114335.99999999999</v>
      </c>
      <c r="X81" s="6">
        <f>129681</f>
        <v>129681</v>
      </c>
      <c r="Y81" s="6">
        <f>129681</f>
        <v>129681</v>
      </c>
      <c r="Z81" s="2">
        <f t="shared" si="30"/>
        <v>-15345.000000000015</v>
      </c>
      <c r="AA81" s="6"/>
      <c r="AB81" s="6"/>
      <c r="AC81" s="6">
        <f>720450+400000+800000+617050</f>
        <v>2537500</v>
      </c>
      <c r="AD81" s="6">
        <f>2537500</f>
        <v>2537500</v>
      </c>
      <c r="AE81" s="8">
        <f t="shared" si="39"/>
        <v>0.70442084808106042</v>
      </c>
      <c r="AF81" s="6">
        <f>361881+3602.25+250000+50000+270000+759959.1+534175+29970+8435+7076.9</f>
        <v>2275099.25</v>
      </c>
      <c r="AG81" s="6">
        <f>2275099.25</f>
        <v>2275099.25</v>
      </c>
      <c r="AH81" s="6">
        <f>361881+3602.25+250000+50000+270000+759959.1+534175+29970+8435+7076.9</f>
        <v>2275099.25</v>
      </c>
      <c r="AI81" s="6"/>
      <c r="AJ81" s="6"/>
      <c r="AK81" s="6"/>
      <c r="AL81" s="6">
        <f>2275099.25</f>
        <v>2275099.25</v>
      </c>
      <c r="AM81" s="8"/>
      <c r="AN81" s="8">
        <f t="shared" si="36"/>
        <v>0</v>
      </c>
      <c r="AO81" s="6"/>
      <c r="AP81" s="6"/>
      <c r="AQ81" s="2">
        <f t="shared" si="24"/>
        <v>0</v>
      </c>
      <c r="AR81" s="6"/>
      <c r="AS81" s="6">
        <v>45</v>
      </c>
      <c r="AT81" s="6" t="s">
        <v>1326</v>
      </c>
    </row>
    <row r="82" spans="1:46" s="9" customFormat="1" x14ac:dyDescent="0.15">
      <c r="A82" s="35">
        <v>40527</v>
      </c>
      <c r="B82" s="2" t="s">
        <v>1724</v>
      </c>
      <c r="C82" s="6" t="s">
        <v>974</v>
      </c>
      <c r="D82" s="6" t="s">
        <v>1351</v>
      </c>
      <c r="E82" s="6" t="s">
        <v>0</v>
      </c>
      <c r="F82" s="6" t="s">
        <v>962</v>
      </c>
      <c r="G82" s="6" t="s">
        <v>1329</v>
      </c>
      <c r="H82" s="2" t="s">
        <v>268</v>
      </c>
      <c r="I82" s="2" t="s">
        <v>178</v>
      </c>
      <c r="J82" s="2" t="s">
        <v>179</v>
      </c>
      <c r="K82" s="2" t="s">
        <v>173</v>
      </c>
      <c r="L82" s="6"/>
      <c r="M82" s="6">
        <v>1900000</v>
      </c>
      <c r="N82" s="6">
        <f>1003385+50134+195000+405000</f>
        <v>1653519</v>
      </c>
      <c r="O82" s="6"/>
      <c r="P82" s="6"/>
      <c r="Q82" s="7"/>
      <c r="R82" s="42"/>
      <c r="S82" s="6"/>
      <c r="T82" s="6"/>
      <c r="U82" s="6" t="s">
        <v>14</v>
      </c>
      <c r="V82" s="8">
        <v>3.5999999999999997E-2</v>
      </c>
      <c r="W82" s="6">
        <f t="shared" si="38"/>
        <v>127926.68399999999</v>
      </c>
      <c r="X82" s="6">
        <f>68400+36122+1805+7020+14580</f>
        <v>127927</v>
      </c>
      <c r="Y82" s="6">
        <f>127927</f>
        <v>127927</v>
      </c>
      <c r="Z82" s="2">
        <f t="shared" si="30"/>
        <v>-0.31600000000617001</v>
      </c>
      <c r="AA82" s="6">
        <f>800000+1024116+1079269+50134+195000+405000</f>
        <v>3553519</v>
      </c>
      <c r="AB82" s="6">
        <f>3553519</f>
        <v>3553519</v>
      </c>
      <c r="AC82" s="6">
        <f>800000+1024116+1079269+50134+600000</f>
        <v>3553519</v>
      </c>
      <c r="AD82" s="6">
        <f>3553519</f>
        <v>3553519</v>
      </c>
      <c r="AE82" s="8">
        <f t="shared" si="39"/>
        <v>1</v>
      </c>
      <c r="AF82" s="6">
        <f>648394+94042.41+1020573+49785+1027.9+36695+200000+350000+360000+98815.75+240000+300000+7622.2</f>
        <v>3406955.2600000002</v>
      </c>
      <c r="AG82" s="6">
        <f>3406955.26</f>
        <v>3406955.26</v>
      </c>
      <c r="AH82" s="6">
        <f>648394+94042.41+1020573+49785+1027.9+36695+200000+350000+458815.75+1705+7622.2+6630+28350+240000+300000+97200+10046.2-7622.2+7622.2</f>
        <v>3550886.4600000004</v>
      </c>
      <c r="AI82" s="6"/>
      <c r="AJ82" s="6"/>
      <c r="AK82" s="6"/>
      <c r="AL82" s="6">
        <f>3550886.46</f>
        <v>3550886.46</v>
      </c>
      <c r="AM82" s="8">
        <v>3.4000000000000002E-2</v>
      </c>
      <c r="AN82" s="8">
        <f t="shared" si="36"/>
        <v>120819.64600000001</v>
      </c>
      <c r="AO82" s="6">
        <f>27200+34820+36695+1705+6630+13770</f>
        <v>120820</v>
      </c>
      <c r="AP82" s="6">
        <f>120820</f>
        <v>120820</v>
      </c>
      <c r="AQ82" s="2">
        <f t="shared" si="24"/>
        <v>-0.35399999999208376</v>
      </c>
      <c r="AR82" s="6"/>
      <c r="AS82" s="6">
        <v>30</v>
      </c>
      <c r="AT82" s="6" t="s">
        <v>1341</v>
      </c>
    </row>
    <row r="83" spans="1:46" s="9" customFormat="1" x14ac:dyDescent="0.15">
      <c r="A83" s="35">
        <v>40535</v>
      </c>
      <c r="B83" s="2" t="s">
        <v>1725</v>
      </c>
      <c r="C83" s="6" t="s">
        <v>975</v>
      </c>
      <c r="D83" s="6" t="s">
        <v>976</v>
      </c>
      <c r="E83" s="6" t="s">
        <v>30</v>
      </c>
      <c r="F83" s="6" t="s">
        <v>977</v>
      </c>
      <c r="G83" s="6" t="s">
        <v>978</v>
      </c>
      <c r="H83" s="6" t="s">
        <v>852</v>
      </c>
      <c r="I83" s="2" t="s">
        <v>979</v>
      </c>
      <c r="J83" s="2" t="s">
        <v>852</v>
      </c>
      <c r="K83" s="2" t="s">
        <v>13</v>
      </c>
      <c r="L83" s="6"/>
      <c r="M83" s="6">
        <f>5032863.2</f>
        <v>5032863.2</v>
      </c>
      <c r="N83" s="6">
        <v>3202.8</v>
      </c>
      <c r="O83" s="6"/>
      <c r="P83" s="6">
        <f>5036066</f>
        <v>5036066</v>
      </c>
      <c r="Q83" s="7"/>
      <c r="R83" s="42"/>
      <c r="S83" s="6"/>
      <c r="T83" s="6"/>
      <c r="U83" s="6" t="s">
        <v>14</v>
      </c>
      <c r="V83" s="8">
        <v>0.03</v>
      </c>
      <c r="W83" s="6">
        <f>P83*V83</f>
        <v>151081.97999999998</v>
      </c>
      <c r="X83" s="6">
        <f>150986+96</f>
        <v>151082</v>
      </c>
      <c r="Y83" s="6">
        <f>151082</f>
        <v>151082</v>
      </c>
      <c r="Z83" s="6">
        <f>W83-Y83</f>
        <v>-2.0000000018626451E-2</v>
      </c>
      <c r="AA83" s="6">
        <f>1258215+490000+800000+1006572.32+250000+220000+300000+711278.68</f>
        <v>5036066</v>
      </c>
      <c r="AB83" s="6">
        <f>5036066</f>
        <v>5036066</v>
      </c>
      <c r="AC83" s="6">
        <f>503286.32+503286+1258215+490000+800000+250000+220000+300000+100000+359475.38+251803.3</f>
        <v>5036066</v>
      </c>
      <c r="AD83" s="6">
        <f>5036066</f>
        <v>5036066</v>
      </c>
      <c r="AE83" s="8">
        <f>AD83/P83</f>
        <v>1</v>
      </c>
      <c r="AF83" s="6">
        <f>150986+239390+14680+50000+229186.96+199036+30000+300000+270000+45500+110908+67871.04+165618+300000+74170.58+30000+15072+60000+200000+89242.5+105448.06+72000+42750+160000+27083+180000+300000+270000+230000+15000+200000+48000+129878.68+359475+200007.5+51796.18</f>
        <v>5033099.5</v>
      </c>
      <c r="AG83" s="6">
        <f>4981303.32+51796.18</f>
        <v>5033099.5</v>
      </c>
      <c r="AH83" s="6">
        <f>150986+239390+14680+50000+229186.96+199036+30000+300000+270000+45500+110908+67871.04+165618+300000+74170.58+30000+15072+60000+200000+404184.86+72000+200000+42750+160000+300000+27083+270000-300000-200000+180000+300000-270000+270000+50000-50000+15000+200000+23472.2+48000+129878.68+359475+200007.5+51796.18</f>
        <v>5036065.9999999991</v>
      </c>
      <c r="AI83" s="6"/>
      <c r="AJ83" s="6"/>
      <c r="AK83" s="6"/>
      <c r="AL83" s="6">
        <f>4984269.82+51796.18</f>
        <v>5036066</v>
      </c>
      <c r="AM83" s="8">
        <v>3.4000000000000002E-2</v>
      </c>
      <c r="AN83" s="8">
        <f t="shared" ref="AN83:AN85" si="40">AM83*AB83</f>
        <v>171226.24400000001</v>
      </c>
      <c r="AO83" s="6">
        <f>171226.24</f>
        <v>171226.23999999999</v>
      </c>
      <c r="AP83" s="6">
        <f>171226.24</f>
        <v>171226.23999999999</v>
      </c>
      <c r="AQ83" s="2">
        <f>AN83-AP83</f>
        <v>4.0000000153668225E-3</v>
      </c>
      <c r="AR83" s="6"/>
      <c r="AS83" s="6">
        <v>55</v>
      </c>
      <c r="AT83" s="6" t="s">
        <v>295</v>
      </c>
    </row>
    <row r="84" spans="1:46" s="9" customFormat="1" x14ac:dyDescent="0.15">
      <c r="A84" s="35">
        <v>40509</v>
      </c>
      <c r="B84" s="2" t="s">
        <v>1726</v>
      </c>
      <c r="C84" s="6" t="s">
        <v>1352</v>
      </c>
      <c r="D84" s="6" t="s">
        <v>1354</v>
      </c>
      <c r="E84" s="6" t="s">
        <v>0</v>
      </c>
      <c r="F84" s="6" t="s">
        <v>1355</v>
      </c>
      <c r="G84" s="6" t="s">
        <v>1329</v>
      </c>
      <c r="H84" s="6" t="s">
        <v>1060</v>
      </c>
      <c r="I84" s="2" t="s">
        <v>1061</v>
      </c>
      <c r="J84" s="2" t="s">
        <v>1062</v>
      </c>
      <c r="K84" s="2" t="s">
        <v>13</v>
      </c>
      <c r="L84" s="6"/>
      <c r="M84" s="6">
        <v>2328647.2999999998</v>
      </c>
      <c r="N84" s="6"/>
      <c r="O84" s="6"/>
      <c r="P84" s="6">
        <v>2328647.2999999998</v>
      </c>
      <c r="Q84" s="7"/>
      <c r="R84" s="42"/>
      <c r="S84" s="6"/>
      <c r="T84" s="6"/>
      <c r="U84" s="6" t="s">
        <v>14</v>
      </c>
      <c r="V84" s="8">
        <v>3.5999999999999997E-2</v>
      </c>
      <c r="W84" s="6">
        <f t="shared" ref="W84" si="41">P84*V84</f>
        <v>83831.30279999999</v>
      </c>
      <c r="X84" s="6">
        <f>83831</f>
        <v>83831</v>
      </c>
      <c r="Y84" s="6">
        <f>83831</f>
        <v>83831</v>
      </c>
      <c r="Z84" s="6">
        <f t="shared" ref="Z84:Z85" si="42">W84-Y84</f>
        <v>0.30279999999038409</v>
      </c>
      <c r="AA84" s="6">
        <f>600000+250000+300000+500000+600000+50000</f>
        <v>2300000</v>
      </c>
      <c r="AB84" s="6">
        <f>2300000</f>
        <v>2300000</v>
      </c>
      <c r="AC84" s="6">
        <f>600000+250000+300000+500000+600000+50000</f>
        <v>2300000</v>
      </c>
      <c r="AD84" s="6">
        <f>2300000</f>
        <v>2300000</v>
      </c>
      <c r="AE84" s="8">
        <f t="shared" ref="AE84" si="43">AD84/P84</f>
        <v>0.98769787936541531</v>
      </c>
      <c r="AF84" s="6">
        <f>46787+500000+2328.65+258500+10200+307147.5+299788.15+600000+108148.7</f>
        <v>2132900</v>
      </c>
      <c r="AG84" s="6">
        <f>2132900</f>
        <v>2132900</v>
      </c>
      <c r="AH84" s="6">
        <f>46787+500000+2328.65+258500+10200+307147.5+443788.15+20400+600000+1700+108148.7</f>
        <v>2299000</v>
      </c>
      <c r="AI84" s="6"/>
      <c r="AJ84" s="6"/>
      <c r="AK84" s="6"/>
      <c r="AL84" s="6">
        <f>2299000</f>
        <v>2299000</v>
      </c>
      <c r="AM84" s="8">
        <v>3.4000000000000002E-2</v>
      </c>
      <c r="AN84" s="8">
        <f t="shared" si="40"/>
        <v>78200</v>
      </c>
      <c r="AO84" s="6">
        <f>20400+8500+10200+17000+20400+1700</f>
        <v>78200</v>
      </c>
      <c r="AP84" s="6">
        <f>78200</f>
        <v>78200</v>
      </c>
      <c r="AQ84" s="2">
        <f t="shared" ref="AQ84:AQ85" si="44">AN84-AP84</f>
        <v>0</v>
      </c>
      <c r="AR84" s="6"/>
      <c r="AS84" s="6">
        <v>3</v>
      </c>
      <c r="AT84" s="6" t="s">
        <v>1356</v>
      </c>
    </row>
    <row r="85" spans="1:46" s="9" customFormat="1" x14ac:dyDescent="0.15">
      <c r="A85" s="35">
        <v>40535</v>
      </c>
      <c r="B85" s="2" t="s">
        <v>1727</v>
      </c>
      <c r="C85" s="6" t="s">
        <v>1353</v>
      </c>
      <c r="D85" s="6" t="s">
        <v>1357</v>
      </c>
      <c r="E85" s="6" t="s">
        <v>0</v>
      </c>
      <c r="F85" s="6" t="s">
        <v>1358</v>
      </c>
      <c r="G85" s="6" t="s">
        <v>1329</v>
      </c>
      <c r="H85" s="6" t="s">
        <v>1359</v>
      </c>
      <c r="I85" s="2" t="s">
        <v>1360</v>
      </c>
      <c r="J85" s="2" t="s">
        <v>1359</v>
      </c>
      <c r="K85" s="2" t="s">
        <v>1338</v>
      </c>
      <c r="L85" s="6"/>
      <c r="M85" s="6">
        <v>5316602</v>
      </c>
      <c r="N85" s="6">
        <v>1023588</v>
      </c>
      <c r="O85" s="6"/>
      <c r="P85" s="6"/>
      <c r="Q85" s="7"/>
      <c r="R85" s="42"/>
      <c r="S85" s="6"/>
      <c r="T85" s="6"/>
      <c r="U85" s="6" t="s">
        <v>14</v>
      </c>
      <c r="V85" s="8">
        <v>0.04</v>
      </c>
      <c r="W85" s="6">
        <f>(M85+245058)*V85+(N85*0.036)</f>
        <v>259315.568</v>
      </c>
      <c r="X85" s="6">
        <f>10000+140000+62664+9802+36849</f>
        <v>259315</v>
      </c>
      <c r="Y85" s="6">
        <f>259315</f>
        <v>259315</v>
      </c>
      <c r="Z85" s="6">
        <f t="shared" si="42"/>
        <v>0.56799999999930151</v>
      </c>
      <c r="AA85" s="6">
        <f>1590000+1590000+1060000+531660+790000+300000+300000+210000</f>
        <v>6371660</v>
      </c>
      <c r="AB85" s="6">
        <f>6371660</f>
        <v>6371660</v>
      </c>
      <c r="AC85" s="6">
        <f>1590000+1590000+1060000+1321660+300000+300000+210000</f>
        <v>6371660</v>
      </c>
      <c r="AD85" s="6">
        <f>6371660</f>
        <v>6371660</v>
      </c>
      <c r="AE85" s="8">
        <f>AD85/(M85+N85+245058)</f>
        <v>0.96756568621257699</v>
      </c>
      <c r="AF85" s="6">
        <f>218512.3+553230+300000+151742+167368+150000+200000+554060+72403+103964.08+270000+208900+50000+220000+311451+450000+100000+63000+400000+680000+68586+155000+183538.2+50000+120000+100000+220000</f>
        <v>6121754.5800000001</v>
      </c>
      <c r="AG85" s="6">
        <f>6121754.58</f>
        <v>6121754.5800000001</v>
      </c>
      <c r="AH85" s="6">
        <f>218512.3+553230+300000+151742+167368+150000+200000+554060+72403+103964.08+270000+208900+50000+220000+411407+486040+100000+63000+623021+650000+219174.2+50000+10200+45677.4+120000+100000+227140</f>
        <v>6325838.9800000004</v>
      </c>
      <c r="AI85" s="6"/>
      <c r="AJ85" s="6"/>
      <c r="AK85" s="6"/>
      <c r="AL85" s="6">
        <f>6325838.98</f>
        <v>6325838.9800000004</v>
      </c>
      <c r="AM85" s="8">
        <v>3.4000000000000002E-2</v>
      </c>
      <c r="AN85" s="8">
        <f t="shared" si="40"/>
        <v>216636.44</v>
      </c>
      <c r="AO85" s="6">
        <f>54060+54060+36040+18076+26860+10200+10200+7140</f>
        <v>216636</v>
      </c>
      <c r="AP85" s="6">
        <f>216636</f>
        <v>216636</v>
      </c>
      <c r="AQ85" s="2">
        <f t="shared" si="44"/>
        <v>0.44000000000232831</v>
      </c>
      <c r="AR85" s="6"/>
      <c r="AS85" s="6"/>
      <c r="AT85" s="6"/>
    </row>
    <row r="86" spans="1:46" s="9" customFormat="1" x14ac:dyDescent="0.15">
      <c r="A86" s="35">
        <v>40544</v>
      </c>
      <c r="B86" s="2" t="s">
        <v>1728</v>
      </c>
      <c r="C86" s="6" t="s">
        <v>859</v>
      </c>
      <c r="D86" s="6" t="s">
        <v>878</v>
      </c>
      <c r="E86" s="6" t="s">
        <v>0</v>
      </c>
      <c r="F86" s="6" t="s">
        <v>879</v>
      </c>
      <c r="G86" s="6" t="s">
        <v>843</v>
      </c>
      <c r="H86" s="6" t="s">
        <v>880</v>
      </c>
      <c r="I86" s="6" t="s">
        <v>881</v>
      </c>
      <c r="J86" s="6" t="s">
        <v>880</v>
      </c>
      <c r="K86" s="6" t="s">
        <v>853</v>
      </c>
      <c r="L86" s="6"/>
      <c r="M86" s="6">
        <v>13000000</v>
      </c>
      <c r="N86" s="6">
        <f>3017571.38+62809</f>
        <v>3080380.38</v>
      </c>
      <c r="O86" s="6"/>
      <c r="P86" s="6">
        <f>16017571.38+62809</f>
        <v>16080380.380000001</v>
      </c>
      <c r="Q86" s="7"/>
      <c r="R86" s="42">
        <v>40697</v>
      </c>
      <c r="S86" s="6">
        <v>3900</v>
      </c>
      <c r="T86" s="6"/>
      <c r="U86" s="6" t="s">
        <v>14</v>
      </c>
      <c r="V86" s="8">
        <v>0.03</v>
      </c>
      <c r="W86" s="6">
        <f>P86*V86</f>
        <v>482411.41139999998</v>
      </c>
      <c r="X86" s="6">
        <f>130000+54482.1+205518+90527+1884</f>
        <v>482411.1</v>
      </c>
      <c r="Y86" s="6">
        <f>480527.1+1884</f>
        <v>482411.1</v>
      </c>
      <c r="Z86" s="6">
        <f>W86-Y86</f>
        <v>0.31140000000596046</v>
      </c>
      <c r="AA86" s="6">
        <f>1300000+405492+929502+2562935+1791739+1183010+750000+300000+1177322+2000000+500000+2316693+800878.38+59669</f>
        <v>16077240.380000001</v>
      </c>
      <c r="AB86" s="6">
        <f>15216693+800878.38+59669</f>
        <v>16077240.380000001</v>
      </c>
      <c r="AC86" s="6">
        <f>1300000+405492+929502+2562935+1791739+1183010+750000+300000+1177322+2000000+500000+2316693+800878.38+59669</f>
        <v>16077240.380000001</v>
      </c>
      <c r="AD86" s="6">
        <f>15216693+800878.38+59669</f>
        <v>16077240.380000001</v>
      </c>
      <c r="AE86" s="8">
        <f>AD86/P86</f>
        <v>0.99980473098734002</v>
      </c>
      <c r="AF86" s="6">
        <f>59766+181300+349500+170000+94677.6+100000+301274.45+310013+513019.14+590570+1500000+95020+479424+685572.16+160000+508036.45+146778.78+150000+100000+150000+20400+611078+254520.81+30977+108871.8+18691.1+189488.55+864310.6+1898802+90000+380000+860139.43+209856+100000+226487.12+194869.13+150000+170000+35542+78815.11+44225+10329+150000+800000+78000</f>
        <v>14220354.229999999</v>
      </c>
      <c r="AG86" s="6">
        <f>13342354.23+800000+78000</f>
        <v>14220354.23</v>
      </c>
      <c r="AH86" s="6">
        <f>59766+181300+349500+170000+94677.6+489238.5+415061.45+854623.44+883228+1560919+95020+1014422.45+658610.16+160000+667437+296778.78+100000+50000+806978+10200+104520.81+30977+108871.8+18691.1+40029+299460.47+864310.6+1966802+107000+380000+21654.73+938907.43+209856+100000+226487.12+194869.13+150000+170000+35547+78815.11+44225+10329+150000+27230+800000+2029+78000</f>
        <v>16076372.680000002</v>
      </c>
      <c r="AI86" s="6"/>
      <c r="AJ86" s="6"/>
      <c r="AK86" s="6"/>
      <c r="AL86" s="6">
        <f>15169113.68+27230+800000+2029+78000</f>
        <v>16076372.68</v>
      </c>
      <c r="AM86" s="8">
        <v>3.4000000000000002E-2</v>
      </c>
      <c r="AN86" s="8">
        <f t="shared" si="36"/>
        <v>546626.17292000004</v>
      </c>
      <c r="AO86" s="6">
        <f>44200+13787+31603+87140+60919+40222+25500+10200+40029+68000+17000+78768+27230+2029</f>
        <v>546627</v>
      </c>
      <c r="AP86" s="6">
        <f>517368+27230+2029</f>
        <v>546627</v>
      </c>
      <c r="AQ86" s="2">
        <f>AN86-AP86</f>
        <v>-0.82707999995909631</v>
      </c>
      <c r="AR86" s="6"/>
      <c r="AS86" s="6">
        <v>104</v>
      </c>
      <c r="AT86" s="6" t="s">
        <v>855</v>
      </c>
    </row>
    <row r="87" spans="1:46" s="9" customFormat="1" x14ac:dyDescent="0.15">
      <c r="A87" s="35">
        <v>40546</v>
      </c>
      <c r="B87" s="2" t="s">
        <v>1729</v>
      </c>
      <c r="C87" s="6" t="s">
        <v>860</v>
      </c>
      <c r="D87" s="6" t="s">
        <v>882</v>
      </c>
      <c r="E87" s="6" t="s">
        <v>0</v>
      </c>
      <c r="F87" s="6" t="s">
        <v>883</v>
      </c>
      <c r="G87" s="6" t="s">
        <v>884</v>
      </c>
      <c r="H87" s="6" t="s">
        <v>86</v>
      </c>
      <c r="I87" s="2" t="s">
        <v>87</v>
      </c>
      <c r="J87" s="2" t="s">
        <v>86</v>
      </c>
      <c r="K87" s="2" t="s">
        <v>35</v>
      </c>
      <c r="L87" s="6"/>
      <c r="M87" s="6">
        <v>645752</v>
      </c>
      <c r="N87" s="6">
        <f>239183.88</f>
        <v>239183.88</v>
      </c>
      <c r="O87" s="6"/>
      <c r="P87" s="6"/>
      <c r="Q87" s="7"/>
      <c r="R87" s="42">
        <v>40656</v>
      </c>
      <c r="S87" s="6">
        <v>72</v>
      </c>
      <c r="T87" s="6"/>
      <c r="U87" s="6" t="s">
        <v>14</v>
      </c>
      <c r="V87" s="8">
        <v>3.5999999999999997E-2</v>
      </c>
      <c r="W87" s="6">
        <f>(M87+N87)*V87</f>
        <v>31857.691679999996</v>
      </c>
      <c r="X87" s="6">
        <f>23247+8610.4</f>
        <v>31857.4</v>
      </c>
      <c r="Y87" s="6">
        <f>31857.4</f>
        <v>31857.4</v>
      </c>
      <c r="Z87" s="6">
        <f t="shared" ref="Z87:Z105" si="45">W87-Y87</f>
        <v>0.29167999999481253</v>
      </c>
      <c r="AA87" s="6">
        <f>645752+199622.5</f>
        <v>845374.5</v>
      </c>
      <c r="AB87" s="6">
        <f>845374.5</f>
        <v>845374.5</v>
      </c>
      <c r="AC87" s="6">
        <f>214622.25+431129.75+199622</f>
        <v>845374</v>
      </c>
      <c r="AD87" s="6">
        <f>845374</f>
        <v>845374</v>
      </c>
      <c r="AE87" s="8">
        <f>AD87/(M87+N87)</f>
        <v>0.95529407170155645</v>
      </c>
      <c r="AF87" s="6">
        <f>150000+250000+241956+30000+27514.38+40000</f>
        <v>739470.38</v>
      </c>
      <c r="AG87" s="6">
        <f>739470.38</f>
        <v>739470.38</v>
      </c>
      <c r="AH87" s="6">
        <f>150000+250000+241956+199622</f>
        <v>841578</v>
      </c>
      <c r="AI87" s="6"/>
      <c r="AJ87" s="6"/>
      <c r="AK87" s="6"/>
      <c r="AL87" s="6">
        <f>841578</f>
        <v>841578</v>
      </c>
      <c r="AM87" s="8">
        <v>3.4000000000000002E-2</v>
      </c>
      <c r="AN87" s="8">
        <f t="shared" si="36"/>
        <v>28742.733000000004</v>
      </c>
      <c r="AO87" s="6">
        <f>21956+6787</f>
        <v>28743</v>
      </c>
      <c r="AP87" s="6">
        <f>28743</f>
        <v>28743</v>
      </c>
      <c r="AQ87" s="2">
        <f t="shared" ref="AQ87:AQ105" si="46">AN87-AP87</f>
        <v>-0.2669999999961874</v>
      </c>
      <c r="AR87" s="6"/>
      <c r="AS87" s="6"/>
      <c r="AT87" s="6"/>
    </row>
    <row r="88" spans="1:46" s="9" customFormat="1" x14ac:dyDescent="0.15">
      <c r="A88" s="35">
        <v>40561</v>
      </c>
      <c r="B88" s="2" t="s">
        <v>1730</v>
      </c>
      <c r="C88" s="6" t="s">
        <v>861</v>
      </c>
      <c r="D88" s="6" t="s">
        <v>885</v>
      </c>
      <c r="E88" s="6" t="s">
        <v>0</v>
      </c>
      <c r="F88" s="6" t="s">
        <v>886</v>
      </c>
      <c r="G88" s="6" t="s">
        <v>843</v>
      </c>
      <c r="H88" s="6" t="s">
        <v>887</v>
      </c>
      <c r="I88" s="6" t="s">
        <v>165</v>
      </c>
      <c r="J88" s="6" t="s">
        <v>164</v>
      </c>
      <c r="K88" s="6" t="s">
        <v>455</v>
      </c>
      <c r="L88" s="6"/>
      <c r="M88" s="6">
        <v>4387608</v>
      </c>
      <c r="N88" s="6"/>
      <c r="O88" s="6"/>
      <c r="P88" s="6"/>
      <c r="Q88" s="7"/>
      <c r="R88" s="42"/>
      <c r="S88" s="6"/>
      <c r="T88" s="6"/>
      <c r="U88" s="6" t="s">
        <v>14</v>
      </c>
      <c r="V88" s="8">
        <v>3.5999999999999997E-2</v>
      </c>
      <c r="W88" s="6">
        <f t="shared" ref="W88:W105" si="47">(M88+N88)*V88</f>
        <v>157953.88799999998</v>
      </c>
      <c r="X88" s="6">
        <f>157954</f>
        <v>157954</v>
      </c>
      <c r="Y88" s="6">
        <f>157954</f>
        <v>157954</v>
      </c>
      <c r="Z88" s="6">
        <f t="shared" si="45"/>
        <v>-0.1120000000228174</v>
      </c>
      <c r="AA88" s="6">
        <f>1200000+1000000+1000000+300000+200000+200000+290000</f>
        <v>4190000</v>
      </c>
      <c r="AB88" s="6">
        <f>4190000</f>
        <v>4190000</v>
      </c>
      <c r="AC88" s="6">
        <f>1200000+500000+1000000+200000+300000+200000+200000+240000+50000</f>
        <v>3890000</v>
      </c>
      <c r="AD88" s="6">
        <f>3890000</f>
        <v>3890000</v>
      </c>
      <c r="AE88" s="8">
        <f t="shared" ref="AE88:AE105" si="48">AD88/(M88+N88)</f>
        <v>0.88658786290844582</v>
      </c>
      <c r="AF88" s="6">
        <f>40800+1317+5265+170000+309384.5+60000+52481+120000+200000+121550+29560+264854.2+329500+3000+100000+185000+60000+52156+111882+60000+600000+15341+155997+50000+20000+167709+6000+240000+39998</f>
        <v>3571794.7</v>
      </c>
      <c r="AG88" s="6">
        <f>3571794.7</f>
        <v>3571794.7</v>
      </c>
      <c r="AH88" s="6">
        <f>40800+1317+5265+170000+309384.5+60000+52481+120000+200000+108000+56560+70000+5000+282854.2+523000+509190+50000-500+100000+10000+50000+105000+60000+10200+30000+171882+60000+15341+10000+6800+155997+50000+26800+167709+6000+240000+49858</f>
        <v>3888938.7</v>
      </c>
      <c r="AI88" s="6"/>
      <c r="AJ88" s="6"/>
      <c r="AK88" s="6"/>
      <c r="AL88" s="6">
        <f>3888938.7</f>
        <v>3888938.7</v>
      </c>
      <c r="AM88" s="8">
        <v>3.4000000000000002E-2</v>
      </c>
      <c r="AN88" s="8">
        <f t="shared" si="36"/>
        <v>142460</v>
      </c>
      <c r="AO88" s="6">
        <f>40800+34000+34000+10200+6800+6800+9860</f>
        <v>142460</v>
      </c>
      <c r="AP88" s="6">
        <f>142460</f>
        <v>142460</v>
      </c>
      <c r="AQ88" s="2">
        <f t="shared" si="46"/>
        <v>0</v>
      </c>
      <c r="AR88" s="6"/>
      <c r="AS88" s="6">
        <v>75</v>
      </c>
      <c r="AT88" s="6" t="s">
        <v>888</v>
      </c>
    </row>
    <row r="89" spans="1:46" s="9" customFormat="1" x14ac:dyDescent="0.15">
      <c r="A89" s="35">
        <v>40568</v>
      </c>
      <c r="B89" s="2" t="s">
        <v>1731</v>
      </c>
      <c r="C89" s="6" t="s">
        <v>862</v>
      </c>
      <c r="D89" s="6" t="s">
        <v>889</v>
      </c>
      <c r="E89" s="6" t="s">
        <v>0</v>
      </c>
      <c r="F89" s="6" t="s">
        <v>890</v>
      </c>
      <c r="G89" s="6" t="s">
        <v>891</v>
      </c>
      <c r="H89" s="6" t="s">
        <v>892</v>
      </c>
      <c r="I89" s="11" t="s">
        <v>247</v>
      </c>
      <c r="J89" s="11" t="s">
        <v>248</v>
      </c>
      <c r="K89" s="11" t="s">
        <v>149</v>
      </c>
      <c r="L89" s="6"/>
      <c r="M89" s="6">
        <v>809245.2</v>
      </c>
      <c r="N89" s="6">
        <f>457798.5+845505.6</f>
        <v>1303304.1000000001</v>
      </c>
      <c r="O89" s="6"/>
      <c r="P89" s="6"/>
      <c r="Q89" s="7"/>
      <c r="R89" s="42"/>
      <c r="S89" s="6"/>
      <c r="T89" s="6"/>
      <c r="U89" s="6" t="s">
        <v>14</v>
      </c>
      <c r="V89" s="8">
        <v>3.5999999999999997E-2</v>
      </c>
      <c r="W89" s="6">
        <f t="shared" si="47"/>
        <v>76051.774799999985</v>
      </c>
      <c r="X89" s="6">
        <f>29133+30438+16481</f>
        <v>76052</v>
      </c>
      <c r="Y89" s="6">
        <f>76052</f>
        <v>76052</v>
      </c>
      <c r="Z89" s="6">
        <f t="shared" si="45"/>
        <v>-0.22520000001532026</v>
      </c>
      <c r="AA89" s="6">
        <f>240000+575000+338000+200000+166390+200000+316747.76</f>
        <v>2036137.76</v>
      </c>
      <c r="AB89" s="6">
        <f>2036137.76</f>
        <v>2036137.76</v>
      </c>
      <c r="AC89" s="6">
        <f>240000+575000+338000+200000+166390+200000+316747.76</f>
        <v>2036137.76</v>
      </c>
      <c r="AD89" s="6">
        <f>2036137.76</f>
        <v>2036137.76</v>
      </c>
      <c r="AE89" s="8">
        <f t="shared" si="48"/>
        <v>0.96382970092106257</v>
      </c>
      <c r="AF89" s="6">
        <f>78800+1000+100000+45808.88+165166.45+200000+90730+55000+50000+3350+10598.29+210984+7250+9888.88+9930+90500+70000+9998+76967+152214+6170+26735+189650+238000+67124+22000</f>
        <v>1987864.5</v>
      </c>
      <c r="AG89" s="6">
        <f>1965864.5+22000</f>
        <v>1987864.5</v>
      </c>
      <c r="AH89" s="6">
        <f>78800+1000+100000+45808.88+165166.45+200000+90730+55000+50000+3350+22090.29+210984+7250+9888.88+9930+90500+6800+70000+9998+76967+5657+152214+6170+26735+22000+196450+248769+67124</f>
        <v>2029382.5</v>
      </c>
      <c r="AI89" s="6"/>
      <c r="AJ89" s="6"/>
      <c r="AK89" s="6"/>
      <c r="AL89" s="6">
        <f>2029382.5</f>
        <v>2029382.5</v>
      </c>
      <c r="AM89" s="8">
        <v>3.4000000000000002E-2</v>
      </c>
      <c r="AN89" s="8">
        <f t="shared" si="36"/>
        <v>69228.683840000012</v>
      </c>
      <c r="AO89" s="6">
        <f>8160+19550+11492+6800+5657+6800+10769</f>
        <v>69228</v>
      </c>
      <c r="AP89" s="6">
        <f>69228</f>
        <v>69228</v>
      </c>
      <c r="AQ89" s="2">
        <f t="shared" si="46"/>
        <v>0.68384000001242384</v>
      </c>
      <c r="AR89" s="6"/>
      <c r="AS89" s="6">
        <v>11</v>
      </c>
      <c r="AT89" s="6" t="s">
        <v>893</v>
      </c>
    </row>
    <row r="90" spans="1:46" s="9" customFormat="1" x14ac:dyDescent="0.15">
      <c r="A90" s="35">
        <v>40563</v>
      </c>
      <c r="B90" s="2" t="s">
        <v>1732</v>
      </c>
      <c r="C90" s="6" t="s">
        <v>863</v>
      </c>
      <c r="D90" s="6" t="s">
        <v>894</v>
      </c>
      <c r="E90" s="6" t="s">
        <v>0</v>
      </c>
      <c r="F90" s="6" t="s">
        <v>895</v>
      </c>
      <c r="G90" s="6" t="s">
        <v>896</v>
      </c>
      <c r="H90" s="6" t="s">
        <v>897</v>
      </c>
      <c r="I90" s="2" t="s">
        <v>351</v>
      </c>
      <c r="J90" s="2" t="s">
        <v>352</v>
      </c>
      <c r="K90" s="2" t="s">
        <v>35</v>
      </c>
      <c r="L90" s="6"/>
      <c r="M90" s="6">
        <v>7406029</v>
      </c>
      <c r="N90" s="6"/>
      <c r="O90" s="6"/>
      <c r="P90" s="6"/>
      <c r="Q90" s="7"/>
      <c r="R90" s="42"/>
      <c r="S90" s="6"/>
      <c r="T90" s="6"/>
      <c r="U90" s="6" t="s">
        <v>14</v>
      </c>
      <c r="V90" s="8">
        <v>0.03</v>
      </c>
      <c r="W90" s="6">
        <f t="shared" si="47"/>
        <v>222180.87</v>
      </c>
      <c r="X90" s="6">
        <f>27879+200000-5698</f>
        <v>222181</v>
      </c>
      <c r="Y90" s="6">
        <f>222181</f>
        <v>222181</v>
      </c>
      <c r="Z90" s="6">
        <f t="shared" si="45"/>
        <v>-0.13000000000465661</v>
      </c>
      <c r="AA90" s="6">
        <f>2880000</f>
        <v>2880000</v>
      </c>
      <c r="AB90" s="6">
        <f>2880000</f>
        <v>2880000</v>
      </c>
      <c r="AC90" s="6">
        <f>1500000+1000000</f>
        <v>2500000</v>
      </c>
      <c r="AD90" s="6">
        <f>2500000</f>
        <v>2500000</v>
      </c>
      <c r="AE90" s="8">
        <f t="shared" si="48"/>
        <v>0.33756281537649935</v>
      </c>
      <c r="AF90" s="6">
        <f>1000000+200000+142800+199996</f>
        <v>1542796</v>
      </c>
      <c r="AG90" s="6">
        <f>1542796</f>
        <v>1542796</v>
      </c>
      <c r="AH90" s="6">
        <f>200000+900000+200000+1000000+200000</f>
        <v>2500000</v>
      </c>
      <c r="AI90" s="6"/>
      <c r="AJ90" s="6"/>
      <c r="AK90" s="6"/>
      <c r="AL90" s="6">
        <f>2500000</f>
        <v>2500000</v>
      </c>
      <c r="AM90" s="8"/>
      <c r="AN90" s="8">
        <f t="shared" si="36"/>
        <v>0</v>
      </c>
      <c r="AO90" s="6"/>
      <c r="AP90" s="6"/>
      <c r="AQ90" s="2">
        <f t="shared" si="46"/>
        <v>0</v>
      </c>
      <c r="AR90" s="6"/>
      <c r="AS90" s="6">
        <v>20</v>
      </c>
      <c r="AT90" s="6" t="s">
        <v>888</v>
      </c>
    </row>
    <row r="91" spans="1:46" s="9" customFormat="1" x14ac:dyDescent="0.15">
      <c r="A91" s="35">
        <v>40563</v>
      </c>
      <c r="B91" s="2" t="s">
        <v>1733</v>
      </c>
      <c r="C91" s="6" t="s">
        <v>864</v>
      </c>
      <c r="D91" s="6" t="s">
        <v>898</v>
      </c>
      <c r="E91" s="6" t="s">
        <v>0</v>
      </c>
      <c r="F91" s="6" t="s">
        <v>899</v>
      </c>
      <c r="G91" s="6" t="s">
        <v>891</v>
      </c>
      <c r="H91" s="6" t="s">
        <v>900</v>
      </c>
      <c r="I91" s="2" t="s">
        <v>178</v>
      </c>
      <c r="J91" s="2" t="s">
        <v>179</v>
      </c>
      <c r="K91" s="2" t="s">
        <v>149</v>
      </c>
      <c r="L91" s="6"/>
      <c r="M91" s="6">
        <v>12838423</v>
      </c>
      <c r="N91" s="6"/>
      <c r="O91" s="6"/>
      <c r="P91" s="6">
        <v>12870656</v>
      </c>
      <c r="Q91" s="7"/>
      <c r="R91" s="42">
        <v>40659</v>
      </c>
      <c r="S91" s="6">
        <v>3852</v>
      </c>
      <c r="T91" s="6"/>
      <c r="U91" s="6" t="s">
        <v>14</v>
      </c>
      <c r="V91" s="8">
        <v>0.03</v>
      </c>
      <c r="W91" s="6">
        <f>P91*V91</f>
        <v>386119.67999999999</v>
      </c>
      <c r="X91" s="6">
        <f>50000+50000+7469+100000+63210+114474+967</f>
        <v>386120</v>
      </c>
      <c r="Y91" s="6">
        <f>385153+967</f>
        <v>386120</v>
      </c>
      <c r="Z91" s="6">
        <f t="shared" si="45"/>
        <v>-0.32000000000698492</v>
      </c>
      <c r="AA91" s="6">
        <f>1000000+1000000+3750000+500000+1000000+300000+200000+500000+500000+100000+2000000+300000+2000000</f>
        <v>13150000</v>
      </c>
      <c r="AB91" s="6">
        <f>13150000</f>
        <v>13150000</v>
      </c>
      <c r="AC91" s="6">
        <f>1000000+1000000+2000000+750000+1000000+500000+1000000+300000+200000+500000+500000+100000+300000+500000+500000+500000+500000+500000+500000+200000+300000+200000+300000</f>
        <v>13150000</v>
      </c>
      <c r="AD91" s="6">
        <f>13150000</f>
        <v>13150000</v>
      </c>
      <c r="AE91" s="8">
        <f>AD91/P91</f>
        <v>1.0217039442278621</v>
      </c>
      <c r="AF91" s="6">
        <f>600000+64812.69+150000+60000+100000+384000+420000+37469+72567.5+860000+1077500+501459+45220+806134.95+1212859+80325.34+100000+250000+100000+155000+80000+60000+75500+200000+150000+50000+268000+300000+100000+60000+300000+150000+300000+50620.9+25000+500000+86790+380000+100000+500000+195000+200000+295000+50000+100000+18000+100000</f>
        <v>11771258.380000001</v>
      </c>
      <c r="AG91" s="6">
        <f>11771258.38</f>
        <v>11771258.380000001</v>
      </c>
      <c r="AH91" s="6">
        <f>600000+64812.69+150000+60000+100000+384000+420000+37469+72567.5+1990730+20000+45220+465913+1056134.95+17000+210000+100000+62840+120000+34000+170000+410200+450000+170000+100000+25230+6800+140000+60000+37000+500000+60000+17000+75500+300000+150000+53400+68000+250000+400000+100000+60000+300000+150000+300000+30000+50620.9-5000+10200+500000+86790+68000+380000+100000+500000+195000+200000+295000+50000+100000+18000+100000</f>
        <v>13042428.040000001</v>
      </c>
      <c r="AI91" s="6"/>
      <c r="AJ91" s="6"/>
      <c r="AK91" s="6"/>
      <c r="AL91" s="6">
        <f>13042428.04</f>
        <v>13042428.039999999</v>
      </c>
      <c r="AM91" s="8">
        <v>3.4000000000000002E-2</v>
      </c>
      <c r="AN91" s="8">
        <f t="shared" si="36"/>
        <v>447100.00000000006</v>
      </c>
      <c r="AO91" s="6">
        <f>34000+34000+127500+17000+34000+10200+6800+17000+17000+3400+68000+10200+68000</f>
        <v>447100</v>
      </c>
      <c r="AP91" s="6">
        <f>447100</f>
        <v>447100</v>
      </c>
      <c r="AQ91" s="2">
        <f t="shared" si="46"/>
        <v>0</v>
      </c>
      <c r="AR91" s="6"/>
      <c r="AS91" s="6">
        <v>110</v>
      </c>
      <c r="AT91" s="6" t="s">
        <v>893</v>
      </c>
    </row>
    <row r="92" spans="1:46" s="9" customFormat="1" x14ac:dyDescent="0.15">
      <c r="A92" s="35">
        <v>40414</v>
      </c>
      <c r="B92" s="2" t="s">
        <v>1734</v>
      </c>
      <c r="C92" s="6" t="s">
        <v>901</v>
      </c>
      <c r="D92" s="6" t="s">
        <v>902</v>
      </c>
      <c r="E92" s="6" t="s">
        <v>0</v>
      </c>
      <c r="F92" s="6" t="s">
        <v>899</v>
      </c>
      <c r="G92" s="6" t="s">
        <v>903</v>
      </c>
      <c r="H92" s="6" t="s">
        <v>904</v>
      </c>
      <c r="I92" s="2" t="s">
        <v>178</v>
      </c>
      <c r="J92" s="2" t="s">
        <v>179</v>
      </c>
      <c r="K92" s="2" t="s">
        <v>35</v>
      </c>
      <c r="L92" s="6"/>
      <c r="M92" s="6">
        <v>10090884</v>
      </c>
      <c r="N92" s="6">
        <v>221283</v>
      </c>
      <c r="O92" s="6"/>
      <c r="P92" s="6">
        <v>10312167</v>
      </c>
      <c r="Q92" s="7"/>
      <c r="R92" s="42"/>
      <c r="S92" s="6"/>
      <c r="T92" s="6"/>
      <c r="U92" s="6" t="s">
        <v>14</v>
      </c>
      <c r="V92" s="8">
        <v>0.03</v>
      </c>
      <c r="W92" s="6">
        <f>P92*V92</f>
        <v>309365.01</v>
      </c>
      <c r="X92" s="6">
        <f>108556+100000+94171+6638</f>
        <v>309365</v>
      </c>
      <c r="Y92" s="6">
        <f>302727+6638</f>
        <v>309365</v>
      </c>
      <c r="Z92" s="6">
        <f t="shared" si="45"/>
        <v>1.0000000009313226E-2</v>
      </c>
      <c r="AA92" s="6">
        <f>1000000+1000000+1000000+2000000+500000+1000000+500000+500000+500000</f>
        <v>8000000</v>
      </c>
      <c r="AB92" s="6">
        <f>7500000+500000</f>
        <v>8000000</v>
      </c>
      <c r="AC92" s="6">
        <f>1000000+1000000+1000000+2000000+500000+1000000+500000+500000+500000</f>
        <v>8000000</v>
      </c>
      <c r="AD92" s="6">
        <f>7500000+500000</f>
        <v>8000000</v>
      </c>
      <c r="AE92" s="8">
        <f>AD92/P92</f>
        <v>0.77578262648384189</v>
      </c>
      <c r="AF92" s="6">
        <f>634000+201190.4+40000+34000+26000+130000+710000+34000+20000+794171+50000+105400+100000+1787046.35+266500+6613.4+10270.7+50000+450000+400000+500000+500000+300000+300000+200000+100000</f>
        <v>7749191.8500000006</v>
      </c>
      <c r="AG92" s="6">
        <f>7149191.85+300000+200000+100000</f>
        <v>7749191.8499999996</v>
      </c>
      <c r="AH92" s="6">
        <f>634000+201190.4+40000+34000+26000+130000+710000+34000+20000+794171+50000+105400+100000+1787046.35+266500+6613.4+10270.7+50000+467000+434000+500000+17000+500000+17000+300000+17000+300000+200000+100000</f>
        <v>7851191.8500000006</v>
      </c>
      <c r="AI92" s="6"/>
      <c r="AJ92" s="6"/>
      <c r="AK92" s="6"/>
      <c r="AL92" s="6">
        <f>7234191.85+17000+300000+200000+100000</f>
        <v>7851191.8499999996</v>
      </c>
      <c r="AM92" s="8">
        <v>3.4000000000000002E-2</v>
      </c>
      <c r="AN92" s="8">
        <f t="shared" si="36"/>
        <v>272000</v>
      </c>
      <c r="AO92" s="6">
        <f>34000+34000+34000+68000+17000+34000+17000+17000+17000</f>
        <v>272000</v>
      </c>
      <c r="AP92" s="6">
        <f>255000+17000</f>
        <v>272000</v>
      </c>
      <c r="AQ92" s="2">
        <f t="shared" si="46"/>
        <v>0</v>
      </c>
      <c r="AR92" s="6"/>
      <c r="AS92" s="6">
        <v>60</v>
      </c>
      <c r="AT92" s="6" t="s">
        <v>905</v>
      </c>
    </row>
    <row r="93" spans="1:46" s="9" customFormat="1" x14ac:dyDescent="0.15">
      <c r="A93" s="35">
        <v>40603</v>
      </c>
      <c r="B93" s="2" t="s">
        <v>1735</v>
      </c>
      <c r="C93" s="6" t="s">
        <v>865</v>
      </c>
      <c r="D93" s="6" t="s">
        <v>906</v>
      </c>
      <c r="E93" s="6" t="s">
        <v>0</v>
      </c>
      <c r="F93" s="6" t="s">
        <v>907</v>
      </c>
      <c r="G93" s="6" t="s">
        <v>903</v>
      </c>
      <c r="H93" s="6" t="s">
        <v>908</v>
      </c>
      <c r="I93" s="6" t="s">
        <v>909</v>
      </c>
      <c r="J93" s="6" t="s">
        <v>910</v>
      </c>
      <c r="K93" s="6" t="s">
        <v>911</v>
      </c>
      <c r="L93" s="6"/>
      <c r="M93" s="6">
        <v>17398656.530000001</v>
      </c>
      <c r="N93" s="6"/>
      <c r="O93" s="6"/>
      <c r="P93" s="6">
        <v>13879361</v>
      </c>
      <c r="Q93" s="7"/>
      <c r="R93" s="42">
        <v>40716</v>
      </c>
      <c r="S93" s="6">
        <v>5220</v>
      </c>
      <c r="T93" s="6"/>
      <c r="U93" s="6" t="s">
        <v>14</v>
      </c>
      <c r="V93" s="8">
        <v>0.03</v>
      </c>
      <c r="W93" s="6">
        <f>P93*V93</f>
        <v>416380.82999999996</v>
      </c>
      <c r="X93" s="6">
        <f>200000+200000+121960-105579</f>
        <v>416381</v>
      </c>
      <c r="Y93" s="6">
        <f>416381</f>
        <v>416381</v>
      </c>
      <c r="Z93" s="6">
        <f t="shared" si="45"/>
        <v>-0.17000000004190952</v>
      </c>
      <c r="AA93" s="6">
        <f>2000000+2600000+1000000+2000000+2500000+1000000+500000+300000+200000</f>
        <v>12100000</v>
      </c>
      <c r="AB93" s="6">
        <f>11900000+200000</f>
        <v>12100000</v>
      </c>
      <c r="AC93" s="6">
        <f>2000000+2600000+3000000+2500000+500000+500000+300000+500000+200000</f>
        <v>12100000</v>
      </c>
      <c r="AD93" s="6">
        <f>11900000+200000</f>
        <v>12100000</v>
      </c>
      <c r="AE93" s="8">
        <f>AD93/P93</f>
        <v>0.871798060443849</v>
      </c>
      <c r="AF93" s="6">
        <f>13919+1478000+500000+2012400+85403+504600+598000+2304000+12752.1+2730145+71182+122351.5+29199+148147.18+78000+97458+32500+82620+300000+31612+500000+193200</f>
        <v>11925488.779999999</v>
      </c>
      <c r="AG93" s="6">
        <f>11732288.78+193200</f>
        <v>11925488.779999999</v>
      </c>
      <c r="AH93" s="6">
        <f>13919+1478000+500000+2012400+85403+504600+598000+2304000+85000+2527179+107462+29199+148147.18+78000+97458+17000+82620+300000+100000+31612+800000+200000</f>
        <v>12099999.18</v>
      </c>
      <c r="AI93" s="6"/>
      <c r="AJ93" s="6"/>
      <c r="AK93" s="6"/>
      <c r="AL93" s="6">
        <f>11899999.18+200000</f>
        <v>12099999.18</v>
      </c>
      <c r="AM93" s="8">
        <v>3.4000000000000002E-2</v>
      </c>
      <c r="AN93" s="8">
        <f t="shared" si="36"/>
        <v>411400.00000000006</v>
      </c>
      <c r="AO93" s="6">
        <f>68000+88400+34000+68000+85000+34000+17000+10200+6800</f>
        <v>411400</v>
      </c>
      <c r="AP93" s="6">
        <f>404600+6800</f>
        <v>411400</v>
      </c>
      <c r="AQ93" s="2">
        <f t="shared" si="46"/>
        <v>0</v>
      </c>
      <c r="AR93" s="6"/>
      <c r="AS93" s="6">
        <v>70</v>
      </c>
      <c r="AT93" s="6" t="s">
        <v>905</v>
      </c>
    </row>
    <row r="94" spans="1:46" s="9" customFormat="1" x14ac:dyDescent="0.15">
      <c r="A94" s="35">
        <v>40603</v>
      </c>
      <c r="B94" s="2" t="s">
        <v>1736</v>
      </c>
      <c r="C94" s="6" t="s">
        <v>866</v>
      </c>
      <c r="D94" s="6" t="s">
        <v>912</v>
      </c>
      <c r="E94" s="6" t="s">
        <v>0</v>
      </c>
      <c r="F94" s="6" t="s">
        <v>913</v>
      </c>
      <c r="G94" s="6" t="s">
        <v>903</v>
      </c>
      <c r="H94" s="6" t="s">
        <v>914</v>
      </c>
      <c r="I94" s="2" t="s">
        <v>12</v>
      </c>
      <c r="J94" s="2" t="s">
        <v>11</v>
      </c>
      <c r="K94" s="2" t="s">
        <v>13</v>
      </c>
      <c r="L94" s="6"/>
      <c r="M94" s="6">
        <v>630590</v>
      </c>
      <c r="N94" s="6"/>
      <c r="O94" s="6"/>
      <c r="P94" s="6"/>
      <c r="Q94" s="7"/>
      <c r="R94" s="42">
        <v>40659</v>
      </c>
      <c r="S94" s="6">
        <v>190</v>
      </c>
      <c r="T94" s="6"/>
      <c r="U94" s="6" t="s">
        <v>14</v>
      </c>
      <c r="V94" s="8">
        <v>3.5999999999999997E-2</v>
      </c>
      <c r="W94" s="6">
        <f t="shared" si="47"/>
        <v>22701.239999999998</v>
      </c>
      <c r="X94" s="6">
        <f>22701</f>
        <v>22701</v>
      </c>
      <c r="Y94" s="6">
        <f>22701</f>
        <v>22701</v>
      </c>
      <c r="Z94" s="6">
        <f t="shared" si="45"/>
        <v>0.23999999999796273</v>
      </c>
      <c r="AA94" s="6">
        <f>350000+150000</f>
        <v>500000</v>
      </c>
      <c r="AB94" s="6">
        <f>500000</f>
        <v>500000</v>
      </c>
      <c r="AC94" s="6">
        <f>350000+150000</f>
        <v>500000</v>
      </c>
      <c r="AD94" s="6">
        <f>500000</f>
        <v>500000</v>
      </c>
      <c r="AE94" s="8">
        <f t="shared" si="48"/>
        <v>0.7929082288015985</v>
      </c>
      <c r="AF94" s="6">
        <f>162900+50000+100000+15522.42+14660+136000+1300</f>
        <v>480382.42</v>
      </c>
      <c r="AG94" s="6">
        <f>480382.42</f>
        <v>480382.42</v>
      </c>
      <c r="AH94" s="6">
        <f>162900+50000+100000+15522.42+20865+141100+1300</f>
        <v>491687.42</v>
      </c>
      <c r="AI94" s="6"/>
      <c r="AJ94" s="6"/>
      <c r="AK94" s="6"/>
      <c r="AL94" s="6">
        <f>491687.42</f>
        <v>491687.42</v>
      </c>
      <c r="AM94" s="8">
        <v>3.4000000000000002E-2</v>
      </c>
      <c r="AN94" s="8">
        <f t="shared" si="36"/>
        <v>17000</v>
      </c>
      <c r="AO94" s="6">
        <f>11900+5100</f>
        <v>17000</v>
      </c>
      <c r="AP94" s="6">
        <f>17000</f>
        <v>17000</v>
      </c>
      <c r="AQ94" s="2">
        <f t="shared" si="46"/>
        <v>0</v>
      </c>
      <c r="AR94" s="6"/>
      <c r="AS94" s="6"/>
      <c r="AT94" s="6"/>
    </row>
    <row r="95" spans="1:46" s="9" customFormat="1" x14ac:dyDescent="0.15">
      <c r="A95" s="35">
        <v>40603</v>
      </c>
      <c r="B95" s="2" t="s">
        <v>1737</v>
      </c>
      <c r="C95" s="6" t="s">
        <v>867</v>
      </c>
      <c r="D95" s="6" t="s">
        <v>915</v>
      </c>
      <c r="E95" s="6" t="s">
        <v>0</v>
      </c>
      <c r="F95" s="6" t="s">
        <v>916</v>
      </c>
      <c r="G95" s="6" t="s">
        <v>917</v>
      </c>
      <c r="H95" s="6" t="s">
        <v>918</v>
      </c>
      <c r="I95" s="6" t="s">
        <v>919</v>
      </c>
      <c r="J95" s="6" t="s">
        <v>920</v>
      </c>
      <c r="K95" s="6" t="s">
        <v>95</v>
      </c>
      <c r="L95" s="6"/>
      <c r="M95" s="6">
        <v>5884012</v>
      </c>
      <c r="N95" s="6"/>
      <c r="O95" s="6"/>
      <c r="P95" s="6">
        <v>5600336.3700000001</v>
      </c>
      <c r="Q95" s="7"/>
      <c r="R95" s="42">
        <v>40745</v>
      </c>
      <c r="S95" s="6">
        <v>1766</v>
      </c>
      <c r="T95" s="6"/>
      <c r="U95" s="6" t="s">
        <v>14</v>
      </c>
      <c r="V95" s="8">
        <v>0.03</v>
      </c>
      <c r="W95" s="6">
        <f>P95*V95</f>
        <v>168010.09109999999</v>
      </c>
      <c r="X95" s="6">
        <f>176520-8510</f>
        <v>168010</v>
      </c>
      <c r="Y95" s="6">
        <f>168010</f>
        <v>168010</v>
      </c>
      <c r="Z95" s="6">
        <f t="shared" si="45"/>
        <v>9.1099999990547076E-2</v>
      </c>
      <c r="AA95" s="6">
        <f>4460000+50000</f>
        <v>4510000</v>
      </c>
      <c r="AB95" s="6">
        <f>4510000</f>
        <v>4510000</v>
      </c>
      <c r="AC95" s="6">
        <f>500000+1000000+500000+500000+300000+1030000+330000+50000+300000+1765.2</f>
        <v>4511765.2</v>
      </c>
      <c r="AD95" s="6">
        <f>4510000+1765.2</f>
        <v>4511765.2</v>
      </c>
      <c r="AE95" s="8">
        <f t="shared" si="48"/>
        <v>0.76678382029132508</v>
      </c>
      <c r="AF95" s="6">
        <f>500000+400000+400000+90000+300000+630000+300000</f>
        <v>2620000</v>
      </c>
      <c r="AG95" s="6">
        <f>2620000</f>
        <v>2620000</v>
      </c>
      <c r="AH95" s="6">
        <f>500000+1000000+400000+400000+90000+300000+1030000+300000+153628.2+300000+1702.5</f>
        <v>4475330.7</v>
      </c>
      <c r="AI95" s="6"/>
      <c r="AJ95" s="6"/>
      <c r="AK95" s="6"/>
      <c r="AL95" s="6">
        <f>4475330.7</f>
        <v>4475330.7</v>
      </c>
      <c r="AM95" s="8"/>
      <c r="AN95" s="8">
        <f t="shared" si="36"/>
        <v>0</v>
      </c>
      <c r="AO95" s="6"/>
      <c r="AP95" s="6"/>
      <c r="AQ95" s="2">
        <f t="shared" si="46"/>
        <v>0</v>
      </c>
      <c r="AR95" s="6"/>
      <c r="AS95" s="6">
        <v>110</v>
      </c>
      <c r="AT95" s="6" t="s">
        <v>921</v>
      </c>
    </row>
    <row r="96" spans="1:46" s="9" customFormat="1" x14ac:dyDescent="0.15">
      <c r="A96" s="35">
        <v>40609</v>
      </c>
      <c r="B96" s="2" t="s">
        <v>1738</v>
      </c>
      <c r="C96" s="6" t="s">
        <v>868</v>
      </c>
      <c r="D96" s="6" t="s">
        <v>922</v>
      </c>
      <c r="E96" s="6" t="s">
        <v>0</v>
      </c>
      <c r="F96" s="6" t="s">
        <v>388</v>
      </c>
      <c r="G96" s="6" t="s">
        <v>923</v>
      </c>
      <c r="H96" s="6" t="s">
        <v>738</v>
      </c>
      <c r="I96" s="2" t="s">
        <v>87</v>
      </c>
      <c r="J96" s="2" t="s">
        <v>86</v>
      </c>
      <c r="K96" s="2" t="s">
        <v>35</v>
      </c>
      <c r="L96" s="6"/>
      <c r="M96" s="6">
        <v>416900</v>
      </c>
      <c r="N96" s="6">
        <v>19060</v>
      </c>
      <c r="O96" s="6"/>
      <c r="P96" s="6"/>
      <c r="Q96" s="7"/>
      <c r="R96" s="42">
        <v>40644</v>
      </c>
      <c r="S96" s="6">
        <v>125</v>
      </c>
      <c r="T96" s="6"/>
      <c r="U96" s="6" t="s">
        <v>14</v>
      </c>
      <c r="V96" s="8">
        <v>3.5999999999999997E-2</v>
      </c>
      <c r="W96" s="6">
        <f t="shared" si="47"/>
        <v>15694.56</v>
      </c>
      <c r="X96" s="6">
        <f>15008.4</f>
        <v>15008.4</v>
      </c>
      <c r="Y96" s="6">
        <f>15008.4</f>
        <v>15008.4</v>
      </c>
      <c r="Z96" s="6">
        <f t="shared" si="45"/>
        <v>686.15999999999985</v>
      </c>
      <c r="AA96" s="6">
        <f>83380+62535+104225+83380+62535+39905</f>
        <v>435960</v>
      </c>
      <c r="AB96" s="6">
        <f>435960</f>
        <v>435960</v>
      </c>
      <c r="AC96" s="6">
        <f>83380+62535+104225+83380+62535+39905</f>
        <v>435960</v>
      </c>
      <c r="AD96" s="6">
        <f>435960</f>
        <v>435960</v>
      </c>
      <c r="AE96" s="8">
        <f t="shared" si="48"/>
        <v>1</v>
      </c>
      <c r="AF96" s="6">
        <f>60300+2835+17134.4+57000+3544+104000+82835+2126+60000+38373</f>
        <v>428147.4</v>
      </c>
      <c r="AG96" s="6">
        <f>428147.4</f>
        <v>428147.4</v>
      </c>
      <c r="AH96" s="6">
        <f>60300+2835+17134.4+57000+3544+104000+82835+2126+60000+39730</f>
        <v>429504.4</v>
      </c>
      <c r="AI96" s="6"/>
      <c r="AJ96" s="6"/>
      <c r="AK96" s="6"/>
      <c r="AL96" s="6">
        <f>429504.4</f>
        <v>429504.4</v>
      </c>
      <c r="AM96" s="8">
        <v>3.4000000000000002E-2</v>
      </c>
      <c r="AN96" s="8">
        <f t="shared" si="36"/>
        <v>14822.640000000001</v>
      </c>
      <c r="AO96" s="6">
        <f>2835+2126+3544+2835+2126+1357</f>
        <v>14823</v>
      </c>
      <c r="AP96" s="6">
        <f>14823</f>
        <v>14823</v>
      </c>
      <c r="AQ96" s="2">
        <f t="shared" si="46"/>
        <v>-0.35999999999876309</v>
      </c>
      <c r="AR96" s="6"/>
      <c r="AS96" s="6">
        <v>3.6</v>
      </c>
      <c r="AT96" s="6" t="s">
        <v>905</v>
      </c>
    </row>
    <row r="97" spans="1:46" s="9" customFormat="1" x14ac:dyDescent="0.15">
      <c r="A97" s="35">
        <v>40616</v>
      </c>
      <c r="B97" s="2" t="s">
        <v>1739</v>
      </c>
      <c r="C97" s="6" t="s">
        <v>869</v>
      </c>
      <c r="D97" s="6" t="s">
        <v>924</v>
      </c>
      <c r="E97" s="6" t="s">
        <v>0</v>
      </c>
      <c r="F97" s="6" t="s">
        <v>928</v>
      </c>
      <c r="G97" s="6" t="s">
        <v>903</v>
      </c>
      <c r="H97" s="6" t="s">
        <v>141</v>
      </c>
      <c r="I97" s="6" t="s">
        <v>925</v>
      </c>
      <c r="J97" s="6" t="s">
        <v>927</v>
      </c>
      <c r="K97" s="6" t="s">
        <v>911</v>
      </c>
      <c r="L97" s="6"/>
      <c r="M97" s="6">
        <v>6192674.6299999999</v>
      </c>
      <c r="N97" s="6">
        <f>4904500+1406738+1096087.37</f>
        <v>7407325.3700000001</v>
      </c>
      <c r="O97" s="6"/>
      <c r="P97" s="6"/>
      <c r="Q97" s="7"/>
      <c r="R97" s="42">
        <v>40696</v>
      </c>
      <c r="S97" s="6">
        <f>1472+1856</f>
        <v>3328</v>
      </c>
      <c r="T97" s="6"/>
      <c r="U97" s="6" t="s">
        <v>14</v>
      </c>
      <c r="V97" s="8">
        <v>0.03</v>
      </c>
      <c r="W97" s="6">
        <f t="shared" si="47"/>
        <v>408000</v>
      </c>
      <c r="X97" s="6">
        <f>200+184861.6+718.4+147135+42202</f>
        <v>375117</v>
      </c>
      <c r="Y97" s="6">
        <f>375117</f>
        <v>375117</v>
      </c>
      <c r="Z97" s="6">
        <f t="shared" si="45"/>
        <v>32883</v>
      </c>
      <c r="AA97" s="6">
        <f>2000000+1000000+2500000+1000000+300000+800000+300000+1200000+500000+1000000+500000+1500000+1000000</f>
        <v>13600000</v>
      </c>
      <c r="AB97" s="6">
        <f>13600000</f>
        <v>13600000</v>
      </c>
      <c r="AC97" s="6">
        <f>2000000+1000000+2500000+1000000+300000+800000+300000+1200000+500000+1000000+300000+1000000+1000000</f>
        <v>12900000</v>
      </c>
      <c r="AD97" s="6">
        <f>12900000</f>
        <v>12900000</v>
      </c>
      <c r="AE97" s="8">
        <f t="shared" si="48"/>
        <v>0.94852941176470584</v>
      </c>
      <c r="AF97" s="6">
        <f>1284861.6+100000+100000+235500+506602.5+120176+200000+900000+300000+950000+185246+32786+246254+500000+300000+148538.78+450000+160000+147432.61+157100+300000+100000+300000+300000+149000+25000+229134.02+150000+150000+300000+184629.8+503260+469673.52+652800+110000+436400+31159.85+297600+297000+316699.91</f>
        <v>12326854.59</v>
      </c>
      <c r="AG97" s="6">
        <f>12010154.68+316699.91</f>
        <v>12326854.59</v>
      </c>
      <c r="AH97" s="6">
        <f>1284861.6+100000+85500+150000+34000+506602.5+120176+285000+900000+300000+34000+300000+95000+185246+32786+1346254+148538.78+460200+187200+147432.61+307100+300000+100000+100000+10200+300000+40800+454214.8+149000+23000+2000+229134.02+150000+150000+17000+300000+184629.8+34000+503260+469673.52+17000+51000+500000+652800+110000-500000+436400+31159.85+50000-50000+3266.13+34000+297600+100000+297000+316699.91-100000</f>
        <v>12773735.52</v>
      </c>
      <c r="AI97" s="6"/>
      <c r="AJ97" s="6"/>
      <c r="AK97" s="6"/>
      <c r="AL97" s="6">
        <f>12557035.61+316699.91-100000</f>
        <v>12773735.52</v>
      </c>
      <c r="AM97" s="8">
        <v>3.4000000000000002E-2</v>
      </c>
      <c r="AN97" s="8">
        <f t="shared" si="36"/>
        <v>462400.00000000006</v>
      </c>
      <c r="AO97" s="6">
        <f>68000+34000+85000+34000+10200+27200+10200+40800+17000+34000+17000+51000+34000</f>
        <v>462400</v>
      </c>
      <c r="AP97" s="6">
        <f>462400</f>
        <v>462400</v>
      </c>
      <c r="AQ97" s="2">
        <f t="shared" si="46"/>
        <v>0</v>
      </c>
      <c r="AR97" s="6"/>
      <c r="AS97" s="6">
        <v>120</v>
      </c>
      <c r="AT97" s="6" t="s">
        <v>905</v>
      </c>
    </row>
    <row r="98" spans="1:46" s="9" customFormat="1" x14ac:dyDescent="0.15">
      <c r="A98" s="35">
        <v>40634</v>
      </c>
      <c r="B98" s="2" t="s">
        <v>1740</v>
      </c>
      <c r="C98" s="6" t="s">
        <v>870</v>
      </c>
      <c r="D98" s="6" t="s">
        <v>929</v>
      </c>
      <c r="E98" s="6" t="s">
        <v>0</v>
      </c>
      <c r="F98" s="6" t="s">
        <v>930</v>
      </c>
      <c r="G98" s="6" t="s">
        <v>903</v>
      </c>
      <c r="H98" s="6" t="s">
        <v>931</v>
      </c>
      <c r="I98" s="2" t="s">
        <v>623</v>
      </c>
      <c r="J98" s="2" t="s">
        <v>624</v>
      </c>
      <c r="K98" s="2" t="s">
        <v>579</v>
      </c>
      <c r="L98" s="6"/>
      <c r="M98" s="6">
        <v>6854555</v>
      </c>
      <c r="N98" s="6"/>
      <c r="O98" s="6"/>
      <c r="P98" s="6"/>
      <c r="Q98" s="7"/>
      <c r="R98" s="42"/>
      <c r="S98" s="6"/>
      <c r="T98" s="6"/>
      <c r="U98" s="6" t="s">
        <v>14</v>
      </c>
      <c r="V98" s="8">
        <v>0.03</v>
      </c>
      <c r="W98" s="6">
        <f t="shared" si="47"/>
        <v>205636.65</v>
      </c>
      <c r="X98" s="6">
        <f>27899+50000</f>
        <v>77899</v>
      </c>
      <c r="Y98" s="6">
        <f>77899</f>
        <v>77899</v>
      </c>
      <c r="Z98" s="6">
        <f t="shared" si="45"/>
        <v>127737.65</v>
      </c>
      <c r="AA98" s="6">
        <f>329308+164654+300000-164654+200000+200000</f>
        <v>1029308</v>
      </c>
      <c r="AB98" s="6">
        <f>1029308</f>
        <v>1029308</v>
      </c>
      <c r="AC98" s="6">
        <f>329308+300000+400000</f>
        <v>1029308</v>
      </c>
      <c r="AD98" s="6">
        <f>1029308</f>
        <v>1029308</v>
      </c>
      <c r="AE98" s="8">
        <f t="shared" si="48"/>
        <v>0.150164087967782</v>
      </c>
      <c r="AF98" s="6">
        <f>200000+10700+2000+3100+388688</f>
        <v>604488</v>
      </c>
      <c r="AG98" s="6">
        <f>604488</f>
        <v>604488</v>
      </c>
      <c r="AH98" s="6">
        <f>211196+95000+5598+10700+4602+60000+25000+207832.5+2000+3100+402288</f>
        <v>1027316.5</v>
      </c>
      <c r="AI98" s="6"/>
      <c r="AJ98" s="6"/>
      <c r="AK98" s="6"/>
      <c r="AL98" s="6">
        <f>1027316.5</f>
        <v>1027316.5</v>
      </c>
      <c r="AM98" s="8">
        <v>3.4000000000000002E-2</v>
      </c>
      <c r="AN98" s="8">
        <f t="shared" si="36"/>
        <v>34996.472000000002</v>
      </c>
      <c r="AO98" s="6">
        <f>11196+5598+10200-5598+6800+6800</f>
        <v>34996</v>
      </c>
      <c r="AP98" s="6">
        <f>34996</f>
        <v>34996</v>
      </c>
      <c r="AQ98" s="2">
        <f t="shared" si="46"/>
        <v>0.47200000000157161</v>
      </c>
      <c r="AR98" s="6"/>
      <c r="AS98" s="6">
        <v>80</v>
      </c>
      <c r="AT98" s="6" t="s">
        <v>905</v>
      </c>
    </row>
    <row r="99" spans="1:46" s="9" customFormat="1" x14ac:dyDescent="0.15">
      <c r="A99" s="35">
        <v>40654</v>
      </c>
      <c r="B99" s="2" t="s">
        <v>1741</v>
      </c>
      <c r="C99" s="6" t="s">
        <v>871</v>
      </c>
      <c r="D99" s="6" t="s">
        <v>932</v>
      </c>
      <c r="E99" s="6" t="s">
        <v>0</v>
      </c>
      <c r="F99" s="6" t="s">
        <v>933</v>
      </c>
      <c r="G99" s="6" t="s">
        <v>903</v>
      </c>
      <c r="H99" s="6" t="s">
        <v>934</v>
      </c>
      <c r="I99" s="6" t="s">
        <v>935</v>
      </c>
      <c r="J99" s="6" t="s">
        <v>934</v>
      </c>
      <c r="K99" s="6" t="s">
        <v>911</v>
      </c>
      <c r="L99" s="6"/>
      <c r="M99" s="6">
        <v>1649999</v>
      </c>
      <c r="N99" s="6">
        <f>1330000</f>
        <v>1330000</v>
      </c>
      <c r="O99" s="6"/>
      <c r="P99" s="6">
        <v>2670198.41</v>
      </c>
      <c r="Q99" s="7"/>
      <c r="R99" s="42">
        <v>40711</v>
      </c>
      <c r="S99" s="6">
        <v>495</v>
      </c>
      <c r="T99" s="6"/>
      <c r="U99" s="6" t="s">
        <v>14</v>
      </c>
      <c r="V99" s="8">
        <v>3.5999999999999997E-2</v>
      </c>
      <c r="W99" s="6">
        <f>P99*V99</f>
        <v>96127.142760000002</v>
      </c>
      <c r="X99" s="6">
        <f>59400+47880-11153</f>
        <v>96127</v>
      </c>
      <c r="Y99" s="6">
        <f>96127</f>
        <v>96127</v>
      </c>
      <c r="Z99" s="6">
        <f t="shared" si="45"/>
        <v>0.14276000000245403</v>
      </c>
      <c r="AA99" s="6">
        <f>660000+200000+200000+100000+300000+200000+200000+100000+175000+100000+150684.23+175980.26+108533.92</f>
        <v>2670198.41</v>
      </c>
      <c r="AB99" s="6">
        <f>2670198.41</f>
        <v>2670198.41</v>
      </c>
      <c r="AC99" s="6">
        <f>660000+200000+300000+300000+200000+200000+100000+175000+100000+435198.41</f>
        <v>2670198.41</v>
      </c>
      <c r="AD99" s="6">
        <f>2670198.41</f>
        <v>2670198.41</v>
      </c>
      <c r="AE99" s="8">
        <f>AD99/P99</f>
        <v>1</v>
      </c>
      <c r="AF99" s="6">
        <f>201489+435000+6800+296000+47600+260000+21979+270000+24245+443887+274500+184267.5+336170.91</f>
        <v>2801938.41</v>
      </c>
      <c r="AG99" s="6">
        <f>2465767.5+336170.91</f>
        <v>2801938.41</v>
      </c>
      <c r="AH99" s="6">
        <f>201489+435000+6800+200000+6800+3400+47600+210000+32179+50000+185000+24245+6800+6800+420000+15000+3400+280450+14797+184267.5+336170.91</f>
        <v>2670198.41</v>
      </c>
      <c r="AI99" s="6"/>
      <c r="AJ99" s="6"/>
      <c r="AK99" s="6"/>
      <c r="AL99" s="6">
        <f>2334027.5+336170.91</f>
        <v>2670198.41</v>
      </c>
      <c r="AM99" s="8">
        <v>3.4000000000000002E-2</v>
      </c>
      <c r="AN99" s="8">
        <f t="shared" si="36"/>
        <v>90786.745940000008</v>
      </c>
      <c r="AO99" s="6">
        <f>22440+6800+6800+3400+10200+6800+6800+3400+5950+3400+5123+5983+3690</f>
        <v>90786</v>
      </c>
      <c r="AP99" s="6">
        <f>90786</f>
        <v>90786</v>
      </c>
      <c r="AQ99" s="2">
        <f t="shared" si="46"/>
        <v>0.74594000000797678</v>
      </c>
      <c r="AR99" s="6"/>
      <c r="AS99" s="6">
        <v>2</v>
      </c>
      <c r="AT99" s="6" t="s">
        <v>905</v>
      </c>
    </row>
    <row r="100" spans="1:46" s="9" customFormat="1" x14ac:dyDescent="0.15">
      <c r="A100" s="35">
        <v>40667</v>
      </c>
      <c r="B100" s="2" t="s">
        <v>1742</v>
      </c>
      <c r="C100" s="6" t="s">
        <v>872</v>
      </c>
      <c r="D100" s="6" t="s">
        <v>936</v>
      </c>
      <c r="E100" s="6" t="s">
        <v>0</v>
      </c>
      <c r="F100" s="6" t="s">
        <v>169</v>
      </c>
      <c r="G100" s="6" t="s">
        <v>903</v>
      </c>
      <c r="H100" s="6" t="s">
        <v>33</v>
      </c>
      <c r="I100" s="2" t="s">
        <v>172</v>
      </c>
      <c r="J100" s="2" t="s">
        <v>937</v>
      </c>
      <c r="K100" s="2" t="s">
        <v>173</v>
      </c>
      <c r="L100" s="6"/>
      <c r="M100" s="6">
        <v>7732977.5999999996</v>
      </c>
      <c r="N100" s="6"/>
      <c r="O100" s="6"/>
      <c r="P100" s="6">
        <v>8683951.3200000003</v>
      </c>
      <c r="Q100" s="7"/>
      <c r="R100" s="42">
        <v>40731</v>
      </c>
      <c r="S100" s="6">
        <v>2320</v>
      </c>
      <c r="T100" s="6"/>
      <c r="U100" s="6" t="s">
        <v>14</v>
      </c>
      <c r="V100" s="8">
        <v>0.03</v>
      </c>
      <c r="W100" s="6">
        <f>P100*V100</f>
        <v>260518.53959999999</v>
      </c>
      <c r="X100" s="6">
        <f>90000+58142.73+83846.27+28530</f>
        <v>260519</v>
      </c>
      <c r="Y100" s="6">
        <f>260519</f>
        <v>260519</v>
      </c>
      <c r="Z100" s="6">
        <f t="shared" si="45"/>
        <v>-0.46040000001084991</v>
      </c>
      <c r="AA100" s="6">
        <f>607607.2+1476543+1927472+885925+937744+800000+725537.52+1323122.6</f>
        <v>8683951.3200000003</v>
      </c>
      <c r="AB100" s="6">
        <f>8683951.32</f>
        <v>8683951.3200000003</v>
      </c>
      <c r="AC100" s="6">
        <f>607607.2+1476543+1562908+364064+885925+937744+786000+1614462.52+434197.6</f>
        <v>8669451.3200000003</v>
      </c>
      <c r="AD100" s="6">
        <f>8669451.32</f>
        <v>8669451.3200000003</v>
      </c>
      <c r="AE100" s="8">
        <f>AD100/P100</f>
        <v>0.99833025319170032</v>
      </c>
      <c r="AF100" s="6">
        <f>9279.6+229648+84824.25+150000+1523422.76+300000+600000+100000+580000+53822.8+150000+298695.06+155097+480000+124000+716116+100000+597300+49775+102789+297000+356244+300000</f>
        <v>7358013.4699999997</v>
      </c>
      <c r="AG100" s="6">
        <f>7058013.47+300000</f>
        <v>7358013.4699999997</v>
      </c>
      <c r="AH100" s="6">
        <f>599938.6+1230202+100000+1693523+334292.25+30122+860000+17215.2+913369-100000+150000+182297+480000+124000+785770+100000+59730+49775+99000+297000+342900+300000</f>
        <v>8649134.0500000007</v>
      </c>
      <c r="AI100" s="6">
        <f>6043</f>
        <v>6043</v>
      </c>
      <c r="AJ100" s="6">
        <f>3650+3910</f>
        <v>7560</v>
      </c>
      <c r="AK100" s="6">
        <f>139+3391</f>
        <v>3530</v>
      </c>
      <c r="AL100" s="6">
        <f>8349134.05+6043+7560+3530+300000</f>
        <v>8666267.0500000007</v>
      </c>
      <c r="AM100" s="8">
        <v>3.4000000000000002E-2</v>
      </c>
      <c r="AN100" s="8">
        <f t="shared" si="36"/>
        <v>295254.34488000005</v>
      </c>
      <c r="AO100" s="6">
        <f>20659+50202+65534+30122+31883+27200+24668+44986</f>
        <v>295254</v>
      </c>
      <c r="AP100" s="6">
        <f>295254</f>
        <v>295254</v>
      </c>
      <c r="AQ100" s="2">
        <f t="shared" si="46"/>
        <v>0.34488000004785135</v>
      </c>
      <c r="AR100" s="6"/>
      <c r="AS100" s="6">
        <v>110</v>
      </c>
      <c r="AT100" s="6" t="s">
        <v>921</v>
      </c>
    </row>
    <row r="101" spans="1:46" s="9" customFormat="1" x14ac:dyDescent="0.15">
      <c r="A101" s="35">
        <v>40672</v>
      </c>
      <c r="B101" s="2" t="s">
        <v>1743</v>
      </c>
      <c r="C101" s="6" t="s">
        <v>873</v>
      </c>
      <c r="D101" s="6" t="s">
        <v>938</v>
      </c>
      <c r="E101" s="6" t="s">
        <v>0</v>
      </c>
      <c r="F101" s="6" t="s">
        <v>939</v>
      </c>
      <c r="G101" s="6" t="s">
        <v>903</v>
      </c>
      <c r="H101" s="6" t="s">
        <v>273</v>
      </c>
      <c r="I101" s="6" t="s">
        <v>274</v>
      </c>
      <c r="J101" s="6" t="s">
        <v>273</v>
      </c>
      <c r="K101" s="6" t="s">
        <v>35</v>
      </c>
      <c r="L101" s="6"/>
      <c r="M101" s="6">
        <v>1205230</v>
      </c>
      <c r="N101" s="6"/>
      <c r="O101" s="6"/>
      <c r="P101" s="6"/>
      <c r="Q101" s="7"/>
      <c r="R101" s="42">
        <v>40744</v>
      </c>
      <c r="S101" s="6">
        <v>362</v>
      </c>
      <c r="T101" s="6"/>
      <c r="U101" s="6" t="s">
        <v>14</v>
      </c>
      <c r="V101" s="8">
        <v>3.5999999999999997E-2</v>
      </c>
      <c r="W101" s="6">
        <f t="shared" si="47"/>
        <v>43388.28</v>
      </c>
      <c r="X101" s="6">
        <f>43388</f>
        <v>43388</v>
      </c>
      <c r="Y101" s="6">
        <f>43388</f>
        <v>43388</v>
      </c>
      <c r="Z101" s="6">
        <f t="shared" si="45"/>
        <v>0.27999999999883585</v>
      </c>
      <c r="AA101" s="6">
        <f>602615+200000</f>
        <v>802615</v>
      </c>
      <c r="AB101" s="6">
        <f>802615</f>
        <v>802615</v>
      </c>
      <c r="AC101" s="6">
        <f>602615+200000</f>
        <v>802615</v>
      </c>
      <c r="AD101" s="6">
        <f>802615</f>
        <v>802615</v>
      </c>
      <c r="AE101" s="8">
        <f t="shared" si="48"/>
        <v>0.6659434298847523</v>
      </c>
      <c r="AF101" s="6">
        <f>228190+427668.2+60578</f>
        <v>716436.2</v>
      </c>
      <c r="AG101" s="6">
        <f>716436.2</f>
        <v>716436.2</v>
      </c>
      <c r="AH101" s="6">
        <f>312591+102446.3+80578+100000+6800+8338</f>
        <v>610753.30000000005</v>
      </c>
      <c r="AI101" s="6"/>
      <c r="AJ101" s="6"/>
      <c r="AK101" s="6"/>
      <c r="AL101" s="6">
        <f>610753.3</f>
        <v>610753.30000000005</v>
      </c>
      <c r="AM101" s="8">
        <v>3.4000000000000002E-2</v>
      </c>
      <c r="AN101" s="8">
        <f t="shared" si="36"/>
        <v>27288.910000000003</v>
      </c>
      <c r="AO101" s="6">
        <f>20489+6800</f>
        <v>27289</v>
      </c>
      <c r="AP101" s="6">
        <f>27289</f>
        <v>27289</v>
      </c>
      <c r="AQ101" s="6">
        <f t="shared" si="46"/>
        <v>-8.999999999650754E-2</v>
      </c>
      <c r="AR101" s="6"/>
      <c r="AS101" s="6">
        <v>16</v>
      </c>
      <c r="AT101" s="6" t="s">
        <v>990</v>
      </c>
    </row>
    <row r="102" spans="1:46" s="9" customFormat="1" x14ac:dyDescent="0.15">
      <c r="A102" s="35">
        <v>40672</v>
      </c>
      <c r="B102" s="2" t="s">
        <v>1744</v>
      </c>
      <c r="C102" s="6" t="s">
        <v>874</v>
      </c>
      <c r="D102" s="6" t="s">
        <v>991</v>
      </c>
      <c r="E102" s="6" t="s">
        <v>0</v>
      </c>
      <c r="F102" s="6" t="s">
        <v>939</v>
      </c>
      <c r="G102" s="6" t="s">
        <v>992</v>
      </c>
      <c r="H102" s="6" t="s">
        <v>273</v>
      </c>
      <c r="I102" s="6" t="s">
        <v>274</v>
      </c>
      <c r="J102" s="6" t="s">
        <v>273</v>
      </c>
      <c r="K102" s="6" t="s">
        <v>35</v>
      </c>
      <c r="L102" s="6"/>
      <c r="M102" s="6">
        <v>570122.69999999995</v>
      </c>
      <c r="N102" s="6">
        <f>214938.7</f>
        <v>214938.7</v>
      </c>
      <c r="O102" s="6"/>
      <c r="P102" s="6"/>
      <c r="Q102" s="7"/>
      <c r="R102" s="42">
        <v>40744</v>
      </c>
      <c r="S102" s="6">
        <v>172</v>
      </c>
      <c r="T102" s="6"/>
      <c r="U102" s="6" t="s">
        <v>14</v>
      </c>
      <c r="V102" s="8">
        <v>3.5999999999999997E-2</v>
      </c>
      <c r="W102" s="6">
        <f t="shared" si="47"/>
        <v>28262.210399999996</v>
      </c>
      <c r="X102" s="6">
        <f>20524+7738</f>
        <v>28262</v>
      </c>
      <c r="Y102" s="6">
        <f>28262</f>
        <v>28262</v>
      </c>
      <c r="Z102" s="6">
        <f t="shared" si="45"/>
        <v>0.21039999999629799</v>
      </c>
      <c r="AA102" s="6">
        <f>285061.4+267957.66+232042.34</f>
        <v>785061.4</v>
      </c>
      <c r="AB102" s="6">
        <f>785061.4</f>
        <v>785061.4</v>
      </c>
      <c r="AC102" s="6">
        <f>285061.4+500000</f>
        <v>785061.4</v>
      </c>
      <c r="AD102" s="6">
        <f>785061.4</f>
        <v>785061.4</v>
      </c>
      <c r="AE102" s="8">
        <f t="shared" si="48"/>
        <v>1.0000000000000002</v>
      </c>
      <c r="AF102" s="6">
        <f>200000+320000+198000</f>
        <v>718000</v>
      </c>
      <c r="AG102" s="6">
        <f>718000</f>
        <v>718000</v>
      </c>
      <c r="AH102" s="6">
        <f>209692+38700+9111+327889+198000</f>
        <v>783392</v>
      </c>
      <c r="AI102" s="6"/>
      <c r="AJ102" s="6"/>
      <c r="AK102" s="6"/>
      <c r="AL102" s="6">
        <f>783392</f>
        <v>783392</v>
      </c>
      <c r="AM102" s="8">
        <v>3.4000000000000002E-2</v>
      </c>
      <c r="AN102" s="8">
        <f t="shared" si="36"/>
        <v>26692.087600000003</v>
      </c>
      <c r="AO102" s="6">
        <f>9692+9111+7889</f>
        <v>26692</v>
      </c>
      <c r="AP102" s="6">
        <f>26692</f>
        <v>26692</v>
      </c>
      <c r="AQ102" s="2">
        <f t="shared" si="46"/>
        <v>8.7600000002566958E-2</v>
      </c>
      <c r="AR102" s="6"/>
      <c r="AS102" s="6"/>
      <c r="AT102" s="6"/>
    </row>
    <row r="103" spans="1:46" s="9" customFormat="1" x14ac:dyDescent="0.15">
      <c r="A103" s="35">
        <v>40674</v>
      </c>
      <c r="B103" s="2" t="s">
        <v>1745</v>
      </c>
      <c r="C103" s="6" t="s">
        <v>875</v>
      </c>
      <c r="D103" s="6" t="s">
        <v>993</v>
      </c>
      <c r="E103" s="6" t="s">
        <v>0</v>
      </c>
      <c r="F103" s="6" t="s">
        <v>994</v>
      </c>
      <c r="G103" s="6" t="s">
        <v>995</v>
      </c>
      <c r="H103" s="6" t="s">
        <v>996</v>
      </c>
      <c r="I103" s="6" t="s">
        <v>909</v>
      </c>
      <c r="J103" s="6" t="s">
        <v>910</v>
      </c>
      <c r="K103" s="6" t="s">
        <v>5</v>
      </c>
      <c r="L103" s="6"/>
      <c r="M103" s="6">
        <v>6835796.0800000001</v>
      </c>
      <c r="N103" s="6">
        <f>1767928</f>
        <v>1767928</v>
      </c>
      <c r="O103" s="6"/>
      <c r="P103" s="6">
        <v>10070000</v>
      </c>
      <c r="Q103" s="7"/>
      <c r="R103" s="42"/>
      <c r="S103" s="6"/>
      <c r="T103" s="6"/>
      <c r="U103" s="6" t="s">
        <v>14</v>
      </c>
      <c r="V103" s="8">
        <v>0.03</v>
      </c>
      <c r="W103" s="6">
        <f>P103*V103</f>
        <v>302100</v>
      </c>
      <c r="X103" s="6">
        <f>205074+53038+43988</f>
        <v>302100</v>
      </c>
      <c r="Y103" s="6">
        <f>302100</f>
        <v>302100</v>
      </c>
      <c r="Z103" s="6">
        <f t="shared" si="45"/>
        <v>0</v>
      </c>
      <c r="AA103" s="6">
        <f>1000000+1000000+500000+1000000+500000+1000000+1000000+600000+150000+500000+700000+2120000</f>
        <v>10070000</v>
      </c>
      <c r="AB103" s="6">
        <f>10070000</f>
        <v>10070000</v>
      </c>
      <c r="AC103" s="6">
        <f>1000000+1000000+500000+1000000+500000+1000000+1000000+600000+150000+500000+700000+1616500</f>
        <v>9566500</v>
      </c>
      <c r="AD103" s="6">
        <f>9566500</f>
        <v>9566500</v>
      </c>
      <c r="AE103" s="8">
        <f>AD103/P103</f>
        <v>0.95</v>
      </c>
      <c r="AF103" s="6">
        <f>400000+688000+100000+249000+130000+100000+161980+481000+100000+196828+1100000+1012000+61385+300000+100000+150000+499152+223537+35370+14986+700000+37250+540000+1000440</f>
        <v>8380928</v>
      </c>
      <c r="AG103" s="6">
        <f>8380928</f>
        <v>8380928</v>
      </c>
      <c r="AH103" s="6">
        <f>654336+300000+688000+100000+230000+130000+100000+561980+582000+164850+1100000+1012000+61385+356000+99999+100000+20340+150000+5085+499152+223537+35370+14986+700000+23730+37250+75868+540000+1000440</f>
        <v>9566308</v>
      </c>
      <c r="AI103" s="6"/>
      <c r="AJ103" s="6"/>
      <c r="AK103" s="6"/>
      <c r="AL103" s="6">
        <f>9566308</f>
        <v>9566308</v>
      </c>
      <c r="AM103" s="8">
        <v>3.7600000000000001E-2</v>
      </c>
      <c r="AN103" s="8">
        <f t="shared" si="36"/>
        <v>378632</v>
      </c>
      <c r="AO103" s="6">
        <f>378632</f>
        <v>378632</v>
      </c>
      <c r="AP103" s="6">
        <f>378632</f>
        <v>378632</v>
      </c>
      <c r="AQ103" s="2">
        <f t="shared" si="46"/>
        <v>0</v>
      </c>
      <c r="AR103" s="6"/>
      <c r="AS103" s="6">
        <v>120</v>
      </c>
      <c r="AT103" s="6" t="s">
        <v>990</v>
      </c>
    </row>
    <row r="104" spans="1:46" s="9" customFormat="1" x14ac:dyDescent="0.15">
      <c r="A104" s="35">
        <v>40674</v>
      </c>
      <c r="B104" s="2" t="s">
        <v>1746</v>
      </c>
      <c r="C104" s="6" t="s">
        <v>876</v>
      </c>
      <c r="D104" s="6" t="s">
        <v>997</v>
      </c>
      <c r="E104" s="6" t="s">
        <v>0</v>
      </c>
      <c r="F104" s="6" t="s">
        <v>998</v>
      </c>
      <c r="G104" s="6" t="s">
        <v>992</v>
      </c>
      <c r="H104" s="6" t="s">
        <v>999</v>
      </c>
      <c r="I104" s="6" t="s">
        <v>1000</v>
      </c>
      <c r="J104" s="6" t="s">
        <v>999</v>
      </c>
      <c r="K104" s="6" t="s">
        <v>1001</v>
      </c>
      <c r="L104" s="6"/>
      <c r="M104" s="6">
        <v>440000</v>
      </c>
      <c r="N104" s="6">
        <f>24600</f>
        <v>24600</v>
      </c>
      <c r="O104" s="6"/>
      <c r="P104" s="6"/>
      <c r="Q104" s="7"/>
      <c r="R104" s="42">
        <v>40696</v>
      </c>
      <c r="S104" s="6">
        <v>132</v>
      </c>
      <c r="T104" s="6"/>
      <c r="U104" s="6" t="s">
        <v>14</v>
      </c>
      <c r="V104" s="8">
        <v>3.5999999999999997E-2</v>
      </c>
      <c r="W104" s="6">
        <f t="shared" si="47"/>
        <v>16725.599999999999</v>
      </c>
      <c r="X104" s="6">
        <f>15840+886</f>
        <v>16726</v>
      </c>
      <c r="Y104" s="6">
        <f>16726</f>
        <v>16726</v>
      </c>
      <c r="Z104" s="6">
        <f t="shared" si="45"/>
        <v>-0.40000000000145519</v>
      </c>
      <c r="AA104" s="6">
        <f>130000+130000+184600+20000</f>
        <v>464600</v>
      </c>
      <c r="AB104" s="6">
        <f>464600</f>
        <v>464600</v>
      </c>
      <c r="AC104" s="6">
        <f>130000+130000+100000+84600+20000</f>
        <v>464600</v>
      </c>
      <c r="AD104" s="6">
        <f>464600</f>
        <v>464600</v>
      </c>
      <c r="AE104" s="8">
        <f t="shared" si="48"/>
        <v>1</v>
      </c>
      <c r="AF104" s="6">
        <f>117750.52+5420+60000+58120+100000+16000+22000+2000</f>
        <v>381290.52</v>
      </c>
      <c r="AG104" s="6">
        <f>381290.52</f>
        <v>381290.52</v>
      </c>
      <c r="AH104" s="6">
        <f>117750.52+5420+60000+58120+91133.46+80000+10696+680+16000+22000+2000</f>
        <v>463799.98000000004</v>
      </c>
      <c r="AI104" s="6"/>
      <c r="AJ104" s="6"/>
      <c r="AK104" s="6"/>
      <c r="AL104" s="6">
        <f>463799.98</f>
        <v>463799.98</v>
      </c>
      <c r="AM104" s="8">
        <v>3.4000000000000002E-2</v>
      </c>
      <c r="AN104" s="8">
        <f t="shared" si="36"/>
        <v>15796.400000000001</v>
      </c>
      <c r="AO104" s="6">
        <f>4420+4420+6276+680</f>
        <v>15796</v>
      </c>
      <c r="AP104" s="6">
        <f>15796</f>
        <v>15796</v>
      </c>
      <c r="AQ104" s="2">
        <f t="shared" si="46"/>
        <v>0.40000000000145519</v>
      </c>
      <c r="AR104" s="6"/>
      <c r="AS104" s="6">
        <v>5</v>
      </c>
      <c r="AT104" s="6" t="s">
        <v>1002</v>
      </c>
    </row>
    <row r="105" spans="1:46" s="9" customFormat="1" x14ac:dyDescent="0.15">
      <c r="A105" s="35">
        <v>40664</v>
      </c>
      <c r="B105" s="2" t="s">
        <v>1747</v>
      </c>
      <c r="C105" s="6" t="s">
        <v>877</v>
      </c>
      <c r="D105" s="6" t="s">
        <v>1003</v>
      </c>
      <c r="E105" s="6" t="s">
        <v>0</v>
      </c>
      <c r="F105" s="6" t="s">
        <v>1004</v>
      </c>
      <c r="G105" s="6" t="s">
        <v>1005</v>
      </c>
      <c r="H105" s="6" t="s">
        <v>1006</v>
      </c>
      <c r="I105" s="6" t="s">
        <v>1007</v>
      </c>
      <c r="J105" s="6" t="s">
        <v>1006</v>
      </c>
      <c r="K105" s="6" t="s">
        <v>5</v>
      </c>
      <c r="L105" s="6"/>
      <c r="M105" s="6">
        <v>18880000</v>
      </c>
      <c r="N105" s="6">
        <f>2686147.36</f>
        <v>2686147.36</v>
      </c>
      <c r="O105" s="6"/>
      <c r="P105" s="6"/>
      <c r="Q105" s="7"/>
      <c r="R105" s="42">
        <v>40664</v>
      </c>
      <c r="S105" s="6">
        <v>5664</v>
      </c>
      <c r="T105" s="6"/>
      <c r="U105" s="6" t="s">
        <v>14</v>
      </c>
      <c r="V105" s="8">
        <v>0.03</v>
      </c>
      <c r="W105" s="6">
        <f t="shared" si="47"/>
        <v>646984.42079999996</v>
      </c>
      <c r="X105" s="6">
        <f>300000+266400+80584</f>
        <v>646984</v>
      </c>
      <c r="Y105" s="6">
        <f>646984</f>
        <v>646984</v>
      </c>
      <c r="Z105" s="6">
        <f t="shared" si="45"/>
        <v>0.42079999996349216</v>
      </c>
      <c r="AA105" s="6">
        <f>2000000+3664000+1349137.84+1198221.04+1765755.73+750925.06+2219665.65+2686147.36</f>
        <v>15633852.68</v>
      </c>
      <c r="AB105" s="6">
        <f>15633852.68</f>
        <v>15633852.68</v>
      </c>
      <c r="AC105" s="6">
        <f>1000000+500000+500000+2000000+2400857.84+615941.04+1300000+671359+500000+500000+500000+200000+500000+300000+2686147.36+500000+1000000</f>
        <v>15674305.239999998</v>
      </c>
      <c r="AD105" s="6">
        <f>15674305.24</f>
        <v>15674305.24</v>
      </c>
      <c r="AE105" s="8">
        <f t="shared" si="48"/>
        <v>0.72680136040765697</v>
      </c>
      <c r="AF105" s="6">
        <f>1000000+600000+100000+600000+200000+503000+200000+250000+800000+550000+830000+300000+300000+280365.4+300000+100000+1340203+556000+18083.8+500000+100000+100000+819400+700000+300000+980000+1706147+500000+1000000+200000+100000</f>
        <v>15833199.200000001</v>
      </c>
      <c r="AG105" s="6">
        <f>15533199.2+200000+100000</f>
        <v>15833199.199999999</v>
      </c>
      <c r="AH105" s="6">
        <f>1000000+600000+100000+200000+1303000+200000+250000+550000+580000+489222.39+300000+400000+280365.4+300000+100000+1340203+606000+19966.5+500000+50000+100000+100000+819400+700000+300000+980000+1706147+500000+1000000+200000+100000</f>
        <v>15674304.289999999</v>
      </c>
      <c r="AI105" s="6"/>
      <c r="AJ105" s="6"/>
      <c r="AK105" s="6"/>
      <c r="AL105" s="6">
        <f>15374304.29+200000+100000</f>
        <v>15674304.289999999</v>
      </c>
      <c r="AM105" s="8"/>
      <c r="AN105" s="8">
        <f t="shared" si="36"/>
        <v>0</v>
      </c>
      <c r="AO105" s="6"/>
      <c r="AP105" s="6"/>
      <c r="AQ105" s="6">
        <f t="shared" si="46"/>
        <v>0</v>
      </c>
      <c r="AR105" s="6"/>
      <c r="AS105" s="6">
        <v>45</v>
      </c>
      <c r="AT105" s="6" t="s">
        <v>1008</v>
      </c>
    </row>
    <row r="106" spans="1:46" s="9" customFormat="1" x14ac:dyDescent="0.15">
      <c r="A106" s="35">
        <v>40683</v>
      </c>
      <c r="B106" s="2" t="s">
        <v>1748</v>
      </c>
      <c r="C106" s="6" t="s">
        <v>706</v>
      </c>
      <c r="D106" s="6" t="s">
        <v>707</v>
      </c>
      <c r="E106" s="6" t="s">
        <v>0</v>
      </c>
      <c r="F106" s="6" t="s">
        <v>708</v>
      </c>
      <c r="G106" s="6" t="s">
        <v>709</v>
      </c>
      <c r="H106" s="6" t="s">
        <v>710</v>
      </c>
      <c r="I106" s="6" t="s">
        <v>711</v>
      </c>
      <c r="J106" s="6" t="s">
        <v>710</v>
      </c>
      <c r="K106" s="6" t="s">
        <v>712</v>
      </c>
      <c r="L106" s="6"/>
      <c r="M106" s="6">
        <v>620475.36</v>
      </c>
      <c r="N106" s="6">
        <f>94903.03</f>
        <v>94903.03</v>
      </c>
      <c r="O106" s="6"/>
      <c r="P106" s="6">
        <f>647403.43+241187.71+183215.1+4605</f>
        <v>1076411.24</v>
      </c>
      <c r="Q106" s="7"/>
      <c r="R106" s="42">
        <v>40696</v>
      </c>
      <c r="S106" s="6">
        <v>187</v>
      </c>
      <c r="T106" s="6"/>
      <c r="U106" s="6" t="s">
        <v>713</v>
      </c>
      <c r="V106" s="8">
        <v>3.5999999999999997E-2</v>
      </c>
      <c r="W106" s="6">
        <f>P106*V106</f>
        <v>38750.804639999995</v>
      </c>
      <c r="X106" s="6">
        <f>22337+3417+2609+10222+166</f>
        <v>38751</v>
      </c>
      <c r="Y106" s="6">
        <f>38751</f>
        <v>38751</v>
      </c>
      <c r="Z106" s="6">
        <v>0</v>
      </c>
      <c r="AA106" s="6">
        <f>186142+217166+28470+33216+178846+144000+230375+21220.81+36975.43</f>
        <v>1076411.24</v>
      </c>
      <c r="AB106" s="6">
        <f>1076411.24</f>
        <v>1076411.24</v>
      </c>
      <c r="AC106" s="6">
        <f>186142+217166+61686+178846+72000+72000+230375+21220.81+36975.43</f>
        <v>1076411.24</v>
      </c>
      <c r="AD106" s="6">
        <f>1076411.24</f>
        <v>1076411.24</v>
      </c>
      <c r="AE106" s="8">
        <f>AD106/P106</f>
        <v>1</v>
      </c>
      <c r="AF106" s="6">
        <f>53584+8160+52584+20256.95+14050+14000+18049+12000+1700+60000+92000+220800+21153+50000+70000+82800+458500+2066+30000+50000</f>
        <v>1331702.95</v>
      </c>
      <c r="AG106" s="6">
        <f>1281702.95+50000</f>
        <v>1331702.95</v>
      </c>
      <c r="AH106" s="6">
        <f>178265+8160+52584+10000+1129+13000-52584+15000+14000+3049+12000+6081+1700+60000+92000+220800+4896+21153+50000+30000+40000+90633+48500+722+1257+2066+30000+50000</f>
        <v>1004411</v>
      </c>
      <c r="AI106" s="6"/>
      <c r="AJ106" s="6"/>
      <c r="AK106" s="6"/>
      <c r="AL106" s="6">
        <f>954411+50000</f>
        <v>1004411</v>
      </c>
      <c r="AM106" s="8">
        <v>3.4000000000000002E-2</v>
      </c>
      <c r="AN106" s="8">
        <f t="shared" si="36"/>
        <v>36597.98216</v>
      </c>
      <c r="AO106" s="6">
        <f>6329+7384+968+1129+6081+4896+7833+722+1257</f>
        <v>36599</v>
      </c>
      <c r="AP106" s="6">
        <f>36599</f>
        <v>36599</v>
      </c>
      <c r="AQ106" s="2">
        <f t="shared" si="24"/>
        <v>-1.0178400000004331</v>
      </c>
      <c r="AR106" s="6"/>
      <c r="AS106" s="6"/>
      <c r="AT106" s="6"/>
    </row>
    <row r="107" spans="1:46" s="9" customFormat="1" x14ac:dyDescent="0.15">
      <c r="A107" s="35">
        <v>40686</v>
      </c>
      <c r="B107" s="2" t="s">
        <v>1749</v>
      </c>
      <c r="C107" s="6" t="s">
        <v>980</v>
      </c>
      <c r="D107" s="6" t="s">
        <v>1010</v>
      </c>
      <c r="E107" s="6" t="s">
        <v>0</v>
      </c>
      <c r="F107" s="6" t="s">
        <v>1011</v>
      </c>
      <c r="G107" s="6" t="s">
        <v>1013</v>
      </c>
      <c r="H107" s="6" t="s">
        <v>1014</v>
      </c>
      <c r="I107" s="2" t="s">
        <v>332</v>
      </c>
      <c r="J107" s="2" t="s">
        <v>333</v>
      </c>
      <c r="K107" s="2" t="s">
        <v>35</v>
      </c>
      <c r="L107" s="6"/>
      <c r="M107" s="6">
        <v>3298895.5</v>
      </c>
      <c r="N107" s="6">
        <v>1500000</v>
      </c>
      <c r="O107" s="6"/>
      <c r="P107" s="6"/>
      <c r="Q107" s="7"/>
      <c r="R107" s="42">
        <v>40724</v>
      </c>
      <c r="S107" s="6">
        <v>990</v>
      </c>
      <c r="T107" s="6"/>
      <c r="U107" s="6" t="s">
        <v>713</v>
      </c>
      <c r="V107" s="8">
        <v>3.5999999999999997E-2</v>
      </c>
      <c r="W107" s="6">
        <f>(M107+N107)*V107</f>
        <v>172760.23799999998</v>
      </c>
      <c r="X107" s="6">
        <f>35000+83760</f>
        <v>118760</v>
      </c>
      <c r="Y107" s="6">
        <f>118760</f>
        <v>118760</v>
      </c>
      <c r="Z107" s="6">
        <f>W107-Y107</f>
        <v>54000.237999999983</v>
      </c>
      <c r="AA107" s="6">
        <f>989668.65+200000+789668.65+1319558.2+1500000</f>
        <v>4798895.5</v>
      </c>
      <c r="AB107" s="6">
        <f>4798895.5</f>
        <v>4798895.5</v>
      </c>
      <c r="AC107" s="6">
        <f>915443.5+915443.5+1319558.2</f>
        <v>3150445.2</v>
      </c>
      <c r="AD107" s="6">
        <f>3150445.2</f>
        <v>3150445.2</v>
      </c>
      <c r="AE107" s="8">
        <f>AD107/(M107+N107)</f>
        <v>0.65649381196152323</v>
      </c>
      <c r="AF107" s="6">
        <f>915443.5+745888.09+100000+160000+1107748+150000+52000</f>
        <v>3231079.59</v>
      </c>
      <c r="AG107" s="6">
        <f>3231079.59</f>
        <v>3231079.59</v>
      </c>
      <c r="AH107" s="6">
        <f>915443.5+779537.09+100000+1152613+150000+52000</f>
        <v>3149593.59</v>
      </c>
      <c r="AI107" s="6"/>
      <c r="AJ107" s="6"/>
      <c r="AK107" s="6"/>
      <c r="AL107" s="6">
        <f>3149593.59</f>
        <v>3149593.59</v>
      </c>
      <c r="AM107" s="8">
        <v>3.4000000000000002E-2</v>
      </c>
      <c r="AN107" s="8">
        <f t="shared" si="36"/>
        <v>163162.44700000001</v>
      </c>
      <c r="AO107" s="6">
        <f>33649+6800+26849+44865</f>
        <v>112163</v>
      </c>
      <c r="AP107" s="6">
        <f>112163</f>
        <v>112163</v>
      </c>
      <c r="AQ107" s="2">
        <f t="shared" si="24"/>
        <v>50999.447000000015</v>
      </c>
      <c r="AR107" s="6"/>
      <c r="AS107" s="6">
        <v>22</v>
      </c>
      <c r="AT107" s="6" t="s">
        <v>1015</v>
      </c>
    </row>
    <row r="108" spans="1:46" s="9" customFormat="1" x14ac:dyDescent="0.15">
      <c r="A108" s="35">
        <v>40688</v>
      </c>
      <c r="B108" s="2" t="s">
        <v>1750</v>
      </c>
      <c r="C108" s="6" t="s">
        <v>981</v>
      </c>
      <c r="D108" s="6" t="s">
        <v>1016</v>
      </c>
      <c r="E108" s="6" t="s">
        <v>0</v>
      </c>
      <c r="F108" s="6" t="s">
        <v>1017</v>
      </c>
      <c r="G108" s="6" t="s">
        <v>1013</v>
      </c>
      <c r="H108" s="6" t="s">
        <v>1018</v>
      </c>
      <c r="I108" s="2" t="s">
        <v>623</v>
      </c>
      <c r="J108" s="2" t="s">
        <v>624</v>
      </c>
      <c r="K108" s="2" t="s">
        <v>13</v>
      </c>
      <c r="L108" s="6"/>
      <c r="M108" s="6">
        <v>922658</v>
      </c>
      <c r="N108" s="6"/>
      <c r="O108" s="6"/>
      <c r="P108" s="6"/>
      <c r="Q108" s="7"/>
      <c r="R108" s="42">
        <v>40710</v>
      </c>
      <c r="S108" s="6">
        <v>277</v>
      </c>
      <c r="T108" s="6"/>
      <c r="U108" s="6" t="s">
        <v>713</v>
      </c>
      <c r="V108" s="8">
        <v>3.5999999999999997E-2</v>
      </c>
      <c r="W108" s="6">
        <f t="shared" ref="W108:W114" si="49">(M108+N108)*V108</f>
        <v>33215.687999999995</v>
      </c>
      <c r="X108" s="6">
        <f>33216</f>
        <v>33216</v>
      </c>
      <c r="Y108" s="6">
        <f>33216</f>
        <v>33216</v>
      </c>
      <c r="Z108" s="6">
        <f t="shared" ref="Z108:Z114" si="50">W108-Y108</f>
        <v>-0.3120000000053551</v>
      </c>
      <c r="AA108" s="6">
        <f>461329+276797+138399</f>
        <v>876525</v>
      </c>
      <c r="AB108" s="6">
        <f>876525</f>
        <v>876525</v>
      </c>
      <c r="AC108" s="6">
        <f>461329+276797+138399</f>
        <v>876525</v>
      </c>
      <c r="AD108" s="6">
        <f>876525</f>
        <v>876525</v>
      </c>
      <c r="AE108" s="8">
        <f t="shared" ref="AE108:AE114" si="51">AD108/(M108+N108)</f>
        <v>0.94999989161747911</v>
      </c>
      <c r="AF108" s="6">
        <f>4354.5+265625+143518.53+7941.13+225000+39792.72+88579.25+59516.87</f>
        <v>834328</v>
      </c>
      <c r="AG108" s="6">
        <f>834328</f>
        <v>834328</v>
      </c>
      <c r="AH108" s="6">
        <f>460329+1000+271036+144160</f>
        <v>876525</v>
      </c>
      <c r="AI108" s="6"/>
      <c r="AJ108" s="6"/>
      <c r="AK108" s="6"/>
      <c r="AL108" s="6">
        <f>876525</f>
        <v>876525</v>
      </c>
      <c r="AM108" s="8">
        <v>3.4000000000000002E-2</v>
      </c>
      <c r="AN108" s="8">
        <f t="shared" si="36"/>
        <v>29801.850000000002</v>
      </c>
      <c r="AO108" s="6">
        <f>15685+9411+4706</f>
        <v>29802</v>
      </c>
      <c r="AP108" s="6">
        <f>29802</f>
        <v>29802</v>
      </c>
      <c r="AQ108" s="2">
        <f t="shared" si="24"/>
        <v>-0.14999999999781721</v>
      </c>
      <c r="AR108" s="6"/>
      <c r="AS108" s="6">
        <v>21</v>
      </c>
      <c r="AT108" s="6" t="s">
        <v>1019</v>
      </c>
    </row>
    <row r="109" spans="1:46" s="9" customFormat="1" x14ac:dyDescent="0.15">
      <c r="A109" s="35">
        <v>40688</v>
      </c>
      <c r="B109" s="2" t="s">
        <v>1751</v>
      </c>
      <c r="C109" s="6" t="s">
        <v>982</v>
      </c>
      <c r="D109" s="6" t="s">
        <v>1020</v>
      </c>
      <c r="E109" s="6" t="s">
        <v>0</v>
      </c>
      <c r="F109" s="6" t="s">
        <v>1017</v>
      </c>
      <c r="G109" s="6" t="s">
        <v>1013</v>
      </c>
      <c r="H109" s="6" t="s">
        <v>1018</v>
      </c>
      <c r="I109" s="2" t="s">
        <v>623</v>
      </c>
      <c r="J109" s="2" t="s">
        <v>624</v>
      </c>
      <c r="K109" s="2" t="s">
        <v>13</v>
      </c>
      <c r="L109" s="6"/>
      <c r="M109" s="6">
        <v>542000</v>
      </c>
      <c r="N109" s="6"/>
      <c r="O109" s="6"/>
      <c r="P109" s="6"/>
      <c r="Q109" s="7"/>
      <c r="R109" s="42">
        <v>40710</v>
      </c>
      <c r="S109" s="6">
        <v>163</v>
      </c>
      <c r="T109" s="6"/>
      <c r="U109" s="6" t="s">
        <v>713</v>
      </c>
      <c r="V109" s="8">
        <v>3.5999999999999997E-2</v>
      </c>
      <c r="W109" s="6">
        <f t="shared" si="49"/>
        <v>19512</v>
      </c>
      <c r="X109" s="6">
        <f>19512</f>
        <v>19512</v>
      </c>
      <c r="Y109" s="6">
        <f>19512</f>
        <v>19512</v>
      </c>
      <c r="Z109" s="6">
        <f t="shared" si="50"/>
        <v>0</v>
      </c>
      <c r="AA109" s="6">
        <f>271000+162600+81300</f>
        <v>514900</v>
      </c>
      <c r="AB109" s="6">
        <f>514900</f>
        <v>514900</v>
      </c>
      <c r="AC109" s="6">
        <f>271000+162600+81300</f>
        <v>514900</v>
      </c>
      <c r="AD109" s="6">
        <f>514900</f>
        <v>514900</v>
      </c>
      <c r="AE109" s="8">
        <f t="shared" si="51"/>
        <v>0.95</v>
      </c>
      <c r="AF109" s="6">
        <f>200000+200000</f>
        <v>400000</v>
      </c>
      <c r="AG109" s="6">
        <f>400000</f>
        <v>400000</v>
      </c>
      <c r="AH109" s="6">
        <f>128726+142274+162600+81300</f>
        <v>514900</v>
      </c>
      <c r="AI109" s="6"/>
      <c r="AJ109" s="6"/>
      <c r="AK109" s="6"/>
      <c r="AL109" s="6">
        <f>514900</f>
        <v>514900</v>
      </c>
      <c r="AM109" s="8">
        <v>3.4000000000000002E-2</v>
      </c>
      <c r="AN109" s="8">
        <f t="shared" si="36"/>
        <v>17506.600000000002</v>
      </c>
      <c r="AO109" s="6">
        <f>9214+5528+2764</f>
        <v>17506</v>
      </c>
      <c r="AP109" s="6">
        <f>17506</f>
        <v>17506</v>
      </c>
      <c r="AQ109" s="2">
        <f t="shared" si="24"/>
        <v>0.60000000000218279</v>
      </c>
      <c r="AR109" s="6"/>
      <c r="AS109" s="6">
        <v>5</v>
      </c>
      <c r="AT109" s="6" t="s">
        <v>1019</v>
      </c>
    </row>
    <row r="110" spans="1:46" s="9" customFormat="1" x14ac:dyDescent="0.15">
      <c r="A110" s="35">
        <v>40695</v>
      </c>
      <c r="B110" s="2" t="s">
        <v>1752</v>
      </c>
      <c r="C110" s="6" t="s">
        <v>983</v>
      </c>
      <c r="D110" s="6" t="s">
        <v>1021</v>
      </c>
      <c r="E110" s="6" t="s">
        <v>0</v>
      </c>
      <c r="F110" s="6" t="s">
        <v>1022</v>
      </c>
      <c r="G110" s="6" t="s">
        <v>1013</v>
      </c>
      <c r="H110" s="6" t="s">
        <v>1023</v>
      </c>
      <c r="I110" s="6" t="s">
        <v>1024</v>
      </c>
      <c r="J110" s="6" t="s">
        <v>1023</v>
      </c>
      <c r="K110" s="6" t="s">
        <v>1025</v>
      </c>
      <c r="L110" s="6"/>
      <c r="M110" s="6">
        <v>2640000</v>
      </c>
      <c r="N110" s="6"/>
      <c r="O110" s="6"/>
      <c r="P110" s="6"/>
      <c r="Q110" s="7"/>
      <c r="R110" s="42">
        <v>40717</v>
      </c>
      <c r="S110" s="6">
        <v>792</v>
      </c>
      <c r="T110" s="6"/>
      <c r="U110" s="6" t="s">
        <v>713</v>
      </c>
      <c r="V110" s="8">
        <v>3.5999999999999997E-2</v>
      </c>
      <c r="W110" s="6">
        <f t="shared" si="49"/>
        <v>95040</v>
      </c>
      <c r="X110" s="6">
        <f>95040</f>
        <v>95040</v>
      </c>
      <c r="Y110" s="6">
        <f>95040</f>
        <v>95040</v>
      </c>
      <c r="Z110" s="6">
        <f t="shared" si="50"/>
        <v>0</v>
      </c>
      <c r="AA110" s="6">
        <f>792000+1085001.41+101695.54+115205.74+198763.56</f>
        <v>2292666.25</v>
      </c>
      <c r="AB110" s="6">
        <f>2093902.69+198763.56</f>
        <v>2292666.25</v>
      </c>
      <c r="AC110" s="6">
        <f>792000+1085001.14+101695.54+115205.74+198763.56</f>
        <v>2292665.98</v>
      </c>
      <c r="AD110" s="6">
        <f>2093902.42+198763.56</f>
        <v>2292665.98</v>
      </c>
      <c r="AE110" s="8">
        <f t="shared" si="51"/>
        <v>0.86843408333333327</v>
      </c>
      <c r="AF110" s="6">
        <f>3168+541502.8+400000+450000+35415</f>
        <v>1430085.8</v>
      </c>
      <c r="AG110" s="6">
        <f>1430085.8</f>
        <v>1430085.8</v>
      </c>
      <c r="AH110" s="6">
        <f>3168+668430.8+36890+650000+450000+23878.36+35415+3917+108000</f>
        <v>1979699.1600000001</v>
      </c>
      <c r="AI110" s="6"/>
      <c r="AJ110" s="6"/>
      <c r="AK110" s="6"/>
      <c r="AL110" s="6">
        <f>1979699.16</f>
        <v>1979699.16</v>
      </c>
      <c r="AM110" s="8">
        <v>3.4000000000000002E-2</v>
      </c>
      <c r="AN110" s="8">
        <f t="shared" si="36"/>
        <v>77950.652500000011</v>
      </c>
      <c r="AO110" s="6">
        <f>26928+36890+3458+3917</f>
        <v>71193</v>
      </c>
      <c r="AP110" s="6">
        <f>71193</f>
        <v>71193</v>
      </c>
      <c r="AQ110" s="2">
        <f t="shared" si="24"/>
        <v>6757.6525000000111</v>
      </c>
      <c r="AR110" s="6"/>
      <c r="AS110" s="6">
        <v>20</v>
      </c>
      <c r="AT110" s="6" t="s">
        <v>1019</v>
      </c>
    </row>
    <row r="111" spans="1:46" s="9" customFormat="1" x14ac:dyDescent="0.15">
      <c r="A111" s="35">
        <v>40695</v>
      </c>
      <c r="B111" s="2" t="s">
        <v>1753</v>
      </c>
      <c r="C111" s="6" t="s">
        <v>984</v>
      </c>
      <c r="D111" s="6" t="s">
        <v>1026</v>
      </c>
      <c r="E111" s="6" t="s">
        <v>0</v>
      </c>
      <c r="F111" s="6" t="s">
        <v>1027</v>
      </c>
      <c r="G111" s="6"/>
      <c r="H111" s="6" t="s">
        <v>1028</v>
      </c>
      <c r="I111" s="6" t="s">
        <v>1000</v>
      </c>
      <c r="J111" s="6" t="s">
        <v>999</v>
      </c>
      <c r="K111" s="6"/>
      <c r="L111" s="6"/>
      <c r="M111" s="6">
        <v>5897460</v>
      </c>
      <c r="N111" s="6"/>
      <c r="O111" s="6"/>
      <c r="P111" s="6"/>
      <c r="Q111" s="7"/>
      <c r="R111" s="42"/>
      <c r="S111" s="6"/>
      <c r="T111" s="6"/>
      <c r="U111" s="6" t="s">
        <v>713</v>
      </c>
      <c r="V111" s="8">
        <v>0.03</v>
      </c>
      <c r="W111" s="6">
        <f t="shared" si="49"/>
        <v>176923.8</v>
      </c>
      <c r="X111" s="6"/>
      <c r="Y111" s="6"/>
      <c r="Z111" s="6">
        <f t="shared" si="50"/>
        <v>176923.8</v>
      </c>
      <c r="AA111" s="6"/>
      <c r="AB111" s="6"/>
      <c r="AC111" s="6"/>
      <c r="AD111" s="6"/>
      <c r="AE111" s="8">
        <f t="shared" si="51"/>
        <v>0</v>
      </c>
      <c r="AF111" s="6"/>
      <c r="AG111" s="6"/>
      <c r="AH111" s="6"/>
      <c r="AI111" s="6"/>
      <c r="AJ111" s="6"/>
      <c r="AK111" s="6"/>
      <c r="AL111" s="6"/>
      <c r="AM111" s="8"/>
      <c r="AN111" s="8">
        <f t="shared" si="36"/>
        <v>0</v>
      </c>
      <c r="AO111" s="6"/>
      <c r="AP111" s="6"/>
      <c r="AQ111" s="2">
        <f t="shared" si="24"/>
        <v>0</v>
      </c>
      <c r="AR111" s="6"/>
      <c r="AS111" s="6"/>
      <c r="AT111" s="6"/>
    </row>
    <row r="112" spans="1:46" s="9" customFormat="1" x14ac:dyDescent="0.15">
      <c r="A112" s="35">
        <v>40695</v>
      </c>
      <c r="B112" s="2" t="s">
        <v>1754</v>
      </c>
      <c r="C112" s="6" t="s">
        <v>985</v>
      </c>
      <c r="D112" s="6" t="s">
        <v>1029</v>
      </c>
      <c r="E112" s="6" t="s">
        <v>0</v>
      </c>
      <c r="F112" s="6" t="s">
        <v>766</v>
      </c>
      <c r="G112" s="6" t="s">
        <v>1013</v>
      </c>
      <c r="H112" s="6" t="s">
        <v>1030</v>
      </c>
      <c r="I112" s="6" t="s">
        <v>1031</v>
      </c>
      <c r="J112" s="6" t="s">
        <v>1030</v>
      </c>
      <c r="K112" s="6" t="s">
        <v>1025</v>
      </c>
      <c r="L112" s="6"/>
      <c r="M112" s="6">
        <v>5962023.7199999997</v>
      </c>
      <c r="N112" s="6"/>
      <c r="O112" s="6"/>
      <c r="P112" s="6">
        <v>9169629</v>
      </c>
      <c r="Q112" s="7"/>
      <c r="R112" s="42">
        <v>40752</v>
      </c>
      <c r="S112" s="6">
        <v>1789</v>
      </c>
      <c r="T112" s="6"/>
      <c r="U112" s="6" t="s">
        <v>713</v>
      </c>
      <c r="V112" s="8">
        <v>0.03</v>
      </c>
      <c r="W112" s="6">
        <f>P112*V112</f>
        <v>275088.87</v>
      </c>
      <c r="X112" s="6">
        <f>100000+78861+96228</f>
        <v>275089</v>
      </c>
      <c r="Y112" s="6">
        <f>275089</f>
        <v>275089</v>
      </c>
      <c r="Z112" s="6">
        <f t="shared" si="50"/>
        <v>-0.13000000000465661</v>
      </c>
      <c r="AA112" s="6">
        <f>1000000+200000+200000+500000+800000+1200000+950000+1000000+47635.92+2860000</f>
        <v>8757635.9199999999</v>
      </c>
      <c r="AB112" s="6">
        <f>8757635.92</f>
        <v>8757635.9199999999</v>
      </c>
      <c r="AC112" s="6">
        <f>1000000+200000+200000+500000+800000+1200000+950000+1047635.92+1200000+1500000</f>
        <v>8597635.9199999999</v>
      </c>
      <c r="AD112" s="6">
        <f>8597635.92</f>
        <v>8597635.9199999999</v>
      </c>
      <c r="AE112" s="8">
        <f>AD112/P112</f>
        <v>0.93762091356149746</v>
      </c>
      <c r="AF112" s="6">
        <f>300000+240000+50000+150000+93000+397000+240000+130000+200000+20000+130000+180000+70000+200000+220000+677612.08+520000+40000+119500+19370.57+600000+70000+980000+30000+50000+618000+700000+100000+10000+20000+123000</f>
        <v>7297482.6500000004</v>
      </c>
      <c r="AG112" s="6">
        <f>7174482.65+123000</f>
        <v>7297482.6500000004</v>
      </c>
      <c r="AH112" s="6">
        <f>334000+7154.4+240000+50000+150000+331400+50000+135600+376033+20000+36443.04+200000+436061+41000+220800+770000+200000+220000+32300+520000+258953.92+40000+119500+19370.57+600000+221848+97240+980000+30000+50000+618000+700000+100000+10000+135906+20000-0.4+123000</f>
        <v>8494609.5299999993</v>
      </c>
      <c r="AI112" s="6"/>
      <c r="AJ112" s="6"/>
      <c r="AK112" s="6"/>
      <c r="AL112" s="6">
        <f>8371609.53+123000</f>
        <v>8494609.5300000012</v>
      </c>
      <c r="AM112" s="8">
        <v>3.4000000000000002E-2</v>
      </c>
      <c r="AN112" s="8">
        <f t="shared" si="36"/>
        <v>297759.62128000002</v>
      </c>
      <c r="AO112" s="6">
        <f>34000+6800+6800+17000+27200+40800+32300+34000+1620+97240</f>
        <v>297760</v>
      </c>
      <c r="AP112" s="6">
        <f>297760</f>
        <v>297760</v>
      </c>
      <c r="AQ112" s="2">
        <f t="shared" si="24"/>
        <v>-0.37871999997878447</v>
      </c>
      <c r="AR112" s="6"/>
      <c r="AS112" s="6">
        <v>10</v>
      </c>
      <c r="AT112" s="6" t="s">
        <v>1019</v>
      </c>
    </row>
    <row r="113" spans="1:46" s="9" customFormat="1" x14ac:dyDescent="0.15">
      <c r="A113" s="35">
        <v>40695</v>
      </c>
      <c r="B113" s="2" t="s">
        <v>1755</v>
      </c>
      <c r="C113" s="6" t="s">
        <v>986</v>
      </c>
      <c r="D113" s="6" t="s">
        <v>1032</v>
      </c>
      <c r="E113" s="6" t="s">
        <v>0</v>
      </c>
      <c r="F113" s="6" t="s">
        <v>1033</v>
      </c>
      <c r="G113" s="6" t="s">
        <v>1012</v>
      </c>
      <c r="H113" s="6" t="s">
        <v>852</v>
      </c>
      <c r="I113" s="2" t="s">
        <v>851</v>
      </c>
      <c r="J113" s="2" t="s">
        <v>852</v>
      </c>
      <c r="K113" s="2" t="s">
        <v>95</v>
      </c>
      <c r="L113" s="6"/>
      <c r="M113" s="6">
        <v>1133660</v>
      </c>
      <c r="N113" s="6"/>
      <c r="O113" s="6"/>
      <c r="P113" s="6">
        <v>1282960</v>
      </c>
      <c r="Q113" s="7"/>
      <c r="R113" s="42"/>
      <c r="S113" s="6"/>
      <c r="T113" s="6"/>
      <c r="U113" s="6" t="s">
        <v>713</v>
      </c>
      <c r="V113" s="8">
        <v>3.5999999999999997E-2</v>
      </c>
      <c r="W113" s="6">
        <f>P113*V113</f>
        <v>46186.559999999998</v>
      </c>
      <c r="X113" s="6">
        <f>40812+5375</f>
        <v>46187</v>
      </c>
      <c r="Y113" s="6">
        <f>46187</f>
        <v>46187</v>
      </c>
      <c r="Z113" s="6">
        <f t="shared" si="50"/>
        <v>-0.44000000000232831</v>
      </c>
      <c r="AA113" s="6">
        <f>826000+200000+256960</f>
        <v>1282960</v>
      </c>
      <c r="AB113" s="6">
        <f>1282960</f>
        <v>1282960</v>
      </c>
      <c r="AC113" s="6">
        <f>226000+600000+200000+192700+64260</f>
        <v>1282960</v>
      </c>
      <c r="AD113" s="6">
        <f>1218700+64260</f>
        <v>1282960</v>
      </c>
      <c r="AE113" s="8">
        <f>AD113/P113</f>
        <v>1</v>
      </c>
      <c r="AF113" s="6">
        <f>118293.25+29686+100000+50633.1+460000+8800+200000+50000+211807.59+64260</f>
        <v>1293479.94</v>
      </c>
      <c r="AG113" s="6">
        <f>1229219.94+64260</f>
        <v>1293479.94</v>
      </c>
      <c r="AH113" s="6">
        <f>118293.25+70498+89957.11+50633.1+460000+8800+200000+10000-10000+8710.95+211807.59+64260</f>
        <v>1282960</v>
      </c>
      <c r="AI113" s="6"/>
      <c r="AJ113" s="6"/>
      <c r="AK113" s="6"/>
      <c r="AL113" s="6">
        <f>1218700+64260</f>
        <v>1282960</v>
      </c>
      <c r="AM113" s="8">
        <v>3.7600000000000001E-2</v>
      </c>
      <c r="AN113" s="8">
        <f t="shared" si="36"/>
        <v>48239.296000000002</v>
      </c>
      <c r="AO113" s="6">
        <f>48239.3</f>
        <v>48239.3</v>
      </c>
      <c r="AP113" s="6">
        <f>48239.3</f>
        <v>48239.3</v>
      </c>
      <c r="AQ113" s="2">
        <f t="shared" si="24"/>
        <v>-4.0000000008149073E-3</v>
      </c>
      <c r="AR113" s="6"/>
      <c r="AS113" s="6">
        <v>13</v>
      </c>
      <c r="AT113" s="6" t="s">
        <v>1019</v>
      </c>
    </row>
    <row r="114" spans="1:46" s="9" customFormat="1" x14ac:dyDescent="0.15">
      <c r="A114" s="35">
        <v>40695</v>
      </c>
      <c r="B114" s="2" t="s">
        <v>1756</v>
      </c>
      <c r="C114" s="6" t="s">
        <v>987</v>
      </c>
      <c r="D114" s="6" t="s">
        <v>1034</v>
      </c>
      <c r="E114" s="6" t="s">
        <v>0</v>
      </c>
      <c r="F114" s="6" t="s">
        <v>1035</v>
      </c>
      <c r="G114" s="6" t="s">
        <v>1013</v>
      </c>
      <c r="H114" s="6" t="s">
        <v>1036</v>
      </c>
      <c r="I114" s="6" t="s">
        <v>291</v>
      </c>
      <c r="J114" s="6" t="s">
        <v>293</v>
      </c>
      <c r="K114" s="6" t="s">
        <v>35</v>
      </c>
      <c r="L114" s="6"/>
      <c r="M114" s="6">
        <v>1294883.55</v>
      </c>
      <c r="N114" s="6">
        <f>337794.41</f>
        <v>337794.41</v>
      </c>
      <c r="O114" s="6"/>
      <c r="P114" s="6"/>
      <c r="Q114" s="7" t="s">
        <v>1037</v>
      </c>
      <c r="R114" s="42">
        <v>40875</v>
      </c>
      <c r="S114" s="6">
        <v>389</v>
      </c>
      <c r="T114" s="6"/>
      <c r="U114" s="6" t="s">
        <v>713</v>
      </c>
      <c r="V114" s="8">
        <v>3.5999999999999997E-2</v>
      </c>
      <c r="W114" s="6">
        <f t="shared" si="49"/>
        <v>58776.406559999996</v>
      </c>
      <c r="X114" s="6">
        <f>58776</f>
        <v>58776</v>
      </c>
      <c r="Y114" s="6">
        <f>58776</f>
        <v>58776</v>
      </c>
      <c r="Z114" s="6">
        <f t="shared" si="50"/>
        <v>0.40655999999580672</v>
      </c>
      <c r="AA114" s="6">
        <f>906418.48+236456.08+327566.78+81633.9-81633.9+77391.65</f>
        <v>1547832.99</v>
      </c>
      <c r="AB114" s="6">
        <f>1547832.99</f>
        <v>1547832.99</v>
      </c>
      <c r="AC114" s="6">
        <f>1142874.56+327566.78+77391.65</f>
        <v>1547832.99</v>
      </c>
      <c r="AD114" s="6">
        <f>1547832.99</f>
        <v>1547832.99</v>
      </c>
      <c r="AE114" s="8">
        <f t="shared" si="51"/>
        <v>0.94803324839394543</v>
      </c>
      <c r="AF114" s="6">
        <f>408305+1553.86+18263.64+269750+99000</f>
        <v>796872.5</v>
      </c>
      <c r="AG114" s="6">
        <f>796872.5</f>
        <v>796872.5</v>
      </c>
      <c r="AH114" s="6">
        <f>653559.63+418417.76+1553.86+8000-58776+11137+269750+142546+2776-145+99000</f>
        <v>1547819.2500000002</v>
      </c>
      <c r="AI114" s="6"/>
      <c r="AJ114" s="6"/>
      <c r="AK114" s="6"/>
      <c r="AL114" s="6">
        <f>1547819.25</f>
        <v>1547819.25</v>
      </c>
      <c r="AM114" s="8">
        <v>3.4000000000000002E-2</v>
      </c>
      <c r="AN114" s="8">
        <f t="shared" si="36"/>
        <v>52626.321660000001</v>
      </c>
      <c r="AO114" s="6">
        <f>30818+8040+11137+2631</f>
        <v>52626</v>
      </c>
      <c r="AP114" s="6">
        <f>52626</f>
        <v>52626</v>
      </c>
      <c r="AQ114" s="6">
        <f t="shared" si="24"/>
        <v>0.32166000000142958</v>
      </c>
      <c r="AR114" s="6"/>
      <c r="AS114" s="6">
        <v>12</v>
      </c>
      <c r="AT114" s="6" t="s">
        <v>1019</v>
      </c>
    </row>
    <row r="115" spans="1:46" s="16" customFormat="1" x14ac:dyDescent="0.15">
      <c r="A115" s="36">
        <v>40756</v>
      </c>
      <c r="B115" s="2" t="s">
        <v>1757</v>
      </c>
      <c r="C115" s="11" t="s">
        <v>988</v>
      </c>
      <c r="D115" s="11" t="s">
        <v>1587</v>
      </c>
      <c r="E115" s="11" t="s">
        <v>1588</v>
      </c>
      <c r="F115" s="11" t="s">
        <v>1589</v>
      </c>
      <c r="G115" s="11" t="s">
        <v>1590</v>
      </c>
      <c r="H115" s="11" t="s">
        <v>1591</v>
      </c>
      <c r="I115" s="13" t="s">
        <v>1592</v>
      </c>
      <c r="J115" s="13" t="s">
        <v>1591</v>
      </c>
      <c r="K115" s="13" t="s">
        <v>1593</v>
      </c>
      <c r="L115" s="11"/>
      <c r="M115" s="11">
        <v>10993110</v>
      </c>
      <c r="N115" s="11">
        <f>6164345</f>
        <v>6164345</v>
      </c>
      <c r="O115" s="11"/>
      <c r="P115" s="11">
        <f>6730549.94</f>
        <v>6730549.9400000004</v>
      </c>
      <c r="Q115" s="14"/>
      <c r="R115" s="43"/>
      <c r="S115" s="11"/>
      <c r="T115" s="11"/>
      <c r="U115" s="11" t="s">
        <v>1594</v>
      </c>
      <c r="V115" s="15">
        <v>0.03</v>
      </c>
      <c r="W115" s="11">
        <f>(M115+P115)*V115</f>
        <v>531709.79820000008</v>
      </c>
      <c r="X115" s="11">
        <f>300000+214723+16986</f>
        <v>531709</v>
      </c>
      <c r="Y115" s="11">
        <f>514723+16986</f>
        <v>531709</v>
      </c>
      <c r="Z115" s="11">
        <f>W115-Y115</f>
        <v>0.79820000007748604</v>
      </c>
      <c r="AA115" s="11">
        <f>1000000+616434.5+3000000+946895+2157535+3500000+1500000+347593+657506.5+1206800.05+592273.89</f>
        <v>15525037.940000001</v>
      </c>
      <c r="AB115" s="11">
        <f>13725964+1206800.05+592273.89</f>
        <v>15525037.940000001</v>
      </c>
      <c r="AC115" s="11">
        <f>1000000+616434+2400000+1546895+2157521+1500000+3500000+1005099.5+1000000</f>
        <v>14725949.5</v>
      </c>
      <c r="AD115" s="11">
        <f>14725949.5</f>
        <v>14725949.5</v>
      </c>
      <c r="AE115" s="15">
        <f>AD115/(M115+N115)</f>
        <v>0.85828285721862596</v>
      </c>
      <c r="AF115" s="11">
        <f>1000000+507900+222110+350000+66200+200000+100000+1615300+150000+100000+711690+500000+200000+99981+100000+50000+100000+215990+100000+60000+226600+100000+1022980+470752.15+20000+100000+150000+100000+413459.32+143000+100000+80000+221666.86+100000+16129.5+50000+19000+40000+1000000+1000000</f>
        <v>11822758.83</v>
      </c>
      <c r="AG115" s="11">
        <f>10822758.83+1000000</f>
        <v>11822758.83</v>
      </c>
      <c r="AH115" s="11">
        <f>1000000+300000+507900+350000+500000+300000+200000+100000+1531523+150000+200000+100000+700000+500000+99981+100000+50000+100000+215990+100000+306791.73+226600+100000+1093737+3099995+20000+20000+136083.08+150000+31200-2010.2+413459.32+143000+100000+80000+221666.86+100000+16129.5+50000+19000+40000+50000-50000+1000000+45134.32</f>
        <v>14516180.610000001</v>
      </c>
      <c r="AI115" s="11"/>
      <c r="AJ115" s="11"/>
      <c r="AK115" s="11"/>
      <c r="AL115" s="11">
        <f>14471046.29+45134.32</f>
        <v>14516180.609999999</v>
      </c>
      <c r="AM115" s="15">
        <v>3.7600000000000001E-2</v>
      </c>
      <c r="AN115" s="15">
        <f t="shared" ref="AN115:AN127" si="52">AM115*AB115</f>
        <v>583741.42654400005</v>
      </c>
      <c r="AO115" s="11">
        <f>516096.25+45134.32</f>
        <v>561230.56999999995</v>
      </c>
      <c r="AP115" s="11">
        <f>516096.25+45134.32</f>
        <v>561230.56999999995</v>
      </c>
      <c r="AQ115" s="13">
        <f t="shared" ref="AQ115:AQ127" si="53">AN115-AP115</f>
        <v>22510.856544000097</v>
      </c>
      <c r="AR115" s="11"/>
      <c r="AS115" s="11">
        <v>160</v>
      </c>
      <c r="AT115" s="11" t="s">
        <v>1595</v>
      </c>
    </row>
    <row r="116" spans="1:46" s="9" customFormat="1" x14ac:dyDescent="0.15">
      <c r="A116" s="35">
        <v>40695</v>
      </c>
      <c r="B116" s="2" t="s">
        <v>1758</v>
      </c>
      <c r="C116" s="6" t="s">
        <v>1038</v>
      </c>
      <c r="D116" s="6" t="s">
        <v>1050</v>
      </c>
      <c r="E116" s="6" t="s">
        <v>30</v>
      </c>
      <c r="F116" s="6" t="s">
        <v>1051</v>
      </c>
      <c r="G116" s="6" t="s">
        <v>1013</v>
      </c>
      <c r="H116" s="6" t="s">
        <v>1052</v>
      </c>
      <c r="I116" s="6" t="s">
        <v>1053</v>
      </c>
      <c r="J116" s="6" t="s">
        <v>1054</v>
      </c>
      <c r="K116" s="6" t="s">
        <v>1025</v>
      </c>
      <c r="L116" s="6"/>
      <c r="M116" s="6">
        <v>17580786.859999999</v>
      </c>
      <c r="N116" s="6"/>
      <c r="O116" s="6"/>
      <c r="P116" s="6"/>
      <c r="Q116" s="7"/>
      <c r="R116" s="42">
        <v>40738</v>
      </c>
      <c r="S116" s="6">
        <v>5275</v>
      </c>
      <c r="T116" s="6"/>
      <c r="U116" s="6" t="s">
        <v>1055</v>
      </c>
      <c r="V116" s="8">
        <v>0.03</v>
      </c>
      <c r="W116" s="6">
        <f>M116*V116</f>
        <v>527423.60580000002</v>
      </c>
      <c r="X116" s="6">
        <f>277424+250000</f>
        <v>527424</v>
      </c>
      <c r="Y116" s="6">
        <f>527424</f>
        <v>527424</v>
      </c>
      <c r="Z116" s="6">
        <f>W116-Y116</f>
        <v>-0.39419999998062849</v>
      </c>
      <c r="AA116" s="6">
        <f>4395196.72+4395196.72+1758078.69+2637118.03+703231.46+175807.87+879039.34+1315307.75</f>
        <v>16258976.579999996</v>
      </c>
      <c r="AB116" s="6">
        <f>16258976.58</f>
        <v>16258976.58</v>
      </c>
      <c r="AC116" s="6">
        <f>4395196.72+4395196.72+1758078.69+2637118.03+703231.46+175807.87+879039.34+1315307.75</f>
        <v>16258976.579999996</v>
      </c>
      <c r="AD116" s="6">
        <f>16258976.58</f>
        <v>16258976.58</v>
      </c>
      <c r="AE116" s="8">
        <f>AD116/(M116+N116)</f>
        <v>0.9248150671226556</v>
      </c>
      <c r="AF116" s="6">
        <f>2572060+1028259.06+309320+4347242.41+969000+199980+785975.32+2368442.32+179340+714350+5850+222000+850000</f>
        <v>14551819.110000001</v>
      </c>
      <c r="AG116" s="6">
        <f>14551819.11</f>
        <v>14551819.109999999</v>
      </c>
      <c r="AH116" s="6">
        <f>2998921+1028259.06+309320+4395029.41+1480135.41+199980+2458104.32+179340+23910+390000-390000+714350+5850+5978+222000+879887+1315307.75</f>
        <v>16216371.950000001</v>
      </c>
      <c r="AI116" s="6"/>
      <c r="AJ116" s="6"/>
      <c r="AK116" s="6"/>
      <c r="AL116" s="6">
        <f>16216371.95</f>
        <v>16216371.949999999</v>
      </c>
      <c r="AM116" s="8">
        <v>3.4000000000000002E-2</v>
      </c>
      <c r="AN116" s="8">
        <f t="shared" si="52"/>
        <v>552805.20371999999</v>
      </c>
      <c r="AO116" s="6">
        <f>149437+149437+59775+89662+23910+5978+29887+44720</f>
        <v>552806</v>
      </c>
      <c r="AP116" s="6">
        <f>552806</f>
        <v>552806</v>
      </c>
      <c r="AQ116" s="6">
        <f t="shared" si="53"/>
        <v>-0.796280000009574</v>
      </c>
      <c r="AR116" s="6"/>
      <c r="AS116" s="6">
        <v>210</v>
      </c>
      <c r="AT116" s="6" t="s">
        <v>1056</v>
      </c>
    </row>
    <row r="117" spans="1:46" s="9" customFormat="1" x14ac:dyDescent="0.15">
      <c r="A117" s="35">
        <v>40725</v>
      </c>
      <c r="B117" s="2" t="s">
        <v>1759</v>
      </c>
      <c r="C117" s="6" t="s">
        <v>1039</v>
      </c>
      <c r="D117" s="6" t="s">
        <v>1057</v>
      </c>
      <c r="E117" s="6" t="s">
        <v>30</v>
      </c>
      <c r="F117" s="6" t="s">
        <v>1058</v>
      </c>
      <c r="G117" s="6" t="s">
        <v>1059</v>
      </c>
      <c r="H117" s="6" t="s">
        <v>1060</v>
      </c>
      <c r="I117" s="2" t="s">
        <v>1061</v>
      </c>
      <c r="J117" s="2" t="s">
        <v>1062</v>
      </c>
      <c r="K117" s="2" t="s">
        <v>1063</v>
      </c>
      <c r="L117" s="6"/>
      <c r="M117" s="6">
        <v>2450000</v>
      </c>
      <c r="N117" s="6"/>
      <c r="O117" s="6"/>
      <c r="P117" s="6">
        <v>2986075</v>
      </c>
      <c r="Q117" s="7" t="s">
        <v>1064</v>
      </c>
      <c r="R117" s="42">
        <v>40886</v>
      </c>
      <c r="S117" s="6">
        <v>735</v>
      </c>
      <c r="T117" s="6"/>
      <c r="U117" s="6" t="s">
        <v>1055</v>
      </c>
      <c r="V117" s="8">
        <v>3.5999999999999997E-2</v>
      </c>
      <c r="W117" s="6">
        <f>P117*V117</f>
        <v>107498.7</v>
      </c>
      <c r="X117" s="6">
        <f>88200+19299</f>
        <v>107499</v>
      </c>
      <c r="Y117" s="6">
        <f>107499</f>
        <v>107499</v>
      </c>
      <c r="Z117" s="6">
        <f>W117-Y117</f>
        <v>-0.30000000000291038</v>
      </c>
      <c r="AA117" s="6">
        <f>1000000+1000000+500000+350000</f>
        <v>2850000</v>
      </c>
      <c r="AB117" s="6">
        <f>2850000</f>
        <v>2850000</v>
      </c>
      <c r="AC117" s="6">
        <f>1000000+500000+500000+500000+350000</f>
        <v>2850000</v>
      </c>
      <c r="AD117" s="6">
        <f>2850000</f>
        <v>2850000</v>
      </c>
      <c r="AE117" s="8">
        <f>AD117/P117</f>
        <v>0.95443014659712166</v>
      </c>
      <c r="AF117" s="6">
        <f>734546.38+150000+140000+300000+52302+104967+340588+599994+260000+90000</f>
        <v>2772397.38</v>
      </c>
      <c r="AG117" s="6">
        <f>2772397.38</f>
        <v>2772397.38</v>
      </c>
      <c r="AH117" s="6">
        <f>768546.38+150000+60000+334000+52302+104967+340588+17000+599994+30000+11900+260000+90000</f>
        <v>2819297.38</v>
      </c>
      <c r="AI117" s="6"/>
      <c r="AJ117" s="6"/>
      <c r="AK117" s="6"/>
      <c r="AL117" s="6">
        <f>2819297.38</f>
        <v>2819297.38</v>
      </c>
      <c r="AM117" s="8">
        <v>3.4000000000000002E-2</v>
      </c>
      <c r="AN117" s="8">
        <f t="shared" si="52"/>
        <v>96900</v>
      </c>
      <c r="AO117" s="6">
        <f>34000+34000+17000+11900</f>
        <v>96900</v>
      </c>
      <c r="AP117" s="6">
        <f>96900</f>
        <v>96900</v>
      </c>
      <c r="AQ117" s="6">
        <f t="shared" si="53"/>
        <v>0</v>
      </c>
      <c r="AR117" s="6"/>
      <c r="AS117" s="6">
        <v>15</v>
      </c>
      <c r="AT117" s="6" t="s">
        <v>1065</v>
      </c>
    </row>
    <row r="118" spans="1:46" s="9" customFormat="1" x14ac:dyDescent="0.15">
      <c r="A118" s="35">
        <v>40725</v>
      </c>
      <c r="B118" s="2" t="s">
        <v>1760</v>
      </c>
      <c r="C118" s="6" t="s">
        <v>1040</v>
      </c>
      <c r="D118" s="6" t="s">
        <v>1066</v>
      </c>
      <c r="E118" s="6" t="s">
        <v>30</v>
      </c>
      <c r="F118" s="6" t="s">
        <v>1067</v>
      </c>
      <c r="G118" s="6" t="s">
        <v>1068</v>
      </c>
      <c r="H118" s="6" t="s">
        <v>1069</v>
      </c>
      <c r="I118" s="6" t="s">
        <v>120</v>
      </c>
      <c r="J118" s="6" t="s">
        <v>119</v>
      </c>
      <c r="K118" s="6" t="s">
        <v>13</v>
      </c>
      <c r="L118" s="6"/>
      <c r="M118" s="6">
        <f>852120+223159</f>
        <v>1075279</v>
      </c>
      <c r="N118" s="6">
        <f>4309990-852120</f>
        <v>3457870</v>
      </c>
      <c r="O118" s="6"/>
      <c r="P118" s="6"/>
      <c r="Q118" s="7"/>
      <c r="R118" s="42">
        <v>40740</v>
      </c>
      <c r="S118" s="6">
        <v>256</v>
      </c>
      <c r="T118" s="6"/>
      <c r="U118" s="6" t="s">
        <v>1055</v>
      </c>
      <c r="V118" s="8">
        <v>3.5999999999999997E-2</v>
      </c>
      <c r="W118" s="6">
        <f>M118*V118+N118*0.02</f>
        <v>107867.44399999999</v>
      </c>
      <c r="X118" s="6">
        <f>48093+51740+8034</f>
        <v>107867</v>
      </c>
      <c r="Y118" s="6">
        <f>99833+8034</f>
        <v>107867</v>
      </c>
      <c r="Z118" s="6">
        <f t="shared" ref="Z118:Z127" si="54">W118-Y118</f>
        <v>0.4439999999885913</v>
      </c>
      <c r="AA118" s="6">
        <f>170424+255636+255636+393583</f>
        <v>1075279</v>
      </c>
      <c r="AB118" s="6">
        <f>681696+393583</f>
        <v>1075279</v>
      </c>
      <c r="AC118" s="6">
        <f>170424+255636+255636+339820</f>
        <v>1021516</v>
      </c>
      <c r="AD118" s="6">
        <f>681696+339820</f>
        <v>1021516</v>
      </c>
      <c r="AE118" s="8">
        <f>AD118/M118</f>
        <v>0.95000088349163336</v>
      </c>
      <c r="AF118" s="6">
        <f>79780+200000+20053+300000+200000+100000+81200</f>
        <v>981033</v>
      </c>
      <c r="AG118" s="6">
        <f>599833+200000+100000+81200</f>
        <v>981033</v>
      </c>
      <c r="AH118" s="6">
        <f>48093+51740+8692+200000+20053+8692+300000+5794-20053+13382+200000+100000+81200</f>
        <v>1017593</v>
      </c>
      <c r="AI118" s="6"/>
      <c r="AJ118" s="6"/>
      <c r="AK118" s="6"/>
      <c r="AL118" s="6">
        <f>623011+13382+200000+100000+81200</f>
        <v>1017593</v>
      </c>
      <c r="AM118" s="8">
        <v>3.4000000000000002E-2</v>
      </c>
      <c r="AN118" s="8">
        <f t="shared" si="52"/>
        <v>36559.486000000004</v>
      </c>
      <c r="AO118" s="6">
        <f>5794+8692+8692+13382</f>
        <v>36560</v>
      </c>
      <c r="AP118" s="6">
        <f>23178+13382</f>
        <v>36560</v>
      </c>
      <c r="AQ118" s="6">
        <f t="shared" si="53"/>
        <v>-0.51399999999557622</v>
      </c>
      <c r="AR118" s="6"/>
      <c r="AS118" s="6">
        <v>8</v>
      </c>
      <c r="AT118" s="6" t="s">
        <v>1056</v>
      </c>
    </row>
    <row r="119" spans="1:46" s="9" customFormat="1" x14ac:dyDescent="0.15">
      <c r="A119" s="35">
        <v>40725</v>
      </c>
      <c r="B119" s="2" t="s">
        <v>1761</v>
      </c>
      <c r="C119" s="6" t="s">
        <v>1041</v>
      </c>
      <c r="D119" s="6" t="s">
        <v>1070</v>
      </c>
      <c r="E119" s="6" t="s">
        <v>30</v>
      </c>
      <c r="F119" s="6" t="s">
        <v>1071</v>
      </c>
      <c r="G119" s="6" t="s">
        <v>1068</v>
      </c>
      <c r="H119" s="6" t="s">
        <v>1072</v>
      </c>
      <c r="I119" s="6" t="s">
        <v>291</v>
      </c>
      <c r="J119" s="6" t="s">
        <v>293</v>
      </c>
      <c r="K119" s="6" t="s">
        <v>35</v>
      </c>
      <c r="L119" s="6"/>
      <c r="M119" s="6">
        <f>9671430</f>
        <v>9671430</v>
      </c>
      <c r="N119" s="6">
        <f>1383696.35</f>
        <v>1383696.35</v>
      </c>
      <c r="O119" s="6"/>
      <c r="P119" s="6">
        <f>11640133+3000</f>
        <v>11643133</v>
      </c>
      <c r="Q119" s="7"/>
      <c r="R119" s="42">
        <v>40745</v>
      </c>
      <c r="S119" s="6">
        <v>2902</v>
      </c>
      <c r="T119" s="6"/>
      <c r="U119" s="6" t="s">
        <v>1055</v>
      </c>
      <c r="V119" s="8">
        <v>0.03</v>
      </c>
      <c r="W119" s="6">
        <f>P119*V119</f>
        <v>349293.99</v>
      </c>
      <c r="X119" s="6">
        <f>64460+225773+59061</f>
        <v>349294</v>
      </c>
      <c r="Y119" s="6">
        <f>349294</f>
        <v>349294</v>
      </c>
      <c r="Z119" s="6">
        <f t="shared" si="54"/>
        <v>-1.0000000009313226E-2</v>
      </c>
      <c r="AA119" s="6">
        <f>1450714.5+2000+2600000+1000+900000+3238572+1240000+1625839.85</f>
        <v>11058126.35</v>
      </c>
      <c r="AB119" s="6">
        <f>11058126.35</f>
        <v>11058126.35</v>
      </c>
      <c r="AC119" s="6">
        <f>1450714.5+2600000+900000+3238572+1240000+1625839.85</f>
        <v>11055126.35</v>
      </c>
      <c r="AD119" s="6">
        <f>11055126.35</f>
        <v>11055126.35</v>
      </c>
      <c r="AE119" s="8">
        <f>AD119/P119</f>
        <v>0.94949755791675661</v>
      </c>
      <c r="AF119" s="6">
        <f>250000+9671.43+334700+102400+200000+418417.76+200000+220000+760500+80188.75+762480+50000+317953.4+30000+22041.64+21670+678056.5+29000+16870.46+4194.02+728672.6+1195821.68+499624+300000+499572+300000+96477+300000+262976+48943+155000+282633+7067+115000+346002+700000+40154.94</f>
        <v>10386087.179999998</v>
      </c>
      <c r="AG119" s="6">
        <f>9645932.24+700000+40154.94</f>
        <v>10386087.18</v>
      </c>
      <c r="AH119" s="6">
        <f>9671.43+299324+200000+334700+102400+200000+64460+100000-200000+288502+220000+760500+200000+80188.75+980897.76+50000+317953.4-100000-64460+30000+22041.64+30600+50000+21670+678056.5+29000+16870.46-50000+200000+4194.02+50000+838783.5+12240+10242.4-50000+100000+20000-200000+101000+1195821.68+541784+300000+499572+300000-101000+96477+300000+262976+170000-20000+48943-100000+155000+337912+7067+115000+346002+51000+700000-51000+40154.94</f>
        <v>10954545.479999999</v>
      </c>
      <c r="AI119" s="6"/>
      <c r="AJ119" s="6"/>
      <c r="AK119" s="6"/>
      <c r="AL119" s="6">
        <f>10265390.54+700000-51000+40154.94</f>
        <v>10954545.479999999</v>
      </c>
      <c r="AM119" s="8">
        <v>3.4000000000000002E-2</v>
      </c>
      <c r="AN119" s="8">
        <f t="shared" si="52"/>
        <v>375976.29590000003</v>
      </c>
      <c r="AO119" s="6">
        <f>49324+68+88400+30600+110111+42160+55279+34</f>
        <v>375976</v>
      </c>
      <c r="AP119" s="6">
        <f>375942+34</f>
        <v>375976</v>
      </c>
      <c r="AQ119" s="6">
        <f t="shared" si="53"/>
        <v>0.29590000002644956</v>
      </c>
      <c r="AR119" s="6"/>
      <c r="AS119" s="6">
        <v>90</v>
      </c>
      <c r="AT119" s="6" t="s">
        <v>1073</v>
      </c>
    </row>
    <row r="120" spans="1:46" s="9" customFormat="1" x14ac:dyDescent="0.15">
      <c r="A120" s="35">
        <v>40725</v>
      </c>
      <c r="B120" s="2" t="s">
        <v>1762</v>
      </c>
      <c r="C120" s="6" t="s">
        <v>1042</v>
      </c>
      <c r="D120" s="6" t="s">
        <v>1074</v>
      </c>
      <c r="E120" s="6" t="s">
        <v>30</v>
      </c>
      <c r="F120" s="6" t="s">
        <v>200</v>
      </c>
      <c r="G120" s="6" t="s">
        <v>1075</v>
      </c>
      <c r="H120" s="6" t="s">
        <v>1076</v>
      </c>
      <c r="I120" s="6" t="s">
        <v>1077</v>
      </c>
      <c r="J120" s="6" t="s">
        <v>1078</v>
      </c>
      <c r="K120" s="6" t="s">
        <v>5</v>
      </c>
      <c r="L120" s="6"/>
      <c r="M120" s="6">
        <v>1987789.51</v>
      </c>
      <c r="N120" s="6"/>
      <c r="O120" s="6"/>
      <c r="P120" s="6"/>
      <c r="Q120" s="7"/>
      <c r="R120" s="42"/>
      <c r="S120" s="6"/>
      <c r="T120" s="6"/>
      <c r="U120" s="6" t="s">
        <v>1055</v>
      </c>
      <c r="V120" s="8">
        <v>3.5999999999999997E-2</v>
      </c>
      <c r="W120" s="6">
        <f t="shared" ref="W120:W127" si="55">(M120+N120)*V120</f>
        <v>71560.422359999997</v>
      </c>
      <c r="X120" s="6">
        <f>100000</f>
        <v>100000</v>
      </c>
      <c r="Y120" s="6">
        <f>100000</f>
        <v>100000</v>
      </c>
      <c r="Z120" s="6">
        <f t="shared" si="54"/>
        <v>-28439.577640000003</v>
      </c>
      <c r="AA120" s="6">
        <f>718778.95+470000+480526.77</f>
        <v>1669305.72</v>
      </c>
      <c r="AB120" s="6">
        <f>1669305.72</f>
        <v>1669305.72</v>
      </c>
      <c r="AC120" s="6">
        <f>700000+400000+397000</f>
        <v>1497000</v>
      </c>
      <c r="AD120" s="6">
        <f>1497000</f>
        <v>1497000</v>
      </c>
      <c r="AE120" s="8">
        <f>AD120/(M120+N120)</f>
        <v>0.75309784686407766</v>
      </c>
      <c r="AF120" s="6">
        <f>2385.35+669884.88+300000+397000</f>
        <v>1369270.23</v>
      </c>
      <c r="AG120" s="6">
        <f>1369270.23</f>
        <v>1369270.23</v>
      </c>
      <c r="AH120" s="6">
        <f>2385.35+694251.49+400000+397000</f>
        <v>1493636.8399999999</v>
      </c>
      <c r="AI120" s="6"/>
      <c r="AJ120" s="6"/>
      <c r="AK120" s="6"/>
      <c r="AL120" s="6">
        <f>1493636.84</f>
        <v>1493636.84</v>
      </c>
      <c r="AM120" s="8">
        <v>3.7600000000000001E-2</v>
      </c>
      <c r="AN120" s="8">
        <f t="shared" si="52"/>
        <v>62765.895071999999</v>
      </c>
      <c r="AO120" s="6">
        <f>62765.9</f>
        <v>62765.9</v>
      </c>
      <c r="AP120" s="6">
        <f>62765.9</f>
        <v>62765.9</v>
      </c>
      <c r="AQ120" s="6">
        <f t="shared" si="53"/>
        <v>-4.9280000021099113E-3</v>
      </c>
      <c r="AR120" s="6"/>
      <c r="AS120" s="6">
        <v>110</v>
      </c>
      <c r="AT120" s="6" t="s">
        <v>1079</v>
      </c>
    </row>
    <row r="121" spans="1:46" s="9" customFormat="1" x14ac:dyDescent="0.15">
      <c r="A121" s="35">
        <v>40725</v>
      </c>
      <c r="B121" s="2" t="s">
        <v>1763</v>
      </c>
      <c r="C121" s="6" t="s">
        <v>1043</v>
      </c>
      <c r="D121" s="6" t="s">
        <v>1080</v>
      </c>
      <c r="E121" s="6" t="s">
        <v>30</v>
      </c>
      <c r="F121" s="6" t="s">
        <v>1081</v>
      </c>
      <c r="G121" s="6" t="s">
        <v>1082</v>
      </c>
      <c r="H121" s="6" t="s">
        <v>1083</v>
      </c>
      <c r="I121" s="6" t="s">
        <v>1084</v>
      </c>
      <c r="J121" s="6" t="s">
        <v>1085</v>
      </c>
      <c r="K121" s="6" t="s">
        <v>5</v>
      </c>
      <c r="L121" s="6"/>
      <c r="M121" s="6">
        <v>6563650</v>
      </c>
      <c r="N121" s="6">
        <f>468000</f>
        <v>468000</v>
      </c>
      <c r="O121" s="6"/>
      <c r="P121" s="6"/>
      <c r="Q121" s="7"/>
      <c r="R121" s="42">
        <v>40745</v>
      </c>
      <c r="S121" s="6">
        <v>4721</v>
      </c>
      <c r="T121" s="6"/>
      <c r="U121" s="6" t="s">
        <v>1055</v>
      </c>
      <c r="V121" s="8">
        <v>0.03</v>
      </c>
      <c r="W121" s="6">
        <f>(M121+N121)*V121+(15735470-6563650)*0.013</f>
        <v>330183.15999999997</v>
      </c>
      <c r="X121" s="6">
        <f>200000+130184</f>
        <v>330184</v>
      </c>
      <c r="Y121" s="6">
        <f>330184</f>
        <v>330184</v>
      </c>
      <c r="Z121" s="6">
        <f t="shared" si="54"/>
        <v>-0.84000000002561137</v>
      </c>
      <c r="AA121" s="6">
        <f>2000000+1500000+4000000+1000000+6000000</f>
        <v>14500000</v>
      </c>
      <c r="AB121" s="6">
        <f>14500000</f>
        <v>14500000</v>
      </c>
      <c r="AC121" s="6">
        <f>500000+1500000+141800+300000+1500000+400000+194796+978750+239572.98+260181.04+1631286.66+513263.7+434000+16239.04+518000+103731.24+300000</f>
        <v>9531620.6600000001</v>
      </c>
      <c r="AD121" s="6">
        <f>9531620.66</f>
        <v>9531620.6600000001</v>
      </c>
      <c r="AE121" s="8">
        <f t="shared" ref="AE121:AE127" si="56">AD121/(M121+N121)</f>
        <v>1.3555311569830695</v>
      </c>
      <c r="AF121" s="6">
        <f>400000+534557.24+430123+300000+1333811.72+130184+394796+1058750+200000+849740.5+704095.52+50000+166913.55+200000+120400+16239.04+50000+557217.1+278000+103731.24+1308.2</f>
        <v>7879867.1100000003</v>
      </c>
      <c r="AG121" s="6">
        <f>7879867.11</f>
        <v>7879867.1100000003</v>
      </c>
      <c r="AH121" s="6">
        <f>200000+400000+534557.24+430123+300000+1463995.72+394796+450000+1058750+200000+1130794.52+454095.52+329000+287913.55+100000+270400+200000+16239.04+50000+557217.1+278000+103731.24+1308.2+320000</f>
        <v>9530921.129999999</v>
      </c>
      <c r="AI121" s="6"/>
      <c r="AJ121" s="6"/>
      <c r="AK121" s="6"/>
      <c r="AL121" s="6">
        <f>9530921.13</f>
        <v>9530921.1300000008</v>
      </c>
      <c r="AM121" s="8"/>
      <c r="AN121" s="8">
        <f t="shared" si="52"/>
        <v>0</v>
      </c>
      <c r="AO121" s="6"/>
      <c r="AP121" s="6"/>
      <c r="AQ121" s="6">
        <f t="shared" si="53"/>
        <v>0</v>
      </c>
      <c r="AR121" s="6"/>
      <c r="AS121" s="6">
        <v>60</v>
      </c>
      <c r="AT121" s="6" t="s">
        <v>1086</v>
      </c>
    </row>
    <row r="122" spans="1:46" s="9" customFormat="1" x14ac:dyDescent="0.15">
      <c r="A122" s="35">
        <v>40725</v>
      </c>
      <c r="B122" s="2" t="s">
        <v>1764</v>
      </c>
      <c r="C122" s="6" t="s">
        <v>1044</v>
      </c>
      <c r="D122" s="6" t="s">
        <v>1087</v>
      </c>
      <c r="E122" s="6" t="s">
        <v>30</v>
      </c>
      <c r="F122" s="6" t="s">
        <v>534</v>
      </c>
      <c r="G122" s="6" t="s">
        <v>1088</v>
      </c>
      <c r="H122" s="6" t="s">
        <v>535</v>
      </c>
      <c r="I122" s="6" t="s">
        <v>252</v>
      </c>
      <c r="J122" s="6" t="s">
        <v>253</v>
      </c>
      <c r="K122" s="6" t="s">
        <v>13</v>
      </c>
      <c r="L122" s="6"/>
      <c r="M122" s="6">
        <v>6365206.9199999999</v>
      </c>
      <c r="N122" s="6">
        <f>513317.4+1860000</f>
        <v>2373317.4</v>
      </c>
      <c r="O122" s="6"/>
      <c r="P122" s="6"/>
      <c r="Q122" s="7"/>
      <c r="R122" s="42">
        <v>40770</v>
      </c>
      <c r="S122" s="6">
        <v>1910</v>
      </c>
      <c r="T122" s="6"/>
      <c r="U122" s="6" t="s">
        <v>1055</v>
      </c>
      <c r="V122" s="8">
        <v>0.03</v>
      </c>
      <c r="W122" s="6">
        <f t="shared" si="55"/>
        <v>262155.72960000002</v>
      </c>
      <c r="X122" s="6">
        <f>190956+15400+55800</f>
        <v>262156</v>
      </c>
      <c r="Y122" s="6">
        <f>262156</f>
        <v>262156</v>
      </c>
      <c r="Z122" s="6">
        <f t="shared" si="54"/>
        <v>-0.27039999997941777</v>
      </c>
      <c r="AA122" s="6">
        <f>1900000+1300000+500000+1000000+500000+500000+1800000+600000+300000</f>
        <v>8400000</v>
      </c>
      <c r="AB122" s="6">
        <f>8400000</f>
        <v>8400000</v>
      </c>
      <c r="AC122" s="6">
        <f>1900000+1300000+500000+1000000+500000+500000+1800000+600000+300000</f>
        <v>8400000</v>
      </c>
      <c r="AD122" s="6">
        <f>8400000</f>
        <v>8400000</v>
      </c>
      <c r="AE122" s="8">
        <f t="shared" si="56"/>
        <v>0.96126069944953818</v>
      </c>
      <c r="AF122" s="6">
        <f>742438.55+453409.9+35915+200000+195880.9+161853.86+9072+127720+325296.2+200000+199756.97+100000+15400+68160+131680+99800+4938+26691+266784+454332.39+145300+55800+102943+67691.5+130219+139258+141760+127288+63891+468626.88+38868+563407+330000+462838.66+50000+300800+254000+331605+16600+340+100000+111200+99990</f>
        <v>7921554.8100000005</v>
      </c>
      <c r="AG122" s="6">
        <f>7921554.81</f>
        <v>7921554.8099999996</v>
      </c>
      <c r="AH122" s="6">
        <f>807038.55+453409.9+35915+200000+240080.9+161853.86+100000+9072+65720+394598.2+200000+199756.97+115400+17000+68160+131680+99800+38600+33074+293284+454332.39+145300+55800+102943+143608.3+132019+139258+141760+127288+80891+468626.88+38868+624607+330000+462838.66+50000+300800+254000+331605+16600+10200+100000+110000+99990</f>
        <v>8385778.6100000003</v>
      </c>
      <c r="AI122" s="6"/>
      <c r="AJ122" s="6">
        <f>340+1200</f>
        <v>1540</v>
      </c>
      <c r="AK122" s="6"/>
      <c r="AL122" s="6">
        <f>8385778.61+1540</f>
        <v>8387318.6100000003</v>
      </c>
      <c r="AM122" s="8">
        <v>3.4000000000000002E-2</v>
      </c>
      <c r="AN122" s="8">
        <f t="shared" si="52"/>
        <v>285600</v>
      </c>
      <c r="AO122" s="6">
        <f>64600+44200+17000+34000+17000+17000+61200+20400+10200</f>
        <v>285600</v>
      </c>
      <c r="AP122" s="6">
        <f>285600</f>
        <v>285600</v>
      </c>
      <c r="AQ122" s="6">
        <f t="shared" si="53"/>
        <v>0</v>
      </c>
      <c r="AR122" s="6"/>
      <c r="AS122" s="6">
        <v>71</v>
      </c>
      <c r="AT122" s="6" t="s">
        <v>1089</v>
      </c>
    </row>
    <row r="123" spans="1:46" s="9" customFormat="1" x14ac:dyDescent="0.15">
      <c r="A123" s="35">
        <v>40749</v>
      </c>
      <c r="B123" s="2" t="s">
        <v>1765</v>
      </c>
      <c r="C123" s="6" t="s">
        <v>1045</v>
      </c>
      <c r="D123" s="6" t="s">
        <v>1090</v>
      </c>
      <c r="E123" s="6" t="s">
        <v>30</v>
      </c>
      <c r="F123" s="6" t="s">
        <v>1091</v>
      </c>
      <c r="G123" s="6" t="s">
        <v>1092</v>
      </c>
      <c r="H123" s="6" t="s">
        <v>1093</v>
      </c>
      <c r="I123" s="6" t="s">
        <v>23</v>
      </c>
      <c r="J123" s="6" t="s">
        <v>22</v>
      </c>
      <c r="K123" s="6" t="s">
        <v>13</v>
      </c>
      <c r="L123" s="6"/>
      <c r="M123" s="6">
        <v>387600</v>
      </c>
      <c r="N123" s="6">
        <v>14777.28</v>
      </c>
      <c r="O123" s="6"/>
      <c r="P123" s="6"/>
      <c r="Q123" s="7"/>
      <c r="R123" s="42">
        <v>40773</v>
      </c>
      <c r="S123" s="6">
        <v>117</v>
      </c>
      <c r="T123" s="6"/>
      <c r="U123" s="6" t="s">
        <v>1055</v>
      </c>
      <c r="V123" s="8">
        <v>3.5999999999999997E-2</v>
      </c>
      <c r="W123" s="6">
        <f t="shared" si="55"/>
        <v>14485.58208</v>
      </c>
      <c r="X123" s="6">
        <f>13954+532</f>
        <v>14486</v>
      </c>
      <c r="Y123" s="6">
        <f>14486</f>
        <v>14486</v>
      </c>
      <c r="Z123" s="6">
        <f t="shared" si="54"/>
        <v>-0.41791999999986729</v>
      </c>
      <c r="AA123" s="6">
        <f>112680+119880+72063.6+89706.13+8047.55</f>
        <v>402377.27999999997</v>
      </c>
      <c r="AB123" s="6">
        <f>394329.73+8047.55</f>
        <v>402377.27999999997</v>
      </c>
      <c r="AC123" s="6">
        <f>112680+119880+72063.6+89706.13+8047.55</f>
        <v>402377.27999999997</v>
      </c>
      <c r="AD123" s="6">
        <f>394329.73+8047.55</f>
        <v>402377.27999999997</v>
      </c>
      <c r="AE123" s="8">
        <f t="shared" si="56"/>
        <v>0.99999999999999989</v>
      </c>
      <c r="AF123" s="6">
        <f>90000+170000+20000+1000+45000+86656.13</f>
        <v>412656.13</v>
      </c>
      <c r="AG123" s="6">
        <f>412656.13</f>
        <v>412656.13</v>
      </c>
      <c r="AH123" s="6">
        <f>93831+4076+110000+21000+2450+73266.6+3050+86656.13</f>
        <v>394329.73</v>
      </c>
      <c r="AI123" s="6"/>
      <c r="AJ123" s="6"/>
      <c r="AK123" s="6"/>
      <c r="AL123" s="6">
        <f>394329.73</f>
        <v>394329.73</v>
      </c>
      <c r="AM123" s="8">
        <v>3.4000000000000002E-2</v>
      </c>
      <c r="AN123" s="8">
        <f t="shared" si="52"/>
        <v>13680.827520000001</v>
      </c>
      <c r="AO123" s="6">
        <f>3831+4076+2450+3050</f>
        <v>13407</v>
      </c>
      <c r="AP123" s="6">
        <f>13407</f>
        <v>13407</v>
      </c>
      <c r="AQ123" s="6">
        <f t="shared" si="53"/>
        <v>273.82752000000073</v>
      </c>
      <c r="AR123" s="6"/>
      <c r="AS123" s="6">
        <v>5</v>
      </c>
      <c r="AT123" s="6" t="s">
        <v>1094</v>
      </c>
    </row>
    <row r="124" spans="1:46" s="9" customFormat="1" x14ac:dyDescent="0.15">
      <c r="A124" s="35">
        <v>40756</v>
      </c>
      <c r="B124" s="2" t="s">
        <v>1766</v>
      </c>
      <c r="C124" s="6" t="s">
        <v>1046</v>
      </c>
      <c r="D124" s="6" t="s">
        <v>1095</v>
      </c>
      <c r="E124" s="6" t="s">
        <v>30</v>
      </c>
      <c r="F124" s="6" t="s">
        <v>1096</v>
      </c>
      <c r="G124" s="6" t="s">
        <v>1092</v>
      </c>
      <c r="H124" s="6" t="s">
        <v>1097</v>
      </c>
      <c r="I124" s="6" t="s">
        <v>623</v>
      </c>
      <c r="J124" s="6" t="s">
        <v>624</v>
      </c>
      <c r="K124" s="6" t="s">
        <v>13</v>
      </c>
      <c r="L124" s="6"/>
      <c r="M124" s="6">
        <v>1684397</v>
      </c>
      <c r="N124" s="6">
        <v>232753</v>
      </c>
      <c r="O124" s="6"/>
      <c r="P124" s="6"/>
      <c r="Q124" s="7" t="s">
        <v>1098</v>
      </c>
      <c r="R124" s="42">
        <v>40837</v>
      </c>
      <c r="S124" s="6">
        <v>506</v>
      </c>
      <c r="T124" s="6"/>
      <c r="U124" s="6" t="s">
        <v>1055</v>
      </c>
      <c r="V124" s="8">
        <v>3.5999999999999997E-2</v>
      </c>
      <c r="W124" s="6">
        <f t="shared" si="55"/>
        <v>69017.399999999994</v>
      </c>
      <c r="X124" s="6">
        <f>69017</f>
        <v>69017</v>
      </c>
      <c r="Y124" s="6">
        <f>69017</f>
        <v>69017</v>
      </c>
      <c r="Z124" s="6">
        <f t="shared" si="54"/>
        <v>0.39999999999417923</v>
      </c>
      <c r="AA124" s="6">
        <f>113184+819870+527648+73018+380000</f>
        <v>1913720</v>
      </c>
      <c r="AB124" s="6">
        <f>1533720+380000</f>
        <v>1913720</v>
      </c>
      <c r="AC124" s="6">
        <f>933054+527648+73018</f>
        <v>1533720</v>
      </c>
      <c r="AD124" s="6">
        <f>1533720</f>
        <v>1533720</v>
      </c>
      <c r="AE124" s="8">
        <f t="shared" si="56"/>
        <v>0.8</v>
      </c>
      <c r="AF124" s="6">
        <f>357200+60638+200000+59670+112384+33000+540362+40000+3500</f>
        <v>1406754</v>
      </c>
      <c r="AG124" s="6">
        <f>1406754</f>
        <v>1406754</v>
      </c>
      <c r="AH124" s="6">
        <f>634523+200000+59670+33000+560785+40000+3500</f>
        <v>1531478</v>
      </c>
      <c r="AI124" s="6"/>
      <c r="AJ124" s="6"/>
      <c r="AK124" s="6"/>
      <c r="AL124" s="6">
        <f>1531478</f>
        <v>1531478</v>
      </c>
      <c r="AM124" s="8">
        <v>3.4000000000000002E-2</v>
      </c>
      <c r="AN124" s="8">
        <f t="shared" si="52"/>
        <v>65066.48</v>
      </c>
      <c r="AO124" s="6">
        <f>3848+27876+17940+2483</f>
        <v>52147</v>
      </c>
      <c r="AP124" s="6">
        <f>52147</f>
        <v>52147</v>
      </c>
      <c r="AQ124" s="6">
        <f t="shared" si="53"/>
        <v>12919.480000000003</v>
      </c>
      <c r="AR124" s="6"/>
      <c r="AS124" s="6">
        <v>18</v>
      </c>
      <c r="AT124" s="6" t="s">
        <v>1099</v>
      </c>
    </row>
    <row r="125" spans="1:46" s="9" customFormat="1" x14ac:dyDescent="0.15">
      <c r="A125" s="35">
        <v>40787</v>
      </c>
      <c r="B125" s="2" t="s">
        <v>1767</v>
      </c>
      <c r="C125" s="6" t="s">
        <v>1047</v>
      </c>
      <c r="D125" s="6" t="s">
        <v>1100</v>
      </c>
      <c r="E125" s="6" t="s">
        <v>30</v>
      </c>
      <c r="F125" s="6" t="s">
        <v>1101</v>
      </c>
      <c r="G125" s="6" t="s">
        <v>1092</v>
      </c>
      <c r="H125" s="6" t="s">
        <v>1102</v>
      </c>
      <c r="I125" s="6" t="s">
        <v>115</v>
      </c>
      <c r="J125" s="6" t="s">
        <v>116</v>
      </c>
      <c r="K125" s="6" t="s">
        <v>13</v>
      </c>
      <c r="L125" s="6"/>
      <c r="M125" s="6">
        <v>506188.14</v>
      </c>
      <c r="N125" s="6"/>
      <c r="O125" s="6"/>
      <c r="P125" s="6"/>
      <c r="Q125" s="7" t="s">
        <v>1103</v>
      </c>
      <c r="R125" s="42">
        <v>40830</v>
      </c>
      <c r="S125" s="6">
        <v>152</v>
      </c>
      <c r="T125" s="6"/>
      <c r="U125" s="6" t="s">
        <v>1055</v>
      </c>
      <c r="V125" s="8">
        <v>3.5999999999999997E-2</v>
      </c>
      <c r="W125" s="6">
        <f t="shared" si="55"/>
        <v>18222.77304</v>
      </c>
      <c r="X125" s="6">
        <f>18223</f>
        <v>18223</v>
      </c>
      <c r="Y125" s="6">
        <f>18223</f>
        <v>18223</v>
      </c>
      <c r="Z125" s="6">
        <f t="shared" si="54"/>
        <v>-0.22695999999996275</v>
      </c>
      <c r="AA125" s="6">
        <f>150000+253094.07+77784.66+25309.41</f>
        <v>506188.13999999996</v>
      </c>
      <c r="AB125" s="6">
        <f>506188.14</f>
        <v>506188.14</v>
      </c>
      <c r="AC125" s="6">
        <f>151856.44+253094.07+75928.22+25309.41</f>
        <v>506188.13999999996</v>
      </c>
      <c r="AD125" s="6">
        <f>506188.14</f>
        <v>506188.14</v>
      </c>
      <c r="AE125" s="8">
        <f t="shared" si="56"/>
        <v>1</v>
      </c>
      <c r="AF125" s="6">
        <f>140000+200000+9915+9985+30125+29999.7+11252+20000+40000+7518.44</f>
        <v>498795.14</v>
      </c>
      <c r="AG125" s="6">
        <f>491276.7+7518.44</f>
        <v>498795.14</v>
      </c>
      <c r="AH125" s="6">
        <f>125100+8605+200000+9915+39985+30125+10182+32644.7+11252+20000+861+40000-30000+7518.44</f>
        <v>506188.13999999996</v>
      </c>
      <c r="AI125" s="6"/>
      <c r="AJ125" s="6"/>
      <c r="AK125" s="6"/>
      <c r="AL125" s="6">
        <f>498669.7+7518.44</f>
        <v>506188.14</v>
      </c>
      <c r="AM125" s="8">
        <v>3.4000000000000002E-2</v>
      </c>
      <c r="AN125" s="8">
        <f t="shared" si="52"/>
        <v>17210.396760000003</v>
      </c>
      <c r="AO125" s="6">
        <f>5100+8605+2645+861</f>
        <v>17211</v>
      </c>
      <c r="AP125" s="6">
        <f>17211</f>
        <v>17211</v>
      </c>
      <c r="AQ125" s="6">
        <f t="shared" si="53"/>
        <v>-0.60323999999673106</v>
      </c>
      <c r="AR125" s="6"/>
      <c r="AS125" s="6">
        <v>5</v>
      </c>
      <c r="AT125" s="6" t="s">
        <v>1104</v>
      </c>
    </row>
    <row r="126" spans="1:46" s="9" customFormat="1" x14ac:dyDescent="0.15">
      <c r="A126" s="35">
        <v>40787</v>
      </c>
      <c r="B126" s="2" t="s">
        <v>1768</v>
      </c>
      <c r="C126" s="6" t="s">
        <v>1048</v>
      </c>
      <c r="D126" s="6" t="s">
        <v>1105</v>
      </c>
      <c r="E126" s="6" t="s">
        <v>30</v>
      </c>
      <c r="F126" s="6" t="s">
        <v>1106</v>
      </c>
      <c r="G126" s="6" t="s">
        <v>1092</v>
      </c>
      <c r="H126" s="6" t="s">
        <v>1107</v>
      </c>
      <c r="I126" s="6" t="s">
        <v>165</v>
      </c>
      <c r="J126" s="6" t="s">
        <v>164</v>
      </c>
      <c r="K126" s="6" t="s">
        <v>13</v>
      </c>
      <c r="L126" s="6"/>
      <c r="M126" s="6">
        <v>3486231</v>
      </c>
      <c r="N126" s="6"/>
      <c r="O126" s="6"/>
      <c r="P126" s="6"/>
      <c r="Q126" s="7" t="s">
        <v>1108</v>
      </c>
      <c r="R126" s="42">
        <v>40812</v>
      </c>
      <c r="S126" s="6">
        <v>1046</v>
      </c>
      <c r="T126" s="6"/>
      <c r="U126" s="6" t="s">
        <v>1055</v>
      </c>
      <c r="V126" s="8">
        <v>3.5999999999999997E-2</v>
      </c>
      <c r="W126" s="6">
        <f t="shared" si="55"/>
        <v>125504.31599999999</v>
      </c>
      <c r="X126" s="6">
        <f>125504</f>
        <v>125504</v>
      </c>
      <c r="Y126" s="6">
        <f>125504</f>
        <v>125504</v>
      </c>
      <c r="Z126" s="6">
        <f t="shared" si="54"/>
        <v>0.3159999999916181</v>
      </c>
      <c r="AA126" s="6">
        <f>500000+600000+500000+500000+200000+500000</f>
        <v>2800000</v>
      </c>
      <c r="AB126" s="6">
        <f>2800000</f>
        <v>2800000</v>
      </c>
      <c r="AC126" s="6">
        <f>500000+600000+500000+500000+200000+500000</f>
        <v>2800000</v>
      </c>
      <c r="AD126" s="6">
        <f>2800000</f>
        <v>2800000</v>
      </c>
      <c r="AE126" s="8">
        <f t="shared" si="56"/>
        <v>0.80315962998435841</v>
      </c>
      <c r="AF126" s="6">
        <f>200000+4183.48+125504+370000+50000+260000+300000+100000+450000+11654.96+80000+140000+30000</f>
        <v>2121342.44</v>
      </c>
      <c r="AG126" s="6">
        <f>2121342.44</f>
        <v>2121342.44</v>
      </c>
      <c r="AH126" s="6">
        <f>204183.48+37400+125504+370000+50000+260000+17000+460000+17000+550000+6800+100000+11654.96+17000+380000+140000+30000</f>
        <v>2776542.44</v>
      </c>
      <c r="AI126" s="6"/>
      <c r="AJ126" s="6"/>
      <c r="AK126" s="6"/>
      <c r="AL126" s="6">
        <f>2776542.44</f>
        <v>2776542.44</v>
      </c>
      <c r="AM126" s="8">
        <v>3.4000000000000002E-2</v>
      </c>
      <c r="AN126" s="8">
        <f t="shared" si="52"/>
        <v>95200</v>
      </c>
      <c r="AO126" s="6">
        <f>17000+20400+17000+17000+6800+17000</f>
        <v>95200</v>
      </c>
      <c r="AP126" s="6">
        <f>95200</f>
        <v>95200</v>
      </c>
      <c r="AQ126" s="6">
        <f t="shared" si="53"/>
        <v>0</v>
      </c>
      <c r="AR126" s="6"/>
      <c r="AS126" s="6">
        <v>3</v>
      </c>
      <c r="AT126" s="6" t="s">
        <v>1109</v>
      </c>
    </row>
    <row r="127" spans="1:46" s="9" customFormat="1" x14ac:dyDescent="0.15">
      <c r="A127" s="35">
        <v>40815</v>
      </c>
      <c r="B127" s="2" t="s">
        <v>1769</v>
      </c>
      <c r="C127" s="6" t="s">
        <v>1049</v>
      </c>
      <c r="D127" s="6" t="s">
        <v>1110</v>
      </c>
      <c r="E127" s="6" t="s">
        <v>30</v>
      </c>
      <c r="F127" s="6" t="s">
        <v>1111</v>
      </c>
      <c r="G127" s="6" t="s">
        <v>1112</v>
      </c>
      <c r="H127" s="6" t="s">
        <v>1113</v>
      </c>
      <c r="I127" s="2" t="s">
        <v>1114</v>
      </c>
      <c r="J127" s="2" t="s">
        <v>1113</v>
      </c>
      <c r="K127" s="2" t="s">
        <v>1115</v>
      </c>
      <c r="L127" s="6"/>
      <c r="M127" s="6">
        <v>72801496</v>
      </c>
      <c r="N127" s="6">
        <v>2800432</v>
      </c>
      <c r="O127" s="6"/>
      <c r="P127" s="6"/>
      <c r="Q127" s="7"/>
      <c r="R127" s="42"/>
      <c r="S127" s="6"/>
      <c r="T127" s="6"/>
      <c r="U127" s="6" t="s">
        <v>1055</v>
      </c>
      <c r="V127" s="8">
        <v>2.1999999999999999E-2</v>
      </c>
      <c r="W127" s="6">
        <f t="shared" si="55"/>
        <v>1663242.416</v>
      </c>
      <c r="X127" s="6">
        <f>500000+1101633+61610</f>
        <v>1663243</v>
      </c>
      <c r="Y127" s="6">
        <f>1663243</f>
        <v>1663243</v>
      </c>
      <c r="Z127" s="6">
        <f t="shared" si="54"/>
        <v>-0.58400000003166497</v>
      </c>
      <c r="AA127" s="6">
        <f>7378990+36664143+9985374+1688063+8545069</f>
        <v>64261639</v>
      </c>
      <c r="AB127" s="6">
        <f>64261639</f>
        <v>64261639</v>
      </c>
      <c r="AC127" s="6">
        <f>7000000+36315118+6721052+3674374+1688063+8545069</f>
        <v>63943676</v>
      </c>
      <c r="AD127" s="6">
        <f>63943676</f>
        <v>63943676</v>
      </c>
      <c r="AE127" s="8">
        <f t="shared" si="56"/>
        <v>0.84579425011489129</v>
      </c>
      <c r="AF127" s="6">
        <f>6695512.51+16164911.13+12276530.72+500000+2121858.97+1308133+100000+256000+1083357.65+758874.6+1336591.04+6739906.6+293280.56+56893.75+14500+370000+6000000+943811.78+750901.04+560800</f>
        <v>58331863.350000001</v>
      </c>
      <c r="AG127" s="6">
        <f>58331863.35</f>
        <v>58331863.350000001</v>
      </c>
      <c r="AH127" s="6">
        <f>6945512.51+17266544.13+12276530.72+500000+1337345.32+580000+928133+100000+1083357.65+758874.6+1391591.04+6739906.6+3700000+1798000+289677.83+6000000+943811.78+750901.04+560800-8100</f>
        <v>63942886.219999999</v>
      </c>
      <c r="AI127" s="6"/>
      <c r="AJ127" s="6"/>
      <c r="AK127" s="6"/>
      <c r="AL127" s="6">
        <f>63942886.22</f>
        <v>63942886.219999999</v>
      </c>
      <c r="AM127" s="8">
        <v>3.7600000000000001E-2</v>
      </c>
      <c r="AN127" s="8">
        <f t="shared" si="52"/>
        <v>2416237.6264</v>
      </c>
      <c r="AO127" s="6">
        <f>2416237.63</f>
        <v>2416237.63</v>
      </c>
      <c r="AP127" s="6">
        <f>2416237.63</f>
        <v>2416237.63</v>
      </c>
      <c r="AQ127" s="6">
        <f t="shared" si="53"/>
        <v>-3.599999938160181E-3</v>
      </c>
      <c r="AR127" s="6"/>
      <c r="AS127" s="6">
        <v>70</v>
      </c>
      <c r="AT127" s="6" t="s">
        <v>1104</v>
      </c>
    </row>
    <row r="128" spans="1:46" x14ac:dyDescent="0.15">
      <c r="A128" s="34">
        <v>40828</v>
      </c>
      <c r="B128" s="2" t="s">
        <v>1770</v>
      </c>
      <c r="C128" s="2" t="s">
        <v>420</v>
      </c>
      <c r="D128" s="2" t="s">
        <v>421</v>
      </c>
      <c r="E128" s="2" t="s">
        <v>0</v>
      </c>
      <c r="F128" s="2" t="s">
        <v>422</v>
      </c>
      <c r="G128" s="2" t="s">
        <v>423</v>
      </c>
      <c r="H128" s="2" t="s">
        <v>150</v>
      </c>
      <c r="I128" s="13" t="s">
        <v>148</v>
      </c>
      <c r="J128" s="13" t="s">
        <v>150</v>
      </c>
      <c r="K128" s="2" t="s">
        <v>13</v>
      </c>
      <c r="L128" s="2"/>
      <c r="M128" s="2">
        <v>21611588</v>
      </c>
      <c r="N128" s="2">
        <f>109800+675943.83+2016587</f>
        <v>2802330.83</v>
      </c>
      <c r="O128" s="2"/>
      <c r="P128" s="2"/>
      <c r="Q128" s="3" t="s">
        <v>424</v>
      </c>
      <c r="R128" s="41">
        <v>40833</v>
      </c>
      <c r="S128" s="2">
        <v>6484</v>
      </c>
      <c r="T128" s="2"/>
      <c r="U128" s="2" t="s">
        <v>425</v>
      </c>
      <c r="V128" s="4">
        <v>0.03</v>
      </c>
      <c r="W128" s="2">
        <f>(M128+N128)*V128</f>
        <v>732417.56489999988</v>
      </c>
      <c r="X128" s="2">
        <f>450000+198348+3294+3294+16984+60498</f>
        <v>732418</v>
      </c>
      <c r="Y128" s="2">
        <f>671920+60498</f>
        <v>732418</v>
      </c>
      <c r="Z128" s="2">
        <f>W128-X128</f>
        <v>-0.43510000011883676</v>
      </c>
      <c r="AA128" s="2">
        <f>4265197.5+4242950.9+3025859.91+4034479.9+1567850.44+97508+270377+1714098.95+3539736.87</f>
        <v>22758059.470000003</v>
      </c>
      <c r="AB128" s="2">
        <f>22758059.47</f>
        <v>22758059.469999999</v>
      </c>
      <c r="AC128" s="2">
        <f>4265197.5+4242950.9+3025859.91+4034479.9+1567850.44+97508+270377+1714098.95+3539736.87+25611.88</f>
        <v>22783671.350000001</v>
      </c>
      <c r="AD128" s="2">
        <f>22758059.47+25611.88</f>
        <v>22783671.349999998</v>
      </c>
      <c r="AE128" s="4">
        <f>AC128/(M128+N128)</f>
        <v>0.93322467026486799</v>
      </c>
      <c r="AF128" s="2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+545260+221247.5+100000</f>
        <v>21224681.119999997</v>
      </c>
      <c r="AG128" s="2">
        <f>19258173.65+1099999.97+545260+221247.5+100000</f>
        <v>21224681.119999997</v>
      </c>
      <c r="AH128" s="2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+545260+221247.5+100000</f>
        <v>22753110.920000002</v>
      </c>
      <c r="AI128" s="2"/>
      <c r="AJ128" s="2"/>
      <c r="AK128" s="2"/>
      <c r="AL128" s="2">
        <f>20786603.45+1099999.97+545260+221247.5+100000</f>
        <v>22753110.919999998</v>
      </c>
      <c r="AM128" s="4">
        <v>3.4000000000000002E-2</v>
      </c>
      <c r="AN128" s="4">
        <f>AM128*AB128</f>
        <v>773774.02197999996</v>
      </c>
      <c r="AO128" s="2">
        <f>145017+144260+102879+137172+53307+3315+9193+58279+120351</f>
        <v>773773</v>
      </c>
      <c r="AP128" s="2">
        <f>773773</f>
        <v>773773</v>
      </c>
      <c r="AQ128" s="2">
        <f t="shared" si="24"/>
        <v>1.0219799999613315</v>
      </c>
      <c r="AR128" s="2"/>
      <c r="AS128" s="2">
        <v>140</v>
      </c>
      <c r="AT128" s="2" t="s">
        <v>419</v>
      </c>
    </row>
    <row r="129" spans="1:46" x14ac:dyDescent="0.15">
      <c r="A129" s="34">
        <v>40827</v>
      </c>
      <c r="B129" s="2" t="s">
        <v>1771</v>
      </c>
      <c r="C129" s="2" t="s">
        <v>942</v>
      </c>
      <c r="D129" s="2" t="s">
        <v>1116</v>
      </c>
      <c r="E129" s="2" t="s">
        <v>0</v>
      </c>
      <c r="F129" s="2" t="s">
        <v>1117</v>
      </c>
      <c r="G129" s="2" t="s">
        <v>1092</v>
      </c>
      <c r="H129" s="2" t="s">
        <v>1118</v>
      </c>
      <c r="I129" s="2" t="s">
        <v>87</v>
      </c>
      <c r="J129" s="2" t="s">
        <v>86</v>
      </c>
      <c r="K129" s="2" t="s">
        <v>13</v>
      </c>
      <c r="L129" s="2"/>
      <c r="M129" s="2">
        <v>479375</v>
      </c>
      <c r="N129" s="2">
        <f>255117</f>
        <v>255117</v>
      </c>
      <c r="O129" s="2"/>
      <c r="P129" s="2">
        <f>468128+255117</f>
        <v>723245</v>
      </c>
      <c r="Q129" s="3" t="s">
        <v>1119</v>
      </c>
      <c r="R129" s="41">
        <v>40957</v>
      </c>
      <c r="S129" s="2">
        <v>144</v>
      </c>
      <c r="T129" s="2"/>
      <c r="U129" s="2" t="s">
        <v>14</v>
      </c>
      <c r="V129" s="4">
        <v>3.5999999999999997E-2</v>
      </c>
      <c r="W129" s="2">
        <f>P129*V129</f>
        <v>26036.82</v>
      </c>
      <c r="X129" s="2">
        <f>14381+2877+9184</f>
        <v>26442</v>
      </c>
      <c r="Y129" s="2">
        <f>26442</f>
        <v>26442</v>
      </c>
      <c r="Z129" s="2">
        <f t="shared" ref="Z129:Z143" si="57">W129-X129</f>
        <v>-405.18000000000029</v>
      </c>
      <c r="AA129" s="2">
        <f>381968.75+216849+25512+62752.85</f>
        <v>687082.6</v>
      </c>
      <c r="AB129" s="2">
        <f>687082.6</f>
        <v>687082.6</v>
      </c>
      <c r="AC129" s="2">
        <f>381968.75+216849+25512+62752.85</f>
        <v>687082.6</v>
      </c>
      <c r="AD129" s="2">
        <f>687082.6</f>
        <v>687082.6</v>
      </c>
      <c r="AE129" s="4">
        <f t="shared" ref="AE129:AE143" si="58">AC129/(M129+N129)</f>
        <v>0.93545280275346765</v>
      </c>
      <c r="AF129" s="2">
        <f>265858+100000+199988+23933+62734.85</f>
        <v>652513.85</v>
      </c>
      <c r="AG129" s="2">
        <f>652513.85</f>
        <v>652513.85</v>
      </c>
      <c r="AH129" s="2">
        <f>278845+100000+207361+867+23933+2134+62734.85+11000</f>
        <v>686874.85</v>
      </c>
      <c r="AI129" s="2"/>
      <c r="AJ129" s="2"/>
      <c r="AK129" s="2"/>
      <c r="AL129" s="2">
        <f>686874.85</f>
        <v>686874.85</v>
      </c>
      <c r="AM129" s="4">
        <v>3.4000000000000002E-2</v>
      </c>
      <c r="AN129" s="4">
        <f t="shared" ref="AN129:AN143" si="59">AM129*AB129</f>
        <v>23360.808400000002</v>
      </c>
      <c r="AO129" s="2">
        <f>12987+7373+867+2134</f>
        <v>23361</v>
      </c>
      <c r="AP129" s="2">
        <f>23361</f>
        <v>23361</v>
      </c>
      <c r="AQ129" s="2">
        <f t="shared" si="24"/>
        <v>-0.19159999999828869</v>
      </c>
      <c r="AR129" s="2"/>
      <c r="AS129" s="2"/>
      <c r="AT129" s="2"/>
    </row>
    <row r="130" spans="1:46" x14ac:dyDescent="0.15">
      <c r="A130" s="34">
        <v>40817</v>
      </c>
      <c r="B130" s="2" t="s">
        <v>1772</v>
      </c>
      <c r="C130" s="2" t="s">
        <v>943</v>
      </c>
      <c r="D130" s="2" t="s">
        <v>1120</v>
      </c>
      <c r="E130" s="2" t="s">
        <v>0</v>
      </c>
      <c r="F130" s="2" t="s">
        <v>1121</v>
      </c>
      <c r="G130" s="2" t="s">
        <v>1092</v>
      </c>
      <c r="H130" s="2" t="s">
        <v>1097</v>
      </c>
      <c r="I130" s="2" t="s">
        <v>623</v>
      </c>
      <c r="J130" s="2" t="s">
        <v>624</v>
      </c>
      <c r="K130" s="2" t="s">
        <v>13</v>
      </c>
      <c r="L130" s="2"/>
      <c r="M130" s="2">
        <v>11816228</v>
      </c>
      <c r="N130" s="2"/>
      <c r="O130" s="2"/>
      <c r="P130" s="2"/>
      <c r="Q130" s="3" t="s">
        <v>1122</v>
      </c>
      <c r="R130" s="41">
        <v>40837</v>
      </c>
      <c r="S130" s="2">
        <v>3545</v>
      </c>
      <c r="T130" s="2"/>
      <c r="U130" s="2" t="s">
        <v>14</v>
      </c>
      <c r="V130" s="4">
        <v>0.03</v>
      </c>
      <c r="W130" s="2">
        <f t="shared" ref="W130:W143" si="60">(M130+N130)*V130</f>
        <v>354486.83999999997</v>
      </c>
      <c r="X130" s="2">
        <f>200000+154487</f>
        <v>354487</v>
      </c>
      <c r="Y130" s="2">
        <f>354487</f>
        <v>354487</v>
      </c>
      <c r="Z130" s="2">
        <f t="shared" si="57"/>
        <v>-0.16000000003259629</v>
      </c>
      <c r="AA130" s="2">
        <f>3000000+1600000+2000000+2000000+2000000+500000</f>
        <v>11100000</v>
      </c>
      <c r="AB130" s="2">
        <f>11100000</f>
        <v>11100000</v>
      </c>
      <c r="AC130" s="2">
        <f>3000000+1600000+2000000+2000000+2000000+200000+300000</f>
        <v>11100000</v>
      </c>
      <c r="AD130" s="2">
        <f>11100000</f>
        <v>11100000</v>
      </c>
      <c r="AE130" s="4">
        <f t="shared" si="58"/>
        <v>0.93938607142651609</v>
      </c>
      <c r="AF130" s="2">
        <f>441489+334300+9453+1408141.76+800000+600000+519995+154028+706459.09+600000+328217+93371.8+1850000+174133.7+38400+1302+1932000+500000</f>
        <v>10491290.35</v>
      </c>
      <c r="AG130" s="2">
        <f>10491290.35</f>
        <v>10491290.35</v>
      </c>
      <c r="AH130" s="2">
        <f>1028967+284300+9453+1408141.76+105110+1057805+4428+68000+600000+519995+510000+706459.09+10000+7092.6+278217+1918000+31796.9+678+272+904+123.7+50000-49500+38400-500+1302+2000000+7560+500000</f>
        <v>11097005.049999999</v>
      </c>
      <c r="AI130" s="2"/>
      <c r="AJ130" s="2"/>
      <c r="AK130" s="2"/>
      <c r="AL130" s="2">
        <f>11097005.05</f>
        <v>11097005.050000001</v>
      </c>
      <c r="AM130" s="4">
        <v>3.4000000000000002E-2</v>
      </c>
      <c r="AN130" s="4">
        <f t="shared" si="59"/>
        <v>377400</v>
      </c>
      <c r="AO130" s="2">
        <f>102000+54400+68000+68000+68000+17000</f>
        <v>377400</v>
      </c>
      <c r="AP130" s="2">
        <f>360400+17000</f>
        <v>377400</v>
      </c>
      <c r="AQ130" s="2">
        <f t="shared" si="24"/>
        <v>0</v>
      </c>
      <c r="AR130" s="2"/>
      <c r="AS130" s="2">
        <v>60</v>
      </c>
      <c r="AT130" s="2" t="s">
        <v>1099</v>
      </c>
    </row>
    <row r="131" spans="1:46" s="9" customFormat="1" x14ac:dyDescent="0.15">
      <c r="A131" s="35">
        <v>40817</v>
      </c>
      <c r="B131" s="2" t="s">
        <v>1773</v>
      </c>
      <c r="C131" s="6" t="s">
        <v>944</v>
      </c>
      <c r="D131" s="6" t="s">
        <v>1123</v>
      </c>
      <c r="E131" s="6" t="s">
        <v>0</v>
      </c>
      <c r="F131" s="6" t="s">
        <v>342</v>
      </c>
      <c r="G131" s="6" t="s">
        <v>1092</v>
      </c>
      <c r="H131" s="6" t="s">
        <v>1124</v>
      </c>
      <c r="I131" s="6" t="s">
        <v>344</v>
      </c>
      <c r="J131" s="6" t="s">
        <v>345</v>
      </c>
      <c r="K131" s="6" t="s">
        <v>13</v>
      </c>
      <c r="L131" s="6"/>
      <c r="M131" s="6">
        <v>1432993</v>
      </c>
      <c r="N131" s="6"/>
      <c r="O131" s="6"/>
      <c r="P131" s="6"/>
      <c r="Q131" s="7" t="s">
        <v>1125</v>
      </c>
      <c r="R131" s="42">
        <v>40842</v>
      </c>
      <c r="S131" s="6">
        <v>430</v>
      </c>
      <c r="T131" s="6"/>
      <c r="U131" s="6" t="s">
        <v>14</v>
      </c>
      <c r="V131" s="8">
        <v>3.5999999999999997E-2</v>
      </c>
      <c r="W131" s="6">
        <f t="shared" si="60"/>
        <v>51587.748</v>
      </c>
      <c r="X131" s="6">
        <f>51588</f>
        <v>51588</v>
      </c>
      <c r="Y131" s="6">
        <f>51588</f>
        <v>51588</v>
      </c>
      <c r="Z131" s="6">
        <f t="shared" si="57"/>
        <v>-0.25200000000040745</v>
      </c>
      <c r="AA131" s="6">
        <f>280000+286000+429000+143000+100000+150000</f>
        <v>1388000</v>
      </c>
      <c r="AB131" s="6">
        <f>1388000</f>
        <v>1388000</v>
      </c>
      <c r="AC131" s="6">
        <f>280000+286000+429000+143000+100000+150000</f>
        <v>1388000</v>
      </c>
      <c r="AD131" s="6">
        <f>1388000</f>
        <v>1388000</v>
      </c>
      <c r="AE131" s="8">
        <f t="shared" si="58"/>
        <v>0.96860207970311085</v>
      </c>
      <c r="AF131" s="6">
        <f>240000+1719.6+283511+435000+131202+115000+129987</f>
        <v>1336419.6000000001</v>
      </c>
      <c r="AG131" s="6">
        <f>1336419.6</f>
        <v>1336419.6000000001</v>
      </c>
      <c r="AH131" s="6">
        <f>249520+1719.6+9724+252311+14586+435000+4862+131202+3400+115000+1510.5+5100+129987</f>
        <v>1353922.1</v>
      </c>
      <c r="AI131" s="6"/>
      <c r="AJ131" s="6"/>
      <c r="AK131" s="6"/>
      <c r="AL131" s="6">
        <f>1353922.1</f>
        <v>1353922.1</v>
      </c>
      <c r="AM131" s="8">
        <v>3.4000000000000002E-2</v>
      </c>
      <c r="AN131" s="8">
        <f t="shared" si="59"/>
        <v>47192</v>
      </c>
      <c r="AO131" s="6">
        <f>9520+9724+14586+4862+3400+5100</f>
        <v>47192</v>
      </c>
      <c r="AP131" s="6">
        <f>47192</f>
        <v>47192</v>
      </c>
      <c r="AQ131" s="6">
        <f t="shared" si="24"/>
        <v>0</v>
      </c>
      <c r="AR131" s="6"/>
      <c r="AS131" s="6">
        <v>18</v>
      </c>
      <c r="AT131" s="6" t="s">
        <v>1131</v>
      </c>
    </row>
    <row r="132" spans="1:46" x14ac:dyDescent="0.15">
      <c r="A132" s="34">
        <v>40817</v>
      </c>
      <c r="B132" s="2" t="s">
        <v>1774</v>
      </c>
      <c r="C132" s="2" t="s">
        <v>945</v>
      </c>
      <c r="D132" s="2" t="s">
        <v>1132</v>
      </c>
      <c r="E132" s="2" t="s">
        <v>0</v>
      </c>
      <c r="F132" s="2" t="s">
        <v>1133</v>
      </c>
      <c r="G132" s="2" t="s">
        <v>1129</v>
      </c>
      <c r="H132" s="2" t="s">
        <v>1134</v>
      </c>
      <c r="I132" s="2" t="s">
        <v>623</v>
      </c>
      <c r="J132" s="2" t="s">
        <v>624</v>
      </c>
      <c r="K132" s="2" t="s">
        <v>13</v>
      </c>
      <c r="L132" s="2"/>
      <c r="M132" s="2">
        <v>2308092</v>
      </c>
      <c r="N132" s="2">
        <f>127518.82</f>
        <v>127518.82</v>
      </c>
      <c r="O132" s="2"/>
      <c r="P132" s="2">
        <v>2750204</v>
      </c>
      <c r="Q132" s="3" t="s">
        <v>1135</v>
      </c>
      <c r="R132" s="41">
        <v>40837</v>
      </c>
      <c r="S132" s="2">
        <v>693</v>
      </c>
      <c r="T132" s="2"/>
      <c r="U132" s="2" t="s">
        <v>14</v>
      </c>
      <c r="V132" s="4">
        <v>3.5999999999999997E-2</v>
      </c>
      <c r="W132" s="2">
        <f>P132*V132</f>
        <v>99007.343999999997</v>
      </c>
      <c r="X132" s="2">
        <f>83091+15916</f>
        <v>99007</v>
      </c>
      <c r="Y132" s="2">
        <f>99007</f>
        <v>99007</v>
      </c>
      <c r="Z132" s="2">
        <f>W132-Y132</f>
        <v>0.34399999999732245</v>
      </c>
      <c r="AA132" s="2">
        <f>950000+690000+400000+152688+127518.82+260808.28+127518.82</f>
        <v>2708533.9199999995</v>
      </c>
      <c r="AB132" s="2">
        <f>2708533.92</f>
        <v>2708533.92</v>
      </c>
      <c r="AC132" s="2">
        <f>650000+690000+400000+300000+100000+152688+27518.82</f>
        <v>2320206.8199999998</v>
      </c>
      <c r="AD132" s="2">
        <f>2320206.82</f>
        <v>2320206.8199999998</v>
      </c>
      <c r="AE132" s="4">
        <f t="shared" si="58"/>
        <v>0.95261804593231358</v>
      </c>
      <c r="AF132" s="2">
        <f>220000+300100+83091+402729.83+54000+77600+386052.83+499600+59000+54200+4336</f>
        <v>2140709.66</v>
      </c>
      <c r="AG132" s="2">
        <f>2136373.66+4336</f>
        <v>2140709.66</v>
      </c>
      <c r="AH132" s="2">
        <f>335391+300100+10000+426189.83+54000+77600+399652.83+5191+499600+55000+50000-55000+4336-50000+59000+54200+8868+4336</f>
        <v>2238464.66</v>
      </c>
      <c r="AI132" s="2"/>
      <c r="AJ132" s="2"/>
      <c r="AK132" s="2"/>
      <c r="AL132" s="2">
        <f>2234128.66+4336</f>
        <v>2238464.66</v>
      </c>
      <c r="AM132" s="4">
        <v>3.4000000000000002E-2</v>
      </c>
      <c r="AN132" s="4">
        <f t="shared" si="59"/>
        <v>92090.153279999999</v>
      </c>
      <c r="AO132" s="2">
        <f>32300+23460+13600+5191+4336+8868</f>
        <v>87755</v>
      </c>
      <c r="AP132" s="2">
        <f>74155+13600</f>
        <v>87755</v>
      </c>
      <c r="AQ132" s="2">
        <f t="shared" si="24"/>
        <v>4335.1532799999986</v>
      </c>
      <c r="AR132" s="2"/>
      <c r="AS132" s="2">
        <v>29</v>
      </c>
      <c r="AT132" s="2" t="s">
        <v>1136</v>
      </c>
    </row>
    <row r="133" spans="1:46" x14ac:dyDescent="0.15">
      <c r="A133" s="34">
        <v>40817</v>
      </c>
      <c r="B133" s="2" t="s">
        <v>1775</v>
      </c>
      <c r="C133" s="2" t="s">
        <v>946</v>
      </c>
      <c r="D133" s="2" t="s">
        <v>1137</v>
      </c>
      <c r="E133" s="2" t="s">
        <v>0</v>
      </c>
      <c r="F133" s="2" t="s">
        <v>60</v>
      </c>
      <c r="G133" s="2" t="s">
        <v>1129</v>
      </c>
      <c r="H133" s="2" t="s">
        <v>268</v>
      </c>
      <c r="I133" s="2" t="s">
        <v>178</v>
      </c>
      <c r="J133" s="2" t="s">
        <v>179</v>
      </c>
      <c r="K133" s="2" t="s">
        <v>173</v>
      </c>
      <c r="L133" s="2"/>
      <c r="M133" s="2">
        <v>10627968.9</v>
      </c>
      <c r="N133" s="2">
        <f>1290000</f>
        <v>1290000</v>
      </c>
      <c r="O133" s="2"/>
      <c r="P133" s="2"/>
      <c r="Q133" s="3" t="s">
        <v>1138</v>
      </c>
      <c r="R133" s="41">
        <v>40882</v>
      </c>
      <c r="S133" s="2">
        <v>3189</v>
      </c>
      <c r="T133" s="2"/>
      <c r="U133" s="2" t="s">
        <v>14</v>
      </c>
      <c r="V133" s="4">
        <v>0.03</v>
      </c>
      <c r="W133" s="2">
        <f t="shared" si="60"/>
        <v>357539.06699999998</v>
      </c>
      <c r="X133" s="2">
        <f>70000+248839+38700</f>
        <v>357539</v>
      </c>
      <c r="Y133" s="2">
        <f>357539</f>
        <v>357539</v>
      </c>
      <c r="Z133" s="2">
        <f t="shared" ref="Z133:Z138" si="61">W133-Y133</f>
        <v>6.6999999980907887E-2</v>
      </c>
      <c r="AA133" s="2">
        <f>2233435.8+3080000+1193400+1593864.75+500000+244279.8+1022835.15+601359.11+200000+400000</f>
        <v>11069174.610000001</v>
      </c>
      <c r="AB133" s="2">
        <f>11069174.61</f>
        <v>11069174.609999999</v>
      </c>
      <c r="AC133" s="2">
        <f>2233435.8+3080000+1193400+1593864.75+500000+244279.8+1022835.15+601359.11+200000+400000</f>
        <v>11069174.610000001</v>
      </c>
      <c r="AD133" s="2">
        <f>11069174.61</f>
        <v>11069174.609999999</v>
      </c>
      <c r="AE133" s="4">
        <f t="shared" si="58"/>
        <v>0.92878028990325701</v>
      </c>
      <c r="AF133" s="2">
        <f>22318.74+1865632.83+1832086.82+617812.4+282754+588698.75+200000+414494.32+134500+1300902.95+157730+76000+150000+200000+200000+148273.8+100000+609914.4+90064.41+370000+200000+200000+304500+1545+98000</f>
        <v>10165228.42</v>
      </c>
      <c r="AG133" s="2">
        <f>10067228.42+98000</f>
        <v>10165228.42</v>
      </c>
      <c r="AH133" s="2">
        <f>22318.74+2168089.82+1946029.22+609310+282754+629274.75+200000+414494.32+134500+100000+1355093.95+17000+8306+157730+76000+150000+200000+200000-100000+148273.8+100000+944690.4+90064.41+20446+370000+200000+206800+318100+1545+98000</f>
        <v>11068820.410000002</v>
      </c>
      <c r="AI133" s="2"/>
      <c r="AJ133" s="2"/>
      <c r="AK133" s="2"/>
      <c r="AL133" s="2">
        <f>10970820.41+98000</f>
        <v>11068820.41</v>
      </c>
      <c r="AM133" s="4">
        <v>3.4000000000000002E-2</v>
      </c>
      <c r="AN133" s="4">
        <f t="shared" si="59"/>
        <v>376351.93674000003</v>
      </c>
      <c r="AO133" s="2">
        <f>75937+104720+40576+54191+17000+8306+34776+20446+6800+13600</f>
        <v>376352</v>
      </c>
      <c r="AP133" s="2">
        <f>376352</f>
        <v>376352</v>
      </c>
      <c r="AQ133" s="2">
        <f t="shared" si="24"/>
        <v>-6.325999996624887E-2</v>
      </c>
      <c r="AR133" s="2"/>
      <c r="AS133" s="2">
        <v>140</v>
      </c>
      <c r="AT133" s="2" t="s">
        <v>1139</v>
      </c>
    </row>
    <row r="134" spans="1:46" x14ac:dyDescent="0.15">
      <c r="A134" s="34">
        <v>40836</v>
      </c>
      <c r="B134" s="2" t="s">
        <v>1776</v>
      </c>
      <c r="C134" s="2" t="s">
        <v>947</v>
      </c>
      <c r="D134" s="2" t="s">
        <v>1140</v>
      </c>
      <c r="E134" s="2" t="s">
        <v>0</v>
      </c>
      <c r="F134" s="2" t="s">
        <v>542</v>
      </c>
      <c r="G134" s="2" t="s">
        <v>1129</v>
      </c>
      <c r="H134" s="2" t="s">
        <v>1141</v>
      </c>
      <c r="I134" s="2" t="s">
        <v>964</v>
      </c>
      <c r="J134" s="2" t="s">
        <v>963</v>
      </c>
      <c r="K134" s="2" t="s">
        <v>5</v>
      </c>
      <c r="L134" s="2"/>
      <c r="M134" s="2">
        <v>17340123</v>
      </c>
      <c r="N134" s="2"/>
      <c r="O134" s="2"/>
      <c r="P134" s="2"/>
      <c r="Q134" s="3"/>
      <c r="R134" s="41"/>
      <c r="S134" s="2"/>
      <c r="T134" s="2"/>
      <c r="U134" s="2" t="s">
        <v>14</v>
      </c>
      <c r="V134" s="4">
        <v>0.03</v>
      </c>
      <c r="W134" s="2">
        <f t="shared" si="60"/>
        <v>520203.69</v>
      </c>
      <c r="X134" s="2">
        <f>50000+52420+100000+100000+217784</f>
        <v>520204</v>
      </c>
      <c r="Y134" s="2">
        <f>520204</f>
        <v>520204</v>
      </c>
      <c r="Z134" s="2">
        <f t="shared" si="61"/>
        <v>-0.30999999999767169</v>
      </c>
      <c r="AA134" s="2">
        <f>1880000+900000+1000000+2500000+2000000+2500000+500000+500000+800000+2000000</f>
        <v>14580000</v>
      </c>
      <c r="AB134" s="2">
        <f>14580000</f>
        <v>14580000</v>
      </c>
      <c r="AC134" s="2">
        <f>1880000+900000+1000000+2500000+1500000+3000000+500000+500000+800000+1500000</f>
        <v>14080000</v>
      </c>
      <c r="AD134" s="2">
        <f>14080000</f>
        <v>14080000</v>
      </c>
      <c r="AE134" s="4">
        <f t="shared" si="58"/>
        <v>0.81198962660184126</v>
      </c>
      <c r="AF134" s="2">
        <f>171080+11998+1000000+446100+450000+893806.6+-171080+85540+1185540+1100000+91000+1366900+93249+1553359.71+988000+350000+186000+465000+472000+848013.83+1000000+66000+430000</f>
        <v>13082507.139999999</v>
      </c>
      <c r="AG134" s="2">
        <f>13082507.14</f>
        <v>13082507.140000001</v>
      </c>
      <c r="AH134" s="2">
        <f>1671080+88000+119988+446100+450000+926806.6-171080+150000+85540+1268040+1100000+91000+1432900+93249+1635859.71+988000+350000-150000+186000+481500+488500+848014.35+1000000+66000+430000</f>
        <v>14075497.659999998</v>
      </c>
      <c r="AI134" s="2"/>
      <c r="AJ134" s="2"/>
      <c r="AK134" s="2"/>
      <c r="AL134" s="2">
        <f>14075497.66</f>
        <v>14075497.66</v>
      </c>
      <c r="AM134" s="4">
        <v>3.3599999999999998E-2</v>
      </c>
      <c r="AN134" s="4">
        <f t="shared" si="59"/>
        <v>489887.99999999994</v>
      </c>
      <c r="AO134" s="2">
        <f>489888</f>
        <v>489888</v>
      </c>
      <c r="AP134" s="2">
        <f>489888</f>
        <v>489888</v>
      </c>
      <c r="AQ134" s="2">
        <f t="shared" si="24"/>
        <v>0</v>
      </c>
      <c r="AR134" s="2"/>
      <c r="AS134" s="2">
        <v>245</v>
      </c>
      <c r="AT134" s="2" t="s">
        <v>1139</v>
      </c>
    </row>
    <row r="135" spans="1:46" x14ac:dyDescent="0.15">
      <c r="A135" s="34">
        <v>40836</v>
      </c>
      <c r="B135" s="2" t="s">
        <v>1777</v>
      </c>
      <c r="C135" s="2" t="s">
        <v>948</v>
      </c>
      <c r="D135" s="2" t="s">
        <v>1142</v>
      </c>
      <c r="E135" s="2" t="s">
        <v>0</v>
      </c>
      <c r="F135" s="2" t="s">
        <v>1143</v>
      </c>
      <c r="G135" s="2" t="s">
        <v>1129</v>
      </c>
      <c r="H135" s="2" t="s">
        <v>1144</v>
      </c>
      <c r="I135" s="11" t="s">
        <v>479</v>
      </c>
      <c r="J135" s="11" t="s">
        <v>248</v>
      </c>
      <c r="K135" s="11" t="s">
        <v>13</v>
      </c>
      <c r="L135" s="2"/>
      <c r="M135" s="2">
        <v>1590263.6</v>
      </c>
      <c r="N135" s="2"/>
      <c r="O135" s="2"/>
      <c r="P135" s="2"/>
      <c r="Q135" s="3" t="s">
        <v>1145</v>
      </c>
      <c r="R135" s="41">
        <v>40842</v>
      </c>
      <c r="S135" s="2">
        <v>478</v>
      </c>
      <c r="T135" s="2"/>
      <c r="U135" s="2" t="s">
        <v>14</v>
      </c>
      <c r="V135" s="4">
        <v>3.5999999999999997E-2</v>
      </c>
      <c r="W135" s="2">
        <f t="shared" si="60"/>
        <v>57249.489600000001</v>
      </c>
      <c r="X135" s="2">
        <f>57249</f>
        <v>57249</v>
      </c>
      <c r="Y135" s="2">
        <f>57249</f>
        <v>57249</v>
      </c>
      <c r="Z135" s="2">
        <f t="shared" si="61"/>
        <v>0.48960000000079162</v>
      </c>
      <c r="AA135" s="2">
        <f>477079+636105.52+260000</f>
        <v>1373184.52</v>
      </c>
      <c r="AB135" s="2">
        <f>1373184.52</f>
        <v>1373184.52</v>
      </c>
      <c r="AC135" s="2">
        <f>477079.08+636105.52+259999.92</f>
        <v>1373184.52</v>
      </c>
      <c r="AD135" s="2">
        <f>1373184.52</f>
        <v>1373184.52</v>
      </c>
      <c r="AE135" s="4">
        <f t="shared" si="58"/>
        <v>0.86349490738516554</v>
      </c>
      <c r="AF135" s="2">
        <f>1908.32+259188.1+235938.5+110000+386972+38959.09+9990+189004+66000</f>
        <v>1297960.01</v>
      </c>
      <c r="AG135" s="2">
        <f>1297960.01</f>
        <v>1297960.01</v>
      </c>
      <c r="AH135" s="2">
        <f>1908.32+375409.1+21628+135938.5+110000+386972+23792.25+38959.09+9990+197844+66000</f>
        <v>1368441.26</v>
      </c>
      <c r="AI135" s="2"/>
      <c r="AJ135" s="2"/>
      <c r="AK135" s="2"/>
      <c r="AL135" s="2">
        <f>1368441.26</f>
        <v>1368441.26</v>
      </c>
      <c r="AM135" s="4">
        <v>3.4000000000000002E-2</v>
      </c>
      <c r="AN135" s="4">
        <f t="shared" si="59"/>
        <v>46688.273680000006</v>
      </c>
      <c r="AO135" s="2">
        <f>16221+21628+8840</f>
        <v>46689</v>
      </c>
      <c r="AP135" s="2">
        <f>46689</f>
        <v>46689</v>
      </c>
      <c r="AQ135" s="2">
        <f t="shared" si="24"/>
        <v>-0.72631999999430263</v>
      </c>
      <c r="AR135" s="2"/>
      <c r="AS135" s="2">
        <v>15</v>
      </c>
      <c r="AT135" s="2" t="s">
        <v>1136</v>
      </c>
    </row>
    <row r="136" spans="1:46" x14ac:dyDescent="0.15">
      <c r="A136" s="34">
        <v>40837</v>
      </c>
      <c r="B136" s="2" t="s">
        <v>1778</v>
      </c>
      <c r="C136" s="2" t="s">
        <v>949</v>
      </c>
      <c r="D136" s="2" t="s">
        <v>91</v>
      </c>
      <c r="E136" s="2" t="s">
        <v>0</v>
      </c>
      <c r="F136" s="2" t="s">
        <v>1146</v>
      </c>
      <c r="G136" s="2" t="s">
        <v>1129</v>
      </c>
      <c r="H136" s="2" t="s">
        <v>1147</v>
      </c>
      <c r="I136" s="13" t="s">
        <v>1148</v>
      </c>
      <c r="J136" s="13" t="s">
        <v>1149</v>
      </c>
      <c r="K136" s="13" t="s">
        <v>13</v>
      </c>
      <c r="L136" s="2"/>
      <c r="M136" s="2">
        <v>16569151.949999999</v>
      </c>
      <c r="N136" s="2"/>
      <c r="O136" s="2"/>
      <c r="P136" s="2"/>
      <c r="Q136" s="3" t="s">
        <v>1150</v>
      </c>
      <c r="R136" s="41">
        <v>40987</v>
      </c>
      <c r="S136" s="2">
        <v>4971</v>
      </c>
      <c r="T136" s="2"/>
      <c r="U136" s="2" t="s">
        <v>14</v>
      </c>
      <c r="V136" s="4">
        <v>0.04</v>
      </c>
      <c r="W136" s="2">
        <f t="shared" si="60"/>
        <v>662766.07799999998</v>
      </c>
      <c r="X136" s="2">
        <f>120000+200000+150000+192766</f>
        <v>662766</v>
      </c>
      <c r="Y136" s="2">
        <f>662766</f>
        <v>662766</v>
      </c>
      <c r="Z136" s="2">
        <f t="shared" si="61"/>
        <v>7.7999999979510903E-2</v>
      </c>
      <c r="AA136" s="2">
        <f>3300000+1500000+1250000+5000000+1392807.01+812514+1000000+470000</f>
        <v>14725321.01</v>
      </c>
      <c r="AB136" s="2">
        <f>14725321.01</f>
        <v>14725321.01</v>
      </c>
      <c r="AC136" s="2">
        <f>3300000+1500000+1250000+5000000+1392807.01+812514+1000000+470000</f>
        <v>14725321.01</v>
      </c>
      <c r="AD136" s="2">
        <f>14725321.01</f>
        <v>14725321.01</v>
      </c>
      <c r="AE136" s="4">
        <f t="shared" si="58"/>
        <v>0.88871905179190536</v>
      </c>
      <c r="AF136" s="2">
        <f>2112202.8+13255.32+800000+1430000+40+1000000+3220002.1+113379.8+349000+233940+363180+83+1255306+100000+50000+800000+60000+51300+130000+434340+1000000+20000+20000+30000+1215152.6+220000</f>
        <v>15021181.619999999</v>
      </c>
      <c r="AG136" s="2">
        <f>13586029.02+1215152.6+220000</f>
        <v>15021181.619999999</v>
      </c>
      <c r="AH136" s="2">
        <f>2112202.8+13255.32+800000+1481000+42540+1000000+170000+3220002.1+1215152.6+113379.8+349000+233940+363180+83-170000+1302661+100010.5+50000+80000+60000+51300+157625+434340-240+1034000+20000+20000+30000+220000</f>
        <v>14503432.119999999</v>
      </c>
      <c r="AI136" s="2"/>
      <c r="AJ136" s="2"/>
      <c r="AK136" s="2"/>
      <c r="AL136" s="2">
        <f>14283432.12+220000</f>
        <v>14503432.119999999</v>
      </c>
      <c r="AM136" s="4">
        <v>3.4000000000000002E-2</v>
      </c>
      <c r="AN136" s="4">
        <f t="shared" si="59"/>
        <v>500660.91434000002</v>
      </c>
      <c r="AO136" s="2">
        <f>112200+51000+42500+170000+47355+27625+34000</f>
        <v>484680</v>
      </c>
      <c r="AP136" s="2">
        <f>484680</f>
        <v>484680</v>
      </c>
      <c r="AQ136" s="2">
        <f t="shared" si="24"/>
        <v>15980.914340000018</v>
      </c>
      <c r="AR136" s="2"/>
      <c r="AS136" s="2"/>
      <c r="AT136" s="2" t="s">
        <v>1151</v>
      </c>
    </row>
    <row r="137" spans="1:46" s="9" customFormat="1" x14ac:dyDescent="0.15">
      <c r="A137" s="35">
        <v>40847</v>
      </c>
      <c r="B137" s="2" t="s">
        <v>1779</v>
      </c>
      <c r="C137" s="6" t="s">
        <v>950</v>
      </c>
      <c r="D137" s="6" t="s">
        <v>1152</v>
      </c>
      <c r="E137" s="6" t="s">
        <v>0</v>
      </c>
      <c r="F137" s="6" t="s">
        <v>1153</v>
      </c>
      <c r="G137" s="6" t="s">
        <v>1129</v>
      </c>
      <c r="H137" s="6" t="s">
        <v>1154</v>
      </c>
      <c r="I137" s="11" t="s">
        <v>1155</v>
      </c>
      <c r="J137" s="6" t="s">
        <v>352</v>
      </c>
      <c r="K137" s="6" t="s">
        <v>35</v>
      </c>
      <c r="L137" s="6"/>
      <c r="M137" s="6">
        <v>988277.36</v>
      </c>
      <c r="N137" s="6">
        <v>147979.76</v>
      </c>
      <c r="O137" s="6"/>
      <c r="P137" s="6">
        <v>1136257.1200000001</v>
      </c>
      <c r="Q137" s="7" t="s">
        <v>1156</v>
      </c>
      <c r="R137" s="42">
        <v>40847</v>
      </c>
      <c r="S137" s="6">
        <v>298</v>
      </c>
      <c r="T137" s="6"/>
      <c r="U137" s="6" t="s">
        <v>14</v>
      </c>
      <c r="V137" s="8">
        <v>3.5999999999999997E-2</v>
      </c>
      <c r="W137" s="6">
        <f t="shared" si="60"/>
        <v>40905.25632</v>
      </c>
      <c r="X137" s="6">
        <f>35578+5328</f>
        <v>40906</v>
      </c>
      <c r="Y137" s="6">
        <f>40906</f>
        <v>40906</v>
      </c>
      <c r="Z137" s="6">
        <f t="shared" si="61"/>
        <v>-0.74367999999958556</v>
      </c>
      <c r="AA137" s="6">
        <f>543541+222323.75+172909.88+197393.63</f>
        <v>1136168.26</v>
      </c>
      <c r="AB137" s="6">
        <f>1136168.26</f>
        <v>1136168.26</v>
      </c>
      <c r="AC137" s="6">
        <f>543541+395322.49+197393.63</f>
        <v>1136257.1200000001</v>
      </c>
      <c r="AD137" s="6">
        <f>1136257.12</f>
        <v>1136257.1200000001</v>
      </c>
      <c r="AE137" s="8">
        <f t="shared" si="58"/>
        <v>1</v>
      </c>
      <c r="AF137" s="6">
        <f>520000+390000+112240</f>
        <v>1022240</v>
      </c>
      <c r="AG137" s="6">
        <f>1022240</f>
        <v>1022240</v>
      </c>
      <c r="AH137" s="6">
        <f>538480+393441+6711+112240</f>
        <v>1050872</v>
      </c>
      <c r="AI137" s="6"/>
      <c r="AJ137" s="6"/>
      <c r="AK137" s="6"/>
      <c r="AL137" s="6">
        <f>1050872</f>
        <v>1050872</v>
      </c>
      <c r="AM137" s="8">
        <v>3.4000000000000002E-2</v>
      </c>
      <c r="AN137" s="8">
        <f t="shared" si="59"/>
        <v>38629.720840000002</v>
      </c>
      <c r="AO137" s="6">
        <f>18480+7562+5879+6711</f>
        <v>38632</v>
      </c>
      <c r="AP137" s="6">
        <f>38632</f>
        <v>38632</v>
      </c>
      <c r="AQ137" s="6">
        <f t="shared" si="24"/>
        <v>-2.2791599999982282</v>
      </c>
      <c r="AR137" s="6"/>
      <c r="AS137" s="6">
        <v>4</v>
      </c>
      <c r="AT137" s="6" t="s">
        <v>1139</v>
      </c>
    </row>
    <row r="138" spans="1:46" s="9" customFormat="1" x14ac:dyDescent="0.15">
      <c r="A138" s="35">
        <v>40851</v>
      </c>
      <c r="B138" s="2" t="s">
        <v>1780</v>
      </c>
      <c r="C138" s="6" t="s">
        <v>951</v>
      </c>
      <c r="D138" s="6" t="s">
        <v>1157</v>
      </c>
      <c r="E138" s="6" t="s">
        <v>0</v>
      </c>
      <c r="F138" s="6" t="s">
        <v>1158</v>
      </c>
      <c r="G138" s="6" t="s">
        <v>1129</v>
      </c>
      <c r="H138" s="6" t="s">
        <v>1159</v>
      </c>
      <c r="I138" s="11" t="s">
        <v>1155</v>
      </c>
      <c r="J138" s="6" t="s">
        <v>352</v>
      </c>
      <c r="K138" s="6" t="s">
        <v>35</v>
      </c>
      <c r="L138" s="6"/>
      <c r="M138" s="6">
        <v>8114830</v>
      </c>
      <c r="N138" s="6">
        <f>749457+1484703+358800+2780000+407422+288234</f>
        <v>6068616</v>
      </c>
      <c r="O138" s="6"/>
      <c r="P138" s="6"/>
      <c r="Q138" s="7"/>
      <c r="R138" s="42">
        <v>40863</v>
      </c>
      <c r="S138" s="6">
        <f>392+2043.1</f>
        <v>2435.1</v>
      </c>
      <c r="T138" s="6"/>
      <c r="U138" s="6" t="s">
        <v>14</v>
      </c>
      <c r="V138" s="8">
        <v>0.03</v>
      </c>
      <c r="W138" s="6">
        <f t="shared" si="60"/>
        <v>425503.38</v>
      </c>
      <c r="X138" s="6">
        <f>5698+187747+50000+116721.12+56690</f>
        <v>416856.12</v>
      </c>
      <c r="Y138" s="6">
        <f>416856.12</f>
        <v>416856.12</v>
      </c>
      <c r="Z138" s="6">
        <f t="shared" si="61"/>
        <v>8647.2600000000093</v>
      </c>
      <c r="AA138" s="6">
        <f>1911475.2+758901+5000000+5866035.8+303896.16+288234</f>
        <v>14128542.16</v>
      </c>
      <c r="AB138" s="6">
        <f>14128542.16</f>
        <v>14128542.16</v>
      </c>
      <c r="AC138" s="6">
        <f>1911475.2+758902+900000+1300000+1700000+1100000+1500000+340000+500000+250000+500000+1000000+1010000+310000</f>
        <v>13080377.199999999</v>
      </c>
      <c r="AD138" s="6">
        <f>13080377.2</f>
        <v>13080377.199999999</v>
      </c>
      <c r="AE138" s="8">
        <f t="shared" si="58"/>
        <v>0.92222843447213032</v>
      </c>
      <c r="AF138" s="6">
        <f>1966813+4288+884902.81+541274+362000+1302450+1764600+1074966+21732.88+200000+962904.2+430000+17946.56+500000+7262+18341.6+163986+50000+23318+7167.3+500000+3300+500000+500000+1300000</f>
        <v>13107252.350000001</v>
      </c>
      <c r="AG138" s="6">
        <f>13107252.35</f>
        <v>13107252.35</v>
      </c>
      <c r="AH138" s="6">
        <f>1905101+764060+541274+350000+1227450+1764600+1074966+4597.47+21732.88+1362349.2+2783+10333+430000+17946.56+500000+7262+18341.6+163986+50000+23318+7167.3+500000+3300+500000+500000+9800+1300000</f>
        <v>13060368.01</v>
      </c>
      <c r="AI138" s="6"/>
      <c r="AJ138" s="6"/>
      <c r="AK138" s="6"/>
      <c r="AL138" s="6">
        <f>13060368.01</f>
        <v>13060368.01</v>
      </c>
      <c r="AM138" s="8">
        <v>3.4000000000000002E-2</v>
      </c>
      <c r="AN138" s="8">
        <f t="shared" si="59"/>
        <v>480370.43344000005</v>
      </c>
      <c r="AO138" s="6">
        <f>480370.43</f>
        <v>480370.43</v>
      </c>
      <c r="AP138" s="6">
        <f>480370.43</f>
        <v>480370.43</v>
      </c>
      <c r="AQ138" s="6">
        <f t="shared" si="24"/>
        <v>3.4400000586174428E-3</v>
      </c>
      <c r="AR138" s="6"/>
      <c r="AS138" s="6">
        <v>22</v>
      </c>
      <c r="AT138" s="6" t="s">
        <v>1160</v>
      </c>
    </row>
    <row r="139" spans="1:46" s="9" customFormat="1" x14ac:dyDescent="0.15">
      <c r="A139" s="35">
        <v>40852</v>
      </c>
      <c r="B139" s="2" t="s">
        <v>1781</v>
      </c>
      <c r="C139" s="6" t="s">
        <v>952</v>
      </c>
      <c r="D139" s="6" t="s">
        <v>953</v>
      </c>
      <c r="E139" s="6" t="s">
        <v>0</v>
      </c>
      <c r="F139" s="6" t="s">
        <v>169</v>
      </c>
      <c r="G139" s="6" t="s">
        <v>954</v>
      </c>
      <c r="H139" s="6" t="s">
        <v>33</v>
      </c>
      <c r="I139" s="11" t="s">
        <v>955</v>
      </c>
      <c r="J139" s="11" t="s">
        <v>937</v>
      </c>
      <c r="K139" s="11" t="s">
        <v>13</v>
      </c>
      <c r="L139" s="6"/>
      <c r="M139" s="6">
        <v>804969.47</v>
      </c>
      <c r="N139" s="6">
        <f>74389.84+206520.82+15212.14</f>
        <v>296122.80000000005</v>
      </c>
      <c r="O139" s="6"/>
      <c r="P139" s="6">
        <f>89601.98</f>
        <v>89601.98</v>
      </c>
      <c r="Q139" s="7" t="s">
        <v>956</v>
      </c>
      <c r="R139" s="42">
        <v>41018</v>
      </c>
      <c r="S139" s="6">
        <f>242+23+62</f>
        <v>327</v>
      </c>
      <c r="T139" s="6"/>
      <c r="U139" s="6" t="s">
        <v>957</v>
      </c>
      <c r="V139" s="8">
        <v>0.03</v>
      </c>
      <c r="W139" s="6">
        <f t="shared" si="60"/>
        <v>33032.768100000001</v>
      </c>
      <c r="X139" s="6">
        <f>6196+26381+456</f>
        <v>33033</v>
      </c>
      <c r="Y139" s="6">
        <f>35577+456</f>
        <v>36033</v>
      </c>
      <c r="Z139" s="6">
        <f t="shared" si="57"/>
        <v>-0.23189999999885913</v>
      </c>
      <c r="AA139" s="6">
        <f>120579+115738+59510+216098+183853+44637+128283.43+30091.98</f>
        <v>898790.40999999992</v>
      </c>
      <c r="AB139" s="6">
        <f>898790.41</f>
        <v>898790.41</v>
      </c>
      <c r="AC139" s="6">
        <f>120579+72336+59510+259500+183853+44637+127883.43</f>
        <v>868298.42999999993</v>
      </c>
      <c r="AD139" s="6">
        <f>868298.43</f>
        <v>868298.43</v>
      </c>
      <c r="AE139" s="8">
        <f t="shared" si="58"/>
        <v>0.78857917148033374</v>
      </c>
      <c r="AF139" s="6">
        <f>100000+80000+250000+178540.5+78541.72+122747+32000+482.8</f>
        <v>842312.02</v>
      </c>
      <c r="AG139" s="6">
        <f>809829.22+32000+482.8</f>
        <v>842312.02</v>
      </c>
      <c r="AH139" s="6">
        <f>4100+100000+3935+2023+93700+257347+190791.5+80059.72+4362+122747+33023+482.8</f>
        <v>892571.02</v>
      </c>
      <c r="AI139" s="6"/>
      <c r="AJ139" s="6"/>
      <c r="AK139" s="6"/>
      <c r="AL139" s="6">
        <f>859065.22+33023+482.8</f>
        <v>892571.02</v>
      </c>
      <c r="AM139" s="8">
        <v>3.4000000000000002E-2</v>
      </c>
      <c r="AN139" s="8">
        <f t="shared" si="59"/>
        <v>30558.873940000005</v>
      </c>
      <c r="AO139" s="6">
        <f>4100+3935+2023+7347+6251+1518+4362+1023</f>
        <v>30559</v>
      </c>
      <c r="AP139" s="6">
        <f>29536+1023</f>
        <v>30559</v>
      </c>
      <c r="AQ139" s="6">
        <f t="shared" si="24"/>
        <v>-0.12605999999505002</v>
      </c>
      <c r="AR139" s="6"/>
      <c r="AS139" s="6"/>
      <c r="AT139" s="6"/>
    </row>
    <row r="140" spans="1:46" x14ac:dyDescent="0.15">
      <c r="A140" s="34">
        <v>40852</v>
      </c>
      <c r="B140" s="2" t="s">
        <v>1782</v>
      </c>
      <c r="C140" s="2" t="s">
        <v>1161</v>
      </c>
      <c r="D140" s="2" t="s">
        <v>1165</v>
      </c>
      <c r="E140" s="2" t="s">
        <v>0</v>
      </c>
      <c r="F140" s="2" t="s">
        <v>1165</v>
      </c>
      <c r="G140" s="2" t="s">
        <v>10</v>
      </c>
      <c r="H140" s="2" t="s">
        <v>1166</v>
      </c>
      <c r="I140" s="13" t="s">
        <v>1167</v>
      </c>
      <c r="J140" s="13" t="s">
        <v>1166</v>
      </c>
      <c r="K140" s="13" t="s">
        <v>1168</v>
      </c>
      <c r="L140" s="2"/>
      <c r="M140" s="2">
        <v>2110000</v>
      </c>
      <c r="N140" s="2"/>
      <c r="O140" s="2"/>
      <c r="P140" s="2"/>
      <c r="Q140" s="3" t="s">
        <v>1169</v>
      </c>
      <c r="R140" s="41">
        <v>40868</v>
      </c>
      <c r="S140" s="2">
        <f>138+495</f>
        <v>633</v>
      </c>
      <c r="T140" s="2"/>
      <c r="U140" s="2" t="s">
        <v>1170</v>
      </c>
      <c r="V140" s="4">
        <v>3.5999999999999997E-2</v>
      </c>
      <c r="W140" s="2">
        <f t="shared" si="60"/>
        <v>75960</v>
      </c>
      <c r="X140" s="2">
        <v>75960</v>
      </c>
      <c r="Y140" s="2">
        <f>75960</f>
        <v>75960</v>
      </c>
      <c r="Z140" s="2">
        <f t="shared" si="57"/>
        <v>0</v>
      </c>
      <c r="AA140" s="2">
        <f>633000+495000+138000+92000+330000+247500+69000</f>
        <v>2004500</v>
      </c>
      <c r="AB140" s="2">
        <f>2004500</f>
        <v>2004500</v>
      </c>
      <c r="AC140" s="2">
        <f>633000+495000+560000+316500</f>
        <v>2004500</v>
      </c>
      <c r="AD140" s="2">
        <f>2004500</f>
        <v>2004500</v>
      </c>
      <c r="AE140" s="4">
        <f t="shared" si="58"/>
        <v>0.95</v>
      </c>
      <c r="AF140" s="2">
        <f>341366.9+160000+525330+306861</f>
        <v>1333557.8999999999</v>
      </c>
      <c r="AG140" s="2">
        <f>1333557.9</f>
        <v>1333557.8999999999</v>
      </c>
      <c r="AH140" s="2">
        <f>383898.9+21522+160000+16830+50000+480400+544370+10761+306861</f>
        <v>1974642.9</v>
      </c>
      <c r="AI140" s="2"/>
      <c r="AJ140" s="2"/>
      <c r="AK140" s="2"/>
      <c r="AL140" s="2">
        <f>1974642.9</f>
        <v>1974642.9</v>
      </c>
      <c r="AM140" s="4">
        <v>3.4000000000000002E-2</v>
      </c>
      <c r="AN140" s="4">
        <f t="shared" si="59"/>
        <v>68153</v>
      </c>
      <c r="AO140" s="2">
        <f>21522+16830+8415+2346</f>
        <v>49113</v>
      </c>
      <c r="AP140" s="2">
        <f>49113</f>
        <v>49113</v>
      </c>
      <c r="AQ140" s="2">
        <f t="shared" si="24"/>
        <v>19040</v>
      </c>
      <c r="AR140" s="2"/>
      <c r="AS140" s="2">
        <v>17</v>
      </c>
      <c r="AT140" s="2" t="s">
        <v>1160</v>
      </c>
    </row>
    <row r="141" spans="1:46" x14ac:dyDescent="0.15">
      <c r="A141" s="34">
        <v>40855</v>
      </c>
      <c r="B141" s="2" t="s">
        <v>1783</v>
      </c>
      <c r="C141" s="2" t="s">
        <v>1162</v>
      </c>
      <c r="D141" s="2" t="s">
        <v>1171</v>
      </c>
      <c r="E141" s="2" t="s">
        <v>0</v>
      </c>
      <c r="F141" s="2" t="s">
        <v>1172</v>
      </c>
      <c r="G141" s="2" t="s">
        <v>1173</v>
      </c>
      <c r="H141" s="2" t="s">
        <v>637</v>
      </c>
      <c r="I141" s="2" t="s">
        <v>109</v>
      </c>
      <c r="J141" s="2" t="s">
        <v>108</v>
      </c>
      <c r="K141" s="2" t="s">
        <v>5</v>
      </c>
      <c r="L141" s="2"/>
      <c r="M141" s="2">
        <v>3376544</v>
      </c>
      <c r="N141" s="2"/>
      <c r="O141" s="2"/>
      <c r="P141" s="2"/>
      <c r="Q141" s="3"/>
      <c r="R141" s="41"/>
      <c r="S141" s="2"/>
      <c r="T141" s="2"/>
      <c r="U141" s="2" t="s">
        <v>1170</v>
      </c>
      <c r="V141" s="4">
        <v>0.03</v>
      </c>
      <c r="W141" s="2">
        <f t="shared" si="60"/>
        <v>101296.31999999999</v>
      </c>
      <c r="X141" s="2">
        <f>101296</f>
        <v>101296</v>
      </c>
      <c r="Y141" s="2">
        <f>101296</f>
        <v>101296</v>
      </c>
      <c r="Z141" s="2">
        <f t="shared" si="57"/>
        <v>0.319999999992433</v>
      </c>
      <c r="AA141" s="2">
        <f>1223464+1477771.2+378172.93</f>
        <v>3079408.1300000004</v>
      </c>
      <c r="AB141" s="2">
        <f>2701235.2+378172.93</f>
        <v>3079408.1300000004</v>
      </c>
      <c r="AC141" s="2">
        <f>1223464+1139816+337654.4</f>
        <v>2700934.4</v>
      </c>
      <c r="AD141" s="2">
        <f>2700934.4</f>
        <v>2700934.4</v>
      </c>
      <c r="AE141" s="4">
        <f t="shared" si="58"/>
        <v>0.7999109148288901</v>
      </c>
      <c r="AF141" s="2">
        <f>500000+507230.7+101296+18000+199800+693000+50000+200000+299970+40000</f>
        <v>2609296.7000000002</v>
      </c>
      <c r="AG141" s="2">
        <f>2609296.7</f>
        <v>2609296.7000000002</v>
      </c>
      <c r="AH141" s="2">
        <f>500000+548706.13+101296+18000+50096.44+200000+199800+693000+50000-200000+200000+299970+40000</f>
        <v>2700868.57</v>
      </c>
      <c r="AI141" s="2"/>
      <c r="AJ141" s="2"/>
      <c r="AK141" s="2"/>
      <c r="AL141" s="2">
        <f>2700868.57</f>
        <v>2700868.57</v>
      </c>
      <c r="AM141" s="4">
        <v>3.7400000000000003E-2</v>
      </c>
      <c r="AN141" s="4">
        <f t="shared" si="59"/>
        <v>115169.86406200002</v>
      </c>
      <c r="AO141" s="2">
        <f>101026.2+14143.67</f>
        <v>115169.87</v>
      </c>
      <c r="AP141" s="2">
        <f>101026.2+14143.67</f>
        <v>115169.87</v>
      </c>
      <c r="AQ141" s="2">
        <f t="shared" si="24"/>
        <v>-5.9379999729571864E-3</v>
      </c>
      <c r="AR141" s="2"/>
      <c r="AS141" s="2">
        <v>33</v>
      </c>
      <c r="AT141" s="2" t="s">
        <v>1174</v>
      </c>
    </row>
    <row r="142" spans="1:46" s="9" customFormat="1" x14ac:dyDescent="0.15">
      <c r="A142" s="35">
        <v>40878</v>
      </c>
      <c r="B142" s="2" t="s">
        <v>1784</v>
      </c>
      <c r="C142" s="6" t="s">
        <v>1163</v>
      </c>
      <c r="D142" s="6" t="s">
        <v>1175</v>
      </c>
      <c r="E142" s="6" t="s">
        <v>0</v>
      </c>
      <c r="F142" s="6" t="s">
        <v>1175</v>
      </c>
      <c r="G142" s="6" t="s">
        <v>1176</v>
      </c>
      <c r="H142" s="6" t="s">
        <v>535</v>
      </c>
      <c r="I142" s="6" t="s">
        <v>252</v>
      </c>
      <c r="J142" s="6" t="s">
        <v>253</v>
      </c>
      <c r="K142" s="6" t="s">
        <v>13</v>
      </c>
      <c r="L142" s="6"/>
      <c r="M142" s="6">
        <v>500000</v>
      </c>
      <c r="N142" s="6">
        <v>35121</v>
      </c>
      <c r="O142" s="6"/>
      <c r="P142" s="6">
        <v>535121</v>
      </c>
      <c r="Q142" s="7" t="s">
        <v>1177</v>
      </c>
      <c r="R142" s="42">
        <v>40969</v>
      </c>
      <c r="S142" s="6">
        <v>150</v>
      </c>
      <c r="T142" s="6"/>
      <c r="U142" s="6" t="s">
        <v>1170</v>
      </c>
      <c r="V142" s="8">
        <v>3.5999999999999997E-2</v>
      </c>
      <c r="W142" s="6">
        <f t="shared" si="60"/>
        <v>19264.356</v>
      </c>
      <c r="X142" s="6">
        <f>18000</f>
        <v>18000</v>
      </c>
      <c r="Y142" s="6">
        <f>18000</f>
        <v>18000</v>
      </c>
      <c r="Z142" s="6">
        <f t="shared" si="57"/>
        <v>1264.3559999999998</v>
      </c>
      <c r="AA142" s="6">
        <f>494890</f>
        <v>494890</v>
      </c>
      <c r="AB142" s="6">
        <f>494890</f>
        <v>494890</v>
      </c>
      <c r="AC142" s="6">
        <f>494890</f>
        <v>494890</v>
      </c>
      <c r="AD142" s="6">
        <f>494890</f>
        <v>494890</v>
      </c>
      <c r="AE142" s="8">
        <f t="shared" si="58"/>
        <v>0.92481887274093144</v>
      </c>
      <c r="AF142" s="6">
        <f>120136+312802+29997</f>
        <v>462935</v>
      </c>
      <c r="AG142" s="6">
        <f>462935</f>
        <v>462935</v>
      </c>
      <c r="AH142" s="6">
        <f>16826+120136+312802+29997</f>
        <v>479761</v>
      </c>
      <c r="AI142" s="6"/>
      <c r="AJ142" s="6"/>
      <c r="AK142" s="6"/>
      <c r="AL142" s="6">
        <f>479761</f>
        <v>479761</v>
      </c>
      <c r="AM142" s="8">
        <v>3.4000000000000002E-2</v>
      </c>
      <c r="AN142" s="8">
        <f t="shared" si="59"/>
        <v>16826.260000000002</v>
      </c>
      <c r="AO142" s="6">
        <f>16826</f>
        <v>16826</v>
      </c>
      <c r="AP142" s="6">
        <f>16826</f>
        <v>16826</v>
      </c>
      <c r="AQ142" s="6">
        <f t="shared" si="24"/>
        <v>0.26000000000203727</v>
      </c>
      <c r="AR142" s="6"/>
      <c r="AS142" s="6">
        <v>4</v>
      </c>
      <c r="AT142" s="6" t="s">
        <v>1178</v>
      </c>
    </row>
    <row r="143" spans="1:46" s="9" customFormat="1" x14ac:dyDescent="0.15">
      <c r="A143" s="35">
        <v>40878</v>
      </c>
      <c r="B143" s="2" t="s">
        <v>1785</v>
      </c>
      <c r="C143" s="6" t="s">
        <v>1164</v>
      </c>
      <c r="D143" s="6" t="s">
        <v>1179</v>
      </c>
      <c r="E143" s="6" t="s">
        <v>0</v>
      </c>
      <c r="F143" s="6" t="s">
        <v>1180</v>
      </c>
      <c r="G143" s="6" t="s">
        <v>1176</v>
      </c>
      <c r="H143" s="6" t="s">
        <v>39</v>
      </c>
      <c r="I143" s="6" t="s">
        <v>23</v>
      </c>
      <c r="J143" s="6" t="s">
        <v>39</v>
      </c>
      <c r="K143" s="6" t="s">
        <v>13</v>
      </c>
      <c r="L143" s="6"/>
      <c r="M143" s="6">
        <v>2173520</v>
      </c>
      <c r="N143" s="6"/>
      <c r="O143" s="6"/>
      <c r="P143" s="6"/>
      <c r="Q143" s="7" t="s">
        <v>1181</v>
      </c>
      <c r="R143" s="42">
        <v>40918</v>
      </c>
      <c r="S143" s="6">
        <v>653</v>
      </c>
      <c r="T143" s="6"/>
      <c r="U143" s="6" t="s">
        <v>1170</v>
      </c>
      <c r="V143" s="8">
        <v>3.5999999999999997E-2</v>
      </c>
      <c r="W143" s="6">
        <f t="shared" si="60"/>
        <v>78246.720000000001</v>
      </c>
      <c r="X143" s="6">
        <f>78247</f>
        <v>78247</v>
      </c>
      <c r="Y143" s="6">
        <f>78247</f>
        <v>78247</v>
      </c>
      <c r="Z143" s="6">
        <f t="shared" si="57"/>
        <v>-0.27999999999883585</v>
      </c>
      <c r="AA143" s="6">
        <f>650000+162466+16590</f>
        <v>829056</v>
      </c>
      <c r="AB143" s="6">
        <f>829056</f>
        <v>829056</v>
      </c>
      <c r="AC143" s="6">
        <f>400000+250000+179056</f>
        <v>829056</v>
      </c>
      <c r="AD143" s="6">
        <f>829056</f>
        <v>829056</v>
      </c>
      <c r="AE143" s="8">
        <f t="shared" si="58"/>
        <v>0.38143472339799034</v>
      </c>
      <c r="AF143" s="6">
        <f>300000+78247+61000+29512.65+57517.5+94718.18+177264.47</f>
        <v>798259.8</v>
      </c>
      <c r="AG143" s="6">
        <f>620995.33+177264.47</f>
        <v>798259.79999999993</v>
      </c>
      <c r="AH143" s="6">
        <f>2608.2+322100+50000+78247+61000-50000+29512.65+2503.5+55014+94718.18+183352.47</f>
        <v>829056</v>
      </c>
      <c r="AI143" s="6"/>
      <c r="AJ143" s="6"/>
      <c r="AK143" s="6"/>
      <c r="AL143" s="6">
        <f>829056</f>
        <v>829056</v>
      </c>
      <c r="AM143" s="8">
        <v>3.4000000000000002E-2</v>
      </c>
      <c r="AN143" s="8">
        <f t="shared" si="59"/>
        <v>28187.904000000002</v>
      </c>
      <c r="AO143" s="6">
        <f>22100+5524+564</f>
        <v>28188</v>
      </c>
      <c r="AP143" s="6">
        <f>28188</f>
        <v>28188</v>
      </c>
      <c r="AQ143" s="6">
        <f t="shared" si="24"/>
        <v>-9.5999999997729901E-2</v>
      </c>
      <c r="AR143" s="6"/>
      <c r="AS143" s="6">
        <v>12</v>
      </c>
      <c r="AT143" s="6" t="s">
        <v>1182</v>
      </c>
    </row>
    <row r="144" spans="1:46" s="9" customFormat="1" x14ac:dyDescent="0.15">
      <c r="A144" s="35">
        <v>40909</v>
      </c>
      <c r="B144" s="2" t="s">
        <v>1786</v>
      </c>
      <c r="C144" s="6" t="s">
        <v>537</v>
      </c>
      <c r="D144" s="6" t="s">
        <v>541</v>
      </c>
      <c r="E144" s="6" t="s">
        <v>0</v>
      </c>
      <c r="F144" s="6" t="s">
        <v>542</v>
      </c>
      <c r="G144" s="6" t="s">
        <v>487</v>
      </c>
      <c r="H144" s="6" t="s">
        <v>268</v>
      </c>
      <c r="I144" s="6" t="s">
        <v>178</v>
      </c>
      <c r="J144" s="6" t="s">
        <v>179</v>
      </c>
      <c r="K144" s="6" t="s">
        <v>173</v>
      </c>
      <c r="L144" s="6"/>
      <c r="M144" s="6">
        <v>1950000</v>
      </c>
      <c r="N144" s="6">
        <f>2700000+3000000+581535</f>
        <v>6281535</v>
      </c>
      <c r="O144" s="6"/>
      <c r="P144" s="6"/>
      <c r="Q144" s="7" t="s">
        <v>543</v>
      </c>
      <c r="R144" s="42">
        <v>41045</v>
      </c>
      <c r="S144" s="6">
        <v>585</v>
      </c>
      <c r="T144" s="6"/>
      <c r="U144" s="6" t="s">
        <v>425</v>
      </c>
      <c r="V144" s="8">
        <v>0.03</v>
      </c>
      <c r="W144" s="6">
        <f>(M144+N144)*V144</f>
        <v>246946.05</v>
      </c>
      <c r="X144" s="6">
        <f>70200+97200+62100</f>
        <v>229500</v>
      </c>
      <c r="Y144" s="6">
        <f>229500</f>
        <v>229500</v>
      </c>
      <c r="Z144" s="6">
        <f>W144-X144</f>
        <v>17446.049999999988</v>
      </c>
      <c r="AA144" s="6">
        <f>1600000+1000000+1300000+1470000+100000+1100000+1661535</f>
        <v>8231535</v>
      </c>
      <c r="AB144" s="6">
        <f>8231535</f>
        <v>8231535</v>
      </c>
      <c r="AC144" s="6">
        <f>1600000+1000000+1300000+1570000+1100000+1661535</f>
        <v>8231535</v>
      </c>
      <c r="AD144" s="6">
        <f>8231535</f>
        <v>8231535</v>
      </c>
      <c r="AE144" s="8">
        <f>AC144/(M144+N144)</f>
        <v>1</v>
      </c>
      <c r="AF144" s="6">
        <f>1000000+370200+100000+749600+40000+150000+643400+200000+700000+300000+120000+30000+80000+990000+1300000+100000+100000+170000+6000</f>
        <v>7149200</v>
      </c>
      <c r="AG144" s="6">
        <f>7143200+6000</f>
        <v>7149200</v>
      </c>
      <c r="AH144" s="6">
        <f>1054400+370200+100000+34000+949600+40000+44200+450000+643400+200000+1053380+300000+120000+30000+80000+1027400+56492+1300000+100000+100000+170000+6000</f>
        <v>8229072</v>
      </c>
      <c r="AI144" s="6"/>
      <c r="AJ144" s="6"/>
      <c r="AK144" s="6"/>
      <c r="AL144" s="6">
        <f>8223072+6000</f>
        <v>8229072</v>
      </c>
      <c r="AM144" s="8">
        <v>3.4000000000000002E-2</v>
      </c>
      <c r="AN144" s="8">
        <f t="shared" ref="AN144:AN147" si="62">AM144*AB144</f>
        <v>279872.19</v>
      </c>
      <c r="AO144" s="6">
        <f>54400+34000+44200+49980+3400+37400+56492</f>
        <v>279872</v>
      </c>
      <c r="AP144" s="6">
        <f>279872</f>
        <v>279872</v>
      </c>
      <c r="AQ144" s="6">
        <f t="shared" si="24"/>
        <v>0.19000000000232831</v>
      </c>
      <c r="AR144" s="6"/>
      <c r="AS144" s="6">
        <v>5</v>
      </c>
      <c r="AT144" s="6" t="s">
        <v>522</v>
      </c>
    </row>
    <row r="145" spans="1:46" s="9" customFormat="1" x14ac:dyDescent="0.15">
      <c r="A145" s="35">
        <v>40909</v>
      </c>
      <c r="B145" s="2" t="s">
        <v>1787</v>
      </c>
      <c r="C145" s="6" t="s">
        <v>538</v>
      </c>
      <c r="D145" s="6" t="s">
        <v>544</v>
      </c>
      <c r="E145" s="6" t="s">
        <v>0</v>
      </c>
      <c r="F145" s="6" t="s">
        <v>545</v>
      </c>
      <c r="G145" s="6" t="s">
        <v>487</v>
      </c>
      <c r="H145" s="6" t="s">
        <v>239</v>
      </c>
      <c r="I145" s="6" t="s">
        <v>87</v>
      </c>
      <c r="J145" s="6" t="s">
        <v>86</v>
      </c>
      <c r="K145" s="6" t="s">
        <v>35</v>
      </c>
      <c r="L145" s="6"/>
      <c r="M145" s="6">
        <v>3098310</v>
      </c>
      <c r="N145" s="6"/>
      <c r="O145" s="6"/>
      <c r="P145" s="6"/>
      <c r="Q145" s="7" t="s">
        <v>546</v>
      </c>
      <c r="R145" s="42">
        <v>40957</v>
      </c>
      <c r="S145" s="6">
        <v>930</v>
      </c>
      <c r="T145" s="6"/>
      <c r="U145" s="6" t="s">
        <v>425</v>
      </c>
      <c r="V145" s="8">
        <v>3.5999999999999997E-2</v>
      </c>
      <c r="W145" s="6">
        <f t="shared" ref="W145:W147" si="63">(M145+N145)*V145</f>
        <v>111539.15999999999</v>
      </c>
      <c r="X145" s="6">
        <f>111539</f>
        <v>111539</v>
      </c>
      <c r="Y145" s="6">
        <f>111539</f>
        <v>111539</v>
      </c>
      <c r="Z145" s="6">
        <v>0</v>
      </c>
      <c r="AA145" s="6">
        <f>991274+167881+1014408+290000</f>
        <v>2463563</v>
      </c>
      <c r="AB145" s="6">
        <f>2463563</f>
        <v>2463563</v>
      </c>
      <c r="AC145" s="6">
        <f>991274+167881+1014408+290000</f>
        <v>2463563</v>
      </c>
      <c r="AD145" s="6">
        <f>2463563</f>
        <v>2463563</v>
      </c>
      <c r="AE145" s="8">
        <f t="shared" ref="AE145:AE147" si="64">AC145/(M145+N145)</f>
        <v>0.79513121669555342</v>
      </c>
      <c r="AF145" s="6">
        <f>3717.98+370000+200000+50000+100000+125000+145000+200000+600000+50000+99994+32000+250000</f>
        <v>2225711.98</v>
      </c>
      <c r="AG145" s="6">
        <f>2225711.98</f>
        <v>2225711.98</v>
      </c>
      <c r="AH145" s="6">
        <f>3717.98+353703+200000+150000+150000+125000+5708+145000+15000+234490+600000+50000+99994+32000+9860+250000</f>
        <v>2424472.98</v>
      </c>
      <c r="AI145" s="6"/>
      <c r="AJ145" s="6"/>
      <c r="AK145" s="6"/>
      <c r="AL145" s="6">
        <f>2424472.98</f>
        <v>2424472.98</v>
      </c>
      <c r="AM145" s="8">
        <v>3.4000000000000002E-2</v>
      </c>
      <c r="AN145" s="8">
        <f t="shared" si="62"/>
        <v>83761.142000000007</v>
      </c>
      <c r="AO145" s="6">
        <f>33703+5708+34490+9860</f>
        <v>83761</v>
      </c>
      <c r="AP145" s="6">
        <f>83761</f>
        <v>83761</v>
      </c>
      <c r="AQ145" s="6">
        <f t="shared" si="24"/>
        <v>0.14200000000710133</v>
      </c>
      <c r="AR145" s="6"/>
      <c r="AS145" s="6"/>
      <c r="AT145" s="6"/>
    </row>
    <row r="146" spans="1:46" s="9" customFormat="1" x14ac:dyDescent="0.15">
      <c r="A146" s="35">
        <v>40907</v>
      </c>
      <c r="B146" s="2" t="s">
        <v>1788</v>
      </c>
      <c r="C146" s="6" t="s">
        <v>539</v>
      </c>
      <c r="D146" s="6" t="s">
        <v>547</v>
      </c>
      <c r="E146" s="6" t="s">
        <v>0</v>
      </c>
      <c r="F146" s="6" t="s">
        <v>548</v>
      </c>
      <c r="G146" s="6" t="s">
        <v>487</v>
      </c>
      <c r="H146" s="6" t="s">
        <v>343</v>
      </c>
      <c r="I146" s="6" t="s">
        <v>344</v>
      </c>
      <c r="J146" s="6" t="s">
        <v>345</v>
      </c>
      <c r="K146" s="6" t="s">
        <v>35</v>
      </c>
      <c r="L146" s="6"/>
      <c r="M146" s="6">
        <f>3405024</f>
        <v>3405024</v>
      </c>
      <c r="N146" s="6"/>
      <c r="O146" s="6"/>
      <c r="P146" s="6"/>
      <c r="Q146" s="7" t="s">
        <v>549</v>
      </c>
      <c r="R146" s="42">
        <v>40974</v>
      </c>
      <c r="S146" s="6">
        <v>1175</v>
      </c>
      <c r="T146" s="6"/>
      <c r="U146" s="6" t="s">
        <v>425</v>
      </c>
      <c r="V146" s="8">
        <v>3.5999999999999997E-2</v>
      </c>
      <c r="W146" s="6">
        <f t="shared" si="63"/>
        <v>122580.86399999999</v>
      </c>
      <c r="X146" s="6">
        <f>122581</f>
        <v>122581</v>
      </c>
      <c r="Y146" s="6">
        <f>122581</f>
        <v>122581</v>
      </c>
      <c r="Z146" s="6">
        <v>0</v>
      </c>
      <c r="AA146" s="6">
        <f>1000000+500000+800000+611296+200000</f>
        <v>3111296</v>
      </c>
      <c r="AB146" s="6">
        <f>3111296</f>
        <v>3111296</v>
      </c>
      <c r="AC146" s="6">
        <f>1000000+500000+800000+611296+200000</f>
        <v>3111296</v>
      </c>
      <c r="AD146" s="6">
        <f>3111296</f>
        <v>3111296</v>
      </c>
      <c r="AE146" s="8">
        <f t="shared" si="64"/>
        <v>0.91373687821289951</v>
      </c>
      <c r="AF146" s="6">
        <f>600000+4698.93+419958+80000+471644.68+50000+117500+35544.86+50000+276000+244492.3+146249</f>
        <v>2496087.77</v>
      </c>
      <c r="AG146" s="6">
        <f>2496087.77</f>
        <v>2496087.77</v>
      </c>
      <c r="AH146" s="6">
        <f>34000+450000+450000+17000+4698.93+419958+80000+27200+471644.68+50000+117500+35544.86+50000+20784+376000+244492.3+6800+194238-0.45</f>
        <v>3049860.32</v>
      </c>
      <c r="AI146" s="6"/>
      <c r="AJ146" s="6"/>
      <c r="AK146" s="6"/>
      <c r="AL146" s="6">
        <f>3049860.32</f>
        <v>3049860.32</v>
      </c>
      <c r="AM146" s="8">
        <v>3.4000000000000002E-2</v>
      </c>
      <c r="AN146" s="8">
        <f t="shared" si="62"/>
        <v>105784.06400000001</v>
      </c>
      <c r="AO146" s="6">
        <f>34000+17000+27200+20784+6800</f>
        <v>105784</v>
      </c>
      <c r="AP146" s="6">
        <f>105784</f>
        <v>105784</v>
      </c>
      <c r="AQ146" s="6">
        <f t="shared" si="24"/>
        <v>6.4000000013038516E-2</v>
      </c>
      <c r="AR146" s="6"/>
      <c r="AS146" s="6">
        <v>36</v>
      </c>
      <c r="AT146" s="6" t="s">
        <v>550</v>
      </c>
    </row>
    <row r="147" spans="1:46" s="9" customFormat="1" x14ac:dyDescent="0.15">
      <c r="A147" s="35">
        <v>40909</v>
      </c>
      <c r="B147" s="2" t="s">
        <v>1789</v>
      </c>
      <c r="C147" s="6" t="s">
        <v>540</v>
      </c>
      <c r="D147" s="6" t="s">
        <v>551</v>
      </c>
      <c r="E147" s="6" t="s">
        <v>0</v>
      </c>
      <c r="F147" s="6" t="s">
        <v>552</v>
      </c>
      <c r="G147" s="6" t="s">
        <v>487</v>
      </c>
      <c r="H147" s="6" t="s">
        <v>412</v>
      </c>
      <c r="I147" s="11" t="s">
        <v>413</v>
      </c>
      <c r="J147" s="11" t="s">
        <v>414</v>
      </c>
      <c r="K147" s="11" t="s">
        <v>40</v>
      </c>
      <c r="L147" s="6"/>
      <c r="M147" s="6">
        <v>9708632.2599999998</v>
      </c>
      <c r="N147" s="6">
        <f>1657597.98+1188742.02</f>
        <v>2846340</v>
      </c>
      <c r="O147" s="6"/>
      <c r="P147" s="6"/>
      <c r="Q147" s="7" t="s">
        <v>553</v>
      </c>
      <c r="R147" s="42">
        <v>40975</v>
      </c>
      <c r="S147" s="6">
        <v>2913</v>
      </c>
      <c r="T147" s="6"/>
      <c r="U147" s="6" t="s">
        <v>425</v>
      </c>
      <c r="V147" s="8">
        <v>0.03</v>
      </c>
      <c r="W147" s="6">
        <f t="shared" si="63"/>
        <v>376649.1678</v>
      </c>
      <c r="X147" s="6">
        <f>190000+101259+49728+21793+4421+2031+1933</f>
        <v>371165</v>
      </c>
      <c r="Y147" s="6">
        <f>362780+4421+2031+1933</f>
        <v>371165</v>
      </c>
      <c r="Z147" s="6">
        <f t="shared" ref="Z147" si="65">W147-X147</f>
        <v>5484.1677999999956</v>
      </c>
      <c r="AA147" s="6">
        <f>2424158.07+1200000+1227158.07+1941726.45+970863.22+414399.5+828798.99+1385557+1700000+3000+459310.96+53941.08</f>
        <v>12608913.34</v>
      </c>
      <c r="AB147" s="6">
        <f>12554972.26+53941.08</f>
        <v>12608913.34</v>
      </c>
      <c r="AC147" s="6">
        <f>1827158.07+1200000+1227158.07+1941726.45+970863.22+414399.5+828798.99+1385557+970863.23+600000+459310.96+53941.08</f>
        <v>11879776.570000002</v>
      </c>
      <c r="AD147" s="6">
        <f>11825835.49+53941.08</f>
        <v>11879776.57</v>
      </c>
      <c r="AE147" s="8">
        <f t="shared" si="64"/>
        <v>0.94622085369705167</v>
      </c>
      <c r="AF147" s="6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+15028.29+36000+200000</f>
        <v>10901390.569999998</v>
      </c>
      <c r="AG147" s="6">
        <f>10650362.28+15028.29+36000+200000</f>
        <v>10901390.569999998</v>
      </c>
      <c r="AH147" s="6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+15028.29+1834+36000+200000</f>
        <v>11623638.929999998</v>
      </c>
      <c r="AI147" s="6"/>
      <c r="AJ147" s="6">
        <f>11500+6330</f>
        <v>17830</v>
      </c>
      <c r="AK147" s="6">
        <f>275</f>
        <v>275</v>
      </c>
      <c r="AL147" s="6">
        <f>11370776.64+17830+275+15028.29+1834+36000+200000</f>
        <v>11641743.93</v>
      </c>
      <c r="AM147" s="8">
        <v>3.4000000000000002E-2</v>
      </c>
      <c r="AN147" s="8">
        <f t="shared" si="62"/>
        <v>428703.05356000003</v>
      </c>
      <c r="AO147" s="6">
        <f>82421+40800+41723+66019+33009+14090+28179+47109+57800+102+15617+1834</f>
        <v>428703</v>
      </c>
      <c r="AP147" s="6">
        <f>426869+1834</f>
        <v>428703</v>
      </c>
      <c r="AQ147" s="6">
        <f t="shared" si="24"/>
        <v>5.356000002939254E-2</v>
      </c>
      <c r="AR147" s="6"/>
      <c r="AS147" s="6">
        <v>80</v>
      </c>
      <c r="AT147" s="6" t="s">
        <v>522</v>
      </c>
    </row>
    <row r="148" spans="1:46" s="9" customFormat="1" x14ac:dyDescent="0.15">
      <c r="A148" s="35">
        <v>40940</v>
      </c>
      <c r="B148" s="2" t="s">
        <v>1790</v>
      </c>
      <c r="C148" s="6" t="s">
        <v>450</v>
      </c>
      <c r="D148" s="6" t="s">
        <v>451</v>
      </c>
      <c r="E148" s="6" t="s">
        <v>0</v>
      </c>
      <c r="F148" s="6" t="s">
        <v>452</v>
      </c>
      <c r="G148" s="6" t="s">
        <v>453</v>
      </c>
      <c r="H148" s="6" t="s">
        <v>454</v>
      </c>
      <c r="I148" s="6" t="s">
        <v>165</v>
      </c>
      <c r="J148" s="6" t="s">
        <v>164</v>
      </c>
      <c r="K148" s="6" t="s">
        <v>455</v>
      </c>
      <c r="L148" s="6"/>
      <c r="M148" s="6">
        <v>14568703.880000001</v>
      </c>
      <c r="N148" s="6">
        <f>311411+339858</f>
        <v>651269</v>
      </c>
      <c r="O148" s="6"/>
      <c r="P148" s="6"/>
      <c r="Q148" s="7" t="s">
        <v>456</v>
      </c>
      <c r="R148" s="42">
        <v>41061</v>
      </c>
      <c r="S148" s="6">
        <v>4371</v>
      </c>
      <c r="T148" s="6"/>
      <c r="U148" s="6" t="s">
        <v>457</v>
      </c>
      <c r="V148" s="8">
        <v>0.03</v>
      </c>
      <c r="W148" s="6">
        <f>(M148+N148)*V148</f>
        <v>456599.18640000001</v>
      </c>
      <c r="X148" s="6">
        <f>437061+4010+15528</f>
        <v>456599</v>
      </c>
      <c r="Y148" s="6">
        <f>437061+4010+15528</f>
        <v>456599</v>
      </c>
      <c r="Z148" s="6">
        <f>W148-X148</f>
        <v>0.18640000000596046</v>
      </c>
      <c r="AA148" s="6">
        <f>450000+200000+600000+4000000+650000+800000+350000+100000+250000+1000000+300000+300000+500000+500000+1775108+200000</f>
        <v>11975108</v>
      </c>
      <c r="AB148" s="6">
        <f>11975108</f>
        <v>11975108</v>
      </c>
      <c r="AC148" s="6">
        <f>450000+200000+600000+4000000+650000+800000+350000+100000+250000+1000000+300000+300000+500000+500000+200000+854072+921036</f>
        <v>11975108</v>
      </c>
      <c r="AD148" s="6">
        <f>11054072+921036</f>
        <v>11975108</v>
      </c>
      <c r="AE148" s="8">
        <f>AC148/(M148+N148)</f>
        <v>0.78680219041231292</v>
      </c>
      <c r="AF148" s="6">
        <f>400000+120000+200000+136000+3000000+500000+300000+100000+630000+750000+35000+350000+300000+1000000+100000+145000+35415.75+60000+400000+90000+413200+79200+904010+500000+254072+100000+100000</f>
        <v>11001897.75</v>
      </c>
      <c r="AG148" s="6">
        <f>9143815.75+904010+500000+254072+100000+100000</f>
        <v>11001897.75</v>
      </c>
      <c r="AH148" s="6">
        <f>15300+400000+6800+120000+20400+540000+136000+3000000+500000+300000+100000+22100+630000+27200+750000+46900+350000+3400+8500+300000+34000+1000000+110200+145000+35415.75+60000+10200+300000+17000+400000+107000+413200+79200+967154+500000+254072+100000</f>
        <v>11809041.75</v>
      </c>
      <c r="AI148" s="6"/>
      <c r="AJ148" s="6">
        <f>4010+4900</f>
        <v>8910</v>
      </c>
      <c r="AK148" s="6">
        <f>1851</f>
        <v>1851</v>
      </c>
      <c r="AL148" s="6">
        <f>9987815.75+971164+500000+254072+100000+6751</f>
        <v>11819802.75</v>
      </c>
      <c r="AM148" s="8">
        <v>3.4000000000000002E-2</v>
      </c>
      <c r="AN148" s="8">
        <f>AM148*AB148</f>
        <v>407153.67200000002</v>
      </c>
      <c r="AO148" s="6">
        <f>15300+6800+20400+136000+22100+27200+11900+3400+8500+34000+10200+10200+17000+17000+67154</f>
        <v>407154</v>
      </c>
      <c r="AP148" s="6">
        <f>340000+67154</f>
        <v>407154</v>
      </c>
      <c r="AQ148" s="6">
        <f t="shared" si="24"/>
        <v>-0.3279999999795109</v>
      </c>
      <c r="AR148" s="6"/>
      <c r="AS148" s="6">
        <v>220</v>
      </c>
      <c r="AT148" s="6" t="s">
        <v>458</v>
      </c>
    </row>
    <row r="149" spans="1:46" s="9" customFormat="1" x14ac:dyDescent="0.15">
      <c r="A149" s="35">
        <v>40940</v>
      </c>
      <c r="B149" s="2" t="s">
        <v>1791</v>
      </c>
      <c r="C149" s="6" t="s">
        <v>554</v>
      </c>
      <c r="D149" s="6" t="s">
        <v>560</v>
      </c>
      <c r="E149" s="6" t="s">
        <v>0</v>
      </c>
      <c r="F149" s="6" t="s">
        <v>561</v>
      </c>
      <c r="G149" s="6" t="s">
        <v>487</v>
      </c>
      <c r="H149" s="6" t="s">
        <v>562</v>
      </c>
      <c r="I149" s="6" t="s">
        <v>62</v>
      </c>
      <c r="J149" s="6" t="s">
        <v>63</v>
      </c>
      <c r="K149" s="6" t="s">
        <v>455</v>
      </c>
      <c r="L149" s="6"/>
      <c r="M149" s="6">
        <v>20000000</v>
      </c>
      <c r="N149" s="6">
        <v>5102771</v>
      </c>
      <c r="O149" s="6"/>
      <c r="P149" s="6">
        <v>25102771</v>
      </c>
      <c r="Q149" s="7" t="s">
        <v>563</v>
      </c>
      <c r="R149" s="42">
        <v>40981</v>
      </c>
      <c r="S149" s="6">
        <v>6000</v>
      </c>
      <c r="T149" s="6"/>
      <c r="U149" s="6" t="s">
        <v>14</v>
      </c>
      <c r="V149" s="8">
        <v>0.03</v>
      </c>
      <c r="W149" s="6">
        <f>P149*V149</f>
        <v>753083.13</v>
      </c>
      <c r="X149" s="6">
        <f>300000+300000+153083</f>
        <v>753083</v>
      </c>
      <c r="Y149" s="6">
        <f>753083</f>
        <v>753083</v>
      </c>
      <c r="Z149" s="6">
        <v>0</v>
      </c>
      <c r="AA149" s="6">
        <f>3000000+4000000+5000000+2000000+9000000+847632.45+1255138.55</f>
        <v>25102771</v>
      </c>
      <c r="AB149" s="6">
        <f>23847632.45+1255138.55</f>
        <v>25102771</v>
      </c>
      <c r="AC149" s="6">
        <f>3000000+4000000+3000000+2000000+2000000+9000000+847632.45+800000</f>
        <v>24647632.449999999</v>
      </c>
      <c r="AD149" s="6">
        <f>23847632.45+800000</f>
        <v>24647632.449999999</v>
      </c>
      <c r="AE149" s="8">
        <f t="shared" ref="AE149:AE154" si="66">AC149/(M149+N149)</f>
        <v>0.98186899167426578</v>
      </c>
      <c r="AF149" s="6">
        <f>998508.51+1340269.41+100000+1621348.82+2825848+372325.86+200000+1233950+200000+600000+400000+1091065+242634+102567.74+1530500+110000+553675+174796.83+5973955+1075908+95508+1499083+699782+54000+13420</f>
        <v>23109145.170000002</v>
      </c>
      <c r="AG149" s="6">
        <f>23095725.17+13420</f>
        <v>23109145.170000002</v>
      </c>
      <c r="AH149" s="6">
        <f>1200508.51+1340269.41+100000+136000+1971348.82-180000+2825848+372325.86+200000+1233950+200000+600000+146370+1091065+196264+102567.74+1598500+110000+553675+174796.83+6308775+1075908+95508+1499083+699782+141087+54000+42675</f>
        <v>23890307.170000002</v>
      </c>
      <c r="AI149" s="6"/>
      <c r="AJ149" s="6">
        <f>3560</f>
        <v>3560</v>
      </c>
      <c r="AK149" s="6">
        <f>9860</f>
        <v>9860</v>
      </c>
      <c r="AL149" s="6">
        <f>23847632.17+56095</f>
        <v>23903727.170000002</v>
      </c>
      <c r="AM149" s="8">
        <v>3.4000000000000002E-2</v>
      </c>
      <c r="AN149" s="8">
        <f>AM149*AB149</f>
        <v>853494.21400000004</v>
      </c>
      <c r="AO149" s="6">
        <f>102000+136000+170000+68000+306000+28820+42675</f>
        <v>853495</v>
      </c>
      <c r="AP149" s="6">
        <f>810820+42675</f>
        <v>853495</v>
      </c>
      <c r="AQ149" s="6">
        <f t="shared" si="24"/>
        <v>-0.78599999996367842</v>
      </c>
      <c r="AR149" s="6"/>
      <c r="AS149" s="6">
        <v>50</v>
      </c>
      <c r="AT149" s="6" t="s">
        <v>295</v>
      </c>
    </row>
    <row r="150" spans="1:46" s="9" customFormat="1" x14ac:dyDescent="0.15">
      <c r="A150" s="35">
        <v>40940</v>
      </c>
      <c r="B150" s="2" t="s">
        <v>1792</v>
      </c>
      <c r="C150" s="6" t="s">
        <v>555</v>
      </c>
      <c r="D150" s="6" t="s">
        <v>564</v>
      </c>
      <c r="E150" s="6" t="s">
        <v>0</v>
      </c>
      <c r="F150" s="6" t="s">
        <v>565</v>
      </c>
      <c r="G150" s="6" t="s">
        <v>566</v>
      </c>
      <c r="H150" s="6" t="s">
        <v>567</v>
      </c>
      <c r="I150" s="6" t="s">
        <v>326</v>
      </c>
      <c r="J150" s="6" t="s">
        <v>325</v>
      </c>
      <c r="K150" s="6" t="s">
        <v>35</v>
      </c>
      <c r="L150" s="6"/>
      <c r="M150" s="6">
        <v>33000000</v>
      </c>
      <c r="N150" s="6"/>
      <c r="O150" s="6"/>
      <c r="P150" s="6"/>
      <c r="Q150" s="7" t="s">
        <v>568</v>
      </c>
      <c r="R150" s="42">
        <v>41095</v>
      </c>
      <c r="S150" s="6">
        <v>10752</v>
      </c>
      <c r="T150" s="6"/>
      <c r="U150" s="6" t="s">
        <v>14</v>
      </c>
      <c r="V150" s="8">
        <v>3.5000000000000003E-2</v>
      </c>
      <c r="W150" s="6">
        <f t="shared" ref="W150:W154" si="67">(M150+N150)*V150</f>
        <v>1155000</v>
      </c>
      <c r="X150" s="6">
        <f>400000+400000+355000</f>
        <v>1155000</v>
      </c>
      <c r="Y150" s="6">
        <f>1155000</f>
        <v>1155000</v>
      </c>
      <c r="Z150" s="6">
        <f t="shared" ref="Z150:Z153" si="68">W150-X150</f>
        <v>0</v>
      </c>
      <c r="AA150" s="6">
        <f>3000000+3000000+10000000+1520000+520000+680000+2000000+2000000</f>
        <v>22720000</v>
      </c>
      <c r="AB150" s="6">
        <f>22720000</f>
        <v>22720000</v>
      </c>
      <c r="AC150" s="6">
        <f>3000000+3000000+10000000+1520000+1200000+2000000+1000000</f>
        <v>21720000</v>
      </c>
      <c r="AD150" s="6">
        <f>21720000</f>
        <v>21720000</v>
      </c>
      <c r="AE150" s="8">
        <f t="shared" si="66"/>
        <v>0.6581818181818182</v>
      </c>
      <c r="AF150" s="6">
        <f>1679990+1001295.36+130000+978000+1540174.58+300000+1052873.64+2261880+500000+600000+250000+600000+2207400+900000+300000+250000+2199508+300000+1583785+999997.89</f>
        <v>19634904.469999999</v>
      </c>
      <c r="AG150" s="6">
        <f>19634904.47</f>
        <v>19634904.469999999</v>
      </c>
      <c r="AH150" s="6">
        <f>1781990+1001295.36+130000+1080000+1540174.58+300000+1552873.64+2601880+1000000+500000+600000+250000+100000+2207400+900000+300000+51680+267680+23120+2199508+300000+1947192+68000+999997.89</f>
        <v>21702791.469999999</v>
      </c>
      <c r="AI150" s="6"/>
      <c r="AJ150" s="6"/>
      <c r="AK150" s="6"/>
      <c r="AL150" s="6">
        <f>21702791.47</f>
        <v>21702791.469999999</v>
      </c>
      <c r="AM150" s="8">
        <v>3.4000000000000002E-2</v>
      </c>
      <c r="AN150" s="8">
        <f>AM150*AB150</f>
        <v>772480</v>
      </c>
      <c r="AO150" s="6">
        <f>102000+102000+340000+51680+17680+23120+68000+68000</f>
        <v>772480</v>
      </c>
      <c r="AP150" s="6">
        <f>772480</f>
        <v>772480</v>
      </c>
      <c r="AQ150" s="6">
        <f t="shared" si="24"/>
        <v>0</v>
      </c>
      <c r="AR150" s="6"/>
      <c r="AS150" s="6"/>
      <c r="AT150" s="6"/>
    </row>
    <row r="151" spans="1:46" s="9" customFormat="1" x14ac:dyDescent="0.15">
      <c r="A151" s="35">
        <v>40940</v>
      </c>
      <c r="B151" s="2" t="s">
        <v>1793</v>
      </c>
      <c r="C151" s="6" t="s">
        <v>556</v>
      </c>
      <c r="D151" s="6" t="s">
        <v>569</v>
      </c>
      <c r="E151" s="6" t="s">
        <v>0</v>
      </c>
      <c r="F151" s="6" t="s">
        <v>570</v>
      </c>
      <c r="G151" s="6" t="s">
        <v>571</v>
      </c>
      <c r="H151" s="6" t="s">
        <v>567</v>
      </c>
      <c r="I151" s="6" t="s">
        <v>326</v>
      </c>
      <c r="J151" s="6" t="s">
        <v>325</v>
      </c>
      <c r="K151" s="6" t="s">
        <v>35</v>
      </c>
      <c r="L151" s="6"/>
      <c r="M151" s="6">
        <v>20000000</v>
      </c>
      <c r="N151" s="6"/>
      <c r="O151" s="6"/>
      <c r="P151" s="6"/>
      <c r="Q151" s="7" t="s">
        <v>572</v>
      </c>
      <c r="R151" s="42">
        <v>41081</v>
      </c>
      <c r="S151" s="6">
        <v>6465</v>
      </c>
      <c r="T151" s="6"/>
      <c r="U151" s="6" t="s">
        <v>14</v>
      </c>
      <c r="V151" s="8">
        <v>3.5000000000000003E-2</v>
      </c>
      <c r="W151" s="6">
        <f t="shared" si="67"/>
        <v>700000.00000000012</v>
      </c>
      <c r="X151" s="6">
        <f>110000+100000+200000+290000</f>
        <v>700000</v>
      </c>
      <c r="Y151" s="6">
        <f>700000</f>
        <v>700000</v>
      </c>
      <c r="Z151" s="6">
        <f t="shared" si="68"/>
        <v>0</v>
      </c>
      <c r="AA151" s="6">
        <f>2000000+2000000+6000000+4000000+2000000+1000000+500000+1000000</f>
        <v>18500000</v>
      </c>
      <c r="AB151" s="6">
        <f>18500000</f>
        <v>18500000</v>
      </c>
      <c r="AC151" s="6">
        <f>2000000+2000000+6000000+4000000+2000000+500000+1000000</f>
        <v>17500000</v>
      </c>
      <c r="AD151" s="6">
        <f>17500000</f>
        <v>17500000</v>
      </c>
      <c r="AE151" s="8">
        <f t="shared" si="66"/>
        <v>0.875</v>
      </c>
      <c r="AF151" s="6">
        <f>1513509.72+300000+100000+1840000+5689588.88+500000+500000+1052873.64+1000000+616972.46+565225.4+500000+999620+400000+100000+100000+2200+203342.4+550000</f>
        <v>16533332.5</v>
      </c>
      <c r="AG151" s="6">
        <f>16533332.5</f>
        <v>16533332.5</v>
      </c>
      <c r="AH151" s="6">
        <f>1610203.63+300000+68000+100000+1840000+5893588.88+136000+1000000+1052873.64+1000000+616972.46+68000+681085.4+500000+999620+34000+17000+400000+100000+34000+50000+100000+203342.4-50000+550000+100000</f>
        <v>17404686.41</v>
      </c>
      <c r="AI151" s="6"/>
      <c r="AJ151" s="6"/>
      <c r="AK151" s="6">
        <v>2200</v>
      </c>
      <c r="AL151" s="6">
        <f>17304686.41+2200+100000</f>
        <v>17406886.41</v>
      </c>
      <c r="AM151" s="8">
        <v>3.4000000000000002E-2</v>
      </c>
      <c r="AN151" s="8">
        <f>AM151*AB151</f>
        <v>629000</v>
      </c>
      <c r="AO151" s="6">
        <f>68000+68000+204000+136000+68000+34000+17000+34000</f>
        <v>629000</v>
      </c>
      <c r="AP151" s="6">
        <f>629000</f>
        <v>629000</v>
      </c>
      <c r="AQ151" s="6">
        <f t="shared" si="24"/>
        <v>0</v>
      </c>
      <c r="AR151" s="6"/>
      <c r="AS151" s="6"/>
      <c r="AT151" s="6"/>
    </row>
    <row r="152" spans="1:46" s="9" customFormat="1" x14ac:dyDescent="0.15">
      <c r="A152" s="35">
        <v>40969</v>
      </c>
      <c r="B152" s="2" t="s">
        <v>1794</v>
      </c>
      <c r="C152" s="6" t="s">
        <v>557</v>
      </c>
      <c r="D152" s="6" t="s">
        <v>573</v>
      </c>
      <c r="E152" s="6" t="s">
        <v>0</v>
      </c>
      <c r="F152" s="6" t="s">
        <v>574</v>
      </c>
      <c r="G152" s="6" t="s">
        <v>571</v>
      </c>
      <c r="H152" s="6" t="s">
        <v>575</v>
      </c>
      <c r="I152" s="6" t="s">
        <v>178</v>
      </c>
      <c r="J152" s="6" t="s">
        <v>179</v>
      </c>
      <c r="K152" s="6" t="s">
        <v>173</v>
      </c>
      <c r="L152" s="6"/>
      <c r="M152" s="6">
        <v>15000000</v>
      </c>
      <c r="N152" s="6">
        <f>60000</f>
        <v>60000</v>
      </c>
      <c r="O152" s="6"/>
      <c r="P152" s="6"/>
      <c r="Q152" s="7" t="s">
        <v>576</v>
      </c>
      <c r="R152" s="42">
        <v>40989</v>
      </c>
      <c r="S152" s="6">
        <v>4500</v>
      </c>
      <c r="T152" s="6"/>
      <c r="U152" s="6" t="s">
        <v>14</v>
      </c>
      <c r="V152" s="8">
        <v>0.03</v>
      </c>
      <c r="W152" s="6">
        <f t="shared" si="67"/>
        <v>451800</v>
      </c>
      <c r="X152" s="6">
        <f>315000+135000</f>
        <v>450000</v>
      </c>
      <c r="Y152" s="6">
        <f>450000</f>
        <v>450000</v>
      </c>
      <c r="Z152" s="6">
        <f t="shared" si="68"/>
        <v>1800</v>
      </c>
      <c r="AA152" s="6">
        <f>3000000+3000000+4000000+500000+1400000+500000</f>
        <v>12400000</v>
      </c>
      <c r="AB152" s="6">
        <f>12400000</f>
        <v>12400000</v>
      </c>
      <c r="AC152" s="6">
        <f>3000000+3000000+4000000+500000+1400000+500000</f>
        <v>12400000</v>
      </c>
      <c r="AD152" s="6">
        <f>12400000</f>
        <v>12400000</v>
      </c>
      <c r="AE152" s="8">
        <f t="shared" si="66"/>
        <v>0.82337317397078358</v>
      </c>
      <c r="AF152" s="6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52" s="6">
        <f>12114323.56</f>
        <v>12114323.560000001</v>
      </c>
      <c r="AH152" s="6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52" s="6"/>
      <c r="AJ152" s="6"/>
      <c r="AK152" s="6"/>
      <c r="AL152" s="6">
        <f>12399923.56</f>
        <v>12399923.560000001</v>
      </c>
      <c r="AM152" s="8">
        <v>3.4000000000000002E-2</v>
      </c>
      <c r="AN152" s="8">
        <f>AM152*AB152</f>
        <v>421600.00000000006</v>
      </c>
      <c r="AO152" s="6">
        <f>102000+102000+136000+17000+17000+47600</f>
        <v>421600</v>
      </c>
      <c r="AP152" s="6">
        <f>421600</f>
        <v>421600</v>
      </c>
      <c r="AQ152" s="6">
        <f t="shared" si="24"/>
        <v>0</v>
      </c>
      <c r="AR152" s="6"/>
      <c r="AS152" s="6">
        <v>25</v>
      </c>
      <c r="AT152" s="6" t="s">
        <v>577</v>
      </c>
    </row>
    <row r="153" spans="1:46" x14ac:dyDescent="0.15">
      <c r="A153" s="34">
        <v>41000</v>
      </c>
      <c r="B153" s="2" t="s">
        <v>1795</v>
      </c>
      <c r="C153" s="2" t="s">
        <v>558</v>
      </c>
      <c r="D153" s="2" t="s">
        <v>578</v>
      </c>
      <c r="E153" s="2" t="s">
        <v>0</v>
      </c>
      <c r="F153" s="2"/>
      <c r="G153" s="2" t="s">
        <v>571</v>
      </c>
      <c r="H153" s="2" t="s">
        <v>39</v>
      </c>
      <c r="I153" s="2" t="s">
        <v>23</v>
      </c>
      <c r="J153" s="2" t="s">
        <v>39</v>
      </c>
      <c r="K153" s="2" t="s">
        <v>579</v>
      </c>
      <c r="L153" s="2"/>
      <c r="M153" s="2">
        <v>1315898</v>
      </c>
      <c r="N153" s="2"/>
      <c r="O153" s="2"/>
      <c r="P153" s="2"/>
      <c r="Q153" s="3"/>
      <c r="R153" s="41"/>
      <c r="S153" s="2"/>
      <c r="T153" s="2"/>
      <c r="U153" s="2" t="s">
        <v>14</v>
      </c>
      <c r="V153" s="4">
        <v>3.5999999999999997E-2</v>
      </c>
      <c r="W153" s="2">
        <f t="shared" si="67"/>
        <v>47372.327999999994</v>
      </c>
      <c r="X153" s="2"/>
      <c r="Y153" s="2"/>
      <c r="Z153" s="2">
        <f t="shared" si="68"/>
        <v>47372.327999999994</v>
      </c>
      <c r="AA153" s="2"/>
      <c r="AB153" s="2"/>
      <c r="AC153" s="2"/>
      <c r="AD153" s="2"/>
      <c r="AE153" s="4">
        <f t="shared" si="66"/>
        <v>0</v>
      </c>
      <c r="AF153" s="2"/>
      <c r="AG153" s="2"/>
      <c r="AH153" s="2"/>
      <c r="AI153" s="2"/>
      <c r="AJ153" s="2"/>
      <c r="AK153" s="2"/>
      <c r="AL153" s="2"/>
      <c r="AM153" s="4">
        <v>3.4000000000000002E-2</v>
      </c>
      <c r="AN153" s="4">
        <f t="shared" ref="AN153:AN154" si="69">AM153*AB153</f>
        <v>0</v>
      </c>
      <c r="AO153" s="2"/>
      <c r="AP153" s="2"/>
      <c r="AQ153" s="2">
        <f t="shared" si="24"/>
        <v>0</v>
      </c>
      <c r="AR153" s="2"/>
      <c r="AS153" s="2">
        <v>6</v>
      </c>
      <c r="AT153" s="2" t="s">
        <v>580</v>
      </c>
    </row>
    <row r="154" spans="1:46" x14ac:dyDescent="0.15">
      <c r="A154" s="34">
        <v>40988</v>
      </c>
      <c r="B154" s="2" t="s">
        <v>1796</v>
      </c>
      <c r="C154" s="2" t="s">
        <v>559</v>
      </c>
      <c r="D154" s="2" t="s">
        <v>581</v>
      </c>
      <c r="E154" s="2" t="s">
        <v>0</v>
      </c>
      <c r="F154" s="2" t="s">
        <v>582</v>
      </c>
      <c r="G154" s="2" t="s">
        <v>571</v>
      </c>
      <c r="H154" s="2" t="s">
        <v>308</v>
      </c>
      <c r="I154" s="2" t="s">
        <v>309</v>
      </c>
      <c r="J154" s="2" t="s">
        <v>308</v>
      </c>
      <c r="K154" s="2" t="s">
        <v>35</v>
      </c>
      <c r="L154" s="2"/>
      <c r="M154" s="2">
        <v>1523208.31</v>
      </c>
      <c r="N154" s="2"/>
      <c r="O154" s="2"/>
      <c r="P154" s="2"/>
      <c r="Q154" s="3" t="s">
        <v>583</v>
      </c>
      <c r="R154" s="41">
        <v>41748</v>
      </c>
      <c r="S154" s="2">
        <v>538</v>
      </c>
      <c r="T154" s="2"/>
      <c r="U154" s="2" t="s">
        <v>14</v>
      </c>
      <c r="V154" s="4">
        <v>3.5999999999999997E-2</v>
      </c>
      <c r="W154" s="2">
        <f t="shared" si="67"/>
        <v>54835.499159999999</v>
      </c>
      <c r="X154" s="2">
        <f>54835.5</f>
        <v>54835.5</v>
      </c>
      <c r="Y154" s="2">
        <f>54835.5</f>
        <v>54835.5</v>
      </c>
      <c r="Z154" s="2">
        <v>0</v>
      </c>
      <c r="AA154" s="2">
        <f>358401.96+300000+500000+136325.1</f>
        <v>1294727.06</v>
      </c>
      <c r="AB154" s="2">
        <f>1294727.06</f>
        <v>1294727.06</v>
      </c>
      <c r="AC154" s="2">
        <f>358401.96+300000+500000+136325.1</f>
        <v>1294727.06</v>
      </c>
      <c r="AD154" s="2">
        <f>1294727.06</f>
        <v>1294727.06</v>
      </c>
      <c r="AE154" s="4">
        <f t="shared" si="66"/>
        <v>0.84999999770221846</v>
      </c>
      <c r="AF154" s="2">
        <f>89910+39984+105000+42000+161181.05+137145.99+20155+5376.03+20000+24300+100000+161500+50000+2600+90500</f>
        <v>1049652.07</v>
      </c>
      <c r="AG154" s="2">
        <f>1049652.07</f>
        <v>1049652.07</v>
      </c>
      <c r="AH154" s="2">
        <f>104246.41+39984+105000+42000+171381.05+137145.99+20155+5376.03+20000+124300+100000+178500+50000+2600+98800+95135</f>
        <v>1294623.48</v>
      </c>
      <c r="AI154" s="2"/>
      <c r="AJ154" s="2"/>
      <c r="AK154" s="2"/>
      <c r="AL154" s="2">
        <f>1294623.48</f>
        <v>1294623.48</v>
      </c>
      <c r="AM154" s="4">
        <v>3.4000000000000002E-2</v>
      </c>
      <c r="AN154" s="4">
        <f t="shared" si="69"/>
        <v>44020.720040000007</v>
      </c>
      <c r="AO154" s="2">
        <f>12186+10200+17000+4635</f>
        <v>44021</v>
      </c>
      <c r="AP154" s="2">
        <f>44021</f>
        <v>44021</v>
      </c>
      <c r="AQ154" s="2">
        <f t="shared" si="24"/>
        <v>-0.27995999999257037</v>
      </c>
      <c r="AR154" s="2"/>
      <c r="AS154" s="2">
        <v>20</v>
      </c>
      <c r="AT154" s="2" t="s">
        <v>584</v>
      </c>
    </row>
    <row r="155" spans="1:46" x14ac:dyDescent="0.15">
      <c r="A155" s="34">
        <v>40988</v>
      </c>
      <c r="B155" s="2" t="s">
        <v>1797</v>
      </c>
      <c r="C155" s="2" t="s">
        <v>36</v>
      </c>
      <c r="D155" s="2" t="s">
        <v>42</v>
      </c>
      <c r="E155" s="2" t="s">
        <v>0</v>
      </c>
      <c r="F155" s="2" t="s">
        <v>37</v>
      </c>
      <c r="G155" s="2" t="s">
        <v>38</v>
      </c>
      <c r="H155" s="2" t="s">
        <v>39</v>
      </c>
      <c r="I155" s="2" t="s">
        <v>23</v>
      </c>
      <c r="J155" s="2" t="s">
        <v>39</v>
      </c>
      <c r="K155" s="2" t="s">
        <v>40</v>
      </c>
      <c r="L155" s="2"/>
      <c r="M155" s="2">
        <v>3701841.55</v>
      </c>
      <c r="N155" s="2">
        <f>673798.57+367818.86+862170.99+396606.7+2270162.53</f>
        <v>4570557.6500000004</v>
      </c>
      <c r="O155" s="2"/>
      <c r="P155" s="2"/>
      <c r="Q155" s="3" t="s">
        <v>41</v>
      </c>
      <c r="R155" s="41">
        <v>41026</v>
      </c>
      <c r="S155" s="2">
        <v>1049</v>
      </c>
      <c r="T155" s="2"/>
      <c r="U155" s="2" t="s">
        <v>7</v>
      </c>
      <c r="V155" s="4">
        <v>0.03</v>
      </c>
      <c r="W155" s="2">
        <f>(M155+N155)*V155</f>
        <v>248171.976</v>
      </c>
      <c r="X155" s="2">
        <f>19778+100000+60289+38105+30000</f>
        <v>248172</v>
      </c>
      <c r="Y155" s="2">
        <f>248172</f>
        <v>248172</v>
      </c>
      <c r="Z155" s="2">
        <v>0</v>
      </c>
      <c r="AA155" s="2">
        <f>128736.6+220691.31+301760+1295644.55+301762+373430.79+2059943.23+1362097.5+200000+150000+336899.28+331048.78+29775.08+160990.72+30700.46+33331.43+116007.21</f>
        <v>7432818.9400000004</v>
      </c>
      <c r="AB155" s="2">
        <f>7316811.73+116007.21</f>
        <v>7432818.9400000004</v>
      </c>
      <c r="AC155" s="2">
        <f>128736.6+220691.31+301760+1295644.55+301762+373430.79+2059943.23+1362097.5+200000+150000+314489+331048.78+190765.8+64031.89</f>
        <v>7294401.4500000002</v>
      </c>
      <c r="AD155" s="2">
        <f>7230369.56+64031.89</f>
        <v>7294401.4499999993</v>
      </c>
      <c r="AE155" s="4">
        <f t="shared" ref="AE155:AE291" si="70">AC155/(M155+N155)</f>
        <v>0.88177580332438499</v>
      </c>
      <c r="AF155" s="2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+67612</f>
        <v>6900175.96</v>
      </c>
      <c r="AG155" s="2">
        <f>6832563.96+67612</f>
        <v>6900175.96</v>
      </c>
      <c r="AH155" s="2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+67612+3944</f>
        <v>7227025.46</v>
      </c>
      <c r="AI155" s="2"/>
      <c r="AJ155" s="2"/>
      <c r="AK155" s="2"/>
      <c r="AL155" s="2">
        <f>7153292.46+2177+67612+3944</f>
        <v>7227025.46</v>
      </c>
      <c r="AM155" s="4">
        <v>3.4000000000000002E-2</v>
      </c>
      <c r="AN155" s="4">
        <f t="shared" ref="AN155:AN239" si="71">AM155*AB155</f>
        <v>252715.84396000003</v>
      </c>
      <c r="AO155" s="2">
        <f>4377+7504+10260+44052+10260+12697+70038+46311+6800+5100+11455+11256+1012+5474+2177+3944</f>
        <v>252717</v>
      </c>
      <c r="AP155" s="2">
        <f>246596+2177+3944</f>
        <v>252717</v>
      </c>
      <c r="AQ155" s="2">
        <f t="shared" si="24"/>
        <v>-1.1560399999725632</v>
      </c>
      <c r="AR155" s="2"/>
      <c r="AS155" s="2">
        <v>57</v>
      </c>
      <c r="AT155" s="2" t="s">
        <v>29</v>
      </c>
    </row>
    <row r="156" spans="1:46" x14ac:dyDescent="0.15">
      <c r="A156" s="34">
        <v>40989</v>
      </c>
      <c r="B156" s="2" t="s">
        <v>1798</v>
      </c>
      <c r="C156" s="2" t="s">
        <v>585</v>
      </c>
      <c r="D156" s="2" t="s">
        <v>606</v>
      </c>
      <c r="E156" s="2" t="s">
        <v>0</v>
      </c>
      <c r="F156" s="2" t="s">
        <v>607</v>
      </c>
      <c r="G156" s="2" t="s">
        <v>571</v>
      </c>
      <c r="H156" s="2" t="s">
        <v>608</v>
      </c>
      <c r="I156" s="2" t="s">
        <v>609</v>
      </c>
      <c r="J156" s="2" t="s">
        <v>610</v>
      </c>
      <c r="K156" s="2" t="s">
        <v>13</v>
      </c>
      <c r="L156" s="2"/>
      <c r="M156" s="2">
        <v>5578834.2999999998</v>
      </c>
      <c r="N156" s="2"/>
      <c r="O156" s="2"/>
      <c r="P156" s="2"/>
      <c r="Q156" s="3" t="s">
        <v>611</v>
      </c>
      <c r="R156" s="41">
        <v>40992</v>
      </c>
      <c r="S156" s="2">
        <v>1674</v>
      </c>
      <c r="T156" s="2"/>
      <c r="U156" s="2" t="s">
        <v>612</v>
      </c>
      <c r="V156" s="4">
        <v>3.5999999999999997E-2</v>
      </c>
      <c r="W156" s="2">
        <f t="shared" ref="W156:W185" si="72">(M156+N156)*V156</f>
        <v>200838.03479999996</v>
      </c>
      <c r="X156" s="2">
        <f>200838</f>
        <v>200838</v>
      </c>
      <c r="Y156" s="2">
        <f>200838</f>
        <v>200838</v>
      </c>
      <c r="Z156" s="2">
        <v>0</v>
      </c>
      <c r="AA156" s="2">
        <f>1613000+400000+1153000+250000</f>
        <v>3416000</v>
      </c>
      <c r="AB156" s="2">
        <f>3416000</f>
        <v>3416000</v>
      </c>
      <c r="AC156" s="2">
        <f>1613000+400000+1153000+250000</f>
        <v>3416000</v>
      </c>
      <c r="AD156" s="2">
        <f>3416000</f>
        <v>3416000</v>
      </c>
      <c r="AE156" s="4">
        <f t="shared" si="70"/>
        <v>0.61231429655474801</v>
      </c>
      <c r="AF156" s="2">
        <f>400000+6694.6+102870+30000.01+103028.7+68540.8+87722.4+510309.2-2448.6+123200+100000+8734.34+110468.4+194000+780189.4+379253.2+250000</f>
        <v>3252562.45</v>
      </c>
      <c r="AG156" s="2">
        <f>3252562.45</f>
        <v>3252562.45</v>
      </c>
      <c r="AH156" s="2">
        <f>400000+6694.6+102870+30000.01+190751.1+87609.99+565151.2-2448.6+123200+100000+11000+22334.34+110468.4+205000+39202+780189.4+379253.2+258500</f>
        <v>3409775.64</v>
      </c>
      <c r="AI156" s="2"/>
      <c r="AJ156" s="2"/>
      <c r="AK156" s="2"/>
      <c r="AL156" s="2">
        <f>3409775.64</f>
        <v>3409775.64</v>
      </c>
      <c r="AM156" s="4">
        <v>3.4000000000000002E-2</v>
      </c>
      <c r="AN156" s="4">
        <f t="shared" si="71"/>
        <v>116144.00000000001</v>
      </c>
      <c r="AO156" s="2">
        <f>54842+13600+39202+8500</f>
        <v>116144</v>
      </c>
      <c r="AP156" s="2">
        <f>116144</f>
        <v>116144</v>
      </c>
      <c r="AQ156" s="2">
        <f t="shared" si="24"/>
        <v>0</v>
      </c>
      <c r="AR156" s="2"/>
      <c r="AS156" s="2">
        <v>64</v>
      </c>
      <c r="AT156" s="2" t="s">
        <v>613</v>
      </c>
    </row>
    <row r="157" spans="1:46" x14ac:dyDescent="0.15">
      <c r="A157" s="34">
        <v>40998</v>
      </c>
      <c r="B157" s="2" t="s">
        <v>1799</v>
      </c>
      <c r="C157" s="2" t="s">
        <v>586</v>
      </c>
      <c r="D157" s="2" t="s">
        <v>614</v>
      </c>
      <c r="E157" s="2" t="s">
        <v>0</v>
      </c>
      <c r="F157" s="2" t="s">
        <v>615</v>
      </c>
      <c r="G157" s="2" t="s">
        <v>616</v>
      </c>
      <c r="H157" s="2" t="s">
        <v>617</v>
      </c>
      <c r="I157" s="2" t="s">
        <v>618</v>
      </c>
      <c r="J157" s="2"/>
      <c r="K157" s="2" t="s">
        <v>95</v>
      </c>
      <c r="L157" s="2"/>
      <c r="M157" s="2">
        <v>5045600</v>
      </c>
      <c r="N157" s="2">
        <f>118800</f>
        <v>118800</v>
      </c>
      <c r="O157" s="2"/>
      <c r="P157" s="2"/>
      <c r="Q157" s="3" t="s">
        <v>619</v>
      </c>
      <c r="R157" s="41">
        <v>41012</v>
      </c>
      <c r="S157" s="2">
        <v>1514</v>
      </c>
      <c r="T157" s="2"/>
      <c r="U157" s="2" t="s">
        <v>612</v>
      </c>
      <c r="V157" s="4">
        <v>3.5999999999999997E-2</v>
      </c>
      <c r="W157" s="2">
        <f t="shared" si="72"/>
        <v>185918.4</v>
      </c>
      <c r="X157" s="2">
        <f>100000+81642.85+4277</f>
        <v>185919.85</v>
      </c>
      <c r="Y157" s="2">
        <f>185919.85</f>
        <v>185919.85</v>
      </c>
      <c r="Z157" s="2">
        <v>0</v>
      </c>
      <c r="AA157" s="2">
        <f>1513680+1513680+1009120+504560+83160</f>
        <v>4624200</v>
      </c>
      <c r="AB157" s="2">
        <f>4624200</f>
        <v>4624200</v>
      </c>
      <c r="AC157" s="2">
        <f>1513680+1000000+513680+1009120+504560+83160+113214.86</f>
        <v>4737414.8600000003</v>
      </c>
      <c r="AD157" s="2">
        <f>4737414.86</f>
        <v>4737414.8600000003</v>
      </c>
      <c r="AE157" s="4">
        <f t="shared" si="70"/>
        <v>0.91732144295561935</v>
      </c>
      <c r="AF157" s="2">
        <f>1200000+100000+50000+97257.25+420200+225903.68+50000+140000+100000+308774.17+30000+620000+125498.57+350000+100000+25350+70000+52896.65+97117.61+40000+73214.86</f>
        <v>4276212.79</v>
      </c>
      <c r="AG157" s="2">
        <f>4276212.79</f>
        <v>4276212.79</v>
      </c>
      <c r="AH157" s="2">
        <f>1306054.72+50859.65+100000+20000+97257.25+100000+474843.85+225903.68+50000+140000+100000+308774.17+209643.85+620000+125498.57+280000+70000+100000+25350+70000+52896.65+97117.61+40000+73214.86</f>
        <v>4737414.8600000013</v>
      </c>
      <c r="AI157" s="2"/>
      <c r="AJ157" s="2"/>
      <c r="AK157" s="2"/>
      <c r="AL157" s="2">
        <f>4737414.86</f>
        <v>4737414.8600000003</v>
      </c>
      <c r="AM157" s="4"/>
      <c r="AN157" s="4">
        <f t="shared" si="71"/>
        <v>0</v>
      </c>
      <c r="AO157" s="2"/>
      <c r="AP157" s="2"/>
      <c r="AQ157" s="2">
        <f t="shared" si="24"/>
        <v>0</v>
      </c>
      <c r="AR157" s="2"/>
      <c r="AS157" s="2">
        <v>54</v>
      </c>
      <c r="AT157" s="2" t="s">
        <v>618</v>
      </c>
    </row>
    <row r="158" spans="1:46" x14ac:dyDescent="0.15">
      <c r="A158" s="34">
        <v>41006</v>
      </c>
      <c r="B158" s="2" t="s">
        <v>1800</v>
      </c>
      <c r="C158" s="2" t="s">
        <v>587</v>
      </c>
      <c r="D158" s="2" t="s">
        <v>620</v>
      </c>
      <c r="E158" s="2" t="s">
        <v>0</v>
      </c>
      <c r="F158" s="2" t="s">
        <v>621</v>
      </c>
      <c r="G158" s="2" t="s">
        <v>571</v>
      </c>
      <c r="H158" s="2" t="s">
        <v>622</v>
      </c>
      <c r="I158" s="2" t="s">
        <v>623</v>
      </c>
      <c r="J158" s="2" t="s">
        <v>624</v>
      </c>
      <c r="K158" s="2" t="s">
        <v>579</v>
      </c>
      <c r="L158" s="2"/>
      <c r="M158" s="2">
        <v>4328546</v>
      </c>
      <c r="N158" s="2"/>
      <c r="O158" s="2"/>
      <c r="P158" s="2"/>
      <c r="Q158" s="3" t="s">
        <v>625</v>
      </c>
      <c r="R158" s="41">
        <v>41100</v>
      </c>
      <c r="S158" s="2">
        <v>1299</v>
      </c>
      <c r="T158" s="2"/>
      <c r="U158" s="2" t="s">
        <v>612</v>
      </c>
      <c r="V158" s="4">
        <v>4.5999999999999999E-2</v>
      </c>
      <c r="W158" s="2">
        <f t="shared" si="72"/>
        <v>199113.11600000001</v>
      </c>
      <c r="X158" s="2">
        <f>60000+100000+39113</f>
        <v>199113</v>
      </c>
      <c r="Y158" s="2">
        <f>199113</f>
        <v>199113</v>
      </c>
      <c r="Z158" s="2">
        <v>0</v>
      </c>
      <c r="AA158" s="2">
        <f>346284+1038851+1731418+346284+865709</f>
        <v>4328546</v>
      </c>
      <c r="AB158" s="2">
        <f>3462837+865709</f>
        <v>4328546</v>
      </c>
      <c r="AC158" s="2">
        <f>346284+1038851+1731418+346284</f>
        <v>3462837</v>
      </c>
      <c r="AD158" s="2">
        <f>3462837</f>
        <v>3462837</v>
      </c>
      <c r="AE158" s="4">
        <f t="shared" si="70"/>
        <v>0.80000004620489185</v>
      </c>
      <c r="AF158" s="2">
        <f>5194.26+292000+27000+586600+191000+232400+438050+50000+499820+310000+250000+60000+11000+70000+35385+200000+14500+6000</f>
        <v>3278949.26</v>
      </c>
      <c r="AG158" s="2">
        <f>3278949.26</f>
        <v>3278949.26</v>
      </c>
      <c r="AH158" s="2">
        <f>308968.26+27000+35321+586600+191000+232400+496918+50000+499820+310000+250000+107612.5+13183.7+2000+81774+35385+200000+14500+15753.4-15753.4+14153.4+6000</f>
        <v>3462635.86</v>
      </c>
      <c r="AI158" s="2"/>
      <c r="AJ158" s="2"/>
      <c r="AK158" s="2"/>
      <c r="AL158" s="2">
        <f>3462635.86</f>
        <v>3462635.86</v>
      </c>
      <c r="AM158" s="4">
        <v>3.4000000000000002E-2</v>
      </c>
      <c r="AN158" s="4">
        <f t="shared" si="71"/>
        <v>147170.56400000001</v>
      </c>
      <c r="AO158" s="2">
        <f>11774+35321+58868+11774</f>
        <v>117737</v>
      </c>
      <c r="AP158" s="2">
        <f>117737</f>
        <v>117737</v>
      </c>
      <c r="AQ158" s="2">
        <f t="shared" si="24"/>
        <v>29433.564000000013</v>
      </c>
      <c r="AR158" s="2"/>
      <c r="AS158" s="2">
        <v>55</v>
      </c>
      <c r="AT158" s="2" t="s">
        <v>584</v>
      </c>
    </row>
    <row r="159" spans="1:46" x14ac:dyDescent="0.15">
      <c r="A159" s="34">
        <v>41000</v>
      </c>
      <c r="B159" s="2" t="s">
        <v>1801</v>
      </c>
      <c r="C159" s="2" t="s">
        <v>588</v>
      </c>
      <c r="D159" s="2" t="s">
        <v>626</v>
      </c>
      <c r="E159" s="2" t="s">
        <v>0</v>
      </c>
      <c r="F159" s="2" t="s">
        <v>627</v>
      </c>
      <c r="G159" s="2" t="s">
        <v>571</v>
      </c>
      <c r="H159" s="2" t="s">
        <v>86</v>
      </c>
      <c r="I159" s="2" t="s">
        <v>87</v>
      </c>
      <c r="J159" s="2" t="s">
        <v>86</v>
      </c>
      <c r="K159" s="2" t="s">
        <v>13</v>
      </c>
      <c r="L159" s="2"/>
      <c r="M159" s="2">
        <v>416950</v>
      </c>
      <c r="N159" s="2">
        <v>36973.599999999999</v>
      </c>
      <c r="O159" s="2"/>
      <c r="P159" s="2">
        <v>453923.6</v>
      </c>
      <c r="Q159" s="3" t="s">
        <v>628</v>
      </c>
      <c r="R159" s="41">
        <v>41032</v>
      </c>
      <c r="S159" s="2">
        <v>126</v>
      </c>
      <c r="T159" s="2"/>
      <c r="U159" s="2" t="s">
        <v>612</v>
      </c>
      <c r="V159" s="4">
        <v>3.5999999999999997E-2</v>
      </c>
      <c r="W159" s="2">
        <f>P159*V159</f>
        <v>16341.249599999997</v>
      </c>
      <c r="X159" s="2">
        <f>15010+1331</f>
        <v>16341</v>
      </c>
      <c r="Y159" s="2">
        <f>15010+1331</f>
        <v>16341</v>
      </c>
      <c r="Z159" s="2">
        <f t="shared" ref="Z159:Z172" si="73">W159-Y159</f>
        <v>0.24959999999737192</v>
      </c>
      <c r="AA159" s="2">
        <f>304434+49974+76820+22695</f>
        <v>453923</v>
      </c>
      <c r="AB159" s="2">
        <f>431228+22695</f>
        <v>453923</v>
      </c>
      <c r="AC159" s="2">
        <f>304434+49974+76820</f>
        <v>431228</v>
      </c>
      <c r="AD159" s="2">
        <f>431228</f>
        <v>431228</v>
      </c>
      <c r="AE159" s="4">
        <f t="shared" si="70"/>
        <v>0.95000127774806165</v>
      </c>
      <c r="AF159" s="2">
        <f>60500+50000+75000+70000+26131</f>
        <v>281631</v>
      </c>
      <c r="AG159" s="2">
        <f>255500+26131</f>
        <v>281631</v>
      </c>
      <c r="AH159" s="2">
        <f>10351+160500+50000+75000+58557+72612+26903</f>
        <v>453923</v>
      </c>
      <c r="AI159" s="2"/>
      <c r="AJ159" s="2"/>
      <c r="AK159" s="2"/>
      <c r="AL159" s="2">
        <f>427020+26903</f>
        <v>453923</v>
      </c>
      <c r="AM159" s="4">
        <v>3.4000000000000002E-2</v>
      </c>
      <c r="AN159" s="4">
        <f t="shared" si="71"/>
        <v>15433.382000000001</v>
      </c>
      <c r="AO159" s="2">
        <f>10351+2612+1699+772</f>
        <v>15434</v>
      </c>
      <c r="AP159" s="2">
        <f>14662+772</f>
        <v>15434</v>
      </c>
      <c r="AQ159" s="2">
        <f t="shared" si="24"/>
        <v>-0.61799999999857391</v>
      </c>
      <c r="AR159" s="2"/>
      <c r="AS159" s="2"/>
      <c r="AT159" s="2"/>
    </row>
    <row r="160" spans="1:46" x14ac:dyDescent="0.15">
      <c r="A160" s="34">
        <v>41031</v>
      </c>
      <c r="B160" s="2" t="s">
        <v>1802</v>
      </c>
      <c r="C160" s="2" t="s">
        <v>589</v>
      </c>
      <c r="D160" s="2" t="s">
        <v>629</v>
      </c>
      <c r="E160" s="2" t="s">
        <v>0</v>
      </c>
      <c r="F160" s="2" t="s">
        <v>630</v>
      </c>
      <c r="G160" s="2" t="s">
        <v>571</v>
      </c>
      <c r="H160" s="2" t="s">
        <v>86</v>
      </c>
      <c r="I160" s="2" t="s">
        <v>87</v>
      </c>
      <c r="J160" s="2" t="s">
        <v>86</v>
      </c>
      <c r="K160" s="2" t="s">
        <v>13</v>
      </c>
      <c r="L160" s="2"/>
      <c r="M160" s="2">
        <v>1785000</v>
      </c>
      <c r="N160" s="2"/>
      <c r="O160" s="2"/>
      <c r="P160" s="2"/>
      <c r="Q160" s="3" t="s">
        <v>631</v>
      </c>
      <c r="R160" s="41">
        <v>41032</v>
      </c>
      <c r="S160" s="2">
        <v>536</v>
      </c>
      <c r="T160" s="2"/>
      <c r="U160" s="2" t="s">
        <v>612</v>
      </c>
      <c r="V160" s="4">
        <v>3.5999999999999997E-2</v>
      </c>
      <c r="W160" s="2">
        <f t="shared" si="72"/>
        <v>64259.999999999993</v>
      </c>
      <c r="X160" s="2">
        <f>64260</f>
        <v>64260</v>
      </c>
      <c r="Y160" s="2">
        <f>64260</f>
        <v>64260</v>
      </c>
      <c r="Z160" s="2">
        <f t="shared" si="73"/>
        <v>0</v>
      </c>
      <c r="AA160" s="2">
        <f>500000</f>
        <v>500000</v>
      </c>
      <c r="AB160" s="2">
        <f>500000</f>
        <v>500000</v>
      </c>
      <c r="AC160" s="2">
        <f>200000+300000</f>
        <v>500000</v>
      </c>
      <c r="AD160" s="2">
        <f>500000</f>
        <v>500000</v>
      </c>
      <c r="AE160" s="4">
        <f t="shared" si="70"/>
        <v>0.28011204481792717</v>
      </c>
      <c r="AF160" s="2">
        <f>2142+301400+19699+50000+5355+2400+15000</f>
        <v>395996</v>
      </c>
      <c r="AG160" s="2">
        <f>395996</f>
        <v>395996</v>
      </c>
      <c r="AH160" s="2">
        <f>2142+103045.97+301400+19699+50000+5355+2400+15000</f>
        <v>499041.97</v>
      </c>
      <c r="AI160" s="2"/>
      <c r="AJ160" s="2"/>
      <c r="AK160" s="2"/>
      <c r="AL160" s="2">
        <f>499041.97</f>
        <v>499041.97</v>
      </c>
      <c r="AM160" s="4">
        <v>3.4000000000000002E-2</v>
      </c>
      <c r="AN160" s="4">
        <f t="shared" si="71"/>
        <v>17000</v>
      </c>
      <c r="AO160" s="2">
        <f>17000</f>
        <v>17000</v>
      </c>
      <c r="AP160" s="2">
        <f>17000</f>
        <v>17000</v>
      </c>
      <c r="AQ160" s="2">
        <f t="shared" si="24"/>
        <v>0</v>
      </c>
      <c r="AR160" s="2"/>
      <c r="AS160" s="2">
        <v>20</v>
      </c>
      <c r="AT160" s="2" t="s">
        <v>584</v>
      </c>
    </row>
    <row r="161" spans="1:46" x14ac:dyDescent="0.15">
      <c r="A161" s="34">
        <v>41039</v>
      </c>
      <c r="B161" s="2" t="s">
        <v>1803</v>
      </c>
      <c r="C161" s="2" t="s">
        <v>590</v>
      </c>
      <c r="D161" s="2" t="s">
        <v>632</v>
      </c>
      <c r="E161" s="2" t="s">
        <v>0</v>
      </c>
      <c r="F161" s="2" t="s">
        <v>145</v>
      </c>
      <c r="G161" s="2" t="s">
        <v>571</v>
      </c>
      <c r="H161" s="2" t="s">
        <v>633</v>
      </c>
      <c r="I161" s="2" t="s">
        <v>320</v>
      </c>
      <c r="J161" s="2" t="s">
        <v>321</v>
      </c>
      <c r="K161" s="2" t="s">
        <v>35</v>
      </c>
      <c r="L161" s="2"/>
      <c r="M161" s="2">
        <v>2220000</v>
      </c>
      <c r="N161" s="2">
        <v>351000</v>
      </c>
      <c r="O161" s="2"/>
      <c r="P161" s="2">
        <v>2571000</v>
      </c>
      <c r="Q161" s="3" t="s">
        <v>634</v>
      </c>
      <c r="R161" s="41">
        <v>41075</v>
      </c>
      <c r="S161" s="2">
        <v>666</v>
      </c>
      <c r="T161" s="2"/>
      <c r="U161" s="2" t="s">
        <v>612</v>
      </c>
      <c r="V161" s="4">
        <v>3.5999999999999997E-2</v>
      </c>
      <c r="W161" s="2">
        <f>P161*V161</f>
        <v>92556</v>
      </c>
      <c r="X161" s="2">
        <f>79920+12636</f>
        <v>92556</v>
      </c>
      <c r="Y161" s="2">
        <f>92556</f>
        <v>92556</v>
      </c>
      <c r="Z161" s="2">
        <f t="shared" si="73"/>
        <v>0</v>
      </c>
      <c r="AA161" s="2">
        <f>300000+500000+300000+150000+150000+80000+70000+30000</f>
        <v>1580000</v>
      </c>
      <c r="AB161" s="2">
        <f>1550000+30000</f>
        <v>1580000</v>
      </c>
      <c r="AC161" s="2">
        <f>300000+500000+300000+150000+50000+80000+150000+50000</f>
        <v>1580000</v>
      </c>
      <c r="AD161" s="2">
        <f>1530000+50000</f>
        <v>1580000</v>
      </c>
      <c r="AE161" s="4">
        <f t="shared" si="70"/>
        <v>0.61454686892259824</v>
      </c>
      <c r="AF161" s="2">
        <f>200000+57888.89+29370+93077.11+200000+100000+50000+79600+144900+48980</f>
        <v>1003816</v>
      </c>
      <c r="AG161" s="2">
        <f>954836+48980</f>
        <v>1003816</v>
      </c>
      <c r="AH161" s="2">
        <f>200000+2664+57888.89+29370+417000+93077.11+200000+10200+100000+50000+50000+10200+79600+80000+150000+50000</f>
        <v>1580000</v>
      </c>
      <c r="AI161" s="2"/>
      <c r="AJ161" s="2"/>
      <c r="AK161" s="2"/>
      <c r="AL161" s="2">
        <f>1530000+50000</f>
        <v>1580000</v>
      </c>
      <c r="AM161" s="4">
        <v>3.4000000000000002E-2</v>
      </c>
      <c r="AN161" s="4">
        <f t="shared" si="71"/>
        <v>53720.000000000007</v>
      </c>
      <c r="AO161" s="2">
        <f>10200+17000+10200+5100+5100+2720+2380+1020</f>
        <v>53720</v>
      </c>
      <c r="AP161" s="2">
        <f>52700+1020</f>
        <v>53720</v>
      </c>
      <c r="AQ161" s="2">
        <f t="shared" si="24"/>
        <v>0</v>
      </c>
      <c r="AR161" s="2"/>
      <c r="AS161" s="2">
        <v>26</v>
      </c>
      <c r="AT161" s="2" t="s">
        <v>584</v>
      </c>
    </row>
    <row r="162" spans="1:46" x14ac:dyDescent="0.15">
      <c r="A162" s="34">
        <v>41030</v>
      </c>
      <c r="B162" s="2" t="s">
        <v>1804</v>
      </c>
      <c r="C162" s="2" t="s">
        <v>591</v>
      </c>
      <c r="D162" s="2" t="s">
        <v>635</v>
      </c>
      <c r="E162" s="2" t="s">
        <v>0</v>
      </c>
      <c r="F162" s="2" t="s">
        <v>106</v>
      </c>
      <c r="G162" s="2" t="s">
        <v>636</v>
      </c>
      <c r="H162" s="2" t="s">
        <v>637</v>
      </c>
      <c r="I162" s="2" t="s">
        <v>109</v>
      </c>
      <c r="J162" s="2" t="s">
        <v>108</v>
      </c>
      <c r="K162" s="2" t="s">
        <v>5</v>
      </c>
      <c r="L162" s="2"/>
      <c r="M162" s="2">
        <v>5473241</v>
      </c>
      <c r="N162" s="2">
        <v>47753</v>
      </c>
      <c r="O162" s="2"/>
      <c r="P162" s="2">
        <v>5520994</v>
      </c>
      <c r="Q162" s="3"/>
      <c r="R162" s="41"/>
      <c r="S162" s="2"/>
      <c r="T162" s="2"/>
      <c r="U162" s="2" t="s">
        <v>612</v>
      </c>
      <c r="V162" s="4">
        <v>0.03</v>
      </c>
      <c r="W162" s="2">
        <f t="shared" si="72"/>
        <v>165629.82</v>
      </c>
      <c r="X162" s="2">
        <f>90000+74197+1433</f>
        <v>165630</v>
      </c>
      <c r="Y162" s="2">
        <f>164197+1433</f>
        <v>165630</v>
      </c>
      <c r="Z162" s="2">
        <f t="shared" si="73"/>
        <v>-0.17999999999301508</v>
      </c>
      <c r="AA162" s="2">
        <f>1322945+1000000+2055647.8+1142401.2</f>
        <v>5520994</v>
      </c>
      <c r="AB162" s="2">
        <f>5520994</f>
        <v>5520994</v>
      </c>
      <c r="AC162" s="2">
        <f>1162945+909653+1927065+218929.8+866351.5+160000</f>
        <v>5244944.3</v>
      </c>
      <c r="AD162" s="2">
        <f>5244944.3</f>
        <v>5244944.3</v>
      </c>
      <c r="AE162" s="4">
        <f t="shared" si="70"/>
        <v>0.95</v>
      </c>
      <c r="AF162" s="2">
        <f>50000+23200+555000+300368.12+100000+100000+30000+200500+100000+200000+10124+999840+142554.07+99900+499500+190000+154571+258000+30000+200000+200000+139896</f>
        <v>4583453.1899999995</v>
      </c>
      <c r="AG162" s="2">
        <f>4583453.19</f>
        <v>4583453.1900000004</v>
      </c>
      <c r="AH162" s="2">
        <f>144847.83+73200+555000+300368.12+200000+33900+172286.6+30000+200500+100000-4000+200000+10124+69686.45+999840+142554.07+99900+200000+499500+190000+154571+258000+30000+200000+200000+178623.4</f>
        <v>5238901.4700000007</v>
      </c>
      <c r="AI162" s="2"/>
      <c r="AJ162" s="2"/>
      <c r="AK162" s="2"/>
      <c r="AL162" s="2">
        <f>5238901.47</f>
        <v>5238901.47</v>
      </c>
      <c r="AM162" s="4">
        <v>3.7400000000000003E-2</v>
      </c>
      <c r="AN162" s="4">
        <f t="shared" si="71"/>
        <v>206485.17560000002</v>
      </c>
      <c r="AO162" s="2"/>
      <c r="AP162" s="2"/>
      <c r="AQ162" s="2"/>
      <c r="AR162" s="2"/>
      <c r="AS162" s="2"/>
      <c r="AT162" s="2"/>
    </row>
    <row r="163" spans="1:46" x14ac:dyDescent="0.15">
      <c r="A163" s="34">
        <v>41050</v>
      </c>
      <c r="B163" s="2" t="s">
        <v>1805</v>
      </c>
      <c r="C163" s="2" t="s">
        <v>592</v>
      </c>
      <c r="D163" s="2" t="s">
        <v>638</v>
      </c>
      <c r="E163" s="2" t="s">
        <v>0</v>
      </c>
      <c r="F163" s="2" t="s">
        <v>639</v>
      </c>
      <c r="G163" s="2" t="s">
        <v>636</v>
      </c>
      <c r="H163" s="2" t="s">
        <v>640</v>
      </c>
      <c r="I163" s="2" t="s">
        <v>641</v>
      </c>
      <c r="J163" s="2" t="s">
        <v>640</v>
      </c>
      <c r="K163" s="2" t="s">
        <v>642</v>
      </c>
      <c r="L163" s="2"/>
      <c r="M163" s="2">
        <v>36296483</v>
      </c>
      <c r="N163" s="2">
        <f>1253588+40000</f>
        <v>1293588</v>
      </c>
      <c r="O163" s="2"/>
      <c r="P163" s="2">
        <v>38356253</v>
      </c>
      <c r="Q163" s="3"/>
      <c r="R163" s="41"/>
      <c r="S163" s="2"/>
      <c r="T163" s="2"/>
      <c r="U163" s="2" t="s">
        <v>612</v>
      </c>
      <c r="V163" s="4">
        <v>0.03</v>
      </c>
      <c r="W163" s="2">
        <f>P163*V163</f>
        <v>1150687.5899999999</v>
      </c>
      <c r="X163" s="2">
        <f>490000+600000+37608+23080</f>
        <v>1150688</v>
      </c>
      <c r="Y163" s="2">
        <f>1127608+23080</f>
        <v>1150688</v>
      </c>
      <c r="Z163" s="2">
        <f t="shared" si="73"/>
        <v>-0.41000000014901161</v>
      </c>
      <c r="AA163" s="2">
        <f>5444472+2164382+4345789+2851726+6739403+4216458+2939846+3657865+947453</f>
        <v>33307394</v>
      </c>
      <c r="AB163" s="2">
        <f>33307394</f>
        <v>33307394</v>
      </c>
      <c r="AC163" s="2">
        <f>5444472+2164382+4345789+2851726+6739403+4216458+2939846+3657865+947453+3171046</f>
        <v>36478440</v>
      </c>
      <c r="AD163" s="2">
        <f>33307394+3171046</f>
        <v>36478440</v>
      </c>
      <c r="AE163" s="4">
        <f t="shared" si="70"/>
        <v>0.97042753656943082</v>
      </c>
      <c r="AF163" s="2">
        <f>2023245.24+1809287.26+1259200+298474.2+686250+73710+2736836.36+1403852.66+1000000+300000+641649+4915194.1+186000+481000+200000+486000+1396224.28+150060+43540.3+986000+835180.6+1260950+490000+2063376.56+1432695.84+496000+976500+2866000+800000</f>
        <v>32297226.400000002</v>
      </c>
      <c r="AG163" s="2">
        <f>28631226.4+2866000+800000</f>
        <v>32297226.399999999</v>
      </c>
      <c r="AH163" s="2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+177498.46+2866000-800000</f>
        <v>35678203.630000003</v>
      </c>
      <c r="AI163" s="2"/>
      <c r="AJ163" s="2"/>
      <c r="AK163" s="2"/>
      <c r="AL163" s="2">
        <f>33434705.17+177498.46+2866000-800000</f>
        <v>35678203.630000003</v>
      </c>
      <c r="AM163" s="4">
        <v>3.7400000000000003E-2</v>
      </c>
      <c r="AN163" s="4">
        <f t="shared" si="71"/>
        <v>1245696.5356000001</v>
      </c>
      <c r="AO163" s="2"/>
      <c r="AP163" s="2"/>
      <c r="AQ163" s="2"/>
      <c r="AR163" s="2"/>
      <c r="AS163" s="2">
        <v>320</v>
      </c>
      <c r="AT163" s="2" t="s">
        <v>643</v>
      </c>
    </row>
    <row r="164" spans="1:46" x14ac:dyDescent="0.15">
      <c r="A164" s="34">
        <v>41030</v>
      </c>
      <c r="B164" s="2" t="s">
        <v>1806</v>
      </c>
      <c r="C164" s="2" t="s">
        <v>593</v>
      </c>
      <c r="D164" s="2" t="s">
        <v>644</v>
      </c>
      <c r="E164" s="2" t="s">
        <v>0</v>
      </c>
      <c r="F164" s="2" t="s">
        <v>645</v>
      </c>
      <c r="G164" s="2" t="s">
        <v>566</v>
      </c>
      <c r="H164" s="2" t="s">
        <v>646</v>
      </c>
      <c r="I164" s="2" t="s">
        <v>351</v>
      </c>
      <c r="J164" s="2" t="s">
        <v>352</v>
      </c>
      <c r="K164" s="2" t="s">
        <v>35</v>
      </c>
      <c r="L164" s="2"/>
      <c r="M164" s="2">
        <v>3831227.57</v>
      </c>
      <c r="N164" s="2"/>
      <c r="O164" s="2"/>
      <c r="P164" s="2"/>
      <c r="Q164" s="3" t="s">
        <v>647</v>
      </c>
      <c r="R164" s="41">
        <v>41094</v>
      </c>
      <c r="S164" s="2">
        <v>1150</v>
      </c>
      <c r="T164" s="2"/>
      <c r="U164" s="2" t="s">
        <v>612</v>
      </c>
      <c r="V164" s="4">
        <v>3.5999999999999997E-2</v>
      </c>
      <c r="W164" s="2">
        <f t="shared" si="72"/>
        <v>137924.19251999998</v>
      </c>
      <c r="X164" s="2">
        <f>137924</f>
        <v>137924</v>
      </c>
      <c r="Y164" s="2">
        <f>137924</f>
        <v>137924</v>
      </c>
      <c r="Z164" s="2">
        <v>0</v>
      </c>
      <c r="AA164" s="2">
        <f>2272947+1500000+58233</f>
        <v>3831180</v>
      </c>
      <c r="AB164" s="2">
        <f>3831180</f>
        <v>3831180</v>
      </c>
      <c r="AC164" s="2">
        <f>500000+500000+300000+300000+300000+330000+200000+600000</f>
        <v>3030000</v>
      </c>
      <c r="AD164" s="2">
        <f>3030000</f>
        <v>3030000</v>
      </c>
      <c r="AE164" s="4">
        <f t="shared" si="70"/>
        <v>0.79086923045920765</v>
      </c>
      <c r="AF164" s="2">
        <f>241200+90000+305345.5+278208.63+150000+63612.2+100000+334800+375200+187500+600000</f>
        <v>2725866.33</v>
      </c>
      <c r="AG164" s="2">
        <f>2725866.33</f>
        <v>2725866.33</v>
      </c>
      <c r="AH164" s="2">
        <f>128280+241200+90000+365345.5+328208.63+80000+21147.8+150000+63612.2+100000-60000+334800+375200+1980+187500+600000</f>
        <v>3007274.13</v>
      </c>
      <c r="AI164" s="2"/>
      <c r="AJ164" s="2"/>
      <c r="AK164" s="2"/>
      <c r="AL164" s="2">
        <f>3007274.13</f>
        <v>3007274.13</v>
      </c>
      <c r="AM164" s="4">
        <v>3.4000000000000002E-2</v>
      </c>
      <c r="AN164" s="4">
        <f t="shared" si="71"/>
        <v>130260.12000000001</v>
      </c>
      <c r="AO164" s="2">
        <f>77280+51000+1980</f>
        <v>130260</v>
      </c>
      <c r="AP164" s="2">
        <f>130260</f>
        <v>130260</v>
      </c>
      <c r="AQ164" s="2">
        <f t="shared" si="24"/>
        <v>0.1200000000098953</v>
      </c>
      <c r="AR164" s="2"/>
      <c r="AS164" s="2">
        <v>31</v>
      </c>
      <c r="AT164" s="2" t="s">
        <v>577</v>
      </c>
    </row>
    <row r="165" spans="1:46" x14ac:dyDescent="0.15">
      <c r="A165" s="34">
        <v>41073</v>
      </c>
      <c r="B165" s="2" t="s">
        <v>1807</v>
      </c>
      <c r="C165" s="2" t="s">
        <v>594</v>
      </c>
      <c r="D165" s="2" t="s">
        <v>648</v>
      </c>
      <c r="E165" s="2" t="s">
        <v>0</v>
      </c>
      <c r="F165" s="2" t="s">
        <v>649</v>
      </c>
      <c r="G165" s="2" t="s">
        <v>571</v>
      </c>
      <c r="H165" s="2" t="s">
        <v>650</v>
      </c>
      <c r="I165" s="2" t="s">
        <v>23</v>
      </c>
      <c r="J165" s="2" t="s">
        <v>22</v>
      </c>
      <c r="K165" s="2" t="s">
        <v>13</v>
      </c>
      <c r="L165" s="2"/>
      <c r="M165" s="2">
        <v>1444588.7</v>
      </c>
      <c r="N165" s="2">
        <f>848584.4+921636.07</f>
        <v>1770220.47</v>
      </c>
      <c r="O165" s="2"/>
      <c r="P165" s="2"/>
      <c r="Q165" s="3" t="s">
        <v>651</v>
      </c>
      <c r="R165" s="41">
        <v>41101</v>
      </c>
      <c r="S165" s="2">
        <f>434+255+277</f>
        <v>966</v>
      </c>
      <c r="T165" s="2"/>
      <c r="U165" s="2" t="s">
        <v>612</v>
      </c>
      <c r="V165" s="4">
        <v>3.5999999999999997E-2</v>
      </c>
      <c r="W165" s="2">
        <f t="shared" si="72"/>
        <v>115733.13011999999</v>
      </c>
      <c r="X165" s="2">
        <f>50000+65733</f>
        <v>115733</v>
      </c>
      <c r="Y165" s="2">
        <f>115733</f>
        <v>115733</v>
      </c>
      <c r="Z165" s="2">
        <v>0</v>
      </c>
      <c r="AA165" s="2">
        <f>92163.61+144458.87+84858.44+212146.1+803702.3+374867.89+216688.31+92163.61+84858.44+144458.87+100000+150000</f>
        <v>2500366.4400000004</v>
      </c>
      <c r="AB165" s="2">
        <f>2500366.44</f>
        <v>2500366.44</v>
      </c>
      <c r="AC165" s="2">
        <f>236622.48+84858.44+212146.1+803702.3+374867.89+216688.31+321480.92+100000+150000</f>
        <v>2500366.44</v>
      </c>
      <c r="AD165" s="2">
        <f>2500366.44</f>
        <v>2500366.44</v>
      </c>
      <c r="AE165" s="4">
        <f t="shared" si="70"/>
        <v>0.77776512003665832</v>
      </c>
      <c r="AF165" s="2">
        <f>195915.13+35000+40276.22+35000+166000+30000+288750+23900+300000+200000+269290.75+100000+300000+99600+143900+2700+11125.5</f>
        <v>2241457.6</v>
      </c>
      <c r="AG165" s="2">
        <f>2230332.1+11125.5</f>
        <v>2241457.6</v>
      </c>
      <c r="AH165" s="2">
        <f>206846.13+35000+40276.22+35000+173213+57326+288750+36025+300000+12746+200000+276657.75+164790+100000+310931+3400+100000+5100-100000+99600+143790+2700</f>
        <v>2492151.1</v>
      </c>
      <c r="AI165" s="2"/>
      <c r="AJ165" s="2"/>
      <c r="AK165" s="2">
        <v>11125.5</v>
      </c>
      <c r="AL165" s="2">
        <f>2492151.1+11125.5</f>
        <v>2503276.6</v>
      </c>
      <c r="AM165" s="4">
        <v>3.4000000000000002E-2</v>
      </c>
      <c r="AN165" s="4">
        <f t="shared" si="71"/>
        <v>85012.458960000004</v>
      </c>
      <c r="AO165" s="2">
        <f>3134+4912+2885+7213+27326+12746+7367+3134+2885+4912+3400+5100</f>
        <v>85014</v>
      </c>
      <c r="AP165" s="2">
        <f>85014</f>
        <v>85014</v>
      </c>
      <c r="AQ165" s="2">
        <f t="shared" si="24"/>
        <v>-1.5410399999964284</v>
      </c>
      <c r="AR165" s="2"/>
      <c r="AS165" s="2">
        <v>31</v>
      </c>
      <c r="AT165" s="2" t="s">
        <v>668</v>
      </c>
    </row>
    <row r="166" spans="1:46" x14ac:dyDescent="0.15">
      <c r="A166" s="34">
        <v>41092</v>
      </c>
      <c r="B166" s="2" t="s">
        <v>1808</v>
      </c>
      <c r="C166" s="2" t="s">
        <v>595</v>
      </c>
      <c r="D166" s="2" t="s">
        <v>669</v>
      </c>
      <c r="E166" s="2" t="s">
        <v>0</v>
      </c>
      <c r="F166" s="2" t="s">
        <v>670</v>
      </c>
      <c r="G166" s="2" t="s">
        <v>671</v>
      </c>
      <c r="H166" s="2" t="s">
        <v>243</v>
      </c>
      <c r="I166" s="6" t="s">
        <v>244</v>
      </c>
      <c r="J166" s="6" t="s">
        <v>254</v>
      </c>
      <c r="K166" s="6" t="s">
        <v>13</v>
      </c>
      <c r="L166" s="2"/>
      <c r="M166" s="2">
        <v>1508400</v>
      </c>
      <c r="N166" s="2"/>
      <c r="O166" s="2"/>
      <c r="P166" s="2"/>
      <c r="Q166" s="3" t="s">
        <v>672</v>
      </c>
      <c r="R166" s="41">
        <v>41092</v>
      </c>
      <c r="S166" s="2">
        <v>453</v>
      </c>
      <c r="T166" s="2"/>
      <c r="U166" s="2" t="s">
        <v>673</v>
      </c>
      <c r="V166" s="4">
        <v>3.5999999999999997E-2</v>
      </c>
      <c r="W166" s="2">
        <f t="shared" si="72"/>
        <v>54302.399999999994</v>
      </c>
      <c r="X166" s="2">
        <f>54302</f>
        <v>54302</v>
      </c>
      <c r="Y166" s="2">
        <f>54302</f>
        <v>54302</v>
      </c>
      <c r="Z166" s="2">
        <v>0</v>
      </c>
      <c r="AA166" s="2">
        <f>1050000+140000</f>
        <v>1190000</v>
      </c>
      <c r="AB166" s="2">
        <f>1190000</f>
        <v>1190000</v>
      </c>
      <c r="AC166" s="2">
        <f>1059905+140000</f>
        <v>1199905</v>
      </c>
      <c r="AD166" s="2">
        <f>1199905</f>
        <v>1199905</v>
      </c>
      <c r="AE166" s="4">
        <f t="shared" si="70"/>
        <v>0.79548196764783874</v>
      </c>
      <c r="AF166" s="2">
        <f>50000+156000+50000+60000+281156.93+52145+50000+100000+76530+50000+87360+139040</f>
        <v>1152231.93</v>
      </c>
      <c r="AG166" s="2">
        <f>1152231.93</f>
        <v>1152231.93</v>
      </c>
      <c r="AH166" s="2">
        <f>85700+156000+50000+60000+281156.93+52145+50000+100000+76530+50000+87360+4760+139040</f>
        <v>1192691.93</v>
      </c>
      <c r="AI166" s="2"/>
      <c r="AJ166" s="2"/>
      <c r="AK166" s="2"/>
      <c r="AL166" s="2">
        <f>1192691.93</f>
        <v>1192691.93</v>
      </c>
      <c r="AM166" s="4">
        <v>3.4000000000000002E-2</v>
      </c>
      <c r="AN166" s="4">
        <f t="shared" si="71"/>
        <v>40460</v>
      </c>
      <c r="AO166" s="2">
        <f>35700+4760</f>
        <v>40460</v>
      </c>
      <c r="AP166" s="2">
        <f>40460</f>
        <v>40460</v>
      </c>
      <c r="AQ166" s="2">
        <f t="shared" si="24"/>
        <v>0</v>
      </c>
      <c r="AR166" s="2"/>
      <c r="AS166" s="2">
        <v>7</v>
      </c>
      <c r="AT166" s="2" t="s">
        <v>674</v>
      </c>
    </row>
    <row r="167" spans="1:46" x14ac:dyDescent="0.15">
      <c r="A167" s="34">
        <v>41091</v>
      </c>
      <c r="B167" s="2" t="s">
        <v>1809</v>
      </c>
      <c r="C167" s="2" t="s">
        <v>596</v>
      </c>
      <c r="D167" s="2" t="s">
        <v>675</v>
      </c>
      <c r="E167" s="2" t="s">
        <v>0</v>
      </c>
      <c r="F167" s="2" t="s">
        <v>676</v>
      </c>
      <c r="G167" s="2" t="s">
        <v>671</v>
      </c>
      <c r="H167" s="2" t="s">
        <v>677</v>
      </c>
      <c r="I167" s="2" t="s">
        <v>23</v>
      </c>
      <c r="J167" s="2" t="s">
        <v>22</v>
      </c>
      <c r="K167" s="2" t="s">
        <v>13</v>
      </c>
      <c r="L167" s="2"/>
      <c r="M167" s="2">
        <v>742782.79</v>
      </c>
      <c r="N167" s="2">
        <f>144141.78+5000</f>
        <v>149141.78</v>
      </c>
      <c r="O167" s="2"/>
      <c r="P167" s="2"/>
      <c r="Q167" s="3" t="s">
        <v>678</v>
      </c>
      <c r="R167" s="41">
        <v>41109</v>
      </c>
      <c r="S167" s="2">
        <v>223</v>
      </c>
      <c r="T167" s="2"/>
      <c r="U167" s="2" t="s">
        <v>673</v>
      </c>
      <c r="V167" s="4">
        <v>3.5999999999999997E-2</v>
      </c>
      <c r="W167" s="2">
        <f t="shared" si="72"/>
        <v>32109.284520000001</v>
      </c>
      <c r="X167" s="2">
        <f>26740+180</f>
        <v>26920</v>
      </c>
      <c r="Y167" s="2">
        <f>26920</f>
        <v>26920</v>
      </c>
      <c r="Z167" s="2">
        <f t="shared" si="73"/>
        <v>5189.2845200000011</v>
      </c>
      <c r="AA167" s="2">
        <f>222834.84+148556.56+259973.98+255559.19+5000</f>
        <v>891924.57000000007</v>
      </c>
      <c r="AB167" s="2">
        <f>891924.57</f>
        <v>891924.57</v>
      </c>
      <c r="AC167" s="2">
        <f>222834.84+619743.44+44346.29+5000</f>
        <v>891924.57</v>
      </c>
      <c r="AD167" s="2">
        <f>891924.57</f>
        <v>891924.57</v>
      </c>
      <c r="AE167" s="4">
        <f t="shared" si="70"/>
        <v>0.99999999999999989</v>
      </c>
      <c r="AF167" s="2">
        <f>50829.4+50000+57415+207721+12932.58+48095.59</f>
        <v>426993.57000000007</v>
      </c>
      <c r="AG167" s="2">
        <f>426993.57</f>
        <v>426993.57</v>
      </c>
      <c r="AH167" s="2">
        <f>21200.54+13890+66995.56+50000+10000+57415+566410+39735.3+12932.58+250+48095.59</f>
        <v>886924.57</v>
      </c>
      <c r="AI167" s="2"/>
      <c r="AJ167" s="2"/>
      <c r="AK167" s="2"/>
      <c r="AL167" s="2">
        <f>886924.57</f>
        <v>886924.57</v>
      </c>
      <c r="AM167" s="4">
        <v>3.4000000000000002E-2</v>
      </c>
      <c r="AN167" s="4">
        <f t="shared" si="71"/>
        <v>30325.435379999999</v>
      </c>
      <c r="AO167" s="2">
        <f>7576+5051+8839+8689+250</f>
        <v>30405</v>
      </c>
      <c r="AP167" s="2">
        <f>30405</f>
        <v>30405</v>
      </c>
      <c r="AQ167" s="2">
        <f t="shared" si="24"/>
        <v>-79.564620000001014</v>
      </c>
      <c r="AR167" s="2"/>
      <c r="AS167" s="2">
        <v>8</v>
      </c>
      <c r="AT167" s="2" t="s">
        <v>668</v>
      </c>
    </row>
    <row r="168" spans="1:46" x14ac:dyDescent="0.15">
      <c r="A168" s="34">
        <v>41117</v>
      </c>
      <c r="B168" s="2" t="s">
        <v>1810</v>
      </c>
      <c r="C168" s="2" t="s">
        <v>597</v>
      </c>
      <c r="D168" s="2" t="s">
        <v>679</v>
      </c>
      <c r="E168" s="2" t="s">
        <v>0</v>
      </c>
      <c r="F168" s="2" t="s">
        <v>416</v>
      </c>
      <c r="G168" s="2" t="s">
        <v>671</v>
      </c>
      <c r="H168" s="2" t="s">
        <v>86</v>
      </c>
      <c r="I168" s="2" t="s">
        <v>87</v>
      </c>
      <c r="J168" s="2" t="s">
        <v>86</v>
      </c>
      <c r="K168" s="2" t="s">
        <v>13</v>
      </c>
      <c r="L168" s="2"/>
      <c r="M168" s="2">
        <v>328000</v>
      </c>
      <c r="N168" s="2">
        <v>34031</v>
      </c>
      <c r="O168" s="2"/>
      <c r="P168" s="2"/>
      <c r="Q168" s="3" t="s">
        <v>680</v>
      </c>
      <c r="R168" s="41">
        <v>41117</v>
      </c>
      <c r="S168" s="2">
        <v>99</v>
      </c>
      <c r="T168" s="2"/>
      <c r="U168" s="2" t="s">
        <v>673</v>
      </c>
      <c r="V168" s="4">
        <v>3.5999999999999997E-2</v>
      </c>
      <c r="W168" s="2">
        <f t="shared" si="72"/>
        <v>13033.115999999998</v>
      </c>
      <c r="X168" s="2">
        <f>11808+1225</f>
        <v>13033</v>
      </c>
      <c r="Y168" s="2">
        <f>13033</f>
        <v>13033</v>
      </c>
      <c r="Z168" s="2">
        <v>0</v>
      </c>
      <c r="AA168" s="2">
        <f>240168+38632+65130+18100.19</f>
        <v>362030.19</v>
      </c>
      <c r="AB168" s="2">
        <f>343930+18100.19</f>
        <v>362030.19</v>
      </c>
      <c r="AC168" s="2">
        <f>240168+38632+65130</f>
        <v>343930</v>
      </c>
      <c r="AD168" s="2">
        <f>343930</f>
        <v>343930</v>
      </c>
      <c r="AE168" s="4">
        <f t="shared" si="70"/>
        <v>0.95000151920691878</v>
      </c>
      <c r="AF168" s="2">
        <f>55635.82+12300+31500+15000</f>
        <v>114435.82</v>
      </c>
      <c r="AG168" s="2">
        <f>114435.82</f>
        <v>114435.82</v>
      </c>
      <c r="AH168" s="2">
        <f>158166+55635.82+64998.18+14514+31500+15000+615</f>
        <v>340429</v>
      </c>
      <c r="AI168" s="2"/>
      <c r="AJ168" s="2"/>
      <c r="AK168" s="2"/>
      <c r="AL168" s="2">
        <f>339814+615</f>
        <v>340429</v>
      </c>
      <c r="AM168" s="4">
        <v>3.4000000000000002E-2</v>
      </c>
      <c r="AN168" s="4">
        <f t="shared" si="71"/>
        <v>12309.026460000001</v>
      </c>
      <c r="AO168" s="2">
        <f>8166+1313+2214+615</f>
        <v>12308</v>
      </c>
      <c r="AP168" s="2">
        <f>11693+615</f>
        <v>12308</v>
      </c>
      <c r="AQ168" s="2">
        <f t="shared" si="24"/>
        <v>1.0264600000009523</v>
      </c>
      <c r="AR168" s="2"/>
      <c r="AS168" s="2">
        <v>4</v>
      </c>
      <c r="AT168" s="2" t="s">
        <v>674</v>
      </c>
    </row>
    <row r="169" spans="1:46" x14ac:dyDescent="0.15">
      <c r="A169" s="34">
        <v>41091</v>
      </c>
      <c r="B169" s="2" t="s">
        <v>1811</v>
      </c>
      <c r="C169" s="2" t="s">
        <v>598</v>
      </c>
      <c r="D169" s="2" t="s">
        <v>551</v>
      </c>
      <c r="E169" s="2" t="s">
        <v>0</v>
      </c>
      <c r="F169" s="2" t="s">
        <v>552</v>
      </c>
      <c r="G169" s="2" t="s">
        <v>671</v>
      </c>
      <c r="H169" s="2" t="s">
        <v>412</v>
      </c>
      <c r="I169" s="13" t="s">
        <v>413</v>
      </c>
      <c r="J169" s="13" t="s">
        <v>414</v>
      </c>
      <c r="K169" s="13" t="s">
        <v>13</v>
      </c>
      <c r="L169" s="2"/>
      <c r="M169" s="2">
        <v>4400000</v>
      </c>
      <c r="N169" s="2"/>
      <c r="O169" s="2"/>
      <c r="P169" s="2"/>
      <c r="Q169" s="3" t="s">
        <v>681</v>
      </c>
      <c r="R169" s="41">
        <v>41137</v>
      </c>
      <c r="S169" s="2">
        <v>1320</v>
      </c>
      <c r="T169" s="2"/>
      <c r="U169" s="2" t="s">
        <v>673</v>
      </c>
      <c r="V169" s="4">
        <v>0.03</v>
      </c>
      <c r="W169" s="2">
        <f t="shared" si="72"/>
        <v>132000</v>
      </c>
      <c r="X169" s="2">
        <f>76787+55213</f>
        <v>132000</v>
      </c>
      <c r="Y169" s="2">
        <f>132000</f>
        <v>132000</v>
      </c>
      <c r="Z169" s="2">
        <f t="shared" si="73"/>
        <v>0</v>
      </c>
      <c r="AA169" s="2">
        <f>1100000+880000+880000+440000+800000</f>
        <v>4100000</v>
      </c>
      <c r="AB169" s="2">
        <f>4100000</f>
        <v>4100000</v>
      </c>
      <c r="AC169" s="2">
        <f>550000+550000+880000+880000+440000</f>
        <v>3300000</v>
      </c>
      <c r="AD169" s="2">
        <f>3300000</f>
        <v>3300000</v>
      </c>
      <c r="AE169" s="4">
        <f t="shared" si="70"/>
        <v>0.75</v>
      </c>
      <c r="AF169" s="2">
        <f>1048292.6+628563.8+223019.31+45126+435642+299980+199680+299800</f>
        <v>3180103.71</v>
      </c>
      <c r="AG169" s="2">
        <f>3180103.71</f>
        <v>3180103.71</v>
      </c>
      <c r="AH169" s="2">
        <f>37400+1048292.6+628563.8+252939.31+75046+435642+314940+199680+299800</f>
        <v>3292303.71</v>
      </c>
      <c r="AI169" s="2"/>
      <c r="AJ169" s="2"/>
      <c r="AK169" s="2"/>
      <c r="AL169" s="2">
        <f>3292303.71</f>
        <v>3292303.71</v>
      </c>
      <c r="AM169" s="4">
        <v>3.4000000000000002E-2</v>
      </c>
      <c r="AN169" s="4">
        <f t="shared" si="71"/>
        <v>139400</v>
      </c>
      <c r="AO169" s="2">
        <f>37400+29920+29920+14960</f>
        <v>112200</v>
      </c>
      <c r="AP169" s="2">
        <f>112200</f>
        <v>112200</v>
      </c>
      <c r="AQ169" s="2">
        <f t="shared" si="24"/>
        <v>27200</v>
      </c>
      <c r="AR169" s="2"/>
      <c r="AS169" s="2"/>
      <c r="AT169" s="2"/>
    </row>
    <row r="170" spans="1:46" x14ac:dyDescent="0.15">
      <c r="A170" s="34">
        <v>41091</v>
      </c>
      <c r="B170" s="2" t="s">
        <v>1812</v>
      </c>
      <c r="C170" s="2" t="s">
        <v>599</v>
      </c>
      <c r="D170" s="2" t="s">
        <v>682</v>
      </c>
      <c r="E170" s="2" t="s">
        <v>0</v>
      </c>
      <c r="F170" s="2" t="s">
        <v>683</v>
      </c>
      <c r="G170" s="2" t="s">
        <v>684</v>
      </c>
      <c r="H170" s="2" t="s">
        <v>685</v>
      </c>
      <c r="I170" s="2" t="s">
        <v>686</v>
      </c>
      <c r="J170" s="2" t="s">
        <v>687</v>
      </c>
      <c r="K170" s="2" t="s">
        <v>5</v>
      </c>
      <c r="L170" s="2"/>
      <c r="M170" s="2">
        <v>5538662</v>
      </c>
      <c r="N170" s="2">
        <f>2667147+725824</f>
        <v>3392971</v>
      </c>
      <c r="O170" s="2"/>
      <c r="P170" s="2"/>
      <c r="Q170" s="3"/>
      <c r="R170" s="41"/>
      <c r="S170" s="2"/>
      <c r="T170" s="2"/>
      <c r="U170" s="2" t="s">
        <v>673</v>
      </c>
      <c r="V170" s="4">
        <v>0.03</v>
      </c>
      <c r="W170" s="2">
        <f t="shared" si="72"/>
        <v>267948.99</v>
      </c>
      <c r="X170" s="2">
        <f>166160+80014+21775</f>
        <v>267949</v>
      </c>
      <c r="Y170" s="2">
        <f>267949</f>
        <v>267949</v>
      </c>
      <c r="Z170" s="2">
        <v>0</v>
      </c>
      <c r="AA170" s="2">
        <f>200000+300000+1000000+1000000+200000+800000+1000000+470000+1150000+1260000+190000</f>
        <v>7570000</v>
      </c>
      <c r="AB170" s="2">
        <f>7570000</f>
        <v>7570000</v>
      </c>
      <c r="AC170" s="2">
        <f>200000+300000+1000000+1000000+200000+300000+500000+400000+300000+300000+470000+1600000+1000000</f>
        <v>7570000</v>
      </c>
      <c r="AD170" s="2">
        <f>7570000</f>
        <v>7570000</v>
      </c>
      <c r="AE170" s="4">
        <f t="shared" si="70"/>
        <v>0.84754937870823843</v>
      </c>
      <c r="AF170" s="2">
        <f>317048.37+206600+428739.2+220922+300000+796906.04+81600+82951.62+84000+74081+157532.8+200000+400000+300000+61020+300000+88553.68+14400+174500+50000+387086.71+1600000+30000+1000000</f>
        <v>7355941.4200000009</v>
      </c>
      <c r="AG170" s="2">
        <f>7355941.42</f>
        <v>7355941.4199999999</v>
      </c>
      <c r="AH170" s="2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170" s="2"/>
      <c r="AJ170" s="2"/>
      <c r="AK170" s="2"/>
      <c r="AL170" s="2">
        <f>7552961.89</f>
        <v>7552961.8899999997</v>
      </c>
      <c r="AM170" s="4">
        <v>3.7400000000000003E-2</v>
      </c>
      <c r="AN170" s="4">
        <f t="shared" si="71"/>
        <v>283118</v>
      </c>
      <c r="AO170" s="2">
        <f>283118</f>
        <v>283118</v>
      </c>
      <c r="AP170" s="2">
        <f>283118</f>
        <v>283118</v>
      </c>
      <c r="AQ170" s="2">
        <f t="shared" si="24"/>
        <v>0</v>
      </c>
      <c r="AR170" s="2"/>
      <c r="AS170" s="2"/>
      <c r="AT170" s="2"/>
    </row>
    <row r="171" spans="1:46" x14ac:dyDescent="0.15">
      <c r="A171" s="34">
        <v>41108</v>
      </c>
      <c r="B171" s="2" t="s">
        <v>1813</v>
      </c>
      <c r="C171" s="2" t="s">
        <v>600</v>
      </c>
      <c r="D171" s="2" t="s">
        <v>689</v>
      </c>
      <c r="E171" s="2" t="s">
        <v>0</v>
      </c>
      <c r="F171" s="2" t="s">
        <v>690</v>
      </c>
      <c r="G171" s="2" t="s">
        <v>671</v>
      </c>
      <c r="H171" s="2" t="s">
        <v>228</v>
      </c>
      <c r="I171" s="2" t="s">
        <v>120</v>
      </c>
      <c r="J171" s="2" t="s">
        <v>119</v>
      </c>
      <c r="K171" s="2" t="s">
        <v>13</v>
      </c>
      <c r="L171" s="2"/>
      <c r="M171" s="2">
        <v>8443771</v>
      </c>
      <c r="N171" s="2">
        <f>1126543.36</f>
        <v>1126543.3600000001</v>
      </c>
      <c r="O171" s="2"/>
      <c r="P171" s="2"/>
      <c r="Q171" s="3" t="s">
        <v>691</v>
      </c>
      <c r="R171" s="41">
        <v>41127</v>
      </c>
      <c r="S171" s="2">
        <v>2534</v>
      </c>
      <c r="T171" s="2"/>
      <c r="U171" s="2" t="s">
        <v>673</v>
      </c>
      <c r="V171" s="4">
        <v>0.03</v>
      </c>
      <c r="W171" s="2">
        <f t="shared" si="72"/>
        <v>287109.43079999997</v>
      </c>
      <c r="X171" s="2">
        <f>253313+33796</f>
        <v>287109</v>
      </c>
      <c r="Y171" s="2">
        <f>287109</f>
        <v>287109</v>
      </c>
      <c r="Z171" s="2">
        <v>0</v>
      </c>
      <c r="AA171" s="2">
        <f>4000000+1000000+800000+899000+1400000+500000</f>
        <v>8599000</v>
      </c>
      <c r="AB171" s="2">
        <f>8599000</f>
        <v>8599000</v>
      </c>
      <c r="AC171" s="2">
        <f>4000000+1000000+800000+899000+1400000+500000</f>
        <v>8599000</v>
      </c>
      <c r="AD171" s="2">
        <f>8599000</f>
        <v>8599000</v>
      </c>
      <c r="AE171" s="4">
        <f t="shared" si="70"/>
        <v>0.89850758047617574</v>
      </c>
      <c r="AF171" s="2">
        <f>10132.53+2000000+7943.73+294964+150000+181500+300000+163490+350000+700000+100000+1100000+600000</f>
        <v>5958030.2599999998</v>
      </c>
      <c r="AG171" s="2">
        <f>5958030.26</f>
        <v>5958030.2599999998</v>
      </c>
      <c r="AH171" s="2">
        <f>10132.53+2864800+294964+200000+150000+150000+50000+250000+918578+19695+27200+300000+163490+350000+30566+700000+100000-50000+47600+1100000+300000+17000+600000</f>
        <v>8594025.5299999993</v>
      </c>
      <c r="AI171" s="2"/>
      <c r="AJ171" s="2"/>
      <c r="AK171" s="2"/>
      <c r="AL171" s="2">
        <f>8594025.53</f>
        <v>8594025.5299999993</v>
      </c>
      <c r="AM171" s="4">
        <v>3.4000000000000002E-2</v>
      </c>
      <c r="AN171" s="4">
        <f t="shared" si="71"/>
        <v>292366</v>
      </c>
      <c r="AO171" s="2">
        <f>136000+34000+27200+30566+47600+17000</f>
        <v>292366</v>
      </c>
      <c r="AP171" s="2">
        <f>292366</f>
        <v>292366</v>
      </c>
      <c r="AQ171" s="2">
        <f t="shared" si="24"/>
        <v>0</v>
      </c>
      <c r="AR171" s="2"/>
      <c r="AS171" s="2">
        <v>72</v>
      </c>
      <c r="AT171" s="2" t="s">
        <v>692</v>
      </c>
    </row>
    <row r="172" spans="1:46" x14ac:dyDescent="0.15">
      <c r="A172" s="34">
        <v>41113</v>
      </c>
      <c r="B172" s="2" t="s">
        <v>1814</v>
      </c>
      <c r="C172" s="2" t="s">
        <v>601</v>
      </c>
      <c r="D172" s="2" t="s">
        <v>693</v>
      </c>
      <c r="E172" s="2" t="s">
        <v>0</v>
      </c>
      <c r="F172" s="2" t="s">
        <v>694</v>
      </c>
      <c r="G172" s="2" t="s">
        <v>671</v>
      </c>
      <c r="H172" s="2" t="s">
        <v>695</v>
      </c>
      <c r="I172" s="2" t="s">
        <v>696</v>
      </c>
      <c r="J172" s="2" t="s">
        <v>697</v>
      </c>
      <c r="K172" s="2" t="s">
        <v>688</v>
      </c>
      <c r="L172" s="2"/>
      <c r="M172" s="2">
        <v>4520000</v>
      </c>
      <c r="N172" s="2"/>
      <c r="O172" s="2"/>
      <c r="P172" s="2"/>
      <c r="Q172" s="3" t="s">
        <v>698</v>
      </c>
      <c r="R172" s="41">
        <v>41114</v>
      </c>
      <c r="S172" s="2">
        <v>1356</v>
      </c>
      <c r="T172" s="2"/>
      <c r="U172" s="2" t="s">
        <v>673</v>
      </c>
      <c r="V172" s="4">
        <v>3.5999999999999997E-2</v>
      </c>
      <c r="W172" s="2">
        <f t="shared" si="72"/>
        <v>162720</v>
      </c>
      <c r="X172" s="2">
        <f>100000+62720</f>
        <v>162720</v>
      </c>
      <c r="Y172" s="2">
        <f>162720</f>
        <v>162720</v>
      </c>
      <c r="Z172" s="2">
        <f t="shared" si="73"/>
        <v>0</v>
      </c>
      <c r="AA172" s="2">
        <f>1356000+1356000+904000+779540.75</f>
        <v>4395540.75</v>
      </c>
      <c r="AB172" s="2">
        <f>4395540.75</f>
        <v>4395540.75</v>
      </c>
      <c r="AC172" s="2">
        <f>1356000+1356000+904000</f>
        <v>3616000</v>
      </c>
      <c r="AD172" s="2">
        <f>3616000</f>
        <v>3616000</v>
      </c>
      <c r="AE172" s="4">
        <f t="shared" si="70"/>
        <v>0.8</v>
      </c>
      <c r="AF172" s="2">
        <f>882756+320000+100000+1357716+824000+49264</f>
        <v>3533736</v>
      </c>
      <c r="AG172" s="2">
        <f>3533736</f>
        <v>3533736</v>
      </c>
      <c r="AH172" s="2">
        <f>934284+320000+100000+1357716+854736+49264</f>
        <v>3616000</v>
      </c>
      <c r="AI172" s="2"/>
      <c r="AJ172" s="2"/>
      <c r="AK172" s="2"/>
      <c r="AL172" s="2">
        <f>3616000</f>
        <v>3616000</v>
      </c>
      <c r="AM172" s="4">
        <v>3.4000000000000002E-2</v>
      </c>
      <c r="AN172" s="4">
        <f t="shared" si="71"/>
        <v>149448.3855</v>
      </c>
      <c r="AO172" s="2">
        <f>46104+46104+30736+26504</f>
        <v>149448</v>
      </c>
      <c r="AP172" s="2">
        <f>149448</f>
        <v>149448</v>
      </c>
      <c r="AQ172" s="2">
        <f t="shared" si="24"/>
        <v>0.38550000000395812</v>
      </c>
      <c r="AR172" s="2"/>
      <c r="AS172" s="2"/>
      <c r="AT172" s="2"/>
    </row>
    <row r="173" spans="1:46" x14ac:dyDescent="0.15">
      <c r="A173" s="34">
        <v>41113</v>
      </c>
      <c r="B173" s="2" t="s">
        <v>1815</v>
      </c>
      <c r="C173" s="2" t="s">
        <v>602</v>
      </c>
      <c r="D173" s="2" t="s">
        <v>699</v>
      </c>
      <c r="E173" s="2" t="s">
        <v>0</v>
      </c>
      <c r="F173" s="2" t="s">
        <v>85</v>
      </c>
      <c r="G173" s="2" t="s">
        <v>671</v>
      </c>
      <c r="H173" s="2" t="s">
        <v>86</v>
      </c>
      <c r="I173" s="2" t="s">
        <v>87</v>
      </c>
      <c r="J173" s="2" t="s">
        <v>86</v>
      </c>
      <c r="K173" s="2" t="s">
        <v>13</v>
      </c>
      <c r="L173" s="2"/>
      <c r="M173" s="2">
        <v>8171765</v>
      </c>
      <c r="N173" s="2"/>
      <c r="O173" s="2"/>
      <c r="P173" s="2"/>
      <c r="Q173" s="3" t="s">
        <v>700</v>
      </c>
      <c r="R173" s="41">
        <v>41135</v>
      </c>
      <c r="S173" s="2">
        <v>2452</v>
      </c>
      <c r="T173" s="2"/>
      <c r="U173" s="2" t="s">
        <v>673</v>
      </c>
      <c r="V173" s="4">
        <v>0.03</v>
      </c>
      <c r="W173" s="2">
        <f t="shared" si="72"/>
        <v>245152.94999999998</v>
      </c>
      <c r="X173" s="2">
        <f>245153</f>
        <v>245153</v>
      </c>
      <c r="Y173" s="2">
        <f>245153</f>
        <v>245153</v>
      </c>
      <c r="Z173" s="2">
        <v>0</v>
      </c>
      <c r="AA173" s="2">
        <f>3000000+2000000+1000000</f>
        <v>6000000</v>
      </c>
      <c r="AB173" s="2">
        <f>6000000</f>
        <v>6000000</v>
      </c>
      <c r="AC173" s="2">
        <f>3000000+2000000+1000000</f>
        <v>6000000</v>
      </c>
      <c r="AD173" s="2">
        <f>6000000</f>
        <v>6000000</v>
      </c>
      <c r="AE173" s="4">
        <f t="shared" si="70"/>
        <v>0.73423550481444344</v>
      </c>
      <c r="AF173" s="2">
        <f>800000+549940+599995+19064.7+499995+100000+16327+7778.75+73078+63360+62496+99999+999990+119033+99000+10112+299987+50000+499970+593488.9+50000</f>
        <v>5613614.3500000006</v>
      </c>
      <c r="AG173" s="2">
        <f>5613614.35</f>
        <v>5613614.3499999996</v>
      </c>
      <c r="AH173" s="2">
        <f>902000+558112+599995+63219.7+499995+100000+100000-100000+7778.75+73078+63360+62496+60000+1191342.25+159032+99000+41000+10112+299987+84000+499970+593488.9-41000+50000+2394+12400</f>
        <v>5991760.6000000006</v>
      </c>
      <c r="AI173" s="2"/>
      <c r="AJ173" s="2"/>
      <c r="AK173" s="2"/>
      <c r="AL173" s="2">
        <f>5991760.6</f>
        <v>5991760.5999999996</v>
      </c>
      <c r="AM173" s="4">
        <v>3.4000000000000002E-2</v>
      </c>
      <c r="AN173" s="4">
        <f t="shared" si="71"/>
        <v>204000.00000000003</v>
      </c>
      <c r="AO173" s="2">
        <f>102000+68000+34000</f>
        <v>204000</v>
      </c>
      <c r="AP173" s="2">
        <f>204000</f>
        <v>204000</v>
      </c>
      <c r="AQ173" s="2">
        <f t="shared" si="24"/>
        <v>0</v>
      </c>
      <c r="AR173" s="2"/>
      <c r="AS173" s="2">
        <v>100</v>
      </c>
      <c r="AT173" s="2" t="s">
        <v>674</v>
      </c>
    </row>
    <row r="174" spans="1:46" x14ac:dyDescent="0.15">
      <c r="A174" s="34">
        <v>41128</v>
      </c>
      <c r="B174" s="2" t="s">
        <v>1816</v>
      </c>
      <c r="C174" s="2" t="s">
        <v>603</v>
      </c>
      <c r="D174" s="2" t="s">
        <v>701</v>
      </c>
      <c r="E174" s="2" t="s">
        <v>0</v>
      </c>
      <c r="F174" s="2" t="s">
        <v>702</v>
      </c>
      <c r="G174" s="2" t="s">
        <v>671</v>
      </c>
      <c r="H174" s="2" t="s">
        <v>11</v>
      </c>
      <c r="I174" s="2" t="s">
        <v>12</v>
      </c>
      <c r="J174" s="2" t="s">
        <v>11</v>
      </c>
      <c r="K174" s="2" t="s">
        <v>13</v>
      </c>
      <c r="L174" s="2"/>
      <c r="M174" s="2">
        <v>5170956.9400000004</v>
      </c>
      <c r="N174" s="2"/>
      <c r="O174" s="2"/>
      <c r="P174" s="2"/>
      <c r="Q174" s="3" t="s">
        <v>703</v>
      </c>
      <c r="R174" s="41">
        <v>41150</v>
      </c>
      <c r="S174" s="2">
        <v>1552</v>
      </c>
      <c r="T174" s="2"/>
      <c r="U174" s="2" t="s">
        <v>673</v>
      </c>
      <c r="V174" s="4">
        <v>0.03</v>
      </c>
      <c r="W174" s="2">
        <f t="shared" si="72"/>
        <v>155128.70819999999</v>
      </c>
      <c r="X174" s="2">
        <f>80000+75129</f>
        <v>155129</v>
      </c>
      <c r="Y174" s="2">
        <f>155129</f>
        <v>155129</v>
      </c>
      <c r="Z174" s="2">
        <v>0</v>
      </c>
      <c r="AA174" s="2">
        <f>500000+500000+1000000+2136765.55+775643.54</f>
        <v>4912409.09</v>
      </c>
      <c r="AB174" s="2">
        <f>4912409.09</f>
        <v>4912409.09</v>
      </c>
      <c r="AC174" s="2">
        <f>500000+500000+1000000+2136765.55+775643.54</f>
        <v>4912409.09</v>
      </c>
      <c r="AD174" s="2">
        <f>4912409.09</f>
        <v>4912409.09</v>
      </c>
      <c r="AE174" s="4">
        <f t="shared" si="70"/>
        <v>0.94999999941983648</v>
      </c>
      <c r="AF174" s="2">
        <f>88900+390795+432480+746378.45+170000+41200+2038329+18200+750000</f>
        <v>4676282.45</v>
      </c>
      <c r="AG174" s="2">
        <f>4676282.45</f>
        <v>4676282.45</v>
      </c>
      <c r="AH174" s="2">
        <f>105900+390795+449480+50000+780378.45+178800+41200+2110979+18200+776372</f>
        <v>4902104.45</v>
      </c>
      <c r="AI174" s="2"/>
      <c r="AJ174" s="2"/>
      <c r="AK174" s="2"/>
      <c r="AL174" s="2">
        <f>4902104.45</f>
        <v>4902104.45</v>
      </c>
      <c r="AM174" s="4">
        <v>3.4000000000000002E-2</v>
      </c>
      <c r="AN174" s="4">
        <f t="shared" si="71"/>
        <v>167021.90906000001</v>
      </c>
      <c r="AO174" s="2">
        <f>17000+17000+34000+72650+26372</f>
        <v>167022</v>
      </c>
      <c r="AP174" s="2">
        <f>167022</f>
        <v>167022</v>
      </c>
      <c r="AQ174" s="2">
        <f t="shared" si="24"/>
        <v>-9.0939999994589016E-2</v>
      </c>
      <c r="AR174" s="2"/>
      <c r="AS174" s="2">
        <v>16</v>
      </c>
      <c r="AT174" s="2" t="s">
        <v>692</v>
      </c>
    </row>
    <row r="175" spans="1:46" s="9" customFormat="1" x14ac:dyDescent="0.15">
      <c r="A175" s="35">
        <v>41130</v>
      </c>
      <c r="B175" s="2" t="s">
        <v>1817</v>
      </c>
      <c r="C175" s="6" t="s">
        <v>604</v>
      </c>
      <c r="D175" s="6" t="s">
        <v>704</v>
      </c>
      <c r="E175" s="6" t="s">
        <v>0</v>
      </c>
      <c r="F175" s="6" t="s">
        <v>361</v>
      </c>
      <c r="G175" s="6" t="s">
        <v>671</v>
      </c>
      <c r="H175" s="6" t="s">
        <v>362</v>
      </c>
      <c r="I175" s="6" t="s">
        <v>54</v>
      </c>
      <c r="J175" s="6" t="s">
        <v>57</v>
      </c>
      <c r="K175" s="6" t="s">
        <v>13</v>
      </c>
      <c r="L175" s="6"/>
      <c r="M175" s="6">
        <v>7737463.3499999996</v>
      </c>
      <c r="N175" s="6">
        <f>811799</f>
        <v>811799</v>
      </c>
      <c r="O175" s="6"/>
      <c r="P175" s="6"/>
      <c r="Q175" s="7" t="s">
        <v>705</v>
      </c>
      <c r="R175" s="42">
        <v>41171</v>
      </c>
      <c r="S175" s="6">
        <v>2321</v>
      </c>
      <c r="T175" s="6"/>
      <c r="U175" s="6" t="s">
        <v>673</v>
      </c>
      <c r="V175" s="8">
        <v>0.03</v>
      </c>
      <c r="W175" s="6">
        <f t="shared" si="72"/>
        <v>256477.87049999999</v>
      </c>
      <c r="X175" s="6">
        <f>70000+162124+24354</f>
        <v>256478</v>
      </c>
      <c r="Y175" s="6">
        <f>232124+24354</f>
        <v>256478</v>
      </c>
      <c r="Z175" s="6">
        <v>0</v>
      </c>
      <c r="AA175" s="6">
        <f>1547492.67+2321239.01+2321239.01+386873.17+773746.34+386873.16</f>
        <v>7737463.3599999994</v>
      </c>
      <c r="AB175" s="6">
        <f>7737463.36</f>
        <v>7737463.3600000003</v>
      </c>
      <c r="AC175" s="6">
        <f>1547492.67+2321239.01+2321239.01+386873.17+773746.34+386873.16</f>
        <v>7737463.3599999994</v>
      </c>
      <c r="AD175" s="6">
        <f>7737463.36</f>
        <v>7737463.3600000003</v>
      </c>
      <c r="AE175" s="8">
        <f t="shared" si="70"/>
        <v>0.90504455744067791</v>
      </c>
      <c r="AF175" s="6">
        <f>323212.39+756000+250001.5+70000+1859895.5+200000+2198228.61+100000+181610+199980+300000+94863+142753.11+231000+1183</f>
        <v>6908727.1100000003</v>
      </c>
      <c r="AG175" s="6">
        <f>6908727.11</f>
        <v>6908727.1100000003</v>
      </c>
      <c r="AH175" s="6">
        <f>441254.49+756000+250001.5+148922+1859895.5+278922+2198228.61+200000+13154+400000+26307+181610+199980+300000+94863+155907.11+231000</f>
        <v>7736045.21</v>
      </c>
      <c r="AI175" s="6">
        <v>38</v>
      </c>
      <c r="AJ175" s="6">
        <v>402</v>
      </c>
      <c r="AK175" s="6">
        <v>743</v>
      </c>
      <c r="AL175" s="6">
        <f>7736045.21+38+402+743</f>
        <v>7737228.21</v>
      </c>
      <c r="AM175" s="8">
        <v>3.4000000000000002E-2</v>
      </c>
      <c r="AN175" s="8">
        <f t="shared" si="71"/>
        <v>263073.75424000004</v>
      </c>
      <c r="AO175" s="6">
        <f>52615+78922+78922+13154+26307+13154</f>
        <v>263074</v>
      </c>
      <c r="AP175" s="6">
        <f>263074</f>
        <v>263074</v>
      </c>
      <c r="AQ175" s="6">
        <f t="shared" si="24"/>
        <v>-0.24575999996159226</v>
      </c>
      <c r="AR175" s="6"/>
      <c r="AS175" s="6">
        <v>10</v>
      </c>
      <c r="AT175" s="6" t="s">
        <v>674</v>
      </c>
    </row>
    <row r="176" spans="1:46" s="20" customFormat="1" x14ac:dyDescent="0.15">
      <c r="A176" s="37">
        <v>41130</v>
      </c>
      <c r="B176" s="2" t="s">
        <v>1818</v>
      </c>
      <c r="C176" s="17" t="s">
        <v>605</v>
      </c>
      <c r="D176" s="17" t="s">
        <v>724</v>
      </c>
      <c r="E176" s="17" t="s">
        <v>725</v>
      </c>
      <c r="F176" s="17" t="s">
        <v>726</v>
      </c>
      <c r="G176" s="17" t="s">
        <v>289</v>
      </c>
      <c r="H176" s="17" t="s">
        <v>477</v>
      </c>
      <c r="I176" s="17" t="s">
        <v>727</v>
      </c>
      <c r="J176" s="17" t="s">
        <v>248</v>
      </c>
      <c r="K176" s="17" t="s">
        <v>292</v>
      </c>
      <c r="L176" s="17"/>
      <c r="M176" s="17">
        <v>1615034.9</v>
      </c>
      <c r="N176" s="17">
        <f>1527323.5+1503973.3+5590963.1+1918613.4+8500000+1929960.1</f>
        <v>20970833.399999999</v>
      </c>
      <c r="O176" s="17"/>
      <c r="P176" s="17"/>
      <c r="Q176" s="18" t="s">
        <v>728</v>
      </c>
      <c r="R176" s="44">
        <v>41134</v>
      </c>
      <c r="S176" s="17">
        <v>485</v>
      </c>
      <c r="T176" s="17"/>
      <c r="U176" s="17" t="s">
        <v>335</v>
      </c>
      <c r="V176" s="19">
        <v>0.03</v>
      </c>
      <c r="W176" s="17">
        <f t="shared" si="72"/>
        <v>677576.04899999988</v>
      </c>
      <c r="X176" s="17">
        <f>58141+100000+100000+419435</f>
        <v>677576</v>
      </c>
      <c r="Y176" s="17">
        <f>677576</f>
        <v>677576</v>
      </c>
      <c r="Z176" s="17">
        <v>0</v>
      </c>
      <c r="AA176" s="17">
        <f>500000+300000+850000+1000000+200000+2000000+2000000+1500000+1500000+500000+2000000+2000000+500000+1500000+500000+1500000+700000+700000</f>
        <v>19750000</v>
      </c>
      <c r="AB176" s="17">
        <f>19750000</f>
        <v>19750000</v>
      </c>
      <c r="AC176" s="17">
        <f>500000+300000+850000+1000000+200000+1400000+2000000+1500000+400000+1500000+500000+2000000+2000000+500000+1500000+500000+1500000+700000</f>
        <v>18850000</v>
      </c>
      <c r="AD176" s="17">
        <f>18850000</f>
        <v>18850000</v>
      </c>
      <c r="AE176" s="19">
        <f t="shared" si="70"/>
        <v>0.83459266429885282</v>
      </c>
      <c r="AF176" s="17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176" s="17">
        <f>16568345.4</f>
        <v>16568345.4</v>
      </c>
      <c r="AH176" s="17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176" s="17"/>
      <c r="AJ176" s="17"/>
      <c r="AK176" s="17"/>
      <c r="AL176" s="17">
        <f>18818897.61</f>
        <v>18818897.609999999</v>
      </c>
      <c r="AM176" s="19">
        <v>3.4000000000000002E-2</v>
      </c>
      <c r="AN176" s="19">
        <f t="shared" si="71"/>
        <v>671500</v>
      </c>
      <c r="AO176" s="17">
        <f>17000+10200+28900+34000+6800+68000+68000+51000+51000+17000+68000+68000+17000+51000+17000+51000+23800+23800</f>
        <v>671500</v>
      </c>
      <c r="AP176" s="17">
        <f>671500</f>
        <v>671500</v>
      </c>
      <c r="AQ176" s="2">
        <f t="shared" si="24"/>
        <v>0</v>
      </c>
      <c r="AR176" s="17"/>
      <c r="AS176" s="17">
        <v>304</v>
      </c>
      <c r="AT176" s="17" t="s">
        <v>723</v>
      </c>
    </row>
    <row r="177" spans="1:46" s="9" customFormat="1" x14ac:dyDescent="0.15">
      <c r="A177" s="35">
        <v>41131</v>
      </c>
      <c r="B177" s="2" t="s">
        <v>1819</v>
      </c>
      <c r="C177" s="6" t="s">
        <v>714</v>
      </c>
      <c r="D177" s="6" t="s">
        <v>729</v>
      </c>
      <c r="E177" s="6" t="s">
        <v>730</v>
      </c>
      <c r="F177" s="6" t="s">
        <v>731</v>
      </c>
      <c r="G177" s="6" t="s">
        <v>709</v>
      </c>
      <c r="H177" s="6" t="s">
        <v>732</v>
      </c>
      <c r="I177" s="2" t="s">
        <v>23</v>
      </c>
      <c r="J177" s="2" t="s">
        <v>22</v>
      </c>
      <c r="K177" s="2" t="s">
        <v>13</v>
      </c>
      <c r="L177" s="6"/>
      <c r="M177" s="6">
        <v>809793.38</v>
      </c>
      <c r="N177" s="6">
        <f>170789</f>
        <v>170789</v>
      </c>
      <c r="O177" s="6"/>
      <c r="P177" s="6"/>
      <c r="Q177" s="7" t="s">
        <v>733</v>
      </c>
      <c r="R177" s="42">
        <v>41180</v>
      </c>
      <c r="S177" s="6">
        <v>243</v>
      </c>
      <c r="T177" s="6"/>
      <c r="U177" s="6" t="s">
        <v>713</v>
      </c>
      <c r="V177" s="8">
        <v>3.5999999999999997E-2</v>
      </c>
      <c r="W177" s="6">
        <f t="shared" si="72"/>
        <v>35300.965679999994</v>
      </c>
      <c r="X177" s="6">
        <f>29153+6148</f>
        <v>35301</v>
      </c>
      <c r="Y177" s="6">
        <v>35301</v>
      </c>
      <c r="Z177" s="6">
        <v>0</v>
      </c>
      <c r="AA177" s="6">
        <f>242938+100000+161958.7+283427.68+111279+80979</f>
        <v>980582.38</v>
      </c>
      <c r="AB177" s="6">
        <f>980582.38</f>
        <v>980582.38</v>
      </c>
      <c r="AC177" s="6">
        <f>242938+100000+161958.7+283427.68+192258</f>
        <v>980582.38</v>
      </c>
      <c r="AD177" s="6">
        <f>980582.38</f>
        <v>980582.38</v>
      </c>
      <c r="AE177" s="15">
        <f t="shared" si="70"/>
        <v>1</v>
      </c>
      <c r="AF177" s="6">
        <f>200000+99162.15+50000+300000+20000+150000+12634.62+17150</f>
        <v>848946.77</v>
      </c>
      <c r="AG177" s="6">
        <f>848946.77</f>
        <v>848946.77</v>
      </c>
      <c r="AH177" s="6">
        <f>11660+200000+5507+99162.15+132886.6+9637+300000+20000+6537+150000+12634.62+17150</f>
        <v>965174.37</v>
      </c>
      <c r="AI177" s="6"/>
      <c r="AJ177" s="6"/>
      <c r="AK177" s="6"/>
      <c r="AL177" s="6">
        <f>965174.37</f>
        <v>965174.37</v>
      </c>
      <c r="AM177" s="8">
        <v>3.4000000000000002E-2</v>
      </c>
      <c r="AN177" s="8">
        <f t="shared" si="71"/>
        <v>33339.800920000001</v>
      </c>
      <c r="AO177" s="6">
        <f>8260+3400+5507+9637+3783+2753</f>
        <v>33340</v>
      </c>
      <c r="AP177" s="6">
        <f>33340</f>
        <v>33340</v>
      </c>
      <c r="AQ177" s="2">
        <f t="shared" si="24"/>
        <v>-0.1990799999985029</v>
      </c>
      <c r="AR177" s="6"/>
      <c r="AS177" s="6">
        <v>8</v>
      </c>
      <c r="AT177" s="6" t="s">
        <v>734</v>
      </c>
    </row>
    <row r="178" spans="1:46" s="9" customFormat="1" x14ac:dyDescent="0.15">
      <c r="A178" s="35">
        <v>41139</v>
      </c>
      <c r="B178" s="2" t="s">
        <v>1820</v>
      </c>
      <c r="C178" s="6" t="s">
        <v>715</v>
      </c>
      <c r="D178" s="6" t="s">
        <v>735</v>
      </c>
      <c r="E178" s="6" t="s">
        <v>730</v>
      </c>
      <c r="F178" s="6" t="s">
        <v>736</v>
      </c>
      <c r="G178" s="6" t="s">
        <v>737</v>
      </c>
      <c r="H178" s="6" t="s">
        <v>738</v>
      </c>
      <c r="I178" s="2" t="s">
        <v>87</v>
      </c>
      <c r="J178" s="2" t="s">
        <v>86</v>
      </c>
      <c r="K178" s="2" t="s">
        <v>13</v>
      </c>
      <c r="L178" s="6"/>
      <c r="M178" s="6">
        <v>8155117</v>
      </c>
      <c r="N178" s="6"/>
      <c r="O178" s="6"/>
      <c r="P178" s="6"/>
      <c r="Q178" s="7" t="s">
        <v>739</v>
      </c>
      <c r="R178" s="42">
        <v>41156</v>
      </c>
      <c r="S178" s="6">
        <v>2447</v>
      </c>
      <c r="T178" s="6"/>
      <c r="U178" s="6" t="s">
        <v>713</v>
      </c>
      <c r="V178" s="8">
        <v>0.03</v>
      </c>
      <c r="W178" s="6">
        <f t="shared" si="72"/>
        <v>244653.50999999998</v>
      </c>
      <c r="X178" s="6">
        <f>244654</f>
        <v>244654</v>
      </c>
      <c r="Y178" s="6">
        <f>244654</f>
        <v>244654</v>
      </c>
      <c r="Z178" s="6">
        <v>0</v>
      </c>
      <c r="AA178" s="6">
        <f>3000000+1000000+3500000</f>
        <v>7500000</v>
      </c>
      <c r="AB178" s="6">
        <f>7500000</f>
        <v>7500000</v>
      </c>
      <c r="AC178" s="6">
        <f>3000000+1000000+3500000</f>
        <v>7500000</v>
      </c>
      <c r="AD178" s="6">
        <f>7500000</f>
        <v>7500000</v>
      </c>
      <c r="AE178" s="15">
        <f t="shared" si="70"/>
        <v>0.91966798269111283</v>
      </c>
      <c r="AF178" s="6">
        <f>1199988+1493103.7+150000+250000+50000+208830+154947+2299808+50000+296012+100000+149848+499995+6095.25+13000</f>
        <v>6921626.9500000002</v>
      </c>
      <c r="AG178" s="6">
        <f>6921626.95</f>
        <v>6921626.9500000002</v>
      </c>
      <c r="AH178" s="6">
        <f>2095098.7+699993+150000+34000+250000+50000+208830+321683.73+154947+2418808+50000+296012+100000+149848+499995+6095.25+13000</f>
        <v>7498310.6799999997</v>
      </c>
      <c r="AI178" s="6"/>
      <c r="AJ178" s="6"/>
      <c r="AK178" s="6"/>
      <c r="AL178" s="6">
        <f>7498310.68</f>
        <v>7498310.6799999997</v>
      </c>
      <c r="AM178" s="8">
        <v>3.4000000000000002E-2</v>
      </c>
      <c r="AN178" s="8">
        <f t="shared" si="71"/>
        <v>255000.00000000003</v>
      </c>
      <c r="AO178" s="6">
        <f>102000+34000+119000</f>
        <v>255000</v>
      </c>
      <c r="AP178" s="6">
        <f>255000</f>
        <v>255000</v>
      </c>
      <c r="AQ178" s="2">
        <f t="shared" ref="AQ178:AQ241" si="74">AN178-AP178</f>
        <v>0</v>
      </c>
      <c r="AR178" s="6"/>
      <c r="AS178" s="6">
        <v>110</v>
      </c>
      <c r="AT178" s="6" t="s">
        <v>740</v>
      </c>
    </row>
    <row r="179" spans="1:46" s="9" customFormat="1" x14ac:dyDescent="0.15">
      <c r="A179" s="35">
        <v>41139</v>
      </c>
      <c r="B179" s="2" t="s">
        <v>1821</v>
      </c>
      <c r="C179" s="6" t="s">
        <v>716</v>
      </c>
      <c r="D179" s="6" t="s">
        <v>741</v>
      </c>
      <c r="E179" s="6" t="s">
        <v>730</v>
      </c>
      <c r="F179" s="6" t="s">
        <v>742</v>
      </c>
      <c r="G179" s="6" t="s">
        <v>743</v>
      </c>
      <c r="H179" s="6" t="s">
        <v>732</v>
      </c>
      <c r="I179" s="2" t="s">
        <v>23</v>
      </c>
      <c r="J179" s="2" t="s">
        <v>22</v>
      </c>
      <c r="K179" s="2" t="s">
        <v>13</v>
      </c>
      <c r="L179" s="6"/>
      <c r="M179" s="6">
        <v>550202.96</v>
      </c>
      <c r="N179" s="6"/>
      <c r="O179" s="6"/>
      <c r="P179" s="6"/>
      <c r="Q179" s="7" t="s">
        <v>744</v>
      </c>
      <c r="R179" s="42">
        <v>41180</v>
      </c>
      <c r="S179" s="6">
        <v>166</v>
      </c>
      <c r="T179" s="6"/>
      <c r="U179" s="6" t="s">
        <v>713</v>
      </c>
      <c r="V179" s="8">
        <v>3.5999999999999997E-2</v>
      </c>
      <c r="W179" s="6">
        <f t="shared" si="72"/>
        <v>19807.306559999997</v>
      </c>
      <c r="X179" s="6">
        <f>19807</f>
        <v>19807</v>
      </c>
      <c r="Y179" s="6">
        <f>19807</f>
        <v>19807</v>
      </c>
      <c r="Z179" s="6">
        <v>0</v>
      </c>
      <c r="AA179" s="6">
        <f>137357.91+269586.22</f>
        <v>406944.13</v>
      </c>
      <c r="AB179" s="6">
        <f>406944.13</f>
        <v>406944.13</v>
      </c>
      <c r="AC179" s="6">
        <f>137357.91+269586.22</f>
        <v>406944.13</v>
      </c>
      <c r="AD179" s="6">
        <f>406944.13</f>
        <v>406944.13</v>
      </c>
      <c r="AE179" s="15">
        <f t="shared" si="70"/>
        <v>0.73962548293088071</v>
      </c>
      <c r="AF179" s="6">
        <f>70000+50000+239488+31411</f>
        <v>390899</v>
      </c>
      <c r="AG179" s="6">
        <f>390899</f>
        <v>390899</v>
      </c>
      <c r="AH179" s="6">
        <f>74670+50000+9166+239488+31411</f>
        <v>404735</v>
      </c>
      <c r="AI179" s="6"/>
      <c r="AJ179" s="6"/>
      <c r="AK179" s="6"/>
      <c r="AL179" s="6">
        <f>404735</f>
        <v>404735</v>
      </c>
      <c r="AM179" s="8">
        <v>3.4000000000000002E-2</v>
      </c>
      <c r="AN179" s="8">
        <f t="shared" si="71"/>
        <v>13836.100420000001</v>
      </c>
      <c r="AO179" s="6">
        <f>4670+9166</f>
        <v>13836</v>
      </c>
      <c r="AP179" s="6">
        <f>13836</f>
        <v>13836</v>
      </c>
      <c r="AQ179" s="2">
        <f t="shared" si="74"/>
        <v>0.10042000000066764</v>
      </c>
      <c r="AR179" s="6"/>
      <c r="AS179" s="6">
        <v>6</v>
      </c>
      <c r="AT179" s="6" t="s">
        <v>734</v>
      </c>
    </row>
    <row r="180" spans="1:46" s="9" customFormat="1" x14ac:dyDescent="0.15">
      <c r="A180" s="35">
        <v>41139</v>
      </c>
      <c r="B180" s="2" t="s">
        <v>1822</v>
      </c>
      <c r="C180" s="6" t="s">
        <v>717</v>
      </c>
      <c r="D180" s="6" t="s">
        <v>745</v>
      </c>
      <c r="E180" s="6" t="s">
        <v>730</v>
      </c>
      <c r="F180" s="6" t="s">
        <v>746</v>
      </c>
      <c r="G180" s="6" t="s">
        <v>737</v>
      </c>
      <c r="H180" s="6" t="s">
        <v>732</v>
      </c>
      <c r="I180" s="2" t="s">
        <v>23</v>
      </c>
      <c r="J180" s="2" t="s">
        <v>22</v>
      </c>
      <c r="K180" s="2" t="s">
        <v>13</v>
      </c>
      <c r="L180" s="6"/>
      <c r="M180" s="6">
        <f>210821.7</f>
        <v>210821.7</v>
      </c>
      <c r="N180" s="6"/>
      <c r="O180" s="6"/>
      <c r="P180" s="6"/>
      <c r="Q180" s="7" t="s">
        <v>747</v>
      </c>
      <c r="R180" s="42">
        <v>41180</v>
      </c>
      <c r="S180" s="6">
        <v>60</v>
      </c>
      <c r="T180" s="6"/>
      <c r="U180" s="6" t="s">
        <v>713</v>
      </c>
      <c r="V180" s="8">
        <v>3.5999999999999997E-2</v>
      </c>
      <c r="W180" s="6">
        <f t="shared" si="72"/>
        <v>7589.5811999999996</v>
      </c>
      <c r="X180" s="6">
        <f>7590</f>
        <v>7590</v>
      </c>
      <c r="Y180" s="6">
        <f>7590</f>
        <v>7590</v>
      </c>
      <c r="Z180" s="6">
        <v>0</v>
      </c>
      <c r="AA180" s="6">
        <f>59487.33+99145.56</f>
        <v>158632.89000000001</v>
      </c>
      <c r="AB180" s="6">
        <f>158632.89</f>
        <v>158632.89000000001</v>
      </c>
      <c r="AC180" s="6"/>
      <c r="AD180" s="6"/>
      <c r="AE180" s="15">
        <f t="shared" si="70"/>
        <v>0</v>
      </c>
      <c r="AF180" s="6"/>
      <c r="AG180" s="6"/>
      <c r="AH180" s="6"/>
      <c r="AI180" s="6"/>
      <c r="AJ180" s="6"/>
      <c r="AK180" s="6"/>
      <c r="AL180" s="6"/>
      <c r="AM180" s="8">
        <v>3.4000000000000002E-2</v>
      </c>
      <c r="AN180" s="8">
        <f t="shared" si="71"/>
        <v>5393.5182600000007</v>
      </c>
      <c r="AO180" s="6"/>
      <c r="AP180" s="6"/>
      <c r="AQ180" s="2">
        <f t="shared" si="74"/>
        <v>5393.5182600000007</v>
      </c>
      <c r="AR180" s="6"/>
      <c r="AS180" s="6"/>
      <c r="AT180" s="6"/>
    </row>
    <row r="181" spans="1:46" s="9" customFormat="1" x14ac:dyDescent="0.15">
      <c r="A181" s="35">
        <v>41223</v>
      </c>
      <c r="B181" s="2" t="s">
        <v>1823</v>
      </c>
      <c r="C181" s="6" t="s">
        <v>718</v>
      </c>
      <c r="D181" s="6" t="s">
        <v>748</v>
      </c>
      <c r="E181" s="6" t="s">
        <v>730</v>
      </c>
      <c r="F181" s="6" t="s">
        <v>749</v>
      </c>
      <c r="G181" s="6" t="s">
        <v>750</v>
      </c>
      <c r="H181" s="6" t="s">
        <v>751</v>
      </c>
      <c r="I181" s="2" t="s">
        <v>332</v>
      </c>
      <c r="J181" s="2" t="s">
        <v>333</v>
      </c>
      <c r="K181" s="2" t="s">
        <v>310</v>
      </c>
      <c r="L181" s="6"/>
      <c r="M181" s="6">
        <v>9533989.0600000005</v>
      </c>
      <c r="N181" s="6"/>
      <c r="O181" s="6"/>
      <c r="P181" s="6"/>
      <c r="Q181" s="7" t="s">
        <v>752</v>
      </c>
      <c r="R181" s="42">
        <v>41310</v>
      </c>
      <c r="S181" s="6">
        <v>2861</v>
      </c>
      <c r="T181" s="6"/>
      <c r="U181" s="6" t="s">
        <v>713</v>
      </c>
      <c r="V181" s="8">
        <v>0.03</v>
      </c>
      <c r="W181" s="6">
        <f t="shared" si="72"/>
        <v>286019.67180000001</v>
      </c>
      <c r="X181" s="6">
        <f>210000</f>
        <v>210000</v>
      </c>
      <c r="Y181" s="6">
        <f>210000</f>
        <v>210000</v>
      </c>
      <c r="Z181" s="6">
        <f>W181-Y181</f>
        <v>76019.671800000011</v>
      </c>
      <c r="AA181" s="6">
        <f>6000000</f>
        <v>6000000</v>
      </c>
      <c r="AB181" s="6">
        <f>6000000</f>
        <v>6000000</v>
      </c>
      <c r="AC181" s="6">
        <f>500000+1300000+500000+500000+300000</f>
        <v>3100000</v>
      </c>
      <c r="AD181" s="6">
        <f>3100000</f>
        <v>3100000</v>
      </c>
      <c r="AE181" s="15">
        <f t="shared" si="70"/>
        <v>0.32515246037003526</v>
      </c>
      <c r="AF181" s="6">
        <f>200000+50000+1191000+450000+632000+200000+117500</f>
        <v>2840500</v>
      </c>
      <c r="AG181" s="6">
        <f>2840500</f>
        <v>2840500</v>
      </c>
      <c r="AH181" s="6">
        <f>400000+50000+1191000+450000+2556+632000+200000+117500+201600</f>
        <v>3244656</v>
      </c>
      <c r="AI181" s="6"/>
      <c r="AJ181" s="6"/>
      <c r="AK181" s="6"/>
      <c r="AL181" s="6">
        <f>3244656</f>
        <v>3244656</v>
      </c>
      <c r="AM181" s="8"/>
      <c r="AN181" s="8"/>
      <c r="AO181" s="6"/>
      <c r="AP181" s="6"/>
      <c r="AQ181" s="2">
        <f t="shared" si="74"/>
        <v>0</v>
      </c>
      <c r="AR181" s="6"/>
      <c r="AS181" s="6">
        <v>75</v>
      </c>
      <c r="AT181" s="6" t="s">
        <v>753</v>
      </c>
    </row>
    <row r="182" spans="1:46" s="9" customFormat="1" x14ac:dyDescent="0.15">
      <c r="A182" s="35">
        <v>41143</v>
      </c>
      <c r="B182" s="2" t="s">
        <v>1824</v>
      </c>
      <c r="C182" s="6" t="s">
        <v>719</v>
      </c>
      <c r="D182" s="6" t="s">
        <v>754</v>
      </c>
      <c r="E182" s="6" t="s">
        <v>730</v>
      </c>
      <c r="F182" s="6" t="s">
        <v>755</v>
      </c>
      <c r="G182" s="6" t="s">
        <v>737</v>
      </c>
      <c r="H182" s="2" t="s">
        <v>268</v>
      </c>
      <c r="I182" s="2" t="s">
        <v>178</v>
      </c>
      <c r="J182" s="2" t="s">
        <v>179</v>
      </c>
      <c r="K182" s="2" t="s">
        <v>149</v>
      </c>
      <c r="L182" s="6"/>
      <c r="M182" s="6">
        <v>1100000</v>
      </c>
      <c r="N182" s="6"/>
      <c r="O182" s="6"/>
      <c r="P182" s="6"/>
      <c r="Q182" s="7" t="s">
        <v>756</v>
      </c>
      <c r="R182" s="42">
        <v>41159</v>
      </c>
      <c r="S182" s="6">
        <v>330</v>
      </c>
      <c r="T182" s="6"/>
      <c r="U182" s="6" t="s">
        <v>713</v>
      </c>
      <c r="V182" s="8">
        <v>3.5999999999999997E-2</v>
      </c>
      <c r="W182" s="6">
        <f t="shared" si="72"/>
        <v>39600</v>
      </c>
      <c r="X182" s="6">
        <f>39600</f>
        <v>39600</v>
      </c>
      <c r="Y182" s="6">
        <f>39600</f>
        <v>39600</v>
      </c>
      <c r="Z182" s="6">
        <f t="shared" ref="Z182:Z188" si="75">W182-Y182</f>
        <v>0</v>
      </c>
      <c r="AA182" s="6">
        <f>330000+300000+250000</f>
        <v>880000</v>
      </c>
      <c r="AB182" s="6">
        <f>880000</f>
        <v>880000</v>
      </c>
      <c r="AC182" s="6">
        <f>330000+300000+250000</f>
        <v>880000</v>
      </c>
      <c r="AD182" s="6">
        <f>880000</f>
        <v>880000</v>
      </c>
      <c r="AE182" s="15">
        <f t="shared" si="70"/>
        <v>0.8</v>
      </c>
      <c r="AF182" s="6">
        <f>249378+30000+120000+199000+150000+50000+50000</f>
        <v>848378</v>
      </c>
      <c r="AG182" s="6">
        <f>848378</f>
        <v>848378</v>
      </c>
      <c r="AH182" s="6">
        <f>270798+31320+120000+207500+150000+50000+50000</f>
        <v>879618</v>
      </c>
      <c r="AI182" s="6"/>
      <c r="AJ182" s="6"/>
      <c r="AK182" s="6"/>
      <c r="AL182" s="6">
        <f>879618</f>
        <v>879618</v>
      </c>
      <c r="AM182" s="8">
        <v>3.4000000000000002E-2</v>
      </c>
      <c r="AN182" s="8">
        <f t="shared" si="71"/>
        <v>29920.000000000004</v>
      </c>
      <c r="AO182" s="6">
        <f>11220+10200+8500</f>
        <v>29920</v>
      </c>
      <c r="AP182" s="6">
        <f>29920</f>
        <v>29920</v>
      </c>
      <c r="AQ182" s="2">
        <f t="shared" si="74"/>
        <v>0</v>
      </c>
      <c r="AR182" s="6"/>
      <c r="AS182" s="6">
        <v>15</v>
      </c>
      <c r="AT182" s="6" t="s">
        <v>757</v>
      </c>
    </row>
    <row r="183" spans="1:46" s="9" customFormat="1" x14ac:dyDescent="0.15">
      <c r="A183" s="35">
        <v>41145</v>
      </c>
      <c r="B183" s="2" t="s">
        <v>1825</v>
      </c>
      <c r="C183" s="6" t="s">
        <v>720</v>
      </c>
      <c r="D183" s="6" t="s">
        <v>758</v>
      </c>
      <c r="E183" s="6" t="s">
        <v>730</v>
      </c>
      <c r="F183" s="6" t="s">
        <v>759</v>
      </c>
      <c r="G183" s="6" t="s">
        <v>760</v>
      </c>
      <c r="H183" s="13" t="s">
        <v>646</v>
      </c>
      <c r="I183" s="2" t="s">
        <v>351</v>
      </c>
      <c r="J183" s="2" t="s">
        <v>352</v>
      </c>
      <c r="K183" s="2" t="s">
        <v>13</v>
      </c>
      <c r="L183" s="6"/>
      <c r="M183" s="6">
        <v>2319525</v>
      </c>
      <c r="N183" s="6"/>
      <c r="O183" s="6"/>
      <c r="P183" s="6"/>
      <c r="Q183" s="7" t="s">
        <v>761</v>
      </c>
      <c r="R183" s="42">
        <v>41148</v>
      </c>
      <c r="S183" s="6">
        <v>696</v>
      </c>
      <c r="T183" s="6"/>
      <c r="U183" s="6" t="s">
        <v>713</v>
      </c>
      <c r="V183" s="8">
        <v>3.5999999999999997E-2</v>
      </c>
      <c r="W183" s="6">
        <f t="shared" si="72"/>
        <v>83502.899999999994</v>
      </c>
      <c r="X183" s="6">
        <f>12076+71427</f>
        <v>83503</v>
      </c>
      <c r="Y183" s="6">
        <f>83503</f>
        <v>83503</v>
      </c>
      <c r="Z183" s="6">
        <f t="shared" si="75"/>
        <v>-0.10000000000582077</v>
      </c>
      <c r="AA183" s="6">
        <f>1159762.5+695857.5+300000</f>
        <v>2155620</v>
      </c>
      <c r="AB183" s="6">
        <f>2155620</f>
        <v>2155620</v>
      </c>
      <c r="AC183" s="6">
        <f>1159762.5+695857.5+300000</f>
        <v>2155620</v>
      </c>
      <c r="AD183" s="6">
        <f>2155620</f>
        <v>2155620</v>
      </c>
      <c r="AE183" s="15">
        <f t="shared" si="70"/>
        <v>0.92933682542761986</v>
      </c>
      <c r="AF183" s="6">
        <f>519200+575900+243800+23708+100000-23708+360000</f>
        <v>1798900</v>
      </c>
      <c r="AG183" s="6">
        <f>1798900</f>
        <v>1798900</v>
      </c>
      <c r="AH183" s="6">
        <f>558632+575900+267459+317216.87+100000-23708+360000</f>
        <v>2155499.87</v>
      </c>
      <c r="AI183" s="6"/>
      <c r="AJ183" s="6"/>
      <c r="AK183" s="6"/>
      <c r="AL183" s="6">
        <f>2155499.87</f>
        <v>2155499.87</v>
      </c>
      <c r="AM183" s="8">
        <v>3.4000000000000002E-2</v>
      </c>
      <c r="AN183" s="8">
        <f t="shared" si="71"/>
        <v>73291.08</v>
      </c>
      <c r="AO183" s="6">
        <f>39432+23659+10200</f>
        <v>73291</v>
      </c>
      <c r="AP183" s="6">
        <f>63091+10200</f>
        <v>73291</v>
      </c>
      <c r="AQ183" s="2">
        <f t="shared" si="74"/>
        <v>8.000000000174623E-2</v>
      </c>
      <c r="AR183" s="6"/>
      <c r="AS183" s="6">
        <v>12</v>
      </c>
      <c r="AT183" s="6" t="s">
        <v>757</v>
      </c>
    </row>
    <row r="184" spans="1:46" s="9" customFormat="1" x14ac:dyDescent="0.15">
      <c r="A184" s="35">
        <v>41152</v>
      </c>
      <c r="B184" s="2" t="s">
        <v>1826</v>
      </c>
      <c r="C184" s="6" t="s">
        <v>721</v>
      </c>
      <c r="D184" s="6" t="s">
        <v>762</v>
      </c>
      <c r="E184" s="6" t="s">
        <v>730</v>
      </c>
      <c r="F184" s="6" t="s">
        <v>763</v>
      </c>
      <c r="G184" s="6" t="s">
        <v>737</v>
      </c>
      <c r="H184" s="2" t="s">
        <v>268</v>
      </c>
      <c r="I184" s="2" t="s">
        <v>178</v>
      </c>
      <c r="J184" s="2" t="s">
        <v>179</v>
      </c>
      <c r="K184" s="2" t="s">
        <v>149</v>
      </c>
      <c r="L184" s="6"/>
      <c r="M184" s="6">
        <v>13862255.41</v>
      </c>
      <c r="N184" s="6"/>
      <c r="O184" s="6"/>
      <c r="P184" s="6"/>
      <c r="Q184" s="7" t="s">
        <v>764</v>
      </c>
      <c r="R184" s="42">
        <v>41199</v>
      </c>
      <c r="S184" s="6">
        <v>4159</v>
      </c>
      <c r="T184" s="6"/>
      <c r="U184" s="6" t="s">
        <v>713</v>
      </c>
      <c r="V184" s="8">
        <v>0.03</v>
      </c>
      <c r="W184" s="6">
        <f t="shared" si="72"/>
        <v>415867.66229999997</v>
      </c>
      <c r="X184" s="6">
        <f>215868+200000</f>
        <v>415868</v>
      </c>
      <c r="Y184" s="6">
        <f>415868</f>
        <v>415868</v>
      </c>
      <c r="Z184" s="6">
        <f t="shared" si="75"/>
        <v>-0.33770000003278255</v>
      </c>
      <c r="AA184" s="6">
        <f>2600000+4469857.6+3571598</f>
        <v>10641455.6</v>
      </c>
      <c r="AB184" s="6">
        <f>10641455.6</f>
        <v>10641455.6</v>
      </c>
      <c r="AC184" s="6">
        <f>2600000+4469857.6+3571598</f>
        <v>10641455.6</v>
      </c>
      <c r="AD184" s="6">
        <f>10641455.6</f>
        <v>10641455.6</v>
      </c>
      <c r="AE184" s="15">
        <f t="shared" si="70"/>
        <v>0.76765687005906924</v>
      </c>
      <c r="AF184" s="6">
        <f>892251+500000+4206633.9+112397.75+2716078+700000</f>
        <v>9127360.6500000004</v>
      </c>
      <c r="AG184" s="6">
        <f>9127360.65</f>
        <v>9127360.6500000004</v>
      </c>
      <c r="AH184" s="6">
        <f>13862+996853+1589108.2+4358608.9+112397.75+2837512+700000</f>
        <v>10608341.850000001</v>
      </c>
      <c r="AI184" s="6"/>
      <c r="AJ184" s="6"/>
      <c r="AK184" s="6"/>
      <c r="AL184" s="6">
        <f>10608341.85</f>
        <v>10608341.85</v>
      </c>
      <c r="AM184" s="8">
        <v>3.4000000000000002E-2</v>
      </c>
      <c r="AN184" s="8">
        <f t="shared" si="71"/>
        <v>361809.49040000001</v>
      </c>
      <c r="AO184" s="6">
        <f>88400+151975+121434</f>
        <v>361809</v>
      </c>
      <c r="AP184" s="6">
        <f>88400+151975+121434</f>
        <v>361809</v>
      </c>
      <c r="AQ184" s="2">
        <f t="shared" si="74"/>
        <v>0.49040000000968575</v>
      </c>
      <c r="AR184" s="6"/>
      <c r="AS184" s="6">
        <v>104</v>
      </c>
      <c r="AT184" s="6" t="s">
        <v>757</v>
      </c>
    </row>
    <row r="185" spans="1:46" s="9" customFormat="1" x14ac:dyDescent="0.15">
      <c r="A185" s="35">
        <v>41153</v>
      </c>
      <c r="B185" s="2" t="s">
        <v>1827</v>
      </c>
      <c r="C185" s="6" t="s">
        <v>722</v>
      </c>
      <c r="D185" s="6" t="s">
        <v>765</v>
      </c>
      <c r="E185" s="6" t="s">
        <v>730</v>
      </c>
      <c r="F185" s="6" t="s">
        <v>766</v>
      </c>
      <c r="G185" s="6" t="s">
        <v>737</v>
      </c>
      <c r="H185" s="6" t="s">
        <v>268</v>
      </c>
      <c r="I185" s="6" t="s">
        <v>178</v>
      </c>
      <c r="J185" s="6" t="s">
        <v>179</v>
      </c>
      <c r="K185" s="6" t="s">
        <v>149</v>
      </c>
      <c r="L185" s="6"/>
      <c r="M185" s="6">
        <v>1950000</v>
      </c>
      <c r="N185" s="6">
        <f>1854600+838000+1980000+1920000+1880000+1901225+1952400+30844+803775</f>
        <v>13160844</v>
      </c>
      <c r="O185" s="6"/>
      <c r="P185" s="6"/>
      <c r="Q185" s="7" t="s">
        <v>767</v>
      </c>
      <c r="R185" s="42">
        <v>41199</v>
      </c>
      <c r="S185" s="6">
        <v>585</v>
      </c>
      <c r="T185" s="6"/>
      <c r="U185" s="6" t="s">
        <v>713</v>
      </c>
      <c r="V185" s="8">
        <v>0.03</v>
      </c>
      <c r="W185" s="6">
        <f t="shared" si="72"/>
        <v>453325.32</v>
      </c>
      <c r="X185" s="6">
        <f>58500+254178+58572+57037+925+24113</f>
        <v>453325</v>
      </c>
      <c r="Y185" s="6">
        <f>429212+24113</f>
        <v>453325</v>
      </c>
      <c r="Z185" s="6">
        <f t="shared" si="75"/>
        <v>0.32000000000698492</v>
      </c>
      <c r="AA185" s="6">
        <f>580000+3000000+3000000+2000000+500000+500000+1200000+2000000+300000+500000+500000+1000000</f>
        <v>15080000</v>
      </c>
      <c r="AB185" s="6">
        <f>14080000+1000000</f>
        <v>15080000</v>
      </c>
      <c r="AC185" s="6">
        <f>580000+3000000+3000000+2000000+1000000+1200000+2000000+300000+500000+500000+1000000</f>
        <v>15080000</v>
      </c>
      <c r="AD185" s="6">
        <f>14080000+1000000</f>
        <v>15080000</v>
      </c>
      <c r="AE185" s="15">
        <f t="shared" si="70"/>
        <v>0.99795881686026278</v>
      </c>
      <c r="AF185" s="6">
        <f>408291+120825+1266721+1500000+27000+1170400+1525962.3+36782+2002956.26+500000+367395.7+1190000+1708828.7+47438.5+94825.07+66500+300000+496000+400000+50000+379876+401684+200000</f>
        <v>14261485.529999997</v>
      </c>
      <c r="AG185" s="6">
        <f>13279925.53+379876+401684+200000</f>
        <v>14261485.529999999</v>
      </c>
      <c r="AH185" s="6">
        <f>428011+120825+1368721+1500000+27000+102000+1239400+100000+1525962.3+104782+2002956.26+17000+17000-100000+500000+367395.7+200000+20000+1230800+1776828.7+47438.5+94825.07+10200+66500+274064+24379+513000+417000+50000+379876+34000+401684+200000</f>
        <v>15061648.529999999</v>
      </c>
      <c r="AI185" s="6"/>
      <c r="AJ185" s="6"/>
      <c r="AK185" s="6"/>
      <c r="AL185" s="6">
        <f>14046088.53+379876+34000+401684+200000</f>
        <v>15061648.529999999</v>
      </c>
      <c r="AM185" s="8">
        <v>3.4000000000000002E-2</v>
      </c>
      <c r="AN185" s="8">
        <f t="shared" si="71"/>
        <v>512720.00000000006</v>
      </c>
      <c r="AO185" s="6">
        <f>19720+102000+102000+68000+17000+17000+40800+68000+10200+17000+17000+34000</f>
        <v>512720</v>
      </c>
      <c r="AP185" s="6">
        <f>478720+34000</f>
        <v>512720</v>
      </c>
      <c r="AQ185" s="6">
        <f t="shared" si="74"/>
        <v>0</v>
      </c>
      <c r="AR185" s="6"/>
      <c r="AS185" s="6">
        <v>73</v>
      </c>
      <c r="AT185" s="6" t="s">
        <v>757</v>
      </c>
    </row>
    <row r="186" spans="1:46" x14ac:dyDescent="0.15">
      <c r="A186" s="34">
        <v>41155</v>
      </c>
      <c r="B186" s="2" t="s">
        <v>1828</v>
      </c>
      <c r="C186" s="2" t="s">
        <v>426</v>
      </c>
      <c r="D186" s="2" t="s">
        <v>427</v>
      </c>
      <c r="E186" s="2" t="s">
        <v>0</v>
      </c>
      <c r="F186" s="2" t="s">
        <v>428</v>
      </c>
      <c r="G186" s="2" t="s">
        <v>423</v>
      </c>
      <c r="H186" s="2" t="s">
        <v>429</v>
      </c>
      <c r="I186" s="2" t="s">
        <v>430</v>
      </c>
      <c r="J186" s="2" t="s">
        <v>429</v>
      </c>
      <c r="K186" s="2" t="s">
        <v>431</v>
      </c>
      <c r="L186" s="2"/>
      <c r="M186" s="2">
        <v>20572132.07</v>
      </c>
      <c r="N186" s="2"/>
      <c r="O186" s="2"/>
      <c r="P186" s="2"/>
      <c r="Q186" s="3" t="s">
        <v>432</v>
      </c>
      <c r="R186" s="41">
        <v>41199</v>
      </c>
      <c r="S186" s="2">
        <v>6981</v>
      </c>
      <c r="T186" s="2"/>
      <c r="U186" s="2" t="s">
        <v>425</v>
      </c>
      <c r="V186" s="4">
        <v>0.03</v>
      </c>
      <c r="W186" s="2">
        <f>(M186+N186)*V186</f>
        <v>617163.9621</v>
      </c>
      <c r="X186" s="2">
        <f>160000+200000+200000+57164</f>
        <v>617164</v>
      </c>
      <c r="Y186" s="2">
        <f>617164</f>
        <v>617164</v>
      </c>
      <c r="Z186" s="6">
        <f t="shared" si="75"/>
        <v>-3.7899999995715916E-2</v>
      </c>
      <c r="AA186" s="2">
        <f>1500000+1000000+2000000+1000000+1350000+500000+500000+200000+300000+100000+100000</f>
        <v>8550000</v>
      </c>
      <c r="AB186" s="2">
        <f>8450000+100000</f>
        <v>8550000</v>
      </c>
      <c r="AC186" s="2">
        <f>1500000+500000+500000+1000000+500000+500000+1000000+1350000+852300+1550000+550000+500000+500000+200000+300000+100000+100000</f>
        <v>11502300</v>
      </c>
      <c r="AD186" s="2">
        <f>11402300+100000</f>
        <v>11502300</v>
      </c>
      <c r="AE186" s="4">
        <f t="shared" si="70"/>
        <v>0.55912046261717396</v>
      </c>
      <c r="AF186" s="2">
        <f>1060000+100000+320000+500000+905000+365000+135000+891724+107450+158455.45+945898+200000+282568+250000+100000+340000+539036+549000+432800+100000+200000+110000+606576+98000+170000+9621+100000+200632+100000+2800+196000</f>
        <v>10075560.449999999</v>
      </c>
      <c r="AG186" s="2">
        <f>9476128.45+100000+200632+100000+2800+196000</f>
        <v>10075560.449999999</v>
      </c>
      <c r="AH186" s="2">
        <f>1111000+120942+250000+172000+500000+1305000+365000+135000+523429.22+925724-34000+107450+158455.45+1195898+200000+282568+250000+100000+340000+38200+539036+549000+432800+100000+34000+6800+200000+110000+616776+98000+120000+20000+30000+3400+9621+80000+200632+2455.2+3400+100000+2800+196000</f>
        <v>11501386.869999999</v>
      </c>
      <c r="AI186" s="2"/>
      <c r="AJ186" s="2"/>
      <c r="AK186" s="2"/>
      <c r="AL186" s="2">
        <f>10996099.67+200632+2455.2+3400+100000+2800+196000</f>
        <v>11501386.869999999</v>
      </c>
      <c r="AM186" s="4">
        <v>3.4000000000000002E-2</v>
      </c>
      <c r="AN186" s="4">
        <f t="shared" si="71"/>
        <v>290700</v>
      </c>
      <c r="AO186" s="2">
        <f>51000+34000+68000+34000+45900+17000+17000+6800+10200+3400+3400</f>
        <v>290700</v>
      </c>
      <c r="AP186" s="2">
        <f>287300+3400</f>
        <v>290700</v>
      </c>
      <c r="AQ186" s="2">
        <f t="shared" si="74"/>
        <v>0</v>
      </c>
      <c r="AR186" s="2"/>
      <c r="AS186" s="2">
        <v>55</v>
      </c>
      <c r="AT186" s="2" t="s">
        <v>433</v>
      </c>
    </row>
    <row r="187" spans="1:46" x14ac:dyDescent="0.15">
      <c r="A187" s="34">
        <v>41155</v>
      </c>
      <c r="B187" s="2" t="s">
        <v>1829</v>
      </c>
      <c r="C187" s="2" t="s">
        <v>434</v>
      </c>
      <c r="D187" s="2" t="s">
        <v>435</v>
      </c>
      <c r="E187" s="2" t="s">
        <v>0</v>
      </c>
      <c r="F187" s="2" t="s">
        <v>436</v>
      </c>
      <c r="G187" s="2" t="s">
        <v>423</v>
      </c>
      <c r="H187" s="13" t="s">
        <v>412</v>
      </c>
      <c r="I187" s="13" t="s">
        <v>413</v>
      </c>
      <c r="J187" s="13" t="s">
        <v>414</v>
      </c>
      <c r="K187" s="13" t="s">
        <v>13</v>
      </c>
      <c r="L187" s="2"/>
      <c r="M187" s="2">
        <v>500000</v>
      </c>
      <c r="N187" s="2">
        <f>1448352.21+231798.88</f>
        <v>1680151.0899999999</v>
      </c>
      <c r="O187" s="2"/>
      <c r="P187" s="2"/>
      <c r="Q187" s="3" t="s">
        <v>437</v>
      </c>
      <c r="R187" s="41">
        <v>41155</v>
      </c>
      <c r="S187" s="2">
        <f>150+70</f>
        <v>220</v>
      </c>
      <c r="T187" s="2"/>
      <c r="U187" s="2" t="s">
        <v>425</v>
      </c>
      <c r="V187" s="4">
        <v>0.03</v>
      </c>
      <c r="W187" s="2">
        <f>(M187+N187)*V187</f>
        <v>65404.532699999996</v>
      </c>
      <c r="X187" s="2">
        <f>15000+43451+6954</f>
        <v>65405</v>
      </c>
      <c r="Y187" s="2">
        <f>65405</f>
        <v>65405</v>
      </c>
      <c r="Z187" s="6">
        <f t="shared" si="75"/>
        <v>-0.46730000000388827</v>
      </c>
      <c r="AA187" s="2">
        <f>200000+57949.72+362088.05+231736.35+75000+34769.83+200000+10000+292439.76+54407.22+92719.55+125000</f>
        <v>1736110.48</v>
      </c>
      <c r="AB187" s="2">
        <f>1736110.48</f>
        <v>1736110.48</v>
      </c>
      <c r="AC187" s="2">
        <f>200000+362088.05+57949.72+231736.35+109769.83+200000+10000+292439.76+92719.55+125000+54407.22</f>
        <v>1736110.48</v>
      </c>
      <c r="AD187" s="2">
        <f>1681703.26+54407.22</f>
        <v>1736110.48</v>
      </c>
      <c r="AE187" s="4">
        <f t="shared" si="70"/>
        <v>0.79632576290847812</v>
      </c>
      <c r="AF187" s="2">
        <f>47000+98000+193158.45+212580+200000+101457.16+27500+9900+100000+90000+210317.55+1300+138057.4</f>
        <v>1429270.5599999998</v>
      </c>
      <c r="AG187" s="2">
        <f>1289913.16+1300+138057.4</f>
        <v>1429270.5599999998</v>
      </c>
      <c r="AH187" s="2">
        <f>53800+1970+12311+98000+193158.45+7879+3732+212580+200000+101457.16+27500+9900+6800+100000+90000+340+9943+1850+3152+4250+210317.55+138057.4</f>
        <v>1486997.5599999998</v>
      </c>
      <c r="AI187" s="2"/>
      <c r="AJ187" s="2">
        <f>1300</f>
        <v>1300</v>
      </c>
      <c r="AK187" s="2"/>
      <c r="AL187" s="2">
        <f>1348940.16+1300+138057.4</f>
        <v>1488297.5599999998</v>
      </c>
      <c r="AM187" s="4">
        <v>3.4000000000000002E-2</v>
      </c>
      <c r="AN187" s="4">
        <f t="shared" si="71"/>
        <v>59027.75632</v>
      </c>
      <c r="AO187" s="2">
        <f>6800+1970+12311+7879+2550+1182+6800+340+9943+1850+4250+3152</f>
        <v>59027</v>
      </c>
      <c r="AP187" s="2">
        <f>59027</f>
        <v>59027</v>
      </c>
      <c r="AQ187" s="2">
        <f t="shared" si="74"/>
        <v>0.75632000000041444</v>
      </c>
      <c r="AR187" s="2"/>
      <c r="AS187" s="2">
        <v>63</v>
      </c>
      <c r="AT187" s="2" t="s">
        <v>419</v>
      </c>
    </row>
    <row r="188" spans="1:46" s="9" customFormat="1" x14ac:dyDescent="0.15">
      <c r="A188" s="35">
        <v>41162</v>
      </c>
      <c r="B188" s="2" t="s">
        <v>1830</v>
      </c>
      <c r="C188" s="6" t="s">
        <v>768</v>
      </c>
      <c r="D188" s="6" t="s">
        <v>771</v>
      </c>
      <c r="E188" s="6" t="s">
        <v>0</v>
      </c>
      <c r="F188" s="6" t="s">
        <v>772</v>
      </c>
      <c r="G188" s="6" t="s">
        <v>737</v>
      </c>
      <c r="H188" s="6" t="s">
        <v>362</v>
      </c>
      <c r="I188" s="6" t="s">
        <v>54</v>
      </c>
      <c r="J188" s="6" t="s">
        <v>57</v>
      </c>
      <c r="K188" s="6" t="s">
        <v>13</v>
      </c>
      <c r="L188" s="6"/>
      <c r="M188" s="6">
        <v>15588701.609999999</v>
      </c>
      <c r="N188" s="6">
        <f>2793063.88</f>
        <v>2793063.88</v>
      </c>
      <c r="O188" s="6"/>
      <c r="P188" s="6"/>
      <c r="Q188" s="7" t="s">
        <v>773</v>
      </c>
      <c r="R188" s="42">
        <v>41174</v>
      </c>
      <c r="S188" s="6">
        <v>4677</v>
      </c>
      <c r="T188" s="6"/>
      <c r="U188" s="6" t="s">
        <v>713</v>
      </c>
      <c r="V188" s="8">
        <v>0.03</v>
      </c>
      <c r="W188" s="6">
        <f t="shared" ref="W188:W190" si="76">(M188+N188)*V188</f>
        <v>551452.96469999989</v>
      </c>
      <c r="X188" s="6">
        <f>67876+200000+199785+83792</f>
        <v>551453</v>
      </c>
      <c r="Y188" s="6">
        <f>467661+83792</f>
        <v>551453</v>
      </c>
      <c r="Z188" s="6">
        <f t="shared" si="75"/>
        <v>-3.5300000105053186E-2</v>
      </c>
      <c r="AA188" s="6">
        <f>3117740.32+4676610.48+4676610.48+779435.08+1558870.16+779435.08</f>
        <v>15588701.600000001</v>
      </c>
      <c r="AB188" s="6">
        <f>15588701.6</f>
        <v>15588701.6</v>
      </c>
      <c r="AC188" s="6">
        <f>3117740.32+4676610.48+4676610.48+779435.08+1558870.16+779435.08</f>
        <v>15588701.600000001</v>
      </c>
      <c r="AD188" s="6">
        <f>15588701.6</f>
        <v>15588701.6</v>
      </c>
      <c r="AE188" s="8">
        <f t="shared" si="70"/>
        <v>0.84805246854446747</v>
      </c>
      <c r="AF188" s="6">
        <f>1216691.66+646000+799930+399960+2901175.34+990000+1549745+1559800+299997+299997+33547.66+200000+339246+487600+1491355+99999+3347+10963+720010</f>
        <v>14049363.66</v>
      </c>
      <c r="AG188" s="6">
        <f>14049363.66</f>
        <v>14049363.66</v>
      </c>
      <c r="AH188" s="6">
        <f>1322694.66+646000+799930+299005+3461135.34+990000+159005+1549745+1559800+799997+299970+33547.66+200000+339246+26501+687600-37600+53002+1491355+99999+26501+720010</f>
        <v>15527443.66</v>
      </c>
      <c r="AI188" s="6">
        <v>880</v>
      </c>
      <c r="AJ188" s="6">
        <f>1355+754</f>
        <v>2109</v>
      </c>
      <c r="AK188" s="6">
        <f>1112+10209</f>
        <v>11321</v>
      </c>
      <c r="AL188" s="6">
        <f>15527443.66+880+2109+11321</f>
        <v>15541753.66</v>
      </c>
      <c r="AM188" s="8">
        <v>3.4000000000000002E-2</v>
      </c>
      <c r="AN188" s="8">
        <f t="shared" si="71"/>
        <v>530015.85440000007</v>
      </c>
      <c r="AO188" s="6">
        <f>106003+159005+159005+26501+53002+26501</f>
        <v>530017</v>
      </c>
      <c r="AP188" s="6">
        <f>530017</f>
        <v>530017</v>
      </c>
      <c r="AQ188" s="6">
        <f t="shared" si="74"/>
        <v>-1.1455999999307096</v>
      </c>
      <c r="AR188" s="6"/>
      <c r="AS188" s="6">
        <v>130</v>
      </c>
      <c r="AT188" s="6" t="s">
        <v>740</v>
      </c>
    </row>
    <row r="189" spans="1:46" x14ac:dyDescent="0.15">
      <c r="A189" s="34">
        <v>41165</v>
      </c>
      <c r="B189" s="2" t="s">
        <v>1831</v>
      </c>
      <c r="C189" s="2" t="s">
        <v>769</v>
      </c>
      <c r="D189" s="2" t="s">
        <v>774</v>
      </c>
      <c r="E189" s="2" t="s">
        <v>0</v>
      </c>
      <c r="F189" s="2" t="s">
        <v>775</v>
      </c>
      <c r="G189" s="2" t="s">
        <v>737</v>
      </c>
      <c r="H189" s="13" t="s">
        <v>776</v>
      </c>
      <c r="I189" s="2" t="s">
        <v>320</v>
      </c>
      <c r="J189" s="2" t="s">
        <v>321</v>
      </c>
      <c r="K189" s="2" t="s">
        <v>310</v>
      </c>
      <c r="L189" s="2"/>
      <c r="M189" s="2">
        <v>15000000</v>
      </c>
      <c r="N189" s="2"/>
      <c r="O189" s="2"/>
      <c r="P189" s="2"/>
      <c r="Q189" s="3" t="s">
        <v>777</v>
      </c>
      <c r="R189" s="41">
        <v>41206</v>
      </c>
      <c r="S189" s="2">
        <v>4500</v>
      </c>
      <c r="T189" s="2"/>
      <c r="U189" s="2" t="s">
        <v>713</v>
      </c>
      <c r="V189" s="4">
        <v>0.03</v>
      </c>
      <c r="W189" s="2">
        <f t="shared" si="76"/>
        <v>450000</v>
      </c>
      <c r="X189" s="2">
        <f>51000+65484+150000+50000+90000+43516</f>
        <v>450000</v>
      </c>
      <c r="Y189" s="2">
        <f>450000</f>
        <v>450000</v>
      </c>
      <c r="Z189" s="2">
        <v>0</v>
      </c>
      <c r="AA189" s="2">
        <f>1000000+500000+1000000+500000+500000+1000000+4000000</f>
        <v>8500000</v>
      </c>
      <c r="AB189" s="2">
        <f>8500000</f>
        <v>8500000</v>
      </c>
      <c r="AC189" s="2">
        <f>1000000+500000+1000000+500000+500000+1000000+4000000</f>
        <v>8500000</v>
      </c>
      <c r="AD189" s="2">
        <f>8500000</f>
        <v>8500000</v>
      </c>
      <c r="AE189" s="4">
        <f t="shared" si="70"/>
        <v>0.56666666666666665</v>
      </c>
      <c r="AF189" s="2">
        <f>50000+235574.67+981925.33+450000+40000+250000+218052.7+932000+3430000+21000+209302+137000</f>
        <v>6954854.7000000002</v>
      </c>
      <c r="AG189" s="2">
        <f>6954854.7</f>
        <v>6954854.7000000002</v>
      </c>
      <c r="AH189" s="2">
        <f>997500+486574.67+981925.33+450000+40000+17000+250000+277000+966000+3566000+21000+309308.11+137000</f>
        <v>8499308.1099999994</v>
      </c>
      <c r="AI189" s="2"/>
      <c r="AJ189" s="2"/>
      <c r="AK189" s="2"/>
      <c r="AL189" s="2">
        <f>8499308.11</f>
        <v>8499308.1099999994</v>
      </c>
      <c r="AM189" s="4">
        <v>3.4000000000000002E-2</v>
      </c>
      <c r="AN189" s="4">
        <f t="shared" si="71"/>
        <v>289000</v>
      </c>
      <c r="AO189" s="2">
        <f>34000+17000+34000+17000+17000+34000+136000</f>
        <v>289000</v>
      </c>
      <c r="AP189" s="2">
        <f>289000</f>
        <v>289000</v>
      </c>
      <c r="AQ189" s="2">
        <f t="shared" si="74"/>
        <v>0</v>
      </c>
      <c r="AR189" s="2"/>
      <c r="AS189" s="2">
        <v>165</v>
      </c>
      <c r="AT189" s="2" t="s">
        <v>740</v>
      </c>
    </row>
    <row r="190" spans="1:46" x14ac:dyDescent="0.15">
      <c r="A190" s="34">
        <v>41166</v>
      </c>
      <c r="B190" s="2" t="s">
        <v>1832</v>
      </c>
      <c r="C190" s="2" t="s">
        <v>770</v>
      </c>
      <c r="D190" s="2" t="s">
        <v>778</v>
      </c>
      <c r="E190" s="2" t="s">
        <v>0</v>
      </c>
      <c r="F190" s="2" t="s">
        <v>779</v>
      </c>
      <c r="G190" s="2" t="s">
        <v>780</v>
      </c>
      <c r="H190" s="13" t="s">
        <v>781</v>
      </c>
      <c r="I190" s="2" t="s">
        <v>623</v>
      </c>
      <c r="J190" s="2" t="s">
        <v>624</v>
      </c>
      <c r="K190" s="2" t="s">
        <v>783</v>
      </c>
      <c r="L190" s="2"/>
      <c r="M190" s="2">
        <v>237032</v>
      </c>
      <c r="N190" s="2">
        <v>29340</v>
      </c>
      <c r="O190" s="2"/>
      <c r="P190" s="2"/>
      <c r="Q190" s="3" t="s">
        <v>782</v>
      </c>
      <c r="R190" s="41">
        <v>41216</v>
      </c>
      <c r="S190" s="2">
        <v>72</v>
      </c>
      <c r="T190" s="2"/>
      <c r="U190" s="2" t="s">
        <v>713</v>
      </c>
      <c r="V190" s="4">
        <v>3.5999999999999997E-2</v>
      </c>
      <c r="W190" s="2">
        <f t="shared" si="76"/>
        <v>9589.3919999999998</v>
      </c>
      <c r="X190" s="2">
        <f>8533+1056</f>
        <v>9589</v>
      </c>
      <c r="Y190" s="2">
        <f>9589</f>
        <v>9589</v>
      </c>
      <c r="Z190" s="2">
        <v>0</v>
      </c>
      <c r="AA190" s="2">
        <f>266372</f>
        <v>266372</v>
      </c>
      <c r="AB190" s="2">
        <f>266372</f>
        <v>266372</v>
      </c>
      <c r="AC190" s="2">
        <f>47406+142219.2</f>
        <v>189625.2</v>
      </c>
      <c r="AD190" s="2">
        <f>189625.2</f>
        <v>189625.2</v>
      </c>
      <c r="AE190" s="4">
        <f t="shared" si="70"/>
        <v>0.71188112864715514</v>
      </c>
      <c r="AF190" s="2">
        <f>9000+30000</f>
        <v>39000</v>
      </c>
      <c r="AG190" s="2">
        <f>39000</f>
        <v>39000</v>
      </c>
      <c r="AH190" s="2">
        <f>10612+35633-5633+131700+9069.96</f>
        <v>181381.96</v>
      </c>
      <c r="AI190" s="2"/>
      <c r="AJ190" s="2"/>
      <c r="AK190" s="2"/>
      <c r="AL190" s="2">
        <f>181381.96</f>
        <v>181381.96</v>
      </c>
      <c r="AM190" s="4"/>
      <c r="AN190" s="4"/>
      <c r="AO190" s="2"/>
      <c r="AP190" s="2"/>
      <c r="AQ190" s="2">
        <f t="shared" si="74"/>
        <v>0</v>
      </c>
      <c r="AR190" s="2"/>
      <c r="AS190" s="2">
        <v>3</v>
      </c>
      <c r="AT190" s="2" t="s">
        <v>740</v>
      </c>
    </row>
    <row r="191" spans="1:46" x14ac:dyDescent="0.15">
      <c r="A191" s="34">
        <v>41172</v>
      </c>
      <c r="B191" s="2" t="s">
        <v>1833</v>
      </c>
      <c r="C191" s="2" t="s">
        <v>652</v>
      </c>
      <c r="D191" s="2" t="s">
        <v>660</v>
      </c>
      <c r="E191" s="2" t="s">
        <v>0</v>
      </c>
      <c r="F191" s="2" t="s">
        <v>534</v>
      </c>
      <c r="G191" s="2" t="s">
        <v>656</v>
      </c>
      <c r="H191" s="13" t="s">
        <v>661</v>
      </c>
      <c r="I191" s="2" t="s">
        <v>252</v>
      </c>
      <c r="J191" s="2" t="s">
        <v>253</v>
      </c>
      <c r="K191" s="2" t="s">
        <v>13</v>
      </c>
      <c r="L191" s="2"/>
      <c r="M191" s="2">
        <v>7729248</v>
      </c>
      <c r="N191" s="2">
        <f>364302</f>
        <v>364302</v>
      </c>
      <c r="O191" s="2"/>
      <c r="P191" s="2"/>
      <c r="Q191" s="3" t="s">
        <v>662</v>
      </c>
      <c r="R191" s="41">
        <v>41199</v>
      </c>
      <c r="S191" s="2">
        <v>2319</v>
      </c>
      <c r="T191" s="2"/>
      <c r="U191" s="2" t="s">
        <v>659</v>
      </c>
      <c r="V191" s="4">
        <v>0.03</v>
      </c>
      <c r="W191" s="2">
        <f t="shared" ref="W191:W201" si="77">(M191+N191)*V191</f>
        <v>242806.5</v>
      </c>
      <c r="X191" s="2">
        <f>100000+75400+56477+10929</f>
        <v>242806</v>
      </c>
      <c r="Y191" s="2">
        <f>242806</f>
        <v>242806</v>
      </c>
      <c r="Z191" s="2">
        <v>0</v>
      </c>
      <c r="AA191" s="2">
        <f>1000000+1000000+1000000+1000000+1000000+100000+270000</f>
        <v>5370000</v>
      </c>
      <c r="AB191" s="2">
        <f>5370000</f>
        <v>5370000</v>
      </c>
      <c r="AC191" s="2">
        <f>1000000+500000+500000+1000000+1000000+1000000+100000+270000</f>
        <v>5370000</v>
      </c>
      <c r="AD191" s="2">
        <f>5370000</f>
        <v>5370000</v>
      </c>
      <c r="AE191" s="4">
        <f t="shared" si="70"/>
        <v>0.66349129862668421</v>
      </c>
      <c r="AF191" s="2">
        <f>868357.38+31500+200000+85896+232143.7+239750.01+205800+948440+720000+55382+105000+60390+26000+372628.15+200000+312625.2+50000+60000+2440.06+100789.5+687+28562+252500+550</f>
        <v>5159441</v>
      </c>
      <c r="AG191" s="2">
        <f>4906391+252500+550</f>
        <v>5159441</v>
      </c>
      <c r="AH191" s="2">
        <f>916357.38+165500+100000+85896+232143.7+239750.01+239800+982440+720000+55382+105000+65090+84000+348628.15+200000+312625.2+50000+60000+2440.06+3400+100000+28560+261680</f>
        <v>5358692.5</v>
      </c>
      <c r="AI191" s="2"/>
      <c r="AJ191" s="2">
        <f>111.5+400+550</f>
        <v>1061.5</v>
      </c>
      <c r="AK191" s="2">
        <f>687+287</f>
        <v>974</v>
      </c>
      <c r="AL191" s="2">
        <f>5097012.5+511.5+974+261680+550</f>
        <v>5360728</v>
      </c>
      <c r="AM191" s="4">
        <v>3.4000000000000002E-2</v>
      </c>
      <c r="AN191" s="4">
        <f t="shared" si="71"/>
        <v>182580</v>
      </c>
      <c r="AO191" s="2">
        <f>34000+34000+34000+34000+34000+3400+9180</f>
        <v>182580</v>
      </c>
      <c r="AP191" s="2">
        <f>173400+9180</f>
        <v>182580</v>
      </c>
      <c r="AQ191" s="2">
        <f t="shared" si="74"/>
        <v>0</v>
      </c>
      <c r="AR191" s="2"/>
      <c r="AS191" s="2">
        <v>50</v>
      </c>
      <c r="AT191" s="2" t="s">
        <v>663</v>
      </c>
    </row>
    <row r="192" spans="1:46" x14ac:dyDescent="0.15">
      <c r="A192" s="34">
        <v>41167</v>
      </c>
      <c r="B192" s="2" t="s">
        <v>1834</v>
      </c>
      <c r="C192" s="2" t="s">
        <v>784</v>
      </c>
      <c r="D192" s="2" t="s">
        <v>792</v>
      </c>
      <c r="E192" s="2" t="s">
        <v>0</v>
      </c>
      <c r="F192" s="2" t="s">
        <v>793</v>
      </c>
      <c r="G192" s="2" t="s">
        <v>709</v>
      </c>
      <c r="H192" s="13" t="s">
        <v>781</v>
      </c>
      <c r="I192" s="2" t="s">
        <v>623</v>
      </c>
      <c r="J192" s="2" t="s">
        <v>624</v>
      </c>
      <c r="K192" s="2" t="s">
        <v>292</v>
      </c>
      <c r="L192" s="2"/>
      <c r="M192" s="2">
        <v>2317996.31</v>
      </c>
      <c r="N192" s="2"/>
      <c r="O192" s="2"/>
      <c r="P192" s="2"/>
      <c r="Q192" s="3" t="s">
        <v>794</v>
      </c>
      <c r="R192" s="41">
        <v>41199</v>
      </c>
      <c r="S192" s="2">
        <v>696</v>
      </c>
      <c r="T192" s="2"/>
      <c r="U192" s="2" t="s">
        <v>713</v>
      </c>
      <c r="V192" s="4">
        <v>3.5999999999999997E-2</v>
      </c>
      <c r="W192" s="2">
        <f t="shared" si="77"/>
        <v>83447.867159999994</v>
      </c>
      <c r="X192" s="2">
        <f>83448</f>
        <v>83448</v>
      </c>
      <c r="Y192" s="2">
        <f>83448</f>
        <v>83448</v>
      </c>
      <c r="Z192" s="2">
        <v>0</v>
      </c>
      <c r="AA192" s="2">
        <f>695000+700000+200000+200000+59000</f>
        <v>1854000</v>
      </c>
      <c r="AB192" s="2">
        <f>1854000</f>
        <v>1854000</v>
      </c>
      <c r="AC192" s="2">
        <f>695000+700000+200000+200000+59000</f>
        <v>1854000</v>
      </c>
      <c r="AD192" s="2">
        <f>1854000</f>
        <v>1854000</v>
      </c>
      <c r="AE192" s="4">
        <f t="shared" si="70"/>
        <v>0.79982871068504846</v>
      </c>
      <c r="AF192" s="2">
        <f>665032.5+420770+193200+200065.68+23000+56850</f>
        <v>1558918.18</v>
      </c>
      <c r="AG192" s="2">
        <f>1558918.18</f>
        <v>1558918.18</v>
      </c>
      <c r="AH192" s="2">
        <f>26412+665032.5+699999.2+200000+180465.68+23000+2006+56850</f>
        <v>1853765.38</v>
      </c>
      <c r="AI192" s="2"/>
      <c r="AJ192" s="2"/>
      <c r="AK192" s="2"/>
      <c r="AL192" s="2">
        <f>1853765.38</f>
        <v>1853765.38</v>
      </c>
      <c r="AM192" s="4">
        <v>3.4000000000000002E-2</v>
      </c>
      <c r="AN192" s="4">
        <f t="shared" si="71"/>
        <v>63036.000000000007</v>
      </c>
      <c r="AO192" s="2">
        <f>23630+23800+6800+6800+2006</f>
        <v>63036</v>
      </c>
      <c r="AP192" s="2">
        <f>63036</f>
        <v>63036</v>
      </c>
      <c r="AQ192" s="2">
        <f t="shared" si="74"/>
        <v>0</v>
      </c>
      <c r="AR192" s="2"/>
      <c r="AS192" s="2">
        <v>22</v>
      </c>
      <c r="AT192" s="2" t="s">
        <v>723</v>
      </c>
    </row>
    <row r="193" spans="1:46" x14ac:dyDescent="0.15">
      <c r="A193" s="34">
        <v>41195</v>
      </c>
      <c r="B193" s="2" t="s">
        <v>1835</v>
      </c>
      <c r="C193" s="2" t="s">
        <v>785</v>
      </c>
      <c r="D193" s="2" t="s">
        <v>795</v>
      </c>
      <c r="E193" s="2" t="s">
        <v>0</v>
      </c>
      <c r="F193" s="2" t="s">
        <v>796</v>
      </c>
      <c r="G193" s="2" t="s">
        <v>709</v>
      </c>
      <c r="H193" s="13" t="s">
        <v>797</v>
      </c>
      <c r="I193" s="2" t="s">
        <v>326</v>
      </c>
      <c r="J193" s="2" t="s">
        <v>325</v>
      </c>
      <c r="K193" s="2" t="s">
        <v>310</v>
      </c>
      <c r="L193" s="2"/>
      <c r="M193" s="2">
        <v>9600000</v>
      </c>
      <c r="N193" s="2"/>
      <c r="O193" s="2"/>
      <c r="P193" s="2"/>
      <c r="Q193" s="3" t="s">
        <v>798</v>
      </c>
      <c r="R193" s="41">
        <v>41221</v>
      </c>
      <c r="S193" s="2">
        <v>2880</v>
      </c>
      <c r="T193" s="2"/>
      <c r="U193" s="2" t="s">
        <v>713</v>
      </c>
      <c r="V193" s="4">
        <v>0.03</v>
      </c>
      <c r="W193" s="2">
        <f t="shared" si="77"/>
        <v>288000</v>
      </c>
      <c r="X193" s="2">
        <f>100000+188000</f>
        <v>288000</v>
      </c>
      <c r="Y193" s="2">
        <f>288000</f>
        <v>288000</v>
      </c>
      <c r="Z193" s="2">
        <f t="shared" ref="Z193:Z202" si="78">W193-Y193</f>
        <v>0</v>
      </c>
      <c r="AA193" s="2">
        <f>2000000+2500000+1000000+700000+1000000</f>
        <v>7200000</v>
      </c>
      <c r="AB193" s="2">
        <f>7200000</f>
        <v>7200000</v>
      </c>
      <c r="AC193" s="2">
        <f>1500000+500000+400000+1000000+500000+500000+500000+500000+200000+200000+400000+1000000</f>
        <v>7200000</v>
      </c>
      <c r="AD193" s="2">
        <f>7200000</f>
        <v>7200000</v>
      </c>
      <c r="AE193" s="4">
        <f t="shared" si="70"/>
        <v>0.75</v>
      </c>
      <c r="AF193" s="2">
        <f>1050100+116985.96+199908+400000+599784+619957+500000+500000+500000+200000+200000+414999.11+984999.55</f>
        <v>6286733.6200000001</v>
      </c>
      <c r="AG193" s="2">
        <f>6286733.62</f>
        <v>6286733.6200000001</v>
      </c>
      <c r="AH193" s="2">
        <f>1279620+116985.96+85000+230000+199908+400000+34000+250000+602904+619957+500000+500000+23800+34000+500000+200000+200000+414999.11+984999.55</f>
        <v>7176173.6200000001</v>
      </c>
      <c r="AI193" s="2"/>
      <c r="AJ193" s="2"/>
      <c r="AK193" s="2"/>
      <c r="AL193" s="2">
        <f>7176173.62</f>
        <v>7176173.6200000001</v>
      </c>
      <c r="AM193" s="4">
        <v>3.4000000000000002E-2</v>
      </c>
      <c r="AN193" s="4">
        <f t="shared" si="71"/>
        <v>244800.00000000003</v>
      </c>
      <c r="AO193" s="2">
        <f>68000+85000+34000+23800+34000</f>
        <v>244800</v>
      </c>
      <c r="AP193" s="2">
        <f>244800</f>
        <v>244800</v>
      </c>
      <c r="AQ193" s="2">
        <f t="shared" si="74"/>
        <v>0</v>
      </c>
      <c r="AR193" s="2"/>
      <c r="AS193" s="2">
        <v>100</v>
      </c>
      <c r="AT193" s="2" t="s">
        <v>757</v>
      </c>
    </row>
    <row r="194" spans="1:46" s="9" customFormat="1" x14ac:dyDescent="0.15">
      <c r="A194" s="35">
        <v>41197</v>
      </c>
      <c r="B194" s="2" t="s">
        <v>1836</v>
      </c>
      <c r="C194" s="6" t="s">
        <v>786</v>
      </c>
      <c r="D194" s="6" t="s">
        <v>799</v>
      </c>
      <c r="E194" s="6" t="s">
        <v>0</v>
      </c>
      <c r="F194" s="6" t="s">
        <v>800</v>
      </c>
      <c r="G194" s="6" t="s">
        <v>737</v>
      </c>
      <c r="H194" s="11" t="s">
        <v>801</v>
      </c>
      <c r="I194" s="6" t="s">
        <v>802</v>
      </c>
      <c r="J194" s="6" t="s">
        <v>803</v>
      </c>
      <c r="K194" s="6" t="s">
        <v>804</v>
      </c>
      <c r="L194" s="6"/>
      <c r="M194" s="6">
        <v>20585592</v>
      </c>
      <c r="N194" s="6"/>
      <c r="O194" s="6"/>
      <c r="P194" s="6"/>
      <c r="Q194" s="7" t="s">
        <v>805</v>
      </c>
      <c r="R194" s="42">
        <v>41281</v>
      </c>
      <c r="S194" s="6">
        <v>6176</v>
      </c>
      <c r="T194" s="6"/>
      <c r="U194" s="6" t="s">
        <v>713</v>
      </c>
      <c r="V194" s="8">
        <v>0.03</v>
      </c>
      <c r="W194" s="6">
        <f t="shared" si="77"/>
        <v>617567.76</v>
      </c>
      <c r="X194" s="6">
        <f>617568</f>
        <v>617568</v>
      </c>
      <c r="Y194" s="6">
        <f>617568</f>
        <v>617568</v>
      </c>
      <c r="Z194" s="6">
        <v>0</v>
      </c>
      <c r="AA194" s="6">
        <f>5550000+3240000+800000+5146397.9+2000000+600000</f>
        <v>17336397.899999999</v>
      </c>
      <c r="AB194" s="6">
        <f>16736397.9+600000</f>
        <v>17336397.899999999</v>
      </c>
      <c r="AC194" s="6">
        <f>5550000+3240000+800000+4300000+2000000+600000</f>
        <v>16490000</v>
      </c>
      <c r="AD194" s="6">
        <f>15890000+600000</f>
        <v>16490000</v>
      </c>
      <c r="AE194" s="8">
        <f t="shared" si="70"/>
        <v>0.80104570225621885</v>
      </c>
      <c r="AF194" s="6">
        <f>18527+300000+740000+36558.74+264677.52+890000+512106+224237+200000+100000+196874.9+263733.8+3147290.71+45812.86+114585+56981.81+600000+2750000+1169990+2105925+600000+409068.8</f>
        <v>14746369.140000001</v>
      </c>
      <c r="AG194" s="6">
        <f>13737300.34+600000+409068.8</f>
        <v>14746369.140000001</v>
      </c>
      <c r="AH194" s="6">
        <f>18527+50000+300000+740000-50000+800000+36558.74+264677.52+1806284.1+512106+224237+200000+100000+196874.9+263733.8+3257450.71+45812.86+141785+56981.81+600000+2924978+1237990+2105925+20400+600000+409068.8</f>
        <v>16863391.239999998</v>
      </c>
      <c r="AI194" s="6"/>
      <c r="AJ194" s="6"/>
      <c r="AK194" s="6"/>
      <c r="AL194" s="6">
        <f>15854322.44+409068.8</f>
        <v>16263391.24</v>
      </c>
      <c r="AM194" s="8">
        <v>3.4000000000000002E-2</v>
      </c>
      <c r="AN194" s="8">
        <f t="shared" si="71"/>
        <v>589437.52859999996</v>
      </c>
      <c r="AO194" s="6">
        <f>188700+110160+27200+174978+68000+20400</f>
        <v>589438</v>
      </c>
      <c r="AP194" s="6">
        <f>589438</f>
        <v>589438</v>
      </c>
      <c r="AQ194" s="6">
        <f t="shared" si="74"/>
        <v>-0.47140000003855675</v>
      </c>
      <c r="AR194" s="6"/>
      <c r="AS194" s="6">
        <v>180</v>
      </c>
      <c r="AT194" s="6" t="s">
        <v>837</v>
      </c>
    </row>
    <row r="195" spans="1:46" x14ac:dyDescent="0.15">
      <c r="A195" s="34">
        <v>41202</v>
      </c>
      <c r="B195" s="2" t="s">
        <v>1837</v>
      </c>
      <c r="C195" s="2" t="s">
        <v>787</v>
      </c>
      <c r="D195" s="2" t="s">
        <v>838</v>
      </c>
      <c r="E195" s="2" t="s">
        <v>0</v>
      </c>
      <c r="F195" s="2" t="s">
        <v>447</v>
      </c>
      <c r="G195" s="2" t="s">
        <v>448</v>
      </c>
      <c r="H195" s="13" t="s">
        <v>839</v>
      </c>
      <c r="I195" s="2" t="s">
        <v>351</v>
      </c>
      <c r="J195" s="2" t="s">
        <v>352</v>
      </c>
      <c r="K195" s="2" t="s">
        <v>5</v>
      </c>
      <c r="L195" s="2"/>
      <c r="M195" s="2">
        <v>11873372</v>
      </c>
      <c r="N195" s="2">
        <f>2550150</f>
        <v>2550150</v>
      </c>
      <c r="O195" s="2"/>
      <c r="P195" s="2"/>
      <c r="Q195" s="3" t="s">
        <v>840</v>
      </c>
      <c r="R195" s="41">
        <v>41270</v>
      </c>
      <c r="S195" s="2">
        <v>3563</v>
      </c>
      <c r="T195" s="2"/>
      <c r="U195" s="2" t="s">
        <v>828</v>
      </c>
      <c r="V195" s="4">
        <v>0.03</v>
      </c>
      <c r="W195" s="2">
        <f t="shared" si="77"/>
        <v>432705.66</v>
      </c>
      <c r="X195" s="2">
        <f>300000+56201+72179</f>
        <v>428380</v>
      </c>
      <c r="Y195" s="2">
        <f>356201+72179</f>
        <v>428380</v>
      </c>
      <c r="Z195" s="2">
        <f t="shared" si="78"/>
        <v>4325.6599999999744</v>
      </c>
      <c r="AA195" s="2">
        <f>2506119.6+1214014.4+566195.2+1900160+3520589+2069413.6+57352+2405949.9</f>
        <v>14239793.699999999</v>
      </c>
      <c r="AB195" s="2">
        <f>11776491.8+57352+2405949.9</f>
        <v>14239793.700000001</v>
      </c>
      <c r="AC195" s="2">
        <f>1700000+900000+400000+1300000+2400000+1500000+1800000</f>
        <v>10000000</v>
      </c>
      <c r="AD195" s="2">
        <v>10000000</v>
      </c>
      <c r="AE195" s="4">
        <f t="shared" si="70"/>
        <v>0.69331193865132246</v>
      </c>
      <c r="AF195" s="2">
        <f>1566139.5+825440+69120+86545+119625+63735.7+100000+721200+972000+500000+1185608.15+49835+500000+607500+1607200+479592.32+2890000</f>
        <v>12343540.67</v>
      </c>
      <c r="AG195" s="2">
        <f>9453540.67+2890000</f>
        <v>12343540.67</v>
      </c>
      <c r="AH195" s="2">
        <f>1566139.5+954156.63+69120+86545+183360.7+100000+99447+928348.29+972000+500000+1185608.15+49835+500000+607500+37327.5+1607200+551194.03+2993505.71</f>
        <v>12991287.509999998</v>
      </c>
      <c r="AI195" s="2"/>
      <c r="AJ195" s="2"/>
      <c r="AK195" s="2"/>
      <c r="AL195" s="2">
        <f>9997781.8+2993505.71</f>
        <v>12991287.510000002</v>
      </c>
      <c r="AM195" s="4"/>
      <c r="AN195" s="8"/>
      <c r="AO195" s="2"/>
      <c r="AP195" s="2"/>
      <c r="AQ195" s="2"/>
      <c r="AR195" s="2"/>
      <c r="AS195" s="2"/>
      <c r="AT195" s="2"/>
    </row>
    <row r="196" spans="1:46" x14ac:dyDescent="0.15">
      <c r="A196" s="34">
        <v>41214</v>
      </c>
      <c r="B196" s="2" t="s">
        <v>1838</v>
      </c>
      <c r="C196" s="2" t="s">
        <v>788</v>
      </c>
      <c r="D196" s="2" t="s">
        <v>841</v>
      </c>
      <c r="E196" s="2" t="s">
        <v>0</v>
      </c>
      <c r="F196" s="2" t="s">
        <v>842</v>
      </c>
      <c r="G196" s="2" t="s">
        <v>843</v>
      </c>
      <c r="H196" s="13" t="s">
        <v>86</v>
      </c>
      <c r="I196" s="2" t="s">
        <v>87</v>
      </c>
      <c r="J196" s="2" t="s">
        <v>86</v>
      </c>
      <c r="K196" s="2" t="s">
        <v>35</v>
      </c>
      <c r="L196" s="2"/>
      <c r="M196" s="2">
        <v>2866302</v>
      </c>
      <c r="N196" s="2"/>
      <c r="O196" s="2"/>
      <c r="P196" s="2"/>
      <c r="Q196" s="3" t="s">
        <v>844</v>
      </c>
      <c r="R196" s="41">
        <v>41347</v>
      </c>
      <c r="S196" s="2">
        <v>860</v>
      </c>
      <c r="T196" s="2"/>
      <c r="U196" s="2" t="s">
        <v>828</v>
      </c>
      <c r="V196" s="4">
        <v>3.5999999999999997E-2</v>
      </c>
      <c r="W196" s="2">
        <f t="shared" si="77"/>
        <v>103186.87199999999</v>
      </c>
      <c r="X196" s="2">
        <f>100000+3187</f>
        <v>103187</v>
      </c>
      <c r="Y196" s="2">
        <f>103187</f>
        <v>103187</v>
      </c>
      <c r="Z196" s="2">
        <f t="shared" si="78"/>
        <v>-0.12800000001152512</v>
      </c>
      <c r="AA196" s="2">
        <f>145370+550950+477484+372286+379647+49297</f>
        <v>1975034</v>
      </c>
      <c r="AB196" s="2">
        <f>1975034</f>
        <v>1975034</v>
      </c>
      <c r="AC196" s="2">
        <f>145370+550950+477484+372286+379647+49297</f>
        <v>1975034</v>
      </c>
      <c r="AD196" s="2">
        <f>1975034</f>
        <v>1975034</v>
      </c>
      <c r="AE196" s="4">
        <f t="shared" si="70"/>
        <v>0.68905300278895942</v>
      </c>
      <c r="AF196" s="2">
        <f>500000+150000+10000+100000+11096+300000+420000+36500+78.4+47600</f>
        <v>1575274.4</v>
      </c>
      <c r="AG196" s="2">
        <f>1575274.4</f>
        <v>1575274.4</v>
      </c>
      <c r="AH196" s="2">
        <f>23675+500000+150000+10000+116234+11096+300000+12658+420000+377908+78.4+49276</f>
        <v>1970925.4</v>
      </c>
      <c r="AI196" s="2"/>
      <c r="AJ196" s="2"/>
      <c r="AK196" s="2"/>
      <c r="AL196" s="2">
        <f>1970925.4</f>
        <v>1970925.4</v>
      </c>
      <c r="AM196" s="4">
        <v>3.4000000000000002E-2</v>
      </c>
      <c r="AN196" s="8">
        <f t="shared" si="71"/>
        <v>67151.156000000003</v>
      </c>
      <c r="AO196" s="2">
        <f>4943+18732+16234+12658+12908+1676</f>
        <v>67151</v>
      </c>
      <c r="AP196" s="2">
        <f>67151</f>
        <v>67151</v>
      </c>
      <c r="AQ196" s="2">
        <f t="shared" si="74"/>
        <v>0.15600000000267755</v>
      </c>
      <c r="AR196" s="2"/>
      <c r="AS196" s="2"/>
      <c r="AT196" s="2"/>
    </row>
    <row r="197" spans="1:46" s="9" customFormat="1" x14ac:dyDescent="0.15">
      <c r="A197" s="35">
        <v>41234</v>
      </c>
      <c r="B197" s="2" t="s">
        <v>1839</v>
      </c>
      <c r="C197" s="6" t="s">
        <v>789</v>
      </c>
      <c r="D197" s="6" t="s">
        <v>845</v>
      </c>
      <c r="E197" s="6" t="s">
        <v>0</v>
      </c>
      <c r="F197" s="6" t="s">
        <v>846</v>
      </c>
      <c r="G197" s="6" t="s">
        <v>843</v>
      </c>
      <c r="H197" s="11" t="s">
        <v>847</v>
      </c>
      <c r="I197" s="6" t="s">
        <v>120</v>
      </c>
      <c r="J197" s="6" t="s">
        <v>119</v>
      </c>
      <c r="K197" s="6" t="s">
        <v>13</v>
      </c>
      <c r="L197" s="6"/>
      <c r="M197" s="6">
        <v>2564723</v>
      </c>
      <c r="N197" s="6">
        <f>288938+69722</f>
        <v>358660</v>
      </c>
      <c r="O197" s="6"/>
      <c r="P197" s="6"/>
      <c r="Q197" s="7" t="s">
        <v>848</v>
      </c>
      <c r="R197" s="42">
        <v>41234</v>
      </c>
      <c r="S197" s="6">
        <v>770</v>
      </c>
      <c r="T197" s="6"/>
      <c r="U197" s="6" t="s">
        <v>828</v>
      </c>
      <c r="V197" s="8">
        <v>3.5999999999999997E-2</v>
      </c>
      <c r="W197" s="6">
        <f t="shared" si="77"/>
        <v>105241.78799999999</v>
      </c>
      <c r="X197" s="6">
        <f>92330+10402+2510</f>
        <v>105242</v>
      </c>
      <c r="Y197" s="6">
        <f>102732+2510</f>
        <v>105242</v>
      </c>
      <c r="Z197" s="6">
        <f t="shared" si="78"/>
        <v>-0.21200000001408625</v>
      </c>
      <c r="AA197" s="6">
        <f>512944.6+769416.9+769416.9+115575+86681+72235+14447+582666.6</f>
        <v>2923383</v>
      </c>
      <c r="AB197" s="6">
        <f>2340716.4+582666.6</f>
        <v>2923383</v>
      </c>
      <c r="AC197" s="6">
        <f>512944.6+769416.9+769416.9+202256+582666.6</f>
        <v>2836701</v>
      </c>
      <c r="AD197" s="6">
        <f>2254034.4+582666.6</f>
        <v>2836701</v>
      </c>
      <c r="AE197" s="8">
        <f t="shared" si="70"/>
        <v>0.97034873637836716</v>
      </c>
      <c r="AF197" s="6">
        <f>500000+392778.4+100000+191884.1+400000+92439.4+300000+150000+255249.56+200000</f>
        <v>2582351.46</v>
      </c>
      <c r="AG197" s="6">
        <f>1977101.9+150000+255249.56+200000</f>
        <v>2582351.46</v>
      </c>
      <c r="AH197" s="6">
        <f>500000+436378.4+126160+191884.1+400000+99316.4+2456+300491+19811+150000+255249.56+100000+200000</f>
        <v>2781746.46</v>
      </c>
      <c r="AI197" s="6"/>
      <c r="AJ197" s="6"/>
      <c r="AK197" s="6"/>
      <c r="AL197" s="6">
        <f>2056685.9+19811+150000+255249.56+100000+200000</f>
        <v>2781746.46</v>
      </c>
      <c r="AM197" s="8">
        <v>3.4000000000000002E-2</v>
      </c>
      <c r="AN197" s="8">
        <f t="shared" si="71"/>
        <v>99395.022000000012</v>
      </c>
      <c r="AO197" s="6">
        <f>17440+26160+26160+3930+2947+2456+491+19811</f>
        <v>99395</v>
      </c>
      <c r="AP197" s="6">
        <f>79584+19811</f>
        <v>99395</v>
      </c>
      <c r="AQ197" s="6">
        <f t="shared" si="74"/>
        <v>2.2000000011757948E-2</v>
      </c>
      <c r="AR197" s="6"/>
      <c r="AS197" s="6">
        <v>36</v>
      </c>
      <c r="AT197" s="6" t="s">
        <v>837</v>
      </c>
    </row>
    <row r="198" spans="1:46" x14ac:dyDescent="0.15">
      <c r="A198" s="34">
        <v>41215</v>
      </c>
      <c r="B198" s="2" t="s">
        <v>1840</v>
      </c>
      <c r="C198" s="2" t="s">
        <v>790</v>
      </c>
      <c r="D198" s="2" t="s">
        <v>849</v>
      </c>
      <c r="E198" s="2" t="s">
        <v>0</v>
      </c>
      <c r="F198" s="2" t="s">
        <v>850</v>
      </c>
      <c r="G198" s="2" t="s">
        <v>843</v>
      </c>
      <c r="H198" s="13" t="s">
        <v>852</v>
      </c>
      <c r="I198" s="2" t="s">
        <v>851</v>
      </c>
      <c r="J198" s="2" t="s">
        <v>852</v>
      </c>
      <c r="K198" s="2" t="s">
        <v>853</v>
      </c>
      <c r="L198" s="2"/>
      <c r="M198" s="2">
        <v>54877788</v>
      </c>
      <c r="N198" s="2"/>
      <c r="O198" s="2"/>
      <c r="P198" s="2"/>
      <c r="Q198" s="3" t="s">
        <v>854</v>
      </c>
      <c r="R198" s="41">
        <v>41257</v>
      </c>
      <c r="S198" s="2">
        <v>16464</v>
      </c>
      <c r="T198" s="2"/>
      <c r="U198" s="2" t="s">
        <v>828</v>
      </c>
      <c r="V198" s="4">
        <v>2.5000000000000001E-2</v>
      </c>
      <c r="W198" s="2">
        <f t="shared" si="77"/>
        <v>1371944.7000000002</v>
      </c>
      <c r="X198" s="2">
        <f>710000+661945</f>
        <v>1371945</v>
      </c>
      <c r="Y198" s="2">
        <f>1371945</f>
        <v>1371945</v>
      </c>
      <c r="Z198" s="2">
        <f t="shared" si="78"/>
        <v>-0.29999999981373549</v>
      </c>
      <c r="AA198" s="2">
        <f>9939621+7723403+2902623+9610852+3999545+2315180+3916398+1309354+1489122+733335+412977+391356+202352</f>
        <v>44946118</v>
      </c>
      <c r="AB198" s="2">
        <f>44743766+202352</f>
        <v>44946118</v>
      </c>
      <c r="AC198" s="2">
        <f>9939621+7723403+1902623+8560000+1000000+50397+5000000+2315180+3916398+1309354+1489122+733335+412977+391356</f>
        <v>44743766</v>
      </c>
      <c r="AD198" s="2">
        <f>44743766</f>
        <v>44743766</v>
      </c>
      <c r="AE198" s="4">
        <f t="shared" si="70"/>
        <v>0.81533472158170806</v>
      </c>
      <c r="AF198" s="2">
        <f>1710339.87+153348+500000+1378796.69+205922+1526000+1296644+20000+244861.66+1100000+356548+26082+220000+141344+61941.27+51657+2100000+93710+1350000+700000+500000+218950+850000+319200+550000+100000+506789+120200+232140+670000+330000+243823.87+377907+150000+106085+188800+1479000+1121645.74+620000+800000+300000+227980+204234+103.59+64675+200000+648000+1200000+1300000+1200000+410400+100000+50000+58060+511892+114600+200000+63450+50+315600+1000000+126280+100000+185091+44755+350000+179700+33155+59430+63308.8+200000+700000+899638+200000+700000+50000+800000+80000+501039.16+455600+90649+200000+37210.09+31200+18025+51945+200000+305861+110000+300000+336237+100000+50121+26000+1917.4+6600+4848+9295+17200+46118+500000+217490+14.89+1700+7.5+297000+99900+299700+41288+21580+44488.82+105876</f>
        <v>40191048.350000001</v>
      </c>
      <c r="AG198" s="2">
        <f>40019103.53+21580+44488.82+105876</f>
        <v>40191048.350000001</v>
      </c>
      <c r="AH198" s="2">
        <f>337947+1710339.87+153348+500000+1378796.69+205922+1526000+1296644+20000+244861.66+1100000+262596+356548+26082+220000+141344+61941.27+51657+2100000+93710+1350000+700000+500000+218950+850000+319200+550000+100000+506789+120200+232140+98689+670000+330000+243823.87+377907+150000+106085+116290+188800+1941754+1121645.74+1000000+2620000+800000+300000+227980+204234+103.59+75384.03+200000+648000+1200000+1300000+1200000+410400+100000+128716+58060+511892+114600+200000+63450+50+315600+1000000+133158+126280+100000+185091+44755+350000+179700+33155+59430+63308.8+200000+700000+899638+200000+700000+44518+50000+800000+80000+501039.16+455600+90649+200000+37210.09+31200+50630+18025+51945+200000+300000+110000+300000+336237+100000+50121+26000+1917.4+6600+4848+9295+17200+24933+46118+500000+217490+14.89+14041+7.5+297000+113206+299700+41288+21580+44488.82+112756</f>
        <v>44838654.379999995</v>
      </c>
      <c r="AI198" s="2">
        <f>28+4000</f>
        <v>4028</v>
      </c>
      <c r="AJ198" s="2">
        <f>3000+1700+5000</f>
        <v>9700</v>
      </c>
      <c r="AK198" s="2">
        <f>2833+4656</f>
        <v>7489</v>
      </c>
      <c r="AL198" s="2">
        <f>44659829.56+28+4700+2833+21580+44488.82+112756+13656</f>
        <v>44859871.380000003</v>
      </c>
      <c r="AM198" s="4">
        <v>3.4000000000000002E-2</v>
      </c>
      <c r="AN198" s="8">
        <f t="shared" si="71"/>
        <v>1528168.0120000001</v>
      </c>
      <c r="AO198" s="2">
        <f>337947+262596+98689+326769+135985+78716+133158+44518+50630+24933+14041+13306+6880</f>
        <v>1528168</v>
      </c>
      <c r="AP198" s="2">
        <f>1521288+6880</f>
        <v>1528168</v>
      </c>
      <c r="AQ198" s="2">
        <f t="shared" si="74"/>
        <v>1.2000000104308128E-2</v>
      </c>
      <c r="AR198" s="2"/>
      <c r="AS198" s="2">
        <v>160</v>
      </c>
      <c r="AT198" s="2" t="s">
        <v>855</v>
      </c>
    </row>
    <row r="199" spans="1:46" x14ac:dyDescent="0.15">
      <c r="A199" s="34">
        <v>41228</v>
      </c>
      <c r="B199" s="2" t="s">
        <v>1841</v>
      </c>
      <c r="C199" s="2" t="s">
        <v>791</v>
      </c>
      <c r="D199" s="2" t="s">
        <v>856</v>
      </c>
      <c r="E199" s="2" t="s">
        <v>0</v>
      </c>
      <c r="F199" s="2" t="s">
        <v>857</v>
      </c>
      <c r="G199" s="2" t="s">
        <v>832</v>
      </c>
      <c r="H199" s="13" t="s">
        <v>858</v>
      </c>
      <c r="I199" s="2" t="s">
        <v>686</v>
      </c>
      <c r="J199" s="2" t="s">
        <v>687</v>
      </c>
      <c r="K199" s="2" t="s">
        <v>5</v>
      </c>
      <c r="L199" s="2"/>
      <c r="M199" s="2">
        <v>719921</v>
      </c>
      <c r="N199" s="2"/>
      <c r="O199" s="2"/>
      <c r="P199" s="2"/>
      <c r="Q199" s="3"/>
      <c r="R199" s="41"/>
      <c r="S199" s="2"/>
      <c r="T199" s="2"/>
      <c r="U199" s="2" t="s">
        <v>828</v>
      </c>
      <c r="V199" s="4">
        <v>3.5999999999999997E-2</v>
      </c>
      <c r="W199" s="2">
        <f t="shared" si="77"/>
        <v>25917.155999999999</v>
      </c>
      <c r="X199" s="2">
        <f>25917</f>
        <v>25917</v>
      </c>
      <c r="Y199" s="2">
        <f>25917</f>
        <v>25917</v>
      </c>
      <c r="Z199" s="2">
        <f t="shared" si="78"/>
        <v>0.15599999999903957</v>
      </c>
      <c r="AA199" s="2">
        <f>719921</f>
        <v>719921</v>
      </c>
      <c r="AB199" s="2">
        <f>719921</f>
        <v>719921</v>
      </c>
      <c r="AC199" s="2">
        <f>683925+35996</f>
        <v>719921</v>
      </c>
      <c r="AD199" s="2">
        <f>719921</f>
        <v>719921</v>
      </c>
      <c r="AE199" s="4">
        <f t="shared" si="70"/>
        <v>1</v>
      </c>
      <c r="AF199" s="2">
        <f>515405.63+100000+33581.8+40000</f>
        <v>688987.43</v>
      </c>
      <c r="AG199" s="2">
        <f>688987.43</f>
        <v>688987.43</v>
      </c>
      <c r="AH199" s="2">
        <f>539900.95+100000+33581.8+40000</f>
        <v>713482.75</v>
      </c>
      <c r="AI199" s="2"/>
      <c r="AJ199" s="2"/>
      <c r="AK199" s="2"/>
      <c r="AL199" s="2">
        <f>713482.75</f>
        <v>713482.75</v>
      </c>
      <c r="AM199" s="4">
        <v>3.7499999999999999E-2</v>
      </c>
      <c r="AN199" s="8">
        <f t="shared" si="71"/>
        <v>26997.037499999999</v>
      </c>
      <c r="AO199" s="2">
        <f>26997.04</f>
        <v>26997.040000000001</v>
      </c>
      <c r="AP199" s="2">
        <f>26997.04</f>
        <v>26997.040000000001</v>
      </c>
      <c r="AQ199" s="2">
        <f t="shared" si="74"/>
        <v>-2.5000000023283064E-3</v>
      </c>
      <c r="AR199" s="2"/>
      <c r="AS199" s="2">
        <v>10</v>
      </c>
      <c r="AT199" s="2" t="s">
        <v>837</v>
      </c>
    </row>
    <row r="200" spans="1:46" x14ac:dyDescent="0.15">
      <c r="A200" s="34">
        <v>41242</v>
      </c>
      <c r="B200" s="2" t="s">
        <v>1842</v>
      </c>
      <c r="C200" s="2" t="s">
        <v>653</v>
      </c>
      <c r="D200" s="2" t="s">
        <v>654</v>
      </c>
      <c r="E200" s="2" t="s">
        <v>0</v>
      </c>
      <c r="F200" s="2" t="s">
        <v>655</v>
      </c>
      <c r="G200" s="2" t="s">
        <v>656</v>
      </c>
      <c r="H200" s="13" t="s">
        <v>657</v>
      </c>
      <c r="I200" s="2" t="s">
        <v>351</v>
      </c>
      <c r="J200" s="2" t="s">
        <v>352</v>
      </c>
      <c r="K200" s="2" t="s">
        <v>13</v>
      </c>
      <c r="L200" s="2"/>
      <c r="M200" s="2">
        <v>1947790</v>
      </c>
      <c r="N200" s="2">
        <f>1962080+1996240</f>
        <v>3958320</v>
      </c>
      <c r="O200" s="2"/>
      <c r="P200" s="2"/>
      <c r="Q200" s="3" t="s">
        <v>658</v>
      </c>
      <c r="R200" s="41">
        <v>41247</v>
      </c>
      <c r="S200" s="2">
        <f>585+589+599</f>
        <v>1773</v>
      </c>
      <c r="T200" s="2"/>
      <c r="U200" s="2" t="s">
        <v>659</v>
      </c>
      <c r="V200" s="4">
        <v>0.03</v>
      </c>
      <c r="W200" s="2">
        <f t="shared" si="77"/>
        <v>177183.3</v>
      </c>
      <c r="X200" s="2">
        <f>100000+77183</f>
        <v>177183</v>
      </c>
      <c r="Y200" s="2">
        <f>177183</f>
        <v>177183</v>
      </c>
      <c r="Z200" s="2">
        <f t="shared" si="78"/>
        <v>0.29999999998835847</v>
      </c>
      <c r="AA200" s="2">
        <f>1180000+1256010+1282920+1210178.8</f>
        <v>4929108.8</v>
      </c>
      <c r="AB200" s="2">
        <f>4929108.8</f>
        <v>4929108.8</v>
      </c>
      <c r="AC200" s="2">
        <f>1180000+400000+800000+1500000+29800+770000</f>
        <v>4679800</v>
      </c>
      <c r="AD200" s="2">
        <f>4679800</f>
        <v>4679800</v>
      </c>
      <c r="AE200" s="4">
        <f t="shared" si="70"/>
        <v>0.79236587195294361</v>
      </c>
      <c r="AF200" s="2">
        <f>633623.41+390548+400000+150000+290500+205649.3+1500000+750000</f>
        <v>4320320.71</v>
      </c>
      <c r="AG200" s="2">
        <f>3570320.71+750000</f>
        <v>4320320.71</v>
      </c>
      <c r="AH200" s="2">
        <f>673743.41+390548+42704+400000+193619+378500+205649.3+80000+1500000+41146+750000</f>
        <v>4655909.71</v>
      </c>
      <c r="AI200" s="2"/>
      <c r="AJ200" s="2"/>
      <c r="AK200" s="2"/>
      <c r="AL200" s="2">
        <f>3905909.71+750000</f>
        <v>4655909.71</v>
      </c>
      <c r="AM200" s="4">
        <v>3.4000000000000002E-2</v>
      </c>
      <c r="AN200" s="4">
        <f t="shared" si="71"/>
        <v>167589.6992</v>
      </c>
      <c r="AO200" s="2">
        <f>40120+42704+43619+41146</f>
        <v>167589</v>
      </c>
      <c r="AP200" s="2">
        <f>167589</f>
        <v>167589</v>
      </c>
      <c r="AQ200" s="2">
        <f t="shared" si="74"/>
        <v>0.6992000000027474</v>
      </c>
      <c r="AR200" s="2"/>
      <c r="AS200" s="2"/>
      <c r="AT200" s="2"/>
    </row>
    <row r="201" spans="1:46" x14ac:dyDescent="0.15">
      <c r="A201" s="34">
        <v>41284</v>
      </c>
      <c r="B201" s="2" t="s">
        <v>1843</v>
      </c>
      <c r="C201" s="2" t="s">
        <v>121</v>
      </c>
      <c r="D201" s="2" t="s">
        <v>122</v>
      </c>
      <c r="E201" s="2" t="s">
        <v>0</v>
      </c>
      <c r="F201" s="2" t="s">
        <v>123</v>
      </c>
      <c r="G201" s="2" t="s">
        <v>52</v>
      </c>
      <c r="H201" s="2" t="s">
        <v>119</v>
      </c>
      <c r="I201" s="2" t="s">
        <v>120</v>
      </c>
      <c r="J201" s="2" t="s">
        <v>119</v>
      </c>
      <c r="K201" s="2" t="s">
        <v>40</v>
      </c>
      <c r="L201" s="2"/>
      <c r="M201" s="2">
        <v>1973264</v>
      </c>
      <c r="N201" s="2">
        <v>1837947</v>
      </c>
      <c r="O201" s="2"/>
      <c r="P201" s="2"/>
      <c r="Q201" s="3" t="s">
        <v>124</v>
      </c>
      <c r="R201" s="41">
        <v>41461</v>
      </c>
      <c r="S201" s="2">
        <f>592+552</f>
        <v>1144</v>
      </c>
      <c r="T201" s="2"/>
      <c r="U201" s="2" t="s">
        <v>82</v>
      </c>
      <c r="V201" s="4">
        <v>3.5999999999999997E-2</v>
      </c>
      <c r="W201" s="2">
        <f t="shared" si="77"/>
        <v>137203.59599999999</v>
      </c>
      <c r="X201" s="2">
        <f>30310+106894</f>
        <v>137204</v>
      </c>
      <c r="Y201" s="2">
        <f>137204</f>
        <v>137204</v>
      </c>
      <c r="Z201" s="2">
        <f t="shared" si="78"/>
        <v>-0.40400000000954606</v>
      </c>
      <c r="AA201" s="2">
        <f>1500000+1230000</f>
        <v>2730000</v>
      </c>
      <c r="AB201" s="2">
        <f>1500000+1230000</f>
        <v>2730000</v>
      </c>
      <c r="AC201" s="2">
        <v>1500000</v>
      </c>
      <c r="AD201" s="2">
        <v>1500000</v>
      </c>
      <c r="AE201" s="4">
        <f t="shared" si="70"/>
        <v>0.39357569024648598</v>
      </c>
      <c r="AF201" s="2">
        <f>523403.7+200000+500000+150000+71326</f>
        <v>1444729.7</v>
      </c>
      <c r="AG201" s="2">
        <f>1373403.7+71326</f>
        <v>1444729.7</v>
      </c>
      <c r="AH201" s="2">
        <f>51000+523403.7+200000+500000+150000+71326</f>
        <v>1495729.7</v>
      </c>
      <c r="AI201" s="2"/>
      <c r="AJ201" s="2"/>
      <c r="AK201" s="2"/>
      <c r="AL201" s="2">
        <f>1424403.7+71326</f>
        <v>1495729.7</v>
      </c>
      <c r="AM201" s="4">
        <v>3.4000000000000002E-2</v>
      </c>
      <c r="AN201" s="4">
        <f t="shared" si="71"/>
        <v>92820</v>
      </c>
      <c r="AO201" s="2">
        <f>51000</f>
        <v>51000</v>
      </c>
      <c r="AP201" s="2">
        <f>51000</f>
        <v>51000</v>
      </c>
      <c r="AQ201" s="2">
        <f t="shared" si="74"/>
        <v>41820</v>
      </c>
      <c r="AR201" s="2"/>
      <c r="AS201" s="2">
        <v>20</v>
      </c>
      <c r="AT201" s="2" t="s">
        <v>125</v>
      </c>
    </row>
    <row r="202" spans="1:46" s="9" customFormat="1" x14ac:dyDescent="0.15">
      <c r="A202" s="35">
        <v>41297</v>
      </c>
      <c r="B202" s="2" t="s">
        <v>1844</v>
      </c>
      <c r="C202" s="6" t="s">
        <v>255</v>
      </c>
      <c r="D202" s="6" t="s">
        <v>256</v>
      </c>
      <c r="E202" s="6" t="s">
        <v>0</v>
      </c>
      <c r="F202" s="6" t="s">
        <v>257</v>
      </c>
      <c r="G202" s="6" t="s">
        <v>146</v>
      </c>
      <c r="H202" s="6" t="s">
        <v>258</v>
      </c>
      <c r="I202" s="6" t="s">
        <v>259</v>
      </c>
      <c r="J202" s="6" t="s">
        <v>258</v>
      </c>
      <c r="K202" s="6" t="s">
        <v>149</v>
      </c>
      <c r="L202" s="6"/>
      <c r="M202" s="6">
        <v>478942</v>
      </c>
      <c r="N202" s="6">
        <f>19643</f>
        <v>19643</v>
      </c>
      <c r="O202" s="6"/>
      <c r="P202" s="6"/>
      <c r="Q202" s="7" t="s">
        <v>260</v>
      </c>
      <c r="R202" s="42">
        <v>41471</v>
      </c>
      <c r="S202" s="6">
        <v>144</v>
      </c>
      <c r="T202" s="6"/>
      <c r="U202" s="6" t="s">
        <v>261</v>
      </c>
      <c r="V202" s="8">
        <v>3.5999999999999997E-2</v>
      </c>
      <c r="W202" s="6">
        <f t="shared" ref="W202:W214" si="79">(M202+N202)*V202</f>
        <v>17949.059999999998</v>
      </c>
      <c r="X202" s="6">
        <f>17242+589+118</f>
        <v>17949</v>
      </c>
      <c r="Y202" s="6">
        <f>17831+118</f>
        <v>17949</v>
      </c>
      <c r="Z202" s="6">
        <f t="shared" si="78"/>
        <v>5.9999999997671694E-2</v>
      </c>
      <c r="AA202" s="6">
        <f>143000+143000+212585</f>
        <v>498585</v>
      </c>
      <c r="AB202" s="6">
        <f>498585</f>
        <v>498585</v>
      </c>
      <c r="AC202" s="6">
        <f>143000+143000+187655</f>
        <v>473655</v>
      </c>
      <c r="AD202" s="6">
        <f>473655</f>
        <v>473655</v>
      </c>
      <c r="AE202" s="8">
        <f t="shared" si="70"/>
        <v>0.94999849574295259</v>
      </c>
      <c r="AF202" s="6">
        <f>450000+6480</f>
        <v>456480</v>
      </c>
      <c r="AG202" s="6">
        <f>450000+6480</f>
        <v>456480</v>
      </c>
      <c r="AH202" s="6">
        <f>4862+12090+450000+6480</f>
        <v>473432</v>
      </c>
      <c r="AI202" s="6"/>
      <c r="AJ202" s="6"/>
      <c r="AK202" s="6"/>
      <c r="AL202" s="6">
        <f>466952+6480</f>
        <v>473432</v>
      </c>
      <c r="AM202" s="8">
        <v>3.4000000000000002E-2</v>
      </c>
      <c r="AN202" s="8">
        <f t="shared" si="71"/>
        <v>16951.89</v>
      </c>
      <c r="AO202" s="6">
        <f>4862+4862+7228</f>
        <v>16952</v>
      </c>
      <c r="AP202" s="6">
        <f>16952</f>
        <v>16952</v>
      </c>
      <c r="AQ202" s="6">
        <f t="shared" si="74"/>
        <v>-0.11000000000058208</v>
      </c>
      <c r="AR202" s="6"/>
      <c r="AS202" s="6">
        <v>6</v>
      </c>
      <c r="AT202" s="6" t="s">
        <v>219</v>
      </c>
    </row>
    <row r="203" spans="1:46" s="9" customFormat="1" x14ac:dyDescent="0.15">
      <c r="A203" s="35">
        <v>41294</v>
      </c>
      <c r="B203" s="2" t="s">
        <v>1845</v>
      </c>
      <c r="C203" s="6" t="s">
        <v>126</v>
      </c>
      <c r="D203" s="6" t="s">
        <v>262</v>
      </c>
      <c r="E203" s="6" t="s">
        <v>0</v>
      </c>
      <c r="F203" s="6" t="s">
        <v>263</v>
      </c>
      <c r="G203" s="6" t="s">
        <v>146</v>
      </c>
      <c r="H203" s="6" t="s">
        <v>264</v>
      </c>
      <c r="I203" s="11" t="s">
        <v>101</v>
      </c>
      <c r="J203" s="11" t="s">
        <v>102</v>
      </c>
      <c r="K203" s="11" t="s">
        <v>13</v>
      </c>
      <c r="L203" s="6"/>
      <c r="M203" s="6">
        <v>5145173.21</v>
      </c>
      <c r="N203" s="6"/>
      <c r="O203" s="6"/>
      <c r="P203" s="6"/>
      <c r="Q203" s="7" t="s">
        <v>265</v>
      </c>
      <c r="R203" s="42">
        <v>41453</v>
      </c>
      <c r="S203" s="6">
        <v>1544</v>
      </c>
      <c r="T203" s="6"/>
      <c r="U203" s="6" t="s">
        <v>261</v>
      </c>
      <c r="V203" s="8">
        <v>0.03</v>
      </c>
      <c r="W203" s="6">
        <f t="shared" si="79"/>
        <v>154355.19629999998</v>
      </c>
      <c r="X203" s="6">
        <f>50000+50000+54355</f>
        <v>154355</v>
      </c>
      <c r="Y203" s="6">
        <v>154355</v>
      </c>
      <c r="Z203" s="6">
        <v>0</v>
      </c>
      <c r="AA203" s="6">
        <f>300000+583000+1011000+700000+1300000+218000</f>
        <v>4112000</v>
      </c>
      <c r="AB203" s="6">
        <f>4112000</f>
        <v>4112000</v>
      </c>
      <c r="AC203" s="6">
        <f>300000+583000+1011000+700000+1300000+218000</f>
        <v>4112000</v>
      </c>
      <c r="AD203" s="6">
        <f>4112000</f>
        <v>4112000</v>
      </c>
      <c r="AE203" s="8">
        <f t="shared" si="70"/>
        <v>0.79919564068475746</v>
      </c>
      <c r="AF203" s="6">
        <f>210000+25350+50000+540000+25000+797999+149982+30000+240000+384000+881524.81+100000+100000+73230+4000+80000+20000+20000+52427+180000</f>
        <v>3963512.81</v>
      </c>
      <c r="AG203" s="6">
        <f>3963512.81</f>
        <v>3963512.81</v>
      </c>
      <c r="AH203" s="6">
        <f>220200+45172+50000+540000+25000+832373+149982+30000+263800+384000+44200+881524.81+100000+100000+73230+4000+80000+20000+20000+7412+52427+180000</f>
        <v>4103320.81</v>
      </c>
      <c r="AI203" s="6"/>
      <c r="AJ203" s="6"/>
      <c r="AK203" s="6"/>
      <c r="AL203" s="6">
        <f>4103320.81</f>
        <v>4103320.81</v>
      </c>
      <c r="AM203" s="8">
        <v>3.4000000000000002E-2</v>
      </c>
      <c r="AN203" s="8">
        <f t="shared" si="71"/>
        <v>139808</v>
      </c>
      <c r="AO203" s="6">
        <f>10200+19820+34374+23800+44200+7412</f>
        <v>139806</v>
      </c>
      <c r="AP203" s="6">
        <f>139806</f>
        <v>139806</v>
      </c>
      <c r="AQ203" s="6">
        <f t="shared" si="74"/>
        <v>2</v>
      </c>
      <c r="AR203" s="6"/>
      <c r="AS203" s="6">
        <v>75</v>
      </c>
      <c r="AT203" s="6" t="s">
        <v>210</v>
      </c>
    </row>
    <row r="204" spans="1:46" s="9" customFormat="1" x14ac:dyDescent="0.15">
      <c r="A204" s="35">
        <v>41299</v>
      </c>
      <c r="B204" s="2" t="s">
        <v>1846</v>
      </c>
      <c r="C204" s="6" t="s">
        <v>127</v>
      </c>
      <c r="D204" s="6" t="s">
        <v>266</v>
      </c>
      <c r="E204" s="6" t="s">
        <v>0</v>
      </c>
      <c r="F204" s="6" t="s">
        <v>267</v>
      </c>
      <c r="G204" s="6" t="s">
        <v>170</v>
      </c>
      <c r="H204" s="6" t="s">
        <v>268</v>
      </c>
      <c r="I204" s="6" t="s">
        <v>178</v>
      </c>
      <c r="J204" s="6" t="s">
        <v>179</v>
      </c>
      <c r="K204" s="6" t="s">
        <v>173</v>
      </c>
      <c r="L204" s="6"/>
      <c r="M204" s="6">
        <v>5903500</v>
      </c>
      <c r="N204" s="6"/>
      <c r="O204" s="6"/>
      <c r="P204" s="6"/>
      <c r="Q204" s="7" t="s">
        <v>269</v>
      </c>
      <c r="R204" s="42">
        <v>41361</v>
      </c>
      <c r="S204" s="6">
        <v>1772</v>
      </c>
      <c r="T204" s="6"/>
      <c r="U204" s="6" t="s">
        <v>261</v>
      </c>
      <c r="V204" s="8">
        <v>0.04</v>
      </c>
      <c r="W204" s="6">
        <f t="shared" si="79"/>
        <v>236140</v>
      </c>
      <c r="X204" s="6">
        <f>236140</f>
        <v>236140</v>
      </c>
      <c r="Y204" s="6">
        <f>236140</f>
        <v>236140</v>
      </c>
      <c r="Z204" s="6">
        <f t="shared" ref="Z204:Z221" si="80">W204-Y204</f>
        <v>0</v>
      </c>
      <c r="AA204" s="6">
        <f>300000+800000+300000+1500000+1000000+1500000</f>
        <v>5400000</v>
      </c>
      <c r="AB204" s="6">
        <f>5400000</f>
        <v>5400000</v>
      </c>
      <c r="AC204" s="6">
        <f>1100000+300000+1000000+500000+500000+600000</f>
        <v>4000000</v>
      </c>
      <c r="AD204" s="6">
        <f>4000000</f>
        <v>4000000</v>
      </c>
      <c r="AE204" s="8">
        <f t="shared" si="70"/>
        <v>0.67756415685610227</v>
      </c>
      <c r="AF204" s="6">
        <f>28800+200155.74+300000+609077.08+500000+471466.5+597000</f>
        <v>2706499.32</v>
      </c>
      <c r="AG204" s="6">
        <f>2706499.32</f>
        <v>2706499.32</v>
      </c>
      <c r="AH204" s="6">
        <f>1066200+10200+310000+351000+609077.08+500000+34000+471466.5+648000</f>
        <v>3999943.58</v>
      </c>
      <c r="AI204" s="6"/>
      <c r="AJ204" s="6"/>
      <c r="AK204" s="6"/>
      <c r="AL204" s="6">
        <f>3999943.58</f>
        <v>3999943.58</v>
      </c>
      <c r="AM204" s="8">
        <v>3.4000000000000002E-2</v>
      </c>
      <c r="AN204" s="8">
        <f t="shared" si="71"/>
        <v>183600</v>
      </c>
      <c r="AO204" s="6">
        <f>10200+27200+10200+51000+34000+51000</f>
        <v>183600</v>
      </c>
      <c r="AP204" s="6">
        <f>183600</f>
        <v>183600</v>
      </c>
      <c r="AQ204" s="6">
        <f t="shared" si="74"/>
        <v>0</v>
      </c>
      <c r="AR204" s="6"/>
      <c r="AS204" s="6">
        <v>74</v>
      </c>
      <c r="AT204" s="6" t="s">
        <v>219</v>
      </c>
    </row>
    <row r="205" spans="1:46" s="9" customFormat="1" x14ac:dyDescent="0.15">
      <c r="A205" s="35">
        <v>41294</v>
      </c>
      <c r="B205" s="2" t="s">
        <v>1847</v>
      </c>
      <c r="C205" s="6" t="s">
        <v>128</v>
      </c>
      <c r="D205" s="6" t="s">
        <v>270</v>
      </c>
      <c r="E205" s="6" t="s">
        <v>0</v>
      </c>
      <c r="F205" s="6" t="s">
        <v>271</v>
      </c>
      <c r="G205" s="6" t="s">
        <v>272</v>
      </c>
      <c r="H205" s="6" t="s">
        <v>273</v>
      </c>
      <c r="I205" s="6" t="s">
        <v>274</v>
      </c>
      <c r="J205" s="6" t="s">
        <v>273</v>
      </c>
      <c r="K205" s="6" t="s">
        <v>275</v>
      </c>
      <c r="L205" s="6"/>
      <c r="M205" s="6">
        <v>8338455</v>
      </c>
      <c r="N205" s="6">
        <f>1516000</f>
        <v>1516000</v>
      </c>
      <c r="O205" s="6"/>
      <c r="P205" s="6"/>
      <c r="Q205" s="7" t="s">
        <v>276</v>
      </c>
      <c r="R205" s="42">
        <v>41569</v>
      </c>
      <c r="S205" s="6">
        <v>2502</v>
      </c>
      <c r="T205" s="6"/>
      <c r="U205" s="6" t="s">
        <v>261</v>
      </c>
      <c r="V205" s="8">
        <v>0.03</v>
      </c>
      <c r="W205" s="6">
        <f t="shared" si="79"/>
        <v>295633.64999999997</v>
      </c>
      <c r="X205" s="6">
        <f>295634</f>
        <v>295634</v>
      </c>
      <c r="Y205" s="6">
        <f>295634</f>
        <v>295634</v>
      </c>
      <c r="Z205" s="6">
        <v>0</v>
      </c>
      <c r="AA205" s="6">
        <f>4000000+2000000</f>
        <v>6000000</v>
      </c>
      <c r="AB205" s="6">
        <f>4000000+2000000</f>
        <v>6000000</v>
      </c>
      <c r="AC205" s="6">
        <f>4000000+2000000+200000+200000</f>
        <v>6400000</v>
      </c>
      <c r="AD205" s="6">
        <f>4000000+2000000+200000+200000</f>
        <v>6400000</v>
      </c>
      <c r="AE205" s="8">
        <f t="shared" si="70"/>
        <v>0.64945245576746757</v>
      </c>
      <c r="AF205" s="6">
        <f>2302710+620+620+2865+2000+11342+30000+284389+1500000+5385+50000+44103+55635.44+200000+100000+200000+96590</f>
        <v>4886259.4400000004</v>
      </c>
      <c r="AG205" s="6">
        <f>2350157+284389+1500000+5385+50000+44103+55635.44+200000+100000+200000+96590</f>
        <v>4886259.4400000004</v>
      </c>
      <c r="AH205" s="6">
        <f>1500000+2302710-620+620+2865+132000+2000+11342+30000+284389+1566000+60000+50000+44103-60000+55635.44+200000+100000+200000+96590</f>
        <v>6577634.4400000004</v>
      </c>
      <c r="AI205" s="6"/>
      <c r="AJ205" s="6">
        <v>5385</v>
      </c>
      <c r="AK205" s="6"/>
      <c r="AL205" s="6">
        <f>3980917+284389+1566000+5385+60000+50000+44103-60000+55635.44+200000+100000+200000+96590</f>
        <v>6583019.4400000004</v>
      </c>
      <c r="AM205" s="8">
        <v>3.5000000000000003E-2</v>
      </c>
      <c r="AN205" s="8">
        <f t="shared" si="71"/>
        <v>210000.00000000003</v>
      </c>
      <c r="AO205" s="6">
        <f>210000</f>
        <v>210000</v>
      </c>
      <c r="AP205" s="6">
        <f>210000</f>
        <v>210000</v>
      </c>
      <c r="AQ205" s="6">
        <f t="shared" si="74"/>
        <v>0</v>
      </c>
      <c r="AR205" s="6"/>
      <c r="AS205" s="6">
        <v>75</v>
      </c>
      <c r="AT205" s="6" t="s">
        <v>219</v>
      </c>
    </row>
    <row r="206" spans="1:46" s="9" customFormat="1" x14ac:dyDescent="0.15">
      <c r="A206" s="35">
        <v>41299</v>
      </c>
      <c r="B206" s="2" t="s">
        <v>1848</v>
      </c>
      <c r="C206" s="6" t="s">
        <v>129</v>
      </c>
      <c r="D206" s="6" t="s">
        <v>277</v>
      </c>
      <c r="E206" s="6" t="s">
        <v>0</v>
      </c>
      <c r="F206" s="6" t="s">
        <v>278</v>
      </c>
      <c r="G206" s="6" t="s">
        <v>170</v>
      </c>
      <c r="H206" s="6" t="s">
        <v>150</v>
      </c>
      <c r="I206" s="11" t="s">
        <v>148</v>
      </c>
      <c r="J206" s="11" t="s">
        <v>150</v>
      </c>
      <c r="K206" s="6" t="s">
        <v>149</v>
      </c>
      <c r="L206" s="6"/>
      <c r="M206" s="6">
        <v>1707600</v>
      </c>
      <c r="N206" s="6"/>
      <c r="O206" s="6"/>
      <c r="P206" s="6"/>
      <c r="Q206" s="7" t="s">
        <v>279</v>
      </c>
      <c r="R206" s="42">
        <v>41366</v>
      </c>
      <c r="S206" s="6">
        <v>513</v>
      </c>
      <c r="T206" s="6"/>
      <c r="U206" s="6" t="s">
        <v>261</v>
      </c>
      <c r="V206" s="8">
        <v>0.03</v>
      </c>
      <c r="W206" s="6">
        <f t="shared" si="79"/>
        <v>51228</v>
      </c>
      <c r="X206" s="6">
        <f>51228</f>
        <v>51228</v>
      </c>
      <c r="Y206" s="6">
        <f>51228</f>
        <v>51228</v>
      </c>
      <c r="Z206" s="6">
        <f t="shared" si="80"/>
        <v>0</v>
      </c>
      <c r="AA206" s="6">
        <f>683040+512280+341520</f>
        <v>1536840</v>
      </c>
      <c r="AB206" s="6">
        <v>1536840</v>
      </c>
      <c r="AC206" s="6">
        <f>683040+853800</f>
        <v>1536840</v>
      </c>
      <c r="AD206" s="6">
        <f>1536840</f>
        <v>1536840</v>
      </c>
      <c r="AE206" s="8">
        <f t="shared" si="70"/>
        <v>0.9</v>
      </c>
      <c r="AF206" s="6">
        <f>182000+448651.7+511960+88520+99008+41790+2160+50000+60000</f>
        <v>1484089.7</v>
      </c>
      <c r="AG206" s="6">
        <f>1484089.7</f>
        <v>1484089.7</v>
      </c>
      <c r="AH206" s="6">
        <f>205223+448651.7+17418+11612+511960+88520+99008+41790+2160+50000+60000</f>
        <v>1536342.7</v>
      </c>
      <c r="AI206" s="6"/>
      <c r="AJ206" s="6"/>
      <c r="AK206" s="6"/>
      <c r="AL206" s="6">
        <f>1536342.7</f>
        <v>1536342.7</v>
      </c>
      <c r="AM206" s="8">
        <v>3.4000000000000002E-2</v>
      </c>
      <c r="AN206" s="8">
        <f t="shared" si="71"/>
        <v>52252.560000000005</v>
      </c>
      <c r="AO206" s="6">
        <f>23223+17418+11612</f>
        <v>52253</v>
      </c>
      <c r="AP206" s="6">
        <f>52253</f>
        <v>52253</v>
      </c>
      <c r="AQ206" s="6">
        <f t="shared" si="74"/>
        <v>-0.43999999999505235</v>
      </c>
      <c r="AR206" s="6"/>
      <c r="AS206" s="6"/>
      <c r="AT206" s="6"/>
    </row>
    <row r="207" spans="1:46" s="9" customFormat="1" x14ac:dyDescent="0.15">
      <c r="A207" s="35">
        <v>41303</v>
      </c>
      <c r="B207" s="2" t="s">
        <v>1849</v>
      </c>
      <c r="C207" s="6" t="s">
        <v>130</v>
      </c>
      <c r="D207" s="6" t="s">
        <v>280</v>
      </c>
      <c r="E207" s="6" t="s">
        <v>0</v>
      </c>
      <c r="F207" s="6" t="s">
        <v>281</v>
      </c>
      <c r="G207" s="6" t="s">
        <v>146</v>
      </c>
      <c r="H207" s="6" t="s">
        <v>268</v>
      </c>
      <c r="I207" s="6" t="s">
        <v>178</v>
      </c>
      <c r="J207" s="6" t="s">
        <v>179</v>
      </c>
      <c r="K207" s="6" t="s">
        <v>173</v>
      </c>
      <c r="L207" s="6"/>
      <c r="M207" s="6">
        <v>3171737</v>
      </c>
      <c r="N207" s="6"/>
      <c r="O207" s="6"/>
      <c r="P207" s="6"/>
      <c r="Q207" s="7" t="s">
        <v>282</v>
      </c>
      <c r="R207" s="42">
        <v>41361</v>
      </c>
      <c r="S207" s="6">
        <v>952</v>
      </c>
      <c r="T207" s="6"/>
      <c r="U207" s="6" t="s">
        <v>261</v>
      </c>
      <c r="V207" s="8">
        <v>0.04</v>
      </c>
      <c r="W207" s="6">
        <f t="shared" si="79"/>
        <v>126869.48</v>
      </c>
      <c r="X207" s="6">
        <f>126870</f>
        <v>126870</v>
      </c>
      <c r="Y207" s="6">
        <f>126870</f>
        <v>126870</v>
      </c>
      <c r="Z207" s="6">
        <v>0</v>
      </c>
      <c r="AA207" s="6">
        <f>1200000+500000+1300000+148019</f>
        <v>3148019</v>
      </c>
      <c r="AB207" s="6">
        <f>3000000+148019</f>
        <v>3148019</v>
      </c>
      <c r="AC207" s="6">
        <f>1200000+500000+1300000</f>
        <v>3000000</v>
      </c>
      <c r="AD207" s="6">
        <f>3000000</f>
        <v>3000000</v>
      </c>
      <c r="AE207" s="8">
        <f t="shared" si="70"/>
        <v>0.94585395951808116</v>
      </c>
      <c r="AF207" s="6">
        <f>950000+200000+9075.2+150000+900000</f>
        <v>2209075.2000000002</v>
      </c>
      <c r="AG207" s="6">
        <f>2209075.2</f>
        <v>2209075.2000000002</v>
      </c>
      <c r="AH207" s="6">
        <f>1110800+80000+9075.2+467000+1260337.34+20000+5033</f>
        <v>2952245.54</v>
      </c>
      <c r="AI207" s="6"/>
      <c r="AJ207" s="6"/>
      <c r="AK207" s="6"/>
      <c r="AL207" s="6">
        <f>2947212.54+5033</f>
        <v>2952245.54</v>
      </c>
      <c r="AM207" s="8">
        <v>3.4000000000000002E-2</v>
      </c>
      <c r="AN207" s="8">
        <f t="shared" si="71"/>
        <v>107032.64600000001</v>
      </c>
      <c r="AO207" s="6">
        <f>40800+17000+44200+5033</f>
        <v>107033</v>
      </c>
      <c r="AP207" s="6">
        <f>102000+5033</f>
        <v>107033</v>
      </c>
      <c r="AQ207" s="6">
        <f t="shared" si="74"/>
        <v>-0.35399999999208376</v>
      </c>
      <c r="AR207" s="6"/>
      <c r="AS207" s="6">
        <v>40</v>
      </c>
      <c r="AT207" s="6" t="s">
        <v>219</v>
      </c>
    </row>
    <row r="208" spans="1:46" s="9" customFormat="1" x14ac:dyDescent="0.15">
      <c r="A208" s="35">
        <v>41304</v>
      </c>
      <c r="B208" s="2" t="s">
        <v>1850</v>
      </c>
      <c r="C208" s="6" t="s">
        <v>131</v>
      </c>
      <c r="D208" s="6" t="s">
        <v>283</v>
      </c>
      <c r="E208" s="6" t="s">
        <v>0</v>
      </c>
      <c r="F208" s="6" t="s">
        <v>284</v>
      </c>
      <c r="G208" s="6" t="s">
        <v>170</v>
      </c>
      <c r="H208" s="6" t="s">
        <v>268</v>
      </c>
      <c r="I208" s="6" t="s">
        <v>178</v>
      </c>
      <c r="J208" s="6" t="s">
        <v>179</v>
      </c>
      <c r="K208" s="6" t="s">
        <v>173</v>
      </c>
      <c r="L208" s="6"/>
      <c r="M208" s="6">
        <v>3688900</v>
      </c>
      <c r="N208" s="6">
        <f>2437951.61</f>
        <v>2437951.61</v>
      </c>
      <c r="O208" s="6"/>
      <c r="P208" s="6"/>
      <c r="Q208" s="7" t="s">
        <v>285</v>
      </c>
      <c r="R208" s="42">
        <v>41361</v>
      </c>
      <c r="S208" s="6">
        <v>1107</v>
      </c>
      <c r="T208" s="6"/>
      <c r="U208" s="6" t="s">
        <v>261</v>
      </c>
      <c r="V208" s="8">
        <v>0.04</v>
      </c>
      <c r="W208" s="6">
        <f t="shared" si="79"/>
        <v>245074.06439999997</v>
      </c>
      <c r="X208" s="6">
        <f>147556+73139+24379</f>
        <v>245074</v>
      </c>
      <c r="Y208" s="6">
        <f>245074</f>
        <v>245074</v>
      </c>
      <c r="Z208" s="6">
        <v>0</v>
      </c>
      <c r="AA208" s="6">
        <f>500000+500000+500000+500000+100000+300000+1500000+500000</f>
        <v>4400000</v>
      </c>
      <c r="AB208" s="6">
        <f>4400000</f>
        <v>4400000</v>
      </c>
      <c r="AC208" s="6">
        <f>500000+500000+500000+600000+300000+1500000+500000</f>
        <v>4400000</v>
      </c>
      <c r="AD208" s="6">
        <f>4400000</f>
        <v>4400000</v>
      </c>
      <c r="AE208" s="8">
        <f t="shared" si="70"/>
        <v>0.71815024748085921</v>
      </c>
      <c r="AF208" s="6">
        <f>100000+400000+100000+300000+150000+150000+100000+600000+1165632.87+330236.2+104500+100000+210000+100000+9800</f>
        <v>3920169.0700000003</v>
      </c>
      <c r="AG208" s="6">
        <f>3910369.07+9800</f>
        <v>3920169.07</v>
      </c>
      <c r="AH208" s="6">
        <f>117000+317000+3118+400000+100000+17000+300000+150000+17000-150000+150000+3400+150000+10200+100000+600000+51000+1165632.87+330236.2+17000+104500+100000+210000+100000+9800</f>
        <v>4372887.07</v>
      </c>
      <c r="AI208" s="6"/>
      <c r="AJ208" s="6"/>
      <c r="AK208" s="6"/>
      <c r="AL208" s="6">
        <f>4363087.07+9800</f>
        <v>4372887.07</v>
      </c>
      <c r="AM208" s="8">
        <v>3.4000000000000002E-2</v>
      </c>
      <c r="AN208" s="8">
        <f t="shared" si="71"/>
        <v>149600</v>
      </c>
      <c r="AO208" s="6">
        <f>17000+17000+17000+17000+3400+10200+51000+17000</f>
        <v>149600</v>
      </c>
      <c r="AP208" s="6">
        <f>149600</f>
        <v>149600</v>
      </c>
      <c r="AQ208" s="6">
        <f t="shared" si="74"/>
        <v>0</v>
      </c>
      <c r="AR208" s="6"/>
      <c r="AS208" s="6">
        <v>78</v>
      </c>
      <c r="AT208" s="6" t="s">
        <v>286</v>
      </c>
    </row>
    <row r="209" spans="1:46" s="9" customFormat="1" x14ac:dyDescent="0.15">
      <c r="A209" s="35">
        <v>41330</v>
      </c>
      <c r="B209" s="2" t="s">
        <v>1851</v>
      </c>
      <c r="C209" s="6" t="s">
        <v>132</v>
      </c>
      <c r="D209" s="6" t="s">
        <v>287</v>
      </c>
      <c r="E209" s="6" t="s">
        <v>0</v>
      </c>
      <c r="F209" s="6" t="s">
        <v>288</v>
      </c>
      <c r="G209" s="6" t="s">
        <v>289</v>
      </c>
      <c r="H209" s="6" t="s">
        <v>290</v>
      </c>
      <c r="I209" s="6" t="s">
        <v>291</v>
      </c>
      <c r="J209" s="6" t="s">
        <v>293</v>
      </c>
      <c r="K209" s="6" t="s">
        <v>292</v>
      </c>
      <c r="L209" s="6"/>
      <c r="M209" s="6">
        <v>10242431.93</v>
      </c>
      <c r="N209" s="6"/>
      <c r="O209" s="6"/>
      <c r="P209" s="6"/>
      <c r="Q209" s="7" t="s">
        <v>294</v>
      </c>
      <c r="R209" s="42">
        <v>41342</v>
      </c>
      <c r="S209" s="6">
        <v>3073</v>
      </c>
      <c r="T209" s="6"/>
      <c r="U209" s="6" t="s">
        <v>261</v>
      </c>
      <c r="V209" s="8">
        <v>0.03</v>
      </c>
      <c r="W209" s="6">
        <f t="shared" si="79"/>
        <v>307272.95789999998</v>
      </c>
      <c r="X209" s="6">
        <f>200000+107273</f>
        <v>307273</v>
      </c>
      <c r="Y209" s="6">
        <f>307273</f>
        <v>307273</v>
      </c>
      <c r="Z209" s="6">
        <v>0</v>
      </c>
      <c r="AA209" s="6">
        <f>2048486.39+1259000+1397513.61+650000+1143000</f>
        <v>6498000</v>
      </c>
      <c r="AB209" s="6">
        <f>5355000+1143000</f>
        <v>6498000</v>
      </c>
      <c r="AC209" s="6">
        <f>2040000+1259000+1406000+650000+1143000</f>
        <v>6498000</v>
      </c>
      <c r="AD209" s="6">
        <f>5355000+1143000</f>
        <v>6498000</v>
      </c>
      <c r="AE209" s="8">
        <f t="shared" si="70"/>
        <v>0.63441964217183722</v>
      </c>
      <c r="AF209" s="6">
        <f>1113238.75+95564.8+282990.85+250000+100000+38784.85+1007350+138980+802000+300000+598000+19500+200000</f>
        <v>4946409.25</v>
      </c>
      <c r="AG209" s="6">
        <f>4746409.25+200000</f>
        <v>4946409.25</v>
      </c>
      <c r="AH209" s="6">
        <f>69649+1113238.75+95564.8+282990.85+250000+100000+38784.85+42806+1007350+138980+47515+802000+300000+620100+19500+77895.7+200000+38862</f>
        <v>5245236.95</v>
      </c>
      <c r="AI209" s="6"/>
      <c r="AJ209" s="6"/>
      <c r="AK209" s="6"/>
      <c r="AL209" s="6">
        <f>5006374.95+200000+38862</f>
        <v>5245236.95</v>
      </c>
      <c r="AM209" s="8">
        <v>3.4000000000000002E-2</v>
      </c>
      <c r="AN209" s="8">
        <f t="shared" si="71"/>
        <v>220932.00000000003</v>
      </c>
      <c r="AO209" s="6">
        <f>69649+42806+47515+22100+38862</f>
        <v>220932</v>
      </c>
      <c r="AP209" s="6">
        <f>182070+38862</f>
        <v>220932</v>
      </c>
      <c r="AQ209" s="6">
        <f t="shared" si="74"/>
        <v>0</v>
      </c>
      <c r="AR209" s="6"/>
      <c r="AS209" s="6">
        <v>150</v>
      </c>
      <c r="AT209" s="6" t="s">
        <v>295</v>
      </c>
    </row>
    <row r="210" spans="1:46" s="9" customFormat="1" x14ac:dyDescent="0.15">
      <c r="A210" s="35">
        <v>41334</v>
      </c>
      <c r="B210" s="2" t="s">
        <v>1852</v>
      </c>
      <c r="C210" s="6" t="s">
        <v>133</v>
      </c>
      <c r="D210" s="6" t="s">
        <v>296</v>
      </c>
      <c r="E210" s="6" t="s">
        <v>0</v>
      </c>
      <c r="F210" s="6" t="s">
        <v>297</v>
      </c>
      <c r="G210" s="6" t="s">
        <v>298</v>
      </c>
      <c r="H210" s="6" t="s">
        <v>299</v>
      </c>
      <c r="I210" s="6" t="s">
        <v>300</v>
      </c>
      <c r="J210" s="6" t="s">
        <v>301</v>
      </c>
      <c r="K210" s="6" t="s">
        <v>302</v>
      </c>
      <c r="L210" s="6"/>
      <c r="M210" s="6">
        <v>10182154.199999999</v>
      </c>
      <c r="N210" s="6"/>
      <c r="O210" s="6"/>
      <c r="P210" s="6"/>
      <c r="Q210" s="7" t="s">
        <v>303</v>
      </c>
      <c r="R210" s="42">
        <v>41351</v>
      </c>
      <c r="S210" s="6">
        <v>3055</v>
      </c>
      <c r="T210" s="6"/>
      <c r="U210" s="6" t="s">
        <v>261</v>
      </c>
      <c r="V210" s="8">
        <v>0.03</v>
      </c>
      <c r="W210" s="6">
        <f t="shared" si="79"/>
        <v>305464.62599999999</v>
      </c>
      <c r="X210" s="6">
        <f>100000+205465</f>
        <v>305465</v>
      </c>
      <c r="Y210" s="6">
        <f>305465</f>
        <v>305465</v>
      </c>
      <c r="Z210" s="6">
        <v>0</v>
      </c>
      <c r="AA210" s="6">
        <f>1018215+1527323.13+2545538.55+1567304.64+500000+500000</f>
        <v>7658381.3199999994</v>
      </c>
      <c r="AB210" s="6">
        <f>6658381.32+500000+500000</f>
        <v>7658381.3200000003</v>
      </c>
      <c r="AC210" s="6">
        <f>1018215+1527323.13+2545538.55+967304.64+150000+150000+300000+500000+500000</f>
        <v>7658381.3199999994</v>
      </c>
      <c r="AD210" s="6">
        <f>6658381.32+500000+500000</f>
        <v>7658381.3200000003</v>
      </c>
      <c r="AE210" s="8">
        <f t="shared" si="70"/>
        <v>0.75213762918656246</v>
      </c>
      <c r="AF210" s="6">
        <f>10350+319999+149999+159072+45000+50000+18000+70000+318528+988079+99999+950000+1020000+250000+179447.5+37845+55000+41712.9+60000+230000+44953+200000+220000+33000+450000+400000</f>
        <v>6400984.4000000004</v>
      </c>
      <c r="AG210" s="6">
        <f>5550984.4+450000+400000</f>
        <v>6400984.4000000004</v>
      </c>
      <c r="AH210" s="6">
        <f>10350+355229.24+149999+25455.39+159072+45000+50000+18000+70000+318528+988079+152844.37+950000+1020000+338075.63+179447.5+37845+800000+55000+41712.9+60000+230000+94953+200000+273131.63+33000+1097.1-50000+467300+50000+30000+418300</f>
        <v>7572419.7599999998</v>
      </c>
      <c r="AI210" s="6"/>
      <c r="AJ210" s="6"/>
      <c r="AK210" s="6"/>
      <c r="AL210" s="6">
        <f>6656819.76-50000+467300+50000+30000+418300</f>
        <v>7572419.7599999998</v>
      </c>
      <c r="AM210" s="8">
        <v>3.6900000000000002E-2</v>
      </c>
      <c r="AN210" s="8">
        <f t="shared" si="71"/>
        <v>282594.27070800005</v>
      </c>
      <c r="AO210" s="6">
        <f>264144.27+17950+500</f>
        <v>282594.27</v>
      </c>
      <c r="AP210" s="6">
        <f>264144.27+17950+500</f>
        <v>282594.27</v>
      </c>
      <c r="AQ210" s="6">
        <f t="shared" si="74"/>
        <v>7.0800003595650196E-4</v>
      </c>
      <c r="AR210" s="6"/>
      <c r="AS210" s="6">
        <v>123</v>
      </c>
      <c r="AT210" s="6" t="s">
        <v>304</v>
      </c>
    </row>
    <row r="211" spans="1:46" s="9" customFormat="1" x14ac:dyDescent="0.15">
      <c r="A211" s="35">
        <v>41361</v>
      </c>
      <c r="B211" s="2" t="s">
        <v>1853</v>
      </c>
      <c r="C211" s="6" t="s">
        <v>134</v>
      </c>
      <c r="D211" s="6" t="s">
        <v>305</v>
      </c>
      <c r="E211" s="6" t="s">
        <v>0</v>
      </c>
      <c r="F211" s="6" t="s">
        <v>306</v>
      </c>
      <c r="G211" s="6" t="s">
        <v>307</v>
      </c>
      <c r="H211" s="6" t="s">
        <v>308</v>
      </c>
      <c r="I211" s="6" t="s">
        <v>309</v>
      </c>
      <c r="J211" s="6" t="s">
        <v>308</v>
      </c>
      <c r="K211" s="6" t="s">
        <v>310</v>
      </c>
      <c r="L211" s="6"/>
      <c r="M211" s="6">
        <v>35281540.549999997</v>
      </c>
      <c r="N211" s="6">
        <f>214700+873089.19</f>
        <v>1087789.19</v>
      </c>
      <c r="O211" s="6"/>
      <c r="P211" s="6"/>
      <c r="Q211" s="7" t="s">
        <v>311</v>
      </c>
      <c r="R211" s="42">
        <v>41410</v>
      </c>
      <c r="S211" s="6">
        <v>10585</v>
      </c>
      <c r="T211" s="6"/>
      <c r="U211" s="6" t="s">
        <v>261</v>
      </c>
      <c r="V211" s="8">
        <v>0.03</v>
      </c>
      <c r="W211" s="6">
        <f t="shared" si="79"/>
        <v>1091079.8921999999</v>
      </c>
      <c r="X211" s="6">
        <f>300000+400000+6441+358446+26193</f>
        <v>1091080</v>
      </c>
      <c r="Y211" s="6">
        <f>1064887+26193</f>
        <v>1091080</v>
      </c>
      <c r="Z211" s="6">
        <f t="shared" si="80"/>
        <v>-0.10780000011436641</v>
      </c>
      <c r="AA211" s="6">
        <f>3061870+3977905+7558668+214700+6514145+3722817+2000000</f>
        <v>27050105</v>
      </c>
      <c r="AB211" s="6">
        <f>25050105+2000000</f>
        <v>27050105</v>
      </c>
      <c r="AC211" s="6">
        <f>3061870+3977905+3000000+4558668+214700+6514145+3722817+2000000</f>
        <v>27050105</v>
      </c>
      <c r="AD211" s="6">
        <f>25050105+2000000</f>
        <v>27050105</v>
      </c>
      <c r="AE211" s="8">
        <f t="shared" si="70"/>
        <v>0.74376143837068154</v>
      </c>
      <c r="AF211" s="6">
        <f>1044647+757241.28+499950+1260000+1809096.82+754561.9+1359970+504860+600000+40000+100000+50000+1628000+30000+1823150+100000+200000+1799920+950000+500000+1384935.73+3950.51+1099920+20068.57+100000+199800+499970+605403+158700+3647573.83-50000-399000+400000+57996+1801987.57+46251</f>
        <v>25388953.210000001</v>
      </c>
      <c r="AG211" s="6">
        <f>23540714.64+1801987.57+46251</f>
        <v>25388953.210000001</v>
      </c>
      <c r="AH211" s="6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1148751+757241.28+635199+1260000+1809096.82+754561.9+650000+1616965+504860+600000+40000+100000+50000+1628000+30000+1823150+100000+200000+1028701+1950000+500000+1384935.73+3950.51+1099920+20068.57+100000+199800+499970+605403+158700+3774149.83-50000-399000+400000+57996+1869987.57</f>
        <v>26912407.210000001</v>
      </c>
      <c r="AI211" s="6">
        <f>3000</f>
        <v>3000</v>
      </c>
      <c r="AJ211" s="6">
        <f>20079</f>
        <v>20079</v>
      </c>
      <c r="AK211" s="6">
        <f>23172</f>
        <v>23172</v>
      </c>
      <c r="AL211" s="6">
        <f>25042419.64+1869987.57+46251</f>
        <v>26958658.210000001</v>
      </c>
      <c r="AM211" s="8">
        <v>3.4000000000000002E-2</v>
      </c>
      <c r="AN211" s="8">
        <f t="shared" si="71"/>
        <v>919703.57000000007</v>
      </c>
      <c r="AO211" s="6">
        <f>104104+135249+256995+7300+221481+126576+68000</f>
        <v>919705</v>
      </c>
      <c r="AP211" s="6">
        <f>851705+68000</f>
        <v>919705</v>
      </c>
      <c r="AQ211" s="6">
        <f t="shared" si="74"/>
        <v>-1.4299999999348074</v>
      </c>
      <c r="AR211" s="6"/>
      <c r="AS211" s="6">
        <v>180</v>
      </c>
      <c r="AT211" s="6" t="s">
        <v>312</v>
      </c>
    </row>
    <row r="212" spans="1:46" s="9" customFormat="1" x14ac:dyDescent="0.15">
      <c r="A212" s="35">
        <v>41361</v>
      </c>
      <c r="B212" s="2" t="s">
        <v>1854</v>
      </c>
      <c r="C212" s="6" t="s">
        <v>135</v>
      </c>
      <c r="D212" s="6" t="s">
        <v>313</v>
      </c>
      <c r="E212" s="6" t="s">
        <v>0</v>
      </c>
      <c r="F212" s="6" t="s">
        <v>314</v>
      </c>
      <c r="G212" s="6" t="s">
        <v>307</v>
      </c>
      <c r="H212" s="6" t="s">
        <v>315</v>
      </c>
      <c r="I212" s="6" t="s">
        <v>87</v>
      </c>
      <c r="J212" s="6" t="s">
        <v>86</v>
      </c>
      <c r="K212" s="6" t="s">
        <v>310</v>
      </c>
      <c r="L212" s="6"/>
      <c r="M212" s="6">
        <v>1995000</v>
      </c>
      <c r="N212" s="6"/>
      <c r="O212" s="6"/>
      <c r="P212" s="6"/>
      <c r="Q212" s="7" t="s">
        <v>316</v>
      </c>
      <c r="R212" s="42">
        <v>41429</v>
      </c>
      <c r="S212" s="6">
        <v>599</v>
      </c>
      <c r="T212" s="6"/>
      <c r="U212" s="6"/>
      <c r="V212" s="8">
        <v>3.5999999999999997E-2</v>
      </c>
      <c r="W212" s="6">
        <f t="shared" si="79"/>
        <v>71820</v>
      </c>
      <c r="X212" s="6"/>
      <c r="Y212" s="6"/>
      <c r="Z212" s="6">
        <f t="shared" si="80"/>
        <v>71820</v>
      </c>
      <c r="AA212" s="6"/>
      <c r="AB212" s="6"/>
      <c r="AC212" s="6"/>
      <c r="AD212" s="6"/>
      <c r="AE212" s="8">
        <f t="shared" si="70"/>
        <v>0</v>
      </c>
      <c r="AF212" s="6"/>
      <c r="AG212" s="6"/>
      <c r="AH212" s="6"/>
      <c r="AI212" s="6"/>
      <c r="AJ212" s="6"/>
      <c r="AK212" s="6"/>
      <c r="AL212" s="6"/>
      <c r="AM212" s="8">
        <v>3.4000000000000002E-2</v>
      </c>
      <c r="AN212" s="8">
        <f t="shared" si="71"/>
        <v>0</v>
      </c>
      <c r="AO212" s="6"/>
      <c r="AP212" s="6"/>
      <c r="AQ212" s="6">
        <f t="shared" si="74"/>
        <v>0</v>
      </c>
      <c r="AR212" s="6"/>
      <c r="AS212" s="6">
        <v>26</v>
      </c>
      <c r="AT212" s="6" t="s">
        <v>312</v>
      </c>
    </row>
    <row r="213" spans="1:46" s="9" customFormat="1" x14ac:dyDescent="0.15">
      <c r="A213" s="35">
        <v>41361</v>
      </c>
      <c r="B213" s="2" t="s">
        <v>1855</v>
      </c>
      <c r="C213" s="6" t="s">
        <v>136</v>
      </c>
      <c r="D213" s="6" t="s">
        <v>317</v>
      </c>
      <c r="E213" s="6" t="s">
        <v>0</v>
      </c>
      <c r="F213" s="6" t="s">
        <v>318</v>
      </c>
      <c r="G213" s="6" t="s">
        <v>307</v>
      </c>
      <c r="H213" s="6" t="s">
        <v>319</v>
      </c>
      <c r="I213" s="6" t="s">
        <v>320</v>
      </c>
      <c r="J213" s="6" t="s">
        <v>321</v>
      </c>
      <c r="K213" s="6" t="s">
        <v>310</v>
      </c>
      <c r="L213" s="6"/>
      <c r="M213" s="6">
        <v>9000000</v>
      </c>
      <c r="N213" s="6"/>
      <c r="O213" s="6"/>
      <c r="P213" s="6"/>
      <c r="Q213" s="7" t="s">
        <v>322</v>
      </c>
      <c r="R213" s="42">
        <v>41384</v>
      </c>
      <c r="S213" s="6">
        <v>2700</v>
      </c>
      <c r="T213" s="6"/>
      <c r="U213" s="6" t="s">
        <v>261</v>
      </c>
      <c r="V213" s="8">
        <v>0.03</v>
      </c>
      <c r="W213" s="6">
        <f t="shared" si="79"/>
        <v>270000</v>
      </c>
      <c r="X213" s="6">
        <f>50000+50000+100000+10000</f>
        <v>210000</v>
      </c>
      <c r="Y213" s="6">
        <f>210000</f>
        <v>210000</v>
      </c>
      <c r="Z213" s="6">
        <f t="shared" si="80"/>
        <v>60000</v>
      </c>
      <c r="AA213" s="6">
        <f>1000000+1000000+2000000+5000000</f>
        <v>9000000</v>
      </c>
      <c r="AB213" s="6">
        <f>9000000</f>
        <v>9000000</v>
      </c>
      <c r="AC213" s="6">
        <f>1000000+1000000+2000000+800000</f>
        <v>4800000</v>
      </c>
      <c r="AD213" s="6">
        <f>4800000</f>
        <v>4800000</v>
      </c>
      <c r="AE213" s="8">
        <f t="shared" si="70"/>
        <v>0.53333333333333333</v>
      </c>
      <c r="AF213" s="6">
        <f>367213.64+288736.55+1098080+803000+14000</f>
        <v>2571030.19</v>
      </c>
      <c r="AG213" s="6">
        <f>2571030.19</f>
        <v>2571030.19</v>
      </c>
      <c r="AH213" s="6">
        <f>966000+963844.72+27454+2008701.28+820000+14000</f>
        <v>4800000</v>
      </c>
      <c r="AI213" s="6"/>
      <c r="AJ213" s="6"/>
      <c r="AK213" s="6"/>
      <c r="AL213" s="6">
        <f>4800000</f>
        <v>4800000</v>
      </c>
      <c r="AM213" s="8">
        <v>3.4000000000000002E-2</v>
      </c>
      <c r="AN213" s="8">
        <f t="shared" si="71"/>
        <v>306000</v>
      </c>
      <c r="AO213" s="6">
        <f>34000+34000+68000+170000</f>
        <v>306000</v>
      </c>
      <c r="AP213" s="6">
        <f>306000</f>
        <v>306000</v>
      </c>
      <c r="AQ213" s="6">
        <f t="shared" si="74"/>
        <v>0</v>
      </c>
      <c r="AR213" s="6"/>
      <c r="AS213" s="6">
        <v>10</v>
      </c>
      <c r="AT213" s="6" t="s">
        <v>312</v>
      </c>
    </row>
    <row r="214" spans="1:46" s="9" customFormat="1" x14ac:dyDescent="0.15">
      <c r="A214" s="35">
        <v>41377</v>
      </c>
      <c r="B214" s="2" t="s">
        <v>1856</v>
      </c>
      <c r="C214" s="6" t="s">
        <v>137</v>
      </c>
      <c r="D214" s="6" t="s">
        <v>323</v>
      </c>
      <c r="E214" s="6" t="s">
        <v>0</v>
      </c>
      <c r="F214" s="6" t="s">
        <v>324</v>
      </c>
      <c r="G214" s="6" t="s">
        <v>307</v>
      </c>
      <c r="H214" s="6" t="s">
        <v>325</v>
      </c>
      <c r="I214" s="6" t="s">
        <v>326</v>
      </c>
      <c r="J214" s="6" t="s">
        <v>325</v>
      </c>
      <c r="K214" s="6" t="s">
        <v>310</v>
      </c>
      <c r="L214" s="6"/>
      <c r="M214" s="6">
        <v>2600000</v>
      </c>
      <c r="N214" s="6"/>
      <c r="O214" s="6"/>
      <c r="P214" s="6"/>
      <c r="Q214" s="7" t="s">
        <v>327</v>
      </c>
      <c r="R214" s="42">
        <v>41389</v>
      </c>
      <c r="S214" s="6">
        <v>780</v>
      </c>
      <c r="T214" s="6"/>
      <c r="U214" s="6" t="s">
        <v>261</v>
      </c>
      <c r="V214" s="8">
        <v>3.5999999999999997E-2</v>
      </c>
      <c r="W214" s="6">
        <f t="shared" si="79"/>
        <v>93600</v>
      </c>
      <c r="X214" s="6">
        <f>93600+5681+4920</f>
        <v>104201</v>
      </c>
      <c r="Y214" s="6">
        <f>93600+5681+4920</f>
        <v>104201</v>
      </c>
      <c r="Z214" s="6">
        <f t="shared" si="80"/>
        <v>-10601</v>
      </c>
      <c r="AA214" s="6">
        <f>780000+780000+650000+684471</f>
        <v>2894471</v>
      </c>
      <c r="AB214" s="6">
        <f>2894471</f>
        <v>2894471</v>
      </c>
      <c r="AC214" s="6">
        <f>780000+780000+650000+684471</f>
        <v>2894471</v>
      </c>
      <c r="AD214" s="6">
        <f>2894471</f>
        <v>2894471</v>
      </c>
      <c r="AE214" s="8">
        <f t="shared" si="70"/>
        <v>1.1132580769230769</v>
      </c>
      <c r="AF214" s="6">
        <f>100000+200000+899909.1+200000+700023.58+200000+200000+5681+200000+63743.2</f>
        <v>2769356.8800000004</v>
      </c>
      <c r="AG214" s="6">
        <f>2705613.68+63743.2</f>
        <v>2769356.8800000004</v>
      </c>
      <c r="AH214" s="6">
        <f>126520+100000+226520+899909.1+200000-100000+22100+700023.58+23272+200000+200000+5681+200000+63743.2</f>
        <v>2867768.8800000004</v>
      </c>
      <c r="AI214" s="6"/>
      <c r="AJ214" s="6"/>
      <c r="AK214" s="6"/>
      <c r="AL214" s="6">
        <f>2804025.68+63743.2</f>
        <v>2867768.8800000004</v>
      </c>
      <c r="AM214" s="8">
        <v>3.4000000000000002E-2</v>
      </c>
      <c r="AN214" s="8">
        <f t="shared" si="71"/>
        <v>98412.01400000001</v>
      </c>
      <c r="AO214" s="6">
        <f>26520+26520+22100+23272</f>
        <v>98412</v>
      </c>
      <c r="AP214" s="6">
        <f>98412</f>
        <v>98412</v>
      </c>
      <c r="AQ214" s="6">
        <f t="shared" si="74"/>
        <v>1.4000000010128133E-2</v>
      </c>
      <c r="AR214" s="6"/>
      <c r="AS214" s="6"/>
      <c r="AT214" s="6"/>
    </row>
    <row r="215" spans="1:46" s="9" customFormat="1" x14ac:dyDescent="0.15">
      <c r="A215" s="35">
        <v>41365</v>
      </c>
      <c r="B215" s="2" t="s">
        <v>1857</v>
      </c>
      <c r="C215" s="6" t="s">
        <v>83</v>
      </c>
      <c r="D215" s="6" t="s">
        <v>84</v>
      </c>
      <c r="E215" s="6" t="s">
        <v>0</v>
      </c>
      <c r="F215" s="6" t="s">
        <v>85</v>
      </c>
      <c r="G215" s="6" t="s">
        <v>52</v>
      </c>
      <c r="H215" s="6" t="s">
        <v>86</v>
      </c>
      <c r="I215" s="6" t="s">
        <v>87</v>
      </c>
      <c r="J215" s="6" t="s">
        <v>86</v>
      </c>
      <c r="K215" s="6" t="s">
        <v>40</v>
      </c>
      <c r="L215" s="6"/>
      <c r="M215" s="6">
        <v>12491680</v>
      </c>
      <c r="N215" s="6"/>
      <c r="O215" s="6"/>
      <c r="P215" s="6"/>
      <c r="Q215" s="7" t="s">
        <v>88</v>
      </c>
      <c r="R215" s="42">
        <v>41429</v>
      </c>
      <c r="S215" s="6">
        <v>3748</v>
      </c>
      <c r="T215" s="6"/>
      <c r="U215" s="6" t="s">
        <v>7</v>
      </c>
      <c r="V215" s="8">
        <v>0.03</v>
      </c>
      <c r="W215" s="6">
        <f>(M215+N215)*V215</f>
        <v>374750.39999999997</v>
      </c>
      <c r="X215" s="6">
        <f>250000+124750</f>
        <v>374750</v>
      </c>
      <c r="Y215" s="6">
        <f>374750</f>
        <v>374750</v>
      </c>
      <c r="Z215" s="6">
        <f t="shared" si="80"/>
        <v>0.3999999999650754</v>
      </c>
      <c r="AA215" s="6">
        <f>3000000+2500000+2000000+1000000+1000000+1000000+700000+600000</f>
        <v>11800000</v>
      </c>
      <c r="AB215" s="6">
        <f>11200000+600000</f>
        <v>11800000</v>
      </c>
      <c r="AC215" s="6">
        <f>3000000+2500000+2000000+1000000+1000000+1000000+700000+600000</f>
        <v>11800000</v>
      </c>
      <c r="AD215" s="6">
        <f>11200000+600000</f>
        <v>11800000</v>
      </c>
      <c r="AE215" s="8">
        <f t="shared" si="70"/>
        <v>0.94462874489260051</v>
      </c>
      <c r="AF215" s="6">
        <f>1965118.15+144967.59+649995+2926492+299997+157039.77+26088+850006+590000+299997+50000+500000+350000+150000+960000+300000+72000+288000+250000+174363.9+213030+55000+22000+100000</f>
        <v>11394094.41</v>
      </c>
      <c r="AG215" s="6">
        <f>10291700.51+288000+250000+174363.9+213030+55000+22000+100000</f>
        <v>11394094.41</v>
      </c>
      <c r="AH215" s="6">
        <f>2067118.15+194967.59+649995+1934992+299997+157039.77+26088+918006+250000+590000+299997+50000+34000+500000+350000+150000+994000+1000000+23800+334000+72000+288000+250000+194763.9+213030+55000+22000-250000+100000</f>
        <v>11768794.41</v>
      </c>
      <c r="AI215" s="6"/>
      <c r="AJ215" s="6"/>
      <c r="AK215" s="6"/>
      <c r="AL215" s="6">
        <f>10896000.51+288000+250000+194763.9+213030+55000+22000-250000+100000</f>
        <v>11768794.41</v>
      </c>
      <c r="AM215" s="8">
        <v>3.4000000000000002E-2</v>
      </c>
      <c r="AN215" s="8">
        <f t="shared" si="71"/>
        <v>401200</v>
      </c>
      <c r="AO215" s="6">
        <f>102000+85000+68000+34000+34000+34000+23800+20400</f>
        <v>401200</v>
      </c>
      <c r="AP215" s="6">
        <f>380800+20400</f>
        <v>401200</v>
      </c>
      <c r="AQ215" s="6">
        <f t="shared" si="74"/>
        <v>0</v>
      </c>
      <c r="AR215" s="6"/>
      <c r="AS215" s="6">
        <v>145</v>
      </c>
      <c r="AT215" s="6" t="s">
        <v>29</v>
      </c>
    </row>
    <row r="216" spans="1:46" s="9" customFormat="1" x14ac:dyDescent="0.15">
      <c r="A216" s="35">
        <v>41365</v>
      </c>
      <c r="B216" s="2" t="s">
        <v>1858</v>
      </c>
      <c r="C216" s="6" t="s">
        <v>328</v>
      </c>
      <c r="D216" s="6" t="s">
        <v>329</v>
      </c>
      <c r="E216" s="6" t="s">
        <v>0</v>
      </c>
      <c r="F216" s="6" t="s">
        <v>330</v>
      </c>
      <c r="G216" s="6" t="s">
        <v>307</v>
      </c>
      <c r="H216" s="6" t="s">
        <v>331</v>
      </c>
      <c r="I216" s="6" t="s">
        <v>332</v>
      </c>
      <c r="J216" s="6" t="s">
        <v>333</v>
      </c>
      <c r="K216" s="6" t="s">
        <v>310</v>
      </c>
      <c r="L216" s="6"/>
      <c r="M216" s="6">
        <v>1195559</v>
      </c>
      <c r="N216" s="6">
        <f>934441</f>
        <v>934441</v>
      </c>
      <c r="O216" s="6"/>
      <c r="P216" s="6"/>
      <c r="Q216" s="7" t="s">
        <v>334</v>
      </c>
      <c r="R216" s="42">
        <v>41410</v>
      </c>
      <c r="S216" s="6">
        <v>359</v>
      </c>
      <c r="T216" s="6"/>
      <c r="U216" s="6" t="s">
        <v>335</v>
      </c>
      <c r="V216" s="8">
        <v>3.5999999999999997E-2</v>
      </c>
      <c r="W216" s="6">
        <f>(M216+N216)*V216</f>
        <v>76680</v>
      </c>
      <c r="X216" s="6">
        <f>76680</f>
        <v>76680</v>
      </c>
      <c r="Y216" s="6">
        <f>76680</f>
        <v>76680</v>
      </c>
      <c r="Z216" s="6">
        <f t="shared" si="80"/>
        <v>0</v>
      </c>
      <c r="AA216" s="6">
        <f>1065000+426000+532500+106500+120884.66</f>
        <v>2250884.66</v>
      </c>
      <c r="AB216" s="6">
        <f>2130000+120884.66</f>
        <v>2250884.66</v>
      </c>
      <c r="AC216" s="6">
        <f>1065000+239112+186888+532500</f>
        <v>2023500</v>
      </c>
      <c r="AD216" s="6">
        <f>2023500</f>
        <v>2023500</v>
      </c>
      <c r="AE216" s="8">
        <f t="shared" si="70"/>
        <v>0.95</v>
      </c>
      <c r="AF216" s="6">
        <f>250000+50000+200000+200000+500000</f>
        <v>1200000</v>
      </c>
      <c r="AG216" s="6">
        <f>1200000</f>
        <v>1200000</v>
      </c>
      <c r="AH216" s="6">
        <f>999648.8+50000+200000+200000+18105+3621+500000</f>
        <v>1971374.8</v>
      </c>
      <c r="AI216" s="6"/>
      <c r="AJ216" s="6"/>
      <c r="AK216" s="6"/>
      <c r="AL216" s="6">
        <f>1971374.8</f>
        <v>1971374.8</v>
      </c>
      <c r="AM216" s="8">
        <v>3.4000000000000002E-2</v>
      </c>
      <c r="AN216" s="8">
        <f t="shared" si="71"/>
        <v>76530.078440000012</v>
      </c>
      <c r="AO216" s="6">
        <f>36210+14484+18105+3621</f>
        <v>72420</v>
      </c>
      <c r="AP216" s="6">
        <f>72420</f>
        <v>72420</v>
      </c>
      <c r="AQ216" s="6">
        <f t="shared" si="74"/>
        <v>4110.0784400000121</v>
      </c>
      <c r="AR216" s="6"/>
      <c r="AS216" s="6">
        <v>16</v>
      </c>
      <c r="AT216" s="6" t="s">
        <v>304</v>
      </c>
    </row>
    <row r="217" spans="1:46" s="9" customFormat="1" x14ac:dyDescent="0.15">
      <c r="A217" s="35">
        <v>41396</v>
      </c>
      <c r="B217" s="2" t="s">
        <v>1859</v>
      </c>
      <c r="C217" s="6" t="s">
        <v>336</v>
      </c>
      <c r="D217" s="6" t="s">
        <v>341</v>
      </c>
      <c r="E217" s="6" t="s">
        <v>0</v>
      </c>
      <c r="F217" s="6" t="s">
        <v>342</v>
      </c>
      <c r="G217" s="6" t="s">
        <v>307</v>
      </c>
      <c r="H217" s="6" t="s">
        <v>343</v>
      </c>
      <c r="I217" s="6" t="s">
        <v>344</v>
      </c>
      <c r="J217" s="6" t="s">
        <v>345</v>
      </c>
      <c r="K217" s="6" t="s">
        <v>310</v>
      </c>
      <c r="L217" s="6"/>
      <c r="M217" s="6">
        <v>1258749</v>
      </c>
      <c r="N217" s="6"/>
      <c r="O217" s="6"/>
      <c r="P217" s="6"/>
      <c r="Q217" s="7" t="s">
        <v>346</v>
      </c>
      <c r="R217" s="42">
        <v>41410</v>
      </c>
      <c r="S217" s="6">
        <v>378</v>
      </c>
      <c r="T217" s="6"/>
      <c r="U217" s="6" t="s">
        <v>335</v>
      </c>
      <c r="V217" s="8">
        <v>3.5999999999999997E-2</v>
      </c>
      <c r="W217" s="6">
        <f t="shared" ref="W217:W223" si="81">(M217+N217)*V217</f>
        <v>45314.964</v>
      </c>
      <c r="X217" s="6">
        <f>45315</f>
        <v>45315</v>
      </c>
      <c r="Y217" s="6">
        <f>45315</f>
        <v>45315</v>
      </c>
      <c r="Z217" s="6">
        <f t="shared" si="80"/>
        <v>-3.6000000000058208E-2</v>
      </c>
      <c r="AA217" s="6">
        <f>125000+250000+377000+200000+100000</f>
        <v>1052000</v>
      </c>
      <c r="AB217" s="6">
        <f>1052000</f>
        <v>1052000</v>
      </c>
      <c r="AC217" s="6">
        <f>125000+250000+377000+200000+100000</f>
        <v>1052000</v>
      </c>
      <c r="AD217" s="6">
        <f>1052000</f>
        <v>1052000</v>
      </c>
      <c r="AE217" s="8">
        <f t="shared" si="70"/>
        <v>0.83575041569049902</v>
      </c>
      <c r="AF217" s="6">
        <f>150000+14831+309969+139986+194500+80000+120000</f>
        <v>1009286</v>
      </c>
      <c r="AG217" s="6">
        <f>1009286</f>
        <v>1009286</v>
      </c>
      <c r="AH217" s="6">
        <f>12750+150000+12818+14831+309969+139986+6800+194500+80000+3400+120000</f>
        <v>1045054</v>
      </c>
      <c r="AI217" s="6"/>
      <c r="AJ217" s="6"/>
      <c r="AK217" s="6"/>
      <c r="AL217" s="6">
        <f>1045054</f>
        <v>1045054</v>
      </c>
      <c r="AM217" s="8">
        <v>3.4000000000000002E-2</v>
      </c>
      <c r="AN217" s="8">
        <f t="shared" si="71"/>
        <v>35768</v>
      </c>
      <c r="AO217" s="6">
        <f>4250+8500+12818+6800+3400</f>
        <v>35768</v>
      </c>
      <c r="AP217" s="6">
        <f>35768</f>
        <v>35768</v>
      </c>
      <c r="AQ217" s="6">
        <f t="shared" si="74"/>
        <v>0</v>
      </c>
      <c r="AR217" s="6"/>
      <c r="AS217" s="6"/>
      <c r="AT217" s="6"/>
    </row>
    <row r="218" spans="1:46" s="9" customFormat="1" x14ac:dyDescent="0.15">
      <c r="A218" s="35">
        <v>41395</v>
      </c>
      <c r="B218" s="2" t="s">
        <v>1860</v>
      </c>
      <c r="C218" s="6" t="s">
        <v>337</v>
      </c>
      <c r="D218" s="6" t="s">
        <v>347</v>
      </c>
      <c r="E218" s="6" t="s">
        <v>0</v>
      </c>
      <c r="F218" s="6" t="s">
        <v>348</v>
      </c>
      <c r="G218" s="6" t="s">
        <v>349</v>
      </c>
      <c r="H218" s="6" t="s">
        <v>350</v>
      </c>
      <c r="I218" s="6" t="s">
        <v>351</v>
      </c>
      <c r="J218" s="6" t="s">
        <v>352</v>
      </c>
      <c r="K218" s="6" t="s">
        <v>310</v>
      </c>
      <c r="L218" s="6"/>
      <c r="M218" s="6">
        <v>2894611</v>
      </c>
      <c r="N218" s="6"/>
      <c r="O218" s="6"/>
      <c r="P218" s="6"/>
      <c r="Q218" s="7" t="s">
        <v>353</v>
      </c>
      <c r="R218" s="42">
        <v>41463</v>
      </c>
      <c r="S218" s="6">
        <v>869</v>
      </c>
      <c r="T218" s="6"/>
      <c r="U218" s="6" t="s">
        <v>335</v>
      </c>
      <c r="V218" s="8">
        <v>3.5999999999999997E-2</v>
      </c>
      <c r="W218" s="6">
        <f t="shared" si="81"/>
        <v>104205.996</v>
      </c>
      <c r="X218" s="6">
        <f>104206</f>
        <v>104206</v>
      </c>
      <c r="Y218" s="6">
        <f>104206</f>
        <v>104206</v>
      </c>
      <c r="Z218" s="6">
        <f t="shared" si="80"/>
        <v>-4.0000000008149073E-3</v>
      </c>
      <c r="AA218" s="6">
        <f>868383.3+330000+330000</f>
        <v>1528383.3</v>
      </c>
      <c r="AB218" s="6">
        <v>1528383.3</v>
      </c>
      <c r="AC218" s="6">
        <f>868383.3+330000+330000</f>
        <v>1528383.3</v>
      </c>
      <c r="AD218" s="6">
        <f>1528383.3</f>
        <v>1528383.3</v>
      </c>
      <c r="AE218" s="8">
        <f t="shared" si="70"/>
        <v>0.52800991221272908</v>
      </c>
      <c r="AF218" s="6">
        <f>756000+400000+320000</f>
        <v>1476000</v>
      </c>
      <c r="AG218" s="6">
        <f>1476000</f>
        <v>1476000</v>
      </c>
      <c r="AH218" s="6">
        <f>756000+400000+51965+320000</f>
        <v>1527965</v>
      </c>
      <c r="AI218" s="6"/>
      <c r="AJ218" s="6"/>
      <c r="AK218" s="6"/>
      <c r="AL218" s="6">
        <f>1527965</f>
        <v>1527965</v>
      </c>
      <c r="AM218" s="8">
        <v>3.4000000000000002E-2</v>
      </c>
      <c r="AN218" s="8">
        <f t="shared" si="71"/>
        <v>51965.032200000009</v>
      </c>
      <c r="AO218" s="6">
        <f>29525+11220+11220</f>
        <v>51965</v>
      </c>
      <c r="AP218" s="6">
        <f>51965</f>
        <v>51965</v>
      </c>
      <c r="AQ218" s="6">
        <f t="shared" si="74"/>
        <v>3.2200000008742791E-2</v>
      </c>
      <c r="AR218" s="6"/>
      <c r="AS218" s="6"/>
      <c r="AT218" s="6"/>
    </row>
    <row r="219" spans="1:46" s="9" customFormat="1" x14ac:dyDescent="0.15">
      <c r="A219" s="35">
        <v>41395</v>
      </c>
      <c r="B219" s="2" t="s">
        <v>1861</v>
      </c>
      <c r="C219" s="6" t="s">
        <v>338</v>
      </c>
      <c r="D219" s="6" t="s">
        <v>354</v>
      </c>
      <c r="E219" s="6" t="s">
        <v>0</v>
      </c>
      <c r="F219" s="6" t="s">
        <v>355</v>
      </c>
      <c r="G219" s="6" t="s">
        <v>307</v>
      </c>
      <c r="H219" s="6" t="s">
        <v>343</v>
      </c>
      <c r="I219" s="6" t="s">
        <v>344</v>
      </c>
      <c r="J219" s="6" t="s">
        <v>345</v>
      </c>
      <c r="K219" s="6" t="s">
        <v>310</v>
      </c>
      <c r="L219" s="6"/>
      <c r="M219" s="6">
        <v>1691837.01</v>
      </c>
      <c r="N219" s="6"/>
      <c r="O219" s="6"/>
      <c r="P219" s="6"/>
      <c r="Q219" s="7" t="s">
        <v>356</v>
      </c>
      <c r="R219" s="42">
        <v>41431</v>
      </c>
      <c r="S219" s="6">
        <v>508</v>
      </c>
      <c r="T219" s="6"/>
      <c r="U219" s="6" t="s">
        <v>335</v>
      </c>
      <c r="V219" s="8">
        <v>3.5999999999999997E-2</v>
      </c>
      <c r="W219" s="6">
        <f t="shared" si="81"/>
        <v>60906.132359999996</v>
      </c>
      <c r="X219" s="6">
        <f>60906</f>
        <v>60906</v>
      </c>
      <c r="Y219" s="6">
        <f>60906</f>
        <v>60906</v>
      </c>
      <c r="Z219" s="6">
        <f t="shared" si="80"/>
        <v>0.1323599999959697</v>
      </c>
      <c r="AA219" s="6">
        <f>761326+507551+338367+285000</f>
        <v>1892244</v>
      </c>
      <c r="AB219" s="6">
        <f>1892244</f>
        <v>1892244</v>
      </c>
      <c r="AC219" s="6">
        <f>761326+507551+338367+285000</f>
        <v>1892244</v>
      </c>
      <c r="AD219" s="6">
        <f>1892244</f>
        <v>1892244</v>
      </c>
      <c r="AE219" s="8">
        <f>AD219/(M219+N219)</f>
        <v>1.118455258287558</v>
      </c>
      <c r="AF219" s="6">
        <f>300000+354500+160401.7+290841.6+109989+309969+43938.7+100000+60000+78760.2</f>
        <v>1808400.1999999997</v>
      </c>
      <c r="AG219" s="6">
        <f>1729640+78760.2</f>
        <v>1808400.2</v>
      </c>
      <c r="AH219" s="6">
        <f>327915+354500+17257+160401.7+290841.6+109989+321473+9690+43938.7+100000+60000+78760.2</f>
        <v>1874766.1999999997</v>
      </c>
      <c r="AI219" s="6"/>
      <c r="AJ219" s="6"/>
      <c r="AK219" s="6"/>
      <c r="AL219" s="6">
        <f>1796006+78760.2</f>
        <v>1874766.2</v>
      </c>
      <c r="AM219" s="8">
        <v>3.4000000000000002E-2</v>
      </c>
      <c r="AN219" s="8">
        <f t="shared" si="71"/>
        <v>64336.296000000002</v>
      </c>
      <c r="AO219" s="6">
        <f>25885+17257+11504+9690</f>
        <v>64336</v>
      </c>
      <c r="AP219" s="6">
        <f>64336</f>
        <v>64336</v>
      </c>
      <c r="AQ219" s="6">
        <f t="shared" si="74"/>
        <v>0.29600000000209548</v>
      </c>
      <c r="AR219" s="6"/>
      <c r="AS219" s="6">
        <v>15</v>
      </c>
      <c r="AT219" s="6" t="s">
        <v>357</v>
      </c>
    </row>
    <row r="220" spans="1:46" s="9" customFormat="1" x14ac:dyDescent="0.15">
      <c r="A220" s="35">
        <v>41412</v>
      </c>
      <c r="B220" s="2" t="s">
        <v>1862</v>
      </c>
      <c r="C220" s="6" t="s">
        <v>339</v>
      </c>
      <c r="D220" s="6" t="s">
        <v>358</v>
      </c>
      <c r="E220" s="6" t="s">
        <v>0</v>
      </c>
      <c r="F220" s="6" t="s">
        <v>106</v>
      </c>
      <c r="G220" s="6" t="s">
        <v>359</v>
      </c>
      <c r="H220" s="6" t="s">
        <v>108</v>
      </c>
      <c r="I220" s="6" t="s">
        <v>109</v>
      </c>
      <c r="J220" s="6" t="s">
        <v>108</v>
      </c>
      <c r="K220" s="6" t="s">
        <v>5</v>
      </c>
      <c r="L220" s="6"/>
      <c r="M220" s="6">
        <v>6498959</v>
      </c>
      <c r="N220" s="6"/>
      <c r="O220" s="6"/>
      <c r="P220" s="6"/>
      <c r="Q220" s="7"/>
      <c r="R220" s="42"/>
      <c r="S220" s="6"/>
      <c r="T220" s="6"/>
      <c r="U220" s="6" t="s">
        <v>335</v>
      </c>
      <c r="V220" s="8">
        <v>0.03</v>
      </c>
      <c r="W220" s="6">
        <f t="shared" si="81"/>
        <v>194968.77</v>
      </c>
      <c r="X220" s="6">
        <f>70000+124969</f>
        <v>194969</v>
      </c>
      <c r="Y220" s="6">
        <f>194969</f>
        <v>194969</v>
      </c>
      <c r="Z220" s="6">
        <f t="shared" si="80"/>
        <v>-0.23000000001047738</v>
      </c>
      <c r="AA220" s="6">
        <f>3335989.4+769844.1+1059365.7+753781.59</f>
        <v>5918980.79</v>
      </c>
      <c r="AB220" s="6">
        <f>5165199.2+753781.59</f>
        <v>5918980.79</v>
      </c>
      <c r="AC220" s="6">
        <f>490000+76924.4+2769065+576844.1+1028712+30653.7+700000</f>
        <v>5672199.2000000002</v>
      </c>
      <c r="AD220" s="6">
        <f>4941545.5+30653.7+700000</f>
        <v>5672199.2000000002</v>
      </c>
      <c r="AE220" s="8">
        <f t="shared" ref="AE220:AE230" si="82">AD220/(M220+N220)</f>
        <v>0.87278581077369466</v>
      </c>
      <c r="AF220" s="6">
        <f>199998+250000+1726769.35+399200+299400+100000+245998+100000+99990+200000+100000+584950+109993.85+196120</f>
        <v>4612419.1999999993</v>
      </c>
      <c r="AG220" s="6">
        <f>4612419.2</f>
        <v>4612419.2</v>
      </c>
      <c r="AH220" s="6">
        <f>206496+350000+1839859.39+399200+325497.71+100000+245998+100000+99990+200000+40000+100000+584950+109993.85+232032.5+28191.42</f>
        <v>4962208.8699999992</v>
      </c>
      <c r="AI220" s="6"/>
      <c r="AJ220" s="6"/>
      <c r="AK220" s="6"/>
      <c r="AL220" s="6">
        <f>4934017.45+28191.42</f>
        <v>4962208.87</v>
      </c>
      <c r="AM220" s="8">
        <v>3.7400000000000003E-2</v>
      </c>
      <c r="AN220" s="8">
        <f t="shared" si="71"/>
        <v>221369.88154600002</v>
      </c>
      <c r="AO220" s="6">
        <f>193178.45+28191.42</f>
        <v>221369.87</v>
      </c>
      <c r="AP220" s="6">
        <f>193178.45+28191.42</f>
        <v>221369.87</v>
      </c>
      <c r="AQ220" s="6">
        <f t="shared" si="74"/>
        <v>1.1546000023372471E-2</v>
      </c>
      <c r="AR220" s="6"/>
      <c r="AS220" s="6">
        <v>80</v>
      </c>
      <c r="AT220" s="6" t="s">
        <v>312</v>
      </c>
    </row>
    <row r="221" spans="1:46" s="9" customFormat="1" x14ac:dyDescent="0.15">
      <c r="A221" s="35">
        <v>41417</v>
      </c>
      <c r="B221" s="2" t="s">
        <v>1863</v>
      </c>
      <c r="C221" s="6" t="s">
        <v>340</v>
      </c>
      <c r="D221" s="6" t="s">
        <v>360</v>
      </c>
      <c r="E221" s="6" t="s">
        <v>0</v>
      </c>
      <c r="F221" s="6" t="s">
        <v>361</v>
      </c>
      <c r="G221" s="6" t="s">
        <v>307</v>
      </c>
      <c r="H221" s="6" t="s">
        <v>362</v>
      </c>
      <c r="I221" s="6" t="s">
        <v>54</v>
      </c>
      <c r="J221" s="6" t="s">
        <v>57</v>
      </c>
      <c r="K221" s="6" t="s">
        <v>13</v>
      </c>
      <c r="L221" s="6"/>
      <c r="M221" s="6">
        <v>6000000</v>
      </c>
      <c r="N221" s="6">
        <f>2573959.05+2023835.04</f>
        <v>4597794.09</v>
      </c>
      <c r="O221" s="6"/>
      <c r="P221" s="6"/>
      <c r="Q221" s="7" t="s">
        <v>363</v>
      </c>
      <c r="R221" s="42">
        <v>41424</v>
      </c>
      <c r="S221" s="6">
        <v>1800</v>
      </c>
      <c r="T221" s="6"/>
      <c r="U221" s="6" t="s">
        <v>335</v>
      </c>
      <c r="V221" s="8">
        <v>0.03</v>
      </c>
      <c r="W221" s="6">
        <f t="shared" si="81"/>
        <v>317933.82269999996</v>
      </c>
      <c r="X221" s="6">
        <f>180000+20715+40000+22637</f>
        <v>263352</v>
      </c>
      <c r="Y221" s="6">
        <f>240715+22637</f>
        <v>263352</v>
      </c>
      <c r="Z221" s="6">
        <f t="shared" si="80"/>
        <v>54581.822699999961</v>
      </c>
      <c r="AA221" s="6">
        <f>3600000+600000+600000+600000+2623835.04+2573959.05</f>
        <v>10597794.09</v>
      </c>
      <c r="AB221" s="6">
        <f>8023835.04+2573959.05</f>
        <v>10597794.09</v>
      </c>
      <c r="AC221" s="6">
        <f>3600000+600000+600000+600000+2623835.04+2573959.05</f>
        <v>10597794.09</v>
      </c>
      <c r="AD221" s="6">
        <f>8023835.04+2573959.05</f>
        <v>10597794.09</v>
      </c>
      <c r="AE221" s="8">
        <f t="shared" si="82"/>
        <v>1</v>
      </c>
      <c r="AF221" s="6">
        <f>1805292+320140.05+398998+799938+50000+567998+100000+302649+299990+499950+56400+9900+1000000+389990+218559.7+160000+500000+1000000+500000+550000+80000+70000</f>
        <v>9679804.75</v>
      </c>
      <c r="AG221" s="6">
        <f>7479804.75+1000000+500000+550000+80000+70000</f>
        <v>9679804.75</v>
      </c>
      <c r="AH221" s="6">
        <f>1927692+510140.05+398998-190000+799938+20400+567998+20400+20400+150000+302649+299990-2650+499950+56400+9900+1089210+389990+218559.7+160000+500000+87515+1000000+500000+550000+80000+70000</f>
        <v>10037479.75</v>
      </c>
      <c r="AI221" s="6"/>
      <c r="AJ221" s="6"/>
      <c r="AK221" s="6"/>
      <c r="AL221" s="6">
        <f>7749964.75+87515+1000000+500000+550000+80000+70000</f>
        <v>10037479.75</v>
      </c>
      <c r="AM221" s="8">
        <v>3.4000000000000002E-2</v>
      </c>
      <c r="AN221" s="8">
        <f t="shared" si="71"/>
        <v>360324.99906</v>
      </c>
      <c r="AO221" s="6">
        <f>122400+20400+20400+20400+89210+87515</f>
        <v>360325</v>
      </c>
      <c r="AP221" s="6">
        <f>272810+87515</f>
        <v>360325</v>
      </c>
      <c r="AQ221" s="6">
        <f t="shared" si="74"/>
        <v>-9.399999980814755E-4</v>
      </c>
      <c r="AR221" s="6"/>
      <c r="AS221" s="6"/>
      <c r="AT221" s="6"/>
    </row>
    <row r="222" spans="1:46" s="20" customFormat="1" x14ac:dyDescent="0.15">
      <c r="A222" s="37">
        <v>41438</v>
      </c>
      <c r="B222" s="2" t="s">
        <v>1864</v>
      </c>
      <c r="C222" s="17" t="s">
        <v>364</v>
      </c>
      <c r="D222" s="17" t="s">
        <v>366</v>
      </c>
      <c r="E222" s="17" t="s">
        <v>0</v>
      </c>
      <c r="F222" s="17" t="s">
        <v>367</v>
      </c>
      <c r="G222" s="17" t="s">
        <v>368</v>
      </c>
      <c r="H222" s="17" t="s">
        <v>369</v>
      </c>
      <c r="I222" s="17" t="s">
        <v>370</v>
      </c>
      <c r="J222" s="17" t="s">
        <v>369</v>
      </c>
      <c r="K222" s="17" t="s">
        <v>371</v>
      </c>
      <c r="L222" s="17"/>
      <c r="M222" s="17">
        <v>15283442.58</v>
      </c>
      <c r="N222" s="17">
        <f>1303649.56</f>
        <v>1303649.56</v>
      </c>
      <c r="O222" s="17"/>
      <c r="P222" s="17"/>
      <c r="Q222" s="18" t="s">
        <v>372</v>
      </c>
      <c r="R222" s="44">
        <v>41439</v>
      </c>
      <c r="S222" s="17">
        <v>4586</v>
      </c>
      <c r="T222" s="17"/>
      <c r="U222" s="17" t="s">
        <v>373</v>
      </c>
      <c r="V222" s="19">
        <v>0.04</v>
      </c>
      <c r="W222" s="17">
        <f>M222*0.04+N222*0.036</f>
        <v>658269.08736</v>
      </c>
      <c r="X222" s="17">
        <f>611338+46931</f>
        <v>658269</v>
      </c>
      <c r="Y222" s="17">
        <f>658269</f>
        <v>658269</v>
      </c>
      <c r="Z222" s="17">
        <v>0</v>
      </c>
      <c r="AA222" s="17">
        <f>3056688.52+130000+100000+6544953.88+1342643.66+230000+1678809.38+350000+902359.64+100000+50000+229643.25+40000</f>
        <v>14755098.330000002</v>
      </c>
      <c r="AB222" s="17">
        <f>13433095.44+902359.64+100000+50000+229643.25+40000</f>
        <v>14755098.33</v>
      </c>
      <c r="AC222" s="17">
        <f>3056688.52+230000+6544953.88+1342643.66+150000+80000+1678809.38+250000+100000+902359.64+100000+50000+229643.25+3600000+40000</f>
        <v>18355098.330000002</v>
      </c>
      <c r="AD222" s="17">
        <f>13433095.44+902359.64+100000+50000+229643.25+3600000+40000</f>
        <v>18355098.329999998</v>
      </c>
      <c r="AE222" s="19">
        <f t="shared" si="82"/>
        <v>1.1065892788849003</v>
      </c>
      <c r="AF222" s="17">
        <f>2400000+12226+466357.36+5698233.68+611830+120000+500000+956787.5+1600000+147425+200000+922082.75+105074+150000+130000+104054.3</f>
        <v>14124070.59</v>
      </c>
      <c r="AG222" s="17">
        <f>12712859.54+922082.75+105074+150000+130000+104054.3</f>
        <v>14124070.59</v>
      </c>
      <c r="AH222" s="17">
        <f>2503927+12226+466357.36+230348+5698233.68+611830+120000+45650+7820+500000+956787.5+57080+11900+1600000+147425+200000+30680+922082.75+105074+3400+150000+1700+9168+130000+104054.3</f>
        <v>14625743.59</v>
      </c>
      <c r="AI222" s="17">
        <v>589</v>
      </c>
      <c r="AJ222" s="17">
        <v>43426.71</v>
      </c>
      <c r="AK222" s="17">
        <v>2287</v>
      </c>
      <c r="AL222" s="17">
        <f>13169584.54+30680+922082.75+105074+3400+150000+1700+9168+130000+104054.3+46302.71</f>
        <v>14672046.300000001</v>
      </c>
      <c r="AM222" s="19">
        <v>3.4000000000000002E-2</v>
      </c>
      <c r="AN222" s="19">
        <f t="shared" si="71"/>
        <v>501673.34322000004</v>
      </c>
      <c r="AO222" s="17">
        <f>103927+4420+3400+222528+45650+7820+57080+11900+30680+3400+1700+9168</f>
        <v>501673</v>
      </c>
      <c r="AP222" s="17">
        <f>456725+30680+3400+1700+9168</f>
        <v>501673</v>
      </c>
      <c r="AQ222" s="6">
        <f t="shared" si="74"/>
        <v>0.34322000003885478</v>
      </c>
      <c r="AR222" s="17"/>
      <c r="AS222" s="17"/>
      <c r="AT222" s="17"/>
    </row>
    <row r="223" spans="1:46" s="9" customFormat="1" x14ac:dyDescent="0.15">
      <c r="A223" s="35">
        <v>41439</v>
      </c>
      <c r="B223" s="2" t="s">
        <v>1865</v>
      </c>
      <c r="C223" s="6" t="s">
        <v>365</v>
      </c>
      <c r="D223" s="6" t="s">
        <v>374</v>
      </c>
      <c r="E223" s="6" t="s">
        <v>0</v>
      </c>
      <c r="F223" s="6" t="s">
        <v>375</v>
      </c>
      <c r="G223" s="6" t="s">
        <v>368</v>
      </c>
      <c r="H223" s="6" t="s">
        <v>376</v>
      </c>
      <c r="I223" s="6" t="s">
        <v>23</v>
      </c>
      <c r="J223" s="6" t="s">
        <v>22</v>
      </c>
      <c r="K223" s="6" t="s">
        <v>13</v>
      </c>
      <c r="L223" s="6"/>
      <c r="M223" s="6">
        <v>1712229.71</v>
      </c>
      <c r="N223" s="6"/>
      <c r="O223" s="6"/>
      <c r="P223" s="6"/>
      <c r="Q223" s="7" t="s">
        <v>377</v>
      </c>
      <c r="R223" s="42">
        <v>41495</v>
      </c>
      <c r="S223" s="6">
        <v>514</v>
      </c>
      <c r="T223" s="6"/>
      <c r="U223" s="6" t="s">
        <v>7</v>
      </c>
      <c r="V223" s="8">
        <v>3.5999999999999997E-2</v>
      </c>
      <c r="W223" s="6">
        <f t="shared" si="81"/>
        <v>61640.269559999993</v>
      </c>
      <c r="X223" s="6">
        <f>61640</f>
        <v>61640</v>
      </c>
      <c r="Y223" s="6">
        <f>61640</f>
        <v>61640</v>
      </c>
      <c r="Z223" s="6">
        <v>0</v>
      </c>
      <c r="AA223" s="6"/>
      <c r="AB223" s="6"/>
      <c r="AC223" s="6"/>
      <c r="AD223" s="6"/>
      <c r="AE223" s="8">
        <f t="shared" si="82"/>
        <v>0</v>
      </c>
      <c r="AF223" s="6"/>
      <c r="AG223" s="6"/>
      <c r="AH223" s="6"/>
      <c r="AI223" s="6"/>
      <c r="AJ223" s="6"/>
      <c r="AK223" s="6"/>
      <c r="AL223" s="6"/>
      <c r="AM223" s="8">
        <v>3.4000000000000002E-2</v>
      </c>
      <c r="AN223" s="15">
        <f t="shared" si="71"/>
        <v>0</v>
      </c>
      <c r="AO223" s="6"/>
      <c r="AP223" s="6"/>
      <c r="AQ223" s="6">
        <f t="shared" si="74"/>
        <v>0</v>
      </c>
      <c r="AR223" s="6"/>
      <c r="AS223" s="6">
        <v>19</v>
      </c>
      <c r="AT223" s="6" t="s">
        <v>378</v>
      </c>
    </row>
    <row r="224" spans="1:46" s="9" customFormat="1" x14ac:dyDescent="0.15">
      <c r="A224" s="35">
        <v>41443</v>
      </c>
      <c r="B224" s="2" t="s">
        <v>1866</v>
      </c>
      <c r="C224" s="6" t="s">
        <v>379</v>
      </c>
      <c r="D224" s="6" t="s">
        <v>380</v>
      </c>
      <c r="E224" s="6" t="s">
        <v>0</v>
      </c>
      <c r="F224" s="6" t="s">
        <v>381</v>
      </c>
      <c r="G224" s="6" t="s">
        <v>368</v>
      </c>
      <c r="H224" s="6" t="s">
        <v>383</v>
      </c>
      <c r="I224" s="6" t="s">
        <v>382</v>
      </c>
      <c r="J224" s="6" t="s">
        <v>384</v>
      </c>
      <c r="K224" s="6" t="s">
        <v>13</v>
      </c>
      <c r="L224" s="6"/>
      <c r="M224" s="6">
        <v>7389748</v>
      </c>
      <c r="N224" s="6">
        <v>1116572</v>
      </c>
      <c r="O224" s="6"/>
      <c r="P224" s="6">
        <f>8411476.43+850998.74</f>
        <v>9262475.1699999999</v>
      </c>
      <c r="Q224" s="7" t="s">
        <v>385</v>
      </c>
      <c r="R224" s="42">
        <v>41484</v>
      </c>
      <c r="S224" s="6">
        <v>2217</v>
      </c>
      <c r="T224" s="6"/>
      <c r="U224" s="6" t="s">
        <v>7</v>
      </c>
      <c r="V224" s="8">
        <v>0.03</v>
      </c>
      <c r="W224" s="6">
        <f>P224*V224</f>
        <v>277874.25510000001</v>
      </c>
      <c r="X224" s="6">
        <f>92150+129542+15515.27+17985+18688+3994</f>
        <v>277874.27</v>
      </c>
      <c r="Y224" s="6">
        <f>255191.27+18688+3994</f>
        <v>277873.27</v>
      </c>
      <c r="Z224" s="6">
        <f>W224-Y224</f>
        <v>0.98509999999077991</v>
      </c>
      <c r="AA224" s="6">
        <f>1477950+1451600+2106770+470000+3000000+293000+463155</f>
        <v>9262475</v>
      </c>
      <c r="AB224" s="6">
        <f>8506320+293000+463155</f>
        <v>9262475</v>
      </c>
      <c r="AC224" s="6">
        <f>1477950+1451600+2106770+470000+1600000+1400000+293000</f>
        <v>8799320</v>
      </c>
      <c r="AD224" s="6">
        <f>8506320+293000</f>
        <v>8799320</v>
      </c>
      <c r="AE224" s="8">
        <f t="shared" si="82"/>
        <v>1.0344449773815234</v>
      </c>
      <c r="AF224" s="6">
        <f>638356+174850+13545+235692.62+52176+280000+523292.84+267480+28578+558852.86+1095779.12+383558.81+219300+150000+60000+206342+4520+80995.27+591911+369130.63+347696.17+144623+101501.63+105200+1400000+3150-3150+279805+3994</f>
        <v>8317179.9499999993</v>
      </c>
      <c r="AG224" s="6">
        <f>8036530.95-3150+279805+3994</f>
        <v>8317179.9500000002</v>
      </c>
      <c r="AH224" s="6">
        <f>8867+938787.13+174850+13545+235692.62+52176+280000+523292.84+339110+28578+558852.86+1095779.12+383558.81+219300+150000+30000+222322+102000+4520+80995.27+591911+369130.63+347696.16+144623+101501.63+105200+1400000+3150-3150+279805+9962</f>
        <v>8792056.0700000003</v>
      </c>
      <c r="AI224" s="6">
        <v>390</v>
      </c>
      <c r="AJ224" s="6">
        <f>1172</f>
        <v>1172</v>
      </c>
      <c r="AK224" s="6">
        <f>2432</f>
        <v>2432</v>
      </c>
      <c r="AL224" s="6">
        <f>8505439.07-3150+293761</f>
        <v>8796050.0700000003</v>
      </c>
      <c r="AM224" s="8">
        <v>3.4000000000000002E-2</v>
      </c>
      <c r="AN224" s="15">
        <f t="shared" si="71"/>
        <v>314924.15000000002</v>
      </c>
      <c r="AO224" s="6">
        <f>50250+49354+71630+15980+102000+9962</f>
        <v>299176</v>
      </c>
      <c r="AP224" s="6">
        <f>289214+9962</f>
        <v>299176</v>
      </c>
      <c r="AQ224" s="6">
        <f t="shared" si="74"/>
        <v>15748.150000000023</v>
      </c>
      <c r="AR224" s="6"/>
      <c r="AS224" s="6">
        <v>50</v>
      </c>
      <c r="AT224" s="6" t="s">
        <v>391</v>
      </c>
    </row>
    <row r="225" spans="1:46" s="9" customFormat="1" x14ac:dyDescent="0.15">
      <c r="A225" s="35">
        <v>41456</v>
      </c>
      <c r="B225" s="2" t="s">
        <v>1867</v>
      </c>
      <c r="C225" s="6" t="s">
        <v>76</v>
      </c>
      <c r="D225" s="6" t="s">
        <v>77</v>
      </c>
      <c r="E225" s="6" t="s">
        <v>0</v>
      </c>
      <c r="F225" s="6" t="s">
        <v>78</v>
      </c>
      <c r="G225" s="6" t="s">
        <v>52</v>
      </c>
      <c r="H225" s="6" t="s">
        <v>69</v>
      </c>
      <c r="I225" s="6" t="s">
        <v>70</v>
      </c>
      <c r="J225" s="6" t="s">
        <v>69</v>
      </c>
      <c r="K225" s="6" t="s">
        <v>40</v>
      </c>
      <c r="L225" s="6"/>
      <c r="M225" s="6">
        <v>205000</v>
      </c>
      <c r="N225" s="6"/>
      <c r="O225" s="6"/>
      <c r="P225" s="6"/>
      <c r="Q225" s="7"/>
      <c r="R225" s="42"/>
      <c r="S225" s="6"/>
      <c r="T225" s="6"/>
      <c r="U225" s="6" t="s">
        <v>7</v>
      </c>
      <c r="V225" s="8">
        <v>3.5999999999999997E-2</v>
      </c>
      <c r="W225" s="6">
        <f>(M225+N225)*V225</f>
        <v>7379.9999999999991</v>
      </c>
      <c r="X225" s="6">
        <v>7380</v>
      </c>
      <c r="Y225" s="6">
        <f>7380</f>
        <v>7380</v>
      </c>
      <c r="Z225" s="6">
        <v>0</v>
      </c>
      <c r="AA225" s="6">
        <v>194750</v>
      </c>
      <c r="AB225" s="6">
        <f>194750</f>
        <v>194750</v>
      </c>
      <c r="AC225" s="6">
        <v>194750</v>
      </c>
      <c r="AD225" s="6">
        <f>194750</f>
        <v>194750</v>
      </c>
      <c r="AE225" s="8">
        <f t="shared" si="82"/>
        <v>0.95</v>
      </c>
      <c r="AF225" s="6">
        <f>99990+4832.2+50625</f>
        <v>155447.20000000001</v>
      </c>
      <c r="AG225" s="6">
        <f>155447.2</f>
        <v>155447.20000000001</v>
      </c>
      <c r="AH225" s="6">
        <f>106612+4832.2+20000+50625+10000-10000</f>
        <v>182069.2</v>
      </c>
      <c r="AI225" s="6"/>
      <c r="AJ225" s="6"/>
      <c r="AK225" s="6"/>
      <c r="AL225" s="6">
        <f>182069.2+10000-10000</f>
        <v>182069.2</v>
      </c>
      <c r="AM225" s="8">
        <v>3.4000000000000002E-2</v>
      </c>
      <c r="AN225" s="8">
        <f t="shared" si="71"/>
        <v>6621.5000000000009</v>
      </c>
      <c r="AO225" s="6">
        <v>6622</v>
      </c>
      <c r="AP225" s="6">
        <f>6622</f>
        <v>6622</v>
      </c>
      <c r="AQ225" s="6">
        <f t="shared" si="74"/>
        <v>-0.49999999999909051</v>
      </c>
      <c r="AR225" s="6"/>
      <c r="AS225" s="6"/>
      <c r="AT225" s="6"/>
    </row>
    <row r="226" spans="1:46" x14ac:dyDescent="0.15">
      <c r="A226" s="34">
        <v>41457</v>
      </c>
      <c r="B226" s="2" t="s">
        <v>1868</v>
      </c>
      <c r="C226" s="2" t="s">
        <v>392</v>
      </c>
      <c r="D226" s="2" t="s">
        <v>395</v>
      </c>
      <c r="E226" s="2" t="s">
        <v>0</v>
      </c>
      <c r="F226" s="2"/>
      <c r="G226" s="2" t="s">
        <v>368</v>
      </c>
      <c r="H226" s="2" t="s">
        <v>150</v>
      </c>
      <c r="I226" s="13" t="s">
        <v>148</v>
      </c>
      <c r="J226" s="13" t="s">
        <v>150</v>
      </c>
      <c r="K226" s="13" t="s">
        <v>13</v>
      </c>
      <c r="L226" s="2"/>
      <c r="M226" s="2">
        <v>5287718</v>
      </c>
      <c r="N226" s="2"/>
      <c r="O226" s="2"/>
      <c r="P226" s="2"/>
      <c r="Q226" s="3" t="s">
        <v>396</v>
      </c>
      <c r="R226" s="41">
        <v>41531</v>
      </c>
      <c r="S226" s="2">
        <v>1587</v>
      </c>
      <c r="T226" s="2"/>
      <c r="U226" s="2" t="s">
        <v>7</v>
      </c>
      <c r="V226" s="4">
        <v>0.03</v>
      </c>
      <c r="W226" s="2">
        <f>(M226+N226)*V226</f>
        <v>158631.54</v>
      </c>
      <c r="X226" s="2"/>
      <c r="Y226" s="2"/>
      <c r="Z226" s="2">
        <f>W226-Y226</f>
        <v>158631.54</v>
      </c>
      <c r="AA226" s="2"/>
      <c r="AB226" s="2"/>
      <c r="AC226" s="2"/>
      <c r="AD226" s="2"/>
      <c r="AE226" s="4">
        <f t="shared" si="82"/>
        <v>0</v>
      </c>
      <c r="AF226" s="2"/>
      <c r="AG226" s="2"/>
      <c r="AH226" s="2"/>
      <c r="AI226" s="2"/>
      <c r="AJ226" s="2"/>
      <c r="AK226" s="2"/>
      <c r="AL226" s="2"/>
      <c r="AM226" s="4">
        <v>3.4000000000000002E-2</v>
      </c>
      <c r="AN226" s="4">
        <f t="shared" si="71"/>
        <v>0</v>
      </c>
      <c r="AO226" s="2"/>
      <c r="AP226" s="2"/>
      <c r="AQ226" s="2">
        <f t="shared" si="74"/>
        <v>0</v>
      </c>
      <c r="AR226" s="2"/>
      <c r="AS226" s="2">
        <v>15</v>
      </c>
      <c r="AT226" s="2" t="s">
        <v>391</v>
      </c>
    </row>
    <row r="227" spans="1:46" x14ac:dyDescent="0.15">
      <c r="A227" s="34">
        <v>41459</v>
      </c>
      <c r="B227" s="2" t="s">
        <v>1869</v>
      </c>
      <c r="C227" s="2" t="s">
        <v>393</v>
      </c>
      <c r="D227" s="2" t="s">
        <v>397</v>
      </c>
      <c r="E227" s="2" t="s">
        <v>0</v>
      </c>
      <c r="F227" s="2" t="s">
        <v>398</v>
      </c>
      <c r="G227" s="2" t="s">
        <v>399</v>
      </c>
      <c r="H227" s="2" t="s">
        <v>400</v>
      </c>
      <c r="I227" s="2" t="s">
        <v>252</v>
      </c>
      <c r="J227" s="2" t="s">
        <v>253</v>
      </c>
      <c r="K227" s="2" t="s">
        <v>5</v>
      </c>
      <c r="L227" s="2"/>
      <c r="M227" s="2">
        <v>2440063.9</v>
      </c>
      <c r="N227" s="2"/>
      <c r="O227" s="2"/>
      <c r="P227" s="2"/>
      <c r="Q227" s="3"/>
      <c r="R227" s="41"/>
      <c r="S227" s="2"/>
      <c r="T227" s="2"/>
      <c r="U227" s="2" t="s">
        <v>7</v>
      </c>
      <c r="V227" s="4">
        <v>4.5999999999999999E-2</v>
      </c>
      <c r="W227" s="2">
        <f>(M227+N227)*V227</f>
        <v>112242.93939999999</v>
      </c>
      <c r="X227" s="2">
        <f>112243.75</f>
        <v>112243.75</v>
      </c>
      <c r="Y227" s="2">
        <f>112243.75</f>
        <v>112243.75</v>
      </c>
      <c r="Z227" s="2">
        <v>0</v>
      </c>
      <c r="AA227" s="2">
        <f>1952051.12+400705.2</f>
        <v>2352756.3200000003</v>
      </c>
      <c r="AB227" s="2">
        <f>2352756.32</f>
        <v>2352756.3199999998</v>
      </c>
      <c r="AC227" s="2">
        <f>1708044.73+244006.39</f>
        <v>1952051.12</v>
      </c>
      <c r="AD227" s="2">
        <f>1952051.12</f>
        <v>1952051.12</v>
      </c>
      <c r="AE227" s="4">
        <f t="shared" si="82"/>
        <v>0.8</v>
      </c>
      <c r="AF227" s="2">
        <f>655732+200000+101200+150000+48797.75+175016+30500+29394+70000+17268+43710+32640</f>
        <v>1554257.75</v>
      </c>
      <c r="AG227" s="2">
        <f>1554257.75</f>
        <v>1554257.75</v>
      </c>
      <c r="AH227" s="2">
        <f>655732+200000+170334.26+150000+48797.75+175016+30500+329394+70000+17268+13583.92+43710+32640</f>
        <v>1936975.93</v>
      </c>
      <c r="AI227" s="2"/>
      <c r="AJ227" s="2"/>
      <c r="AK227" s="2"/>
      <c r="AL227" s="2">
        <f>1936975.93</f>
        <v>1936975.93</v>
      </c>
      <c r="AM227" s="4">
        <v>3.7400000000000003E-2</v>
      </c>
      <c r="AN227" s="4">
        <f t="shared" si="71"/>
        <v>87993.086368000004</v>
      </c>
      <c r="AO227" s="2">
        <f>87993.09</f>
        <v>87993.09</v>
      </c>
      <c r="AP227" s="2">
        <f>87993.09</f>
        <v>87993.09</v>
      </c>
      <c r="AQ227" s="2">
        <f t="shared" si="74"/>
        <v>-3.6319999926490709E-3</v>
      </c>
      <c r="AR227" s="2"/>
      <c r="AS227" s="2"/>
      <c r="AT227" s="2"/>
    </row>
    <row r="228" spans="1:46" x14ac:dyDescent="0.15">
      <c r="A228" s="34">
        <v>41470</v>
      </c>
      <c r="B228" s="2" t="s">
        <v>1870</v>
      </c>
      <c r="C228" s="2" t="s">
        <v>394</v>
      </c>
      <c r="D228" s="2" t="s">
        <v>401</v>
      </c>
      <c r="E228" s="2" t="s">
        <v>0</v>
      </c>
      <c r="F228" s="2" t="s">
        <v>60</v>
      </c>
      <c r="G228" s="2" t="s">
        <v>368</v>
      </c>
      <c r="H228" s="2" t="s">
        <v>177</v>
      </c>
      <c r="I228" s="2" t="s">
        <v>178</v>
      </c>
      <c r="J228" s="2" t="s">
        <v>179</v>
      </c>
      <c r="K228" s="2" t="s">
        <v>13</v>
      </c>
      <c r="L228" s="2"/>
      <c r="M228" s="2">
        <v>1457017.94</v>
      </c>
      <c r="N228" s="2"/>
      <c r="O228" s="2"/>
      <c r="P228" s="2"/>
      <c r="Q228" s="3" t="s">
        <v>402</v>
      </c>
      <c r="R228" s="41">
        <v>41499</v>
      </c>
      <c r="S228" s="2">
        <v>438</v>
      </c>
      <c r="T228" s="2"/>
      <c r="U228" s="2" t="s">
        <v>7</v>
      </c>
      <c r="V228" s="4">
        <v>3.5999999999999997E-2</v>
      </c>
      <c r="W228" s="2">
        <f>(M228+N228)*V228</f>
        <v>52452.645839999997</v>
      </c>
      <c r="X228" s="2">
        <f>52453</f>
        <v>52453</v>
      </c>
      <c r="Y228" s="2">
        <f>52453</f>
        <v>52453</v>
      </c>
      <c r="Z228" s="2">
        <v>0</v>
      </c>
      <c r="AA228" s="2">
        <f>300000+400000+700000</f>
        <v>1400000</v>
      </c>
      <c r="AB228" s="2">
        <f>1400000</f>
        <v>1400000</v>
      </c>
      <c r="AC228" s="2">
        <f>300000+400000+700000</f>
        <v>1400000</v>
      </c>
      <c r="AD228" s="2">
        <f>1400000</f>
        <v>1400000</v>
      </c>
      <c r="AE228" s="4">
        <f t="shared" si="82"/>
        <v>0.96086668637724537</v>
      </c>
      <c r="AF228" s="2">
        <f>285000+350000+700000</f>
        <v>1335000</v>
      </c>
      <c r="AG228" s="2">
        <f>1335000</f>
        <v>1335000</v>
      </c>
      <c r="AH228" s="2">
        <f>296948+363600+23800+700000</f>
        <v>1384348</v>
      </c>
      <c r="AI228" s="2"/>
      <c r="AJ228" s="2"/>
      <c r="AK228" s="2"/>
      <c r="AL228" s="2">
        <f>1384348</f>
        <v>1384348</v>
      </c>
      <c r="AM228" s="4">
        <v>3.4000000000000002E-2</v>
      </c>
      <c r="AN228" s="4">
        <f t="shared" si="71"/>
        <v>47600</v>
      </c>
      <c r="AO228" s="2">
        <f>10200+13600+23800</f>
        <v>47600</v>
      </c>
      <c r="AP228" s="2">
        <f>47600</f>
        <v>47600</v>
      </c>
      <c r="AQ228" s="2">
        <f t="shared" si="74"/>
        <v>0</v>
      </c>
      <c r="AR228" s="2"/>
      <c r="AS228" s="2"/>
      <c r="AT228" s="2"/>
    </row>
    <row r="229" spans="1:46" x14ac:dyDescent="0.15">
      <c r="A229" s="34">
        <v>41472</v>
      </c>
      <c r="B229" s="2" t="s">
        <v>1871</v>
      </c>
      <c r="C229" s="2" t="s">
        <v>72</v>
      </c>
      <c r="D229" s="2" t="s">
        <v>73</v>
      </c>
      <c r="E229" s="2" t="s">
        <v>0</v>
      </c>
      <c r="F229" s="2" t="s">
        <v>74</v>
      </c>
      <c r="G229" s="2" t="s">
        <v>52</v>
      </c>
      <c r="H229" s="2" t="s">
        <v>69</v>
      </c>
      <c r="I229" s="2" t="s">
        <v>70</v>
      </c>
      <c r="J229" s="2" t="s">
        <v>69</v>
      </c>
      <c r="K229" s="2" t="s">
        <v>40</v>
      </c>
      <c r="L229" s="2"/>
      <c r="M229" s="2">
        <v>190000</v>
      </c>
      <c r="N229" s="2"/>
      <c r="O229" s="2"/>
      <c r="P229" s="2"/>
      <c r="Q229" s="3" t="s">
        <v>75</v>
      </c>
      <c r="R229" s="41">
        <v>41515</v>
      </c>
      <c r="S229" s="2">
        <v>57</v>
      </c>
      <c r="T229" s="2"/>
      <c r="U229" s="2" t="s">
        <v>7</v>
      </c>
      <c r="V229" s="4">
        <v>3.5999999999999997E-2</v>
      </c>
      <c r="W229" s="2">
        <f>(M229+N229)*V229</f>
        <v>6839.9999999999991</v>
      </c>
      <c r="X229" s="2">
        <f>6840</f>
        <v>6840</v>
      </c>
      <c r="Y229" s="2">
        <f>6840</f>
        <v>6840</v>
      </c>
      <c r="Z229" s="2">
        <f>W229-Y229</f>
        <v>0</v>
      </c>
      <c r="AA229" s="2">
        <f>57000+123500</f>
        <v>180500</v>
      </c>
      <c r="AB229" s="2">
        <f>180500</f>
        <v>180500</v>
      </c>
      <c r="AC229" s="2">
        <f>57000+123500</f>
        <v>180500</v>
      </c>
      <c r="AD229" s="2">
        <f>57000+123500</f>
        <v>180500</v>
      </c>
      <c r="AE229" s="4">
        <f t="shared" si="82"/>
        <v>0.95</v>
      </c>
      <c r="AF229" s="2">
        <f>150000+4495.92</f>
        <v>154495.92000000001</v>
      </c>
      <c r="AG229" s="2">
        <f>150000+4495.92</f>
        <v>154495.92000000001</v>
      </c>
      <c r="AH229" s="2">
        <f>6137+150000+4495.92</f>
        <v>160632.92000000001</v>
      </c>
      <c r="AI229" s="2"/>
      <c r="AJ229" s="2"/>
      <c r="AK229" s="2"/>
      <c r="AL229" s="2">
        <f>6137+150000+4495.92</f>
        <v>160632.92000000001</v>
      </c>
      <c r="AM229" s="4">
        <v>3.4000000000000002E-2</v>
      </c>
      <c r="AN229" s="4">
        <f t="shared" si="71"/>
        <v>6137</v>
      </c>
      <c r="AO229" s="2">
        <f>6137</f>
        <v>6137</v>
      </c>
      <c r="AP229" s="2">
        <f>6137</f>
        <v>6137</v>
      </c>
      <c r="AQ229" s="2">
        <f t="shared" si="74"/>
        <v>0</v>
      </c>
      <c r="AR229" s="2"/>
      <c r="AS229" s="2"/>
      <c r="AT229" s="2"/>
    </row>
    <row r="230" spans="1:46" s="9" customFormat="1" x14ac:dyDescent="0.15">
      <c r="A230" s="35">
        <v>41484</v>
      </c>
      <c r="B230" s="2" t="s">
        <v>1872</v>
      </c>
      <c r="C230" s="6" t="s">
        <v>89</v>
      </c>
      <c r="D230" s="6" t="s">
        <v>415</v>
      </c>
      <c r="E230" s="6" t="s">
        <v>0</v>
      </c>
      <c r="F230" s="6" t="s">
        <v>416</v>
      </c>
      <c r="G230" s="6" t="s">
        <v>368</v>
      </c>
      <c r="H230" s="6" t="s">
        <v>239</v>
      </c>
      <c r="I230" s="6" t="s">
        <v>87</v>
      </c>
      <c r="J230" s="6" t="s">
        <v>86</v>
      </c>
      <c r="K230" s="6" t="s">
        <v>13</v>
      </c>
      <c r="L230" s="6"/>
      <c r="M230" s="6">
        <v>2768475</v>
      </c>
      <c r="N230" s="6"/>
      <c r="O230" s="6"/>
      <c r="P230" s="6"/>
      <c r="Q230" s="7" t="s">
        <v>417</v>
      </c>
      <c r="R230" s="42">
        <v>41521</v>
      </c>
      <c r="S230" s="6">
        <v>831</v>
      </c>
      <c r="T230" s="6"/>
      <c r="U230" s="6" t="s">
        <v>390</v>
      </c>
      <c r="V230" s="8">
        <v>3.5999999999999997E-2</v>
      </c>
      <c r="W230" s="6">
        <f t="shared" ref="W230:W241" si="83">(M230+N230)*V230</f>
        <v>99665.099999999991</v>
      </c>
      <c r="X230" s="6">
        <f>96813+2852</f>
        <v>99665</v>
      </c>
      <c r="Y230" s="6">
        <f>99665</f>
        <v>99665</v>
      </c>
      <c r="Z230" s="6">
        <v>0</v>
      </c>
      <c r="AA230" s="6">
        <f>225439+352389+443844+584005+630726+116801+276847.5</f>
        <v>2630051.5</v>
      </c>
      <c r="AB230" s="6">
        <f>2353204+276847.5</f>
        <v>2630051.5</v>
      </c>
      <c r="AC230" s="6">
        <f>225439+352389+443844+584005+630726+116801</f>
        <v>2353204</v>
      </c>
      <c r="AD230" s="6">
        <f>2353204</f>
        <v>2353204</v>
      </c>
      <c r="AE230" s="8">
        <f t="shared" si="82"/>
        <v>0.85000009030242285</v>
      </c>
      <c r="AF230" s="6">
        <f>46131+3322+300000+9031.34+409787+284553.25+253404.4+55000+420000+200000+40000+188768+44250</f>
        <v>2254246.9900000002</v>
      </c>
      <c r="AG230" s="6">
        <f>2021228.99+188768+44250</f>
        <v>2254246.9900000002</v>
      </c>
      <c r="AH230" s="6">
        <f>183796+3322+311981+15091+9031.34+409787+304409.25+253404.4+12067+50000+21445+420000+200000+40000+3971+100000+198181+44250</f>
        <v>2580735.9900000002</v>
      </c>
      <c r="AI230" s="6"/>
      <c r="AJ230" s="6"/>
      <c r="AK230" s="6"/>
      <c r="AL230" s="6">
        <f>2338304.99+198181+44250</f>
        <v>2580735.9900000002</v>
      </c>
      <c r="AM230" s="8">
        <v>3.4000000000000002E-2</v>
      </c>
      <c r="AN230" s="8">
        <f t="shared" si="71"/>
        <v>89421.751000000004</v>
      </c>
      <c r="AO230" s="6">
        <f>7665+11981+15091+19856+21445+3971+9413</f>
        <v>89422</v>
      </c>
      <c r="AP230" s="6">
        <f>80009+9413</f>
        <v>89422</v>
      </c>
      <c r="AQ230" s="2">
        <f t="shared" si="74"/>
        <v>-0.24899999999615829</v>
      </c>
      <c r="AR230" s="6"/>
      <c r="AS230" s="6"/>
      <c r="AT230" s="6"/>
    </row>
    <row r="231" spans="1:46" s="24" customFormat="1" x14ac:dyDescent="0.15">
      <c r="A231" s="38">
        <v>41484</v>
      </c>
      <c r="B231" s="2" t="s">
        <v>1873</v>
      </c>
      <c r="C231" s="21" t="s">
        <v>90</v>
      </c>
      <c r="D231" s="21" t="s">
        <v>91</v>
      </c>
      <c r="E231" s="21" t="s">
        <v>30</v>
      </c>
      <c r="F231" s="21" t="s">
        <v>92</v>
      </c>
      <c r="G231" s="21" t="s">
        <v>52</v>
      </c>
      <c r="H231" s="21" t="s">
        <v>93</v>
      </c>
      <c r="I231" s="21" t="s">
        <v>94</v>
      </c>
      <c r="J231" s="21" t="s">
        <v>93</v>
      </c>
      <c r="K231" s="21" t="s">
        <v>95</v>
      </c>
      <c r="L231" s="21"/>
      <c r="M231" s="21">
        <v>19543207.129999999</v>
      </c>
      <c r="N231" s="21"/>
      <c r="O231" s="21"/>
      <c r="P231" s="21"/>
      <c r="Q231" s="22" t="s">
        <v>96</v>
      </c>
      <c r="R231" s="45">
        <v>41522</v>
      </c>
      <c r="S231" s="21">
        <v>5863</v>
      </c>
      <c r="T231" s="21"/>
      <c r="U231" s="21" t="s">
        <v>7</v>
      </c>
      <c r="V231" s="23">
        <v>0.03</v>
      </c>
      <c r="W231" s="21">
        <f t="shared" si="83"/>
        <v>586296.21389999997</v>
      </c>
      <c r="X231" s="21">
        <f>294137+48467+243693</f>
        <v>586297</v>
      </c>
      <c r="Y231" s="21">
        <f>586297</f>
        <v>586297</v>
      </c>
      <c r="Z231" s="21">
        <v>0</v>
      </c>
      <c r="AA231" s="21">
        <f>2900000+940000+1450000+1500000+1000000+5030000+180000+4000000+3778292.95</f>
        <v>20778292.949999999</v>
      </c>
      <c r="AB231" s="21">
        <f>12820000+180000+4000000+3778292.95</f>
        <v>20778292.949999999</v>
      </c>
      <c r="AC231" s="21">
        <f>2900000+940000+1450000+1500000+500000+500000+5030000+180000+2000000+2000000</f>
        <v>17000000</v>
      </c>
      <c r="AD231" s="21">
        <f>13000000+2000000+2000000</f>
        <v>17000000</v>
      </c>
      <c r="AE231" s="23">
        <f t="shared" si="70"/>
        <v>0.86986746274125992</v>
      </c>
      <c r="AF231" s="21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+445530.57+5000+400000+400535.79+8900+96000+43242.9+822358+200000+697400+173406+280000+15000+13906.4+1063396.23</f>
        <v>14781926.41</v>
      </c>
      <c r="AG231" s="21">
        <f>7393710.61+2118539.91+7000+598000+445530.57+5000+400000+400535.79+8900+96000+43242.9+822358+200000+697400+173406+280000+15000+13906.4+1063396.23</f>
        <v>14781926.41</v>
      </c>
      <c r="AH231" s="21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+445530.57+5000+400000+400535.79+8900+96000+43242.9+822358+200000+837848+173406+280000+141950.65+13906.4+1016689.11</f>
        <v>15462993.24</v>
      </c>
      <c r="AI231" s="21"/>
      <c r="AJ231" s="21">
        <f>27061.12</f>
        <v>27061.119999999999</v>
      </c>
      <c r="AK231" s="21">
        <f>19646</f>
        <v>19646</v>
      </c>
      <c r="AL231" s="21">
        <f>7685077.91+2118539.91+169008+7000+598000+445530.57+5000+400000+400535.79+8900+96000+43242.9+822358+200000+837848+173406+280000+141950.65+13906.4+1063396.23</f>
        <v>15509700.360000001</v>
      </c>
      <c r="AM231" s="23">
        <v>3.4000000000000002E-2</v>
      </c>
      <c r="AN231" s="23">
        <f t="shared" si="71"/>
        <v>706461.96030000004</v>
      </c>
      <c r="AO231" s="21">
        <f>98600+49300+51000+34000+6048+134400+126950.65</f>
        <v>500298.65</v>
      </c>
      <c r="AP231" s="21">
        <f>232900+6048+134400+126950.65</f>
        <v>500298.65</v>
      </c>
      <c r="AQ231" s="2"/>
      <c r="AR231" s="21"/>
      <c r="AS231" s="21">
        <v>96</v>
      </c>
      <c r="AT231" s="21" t="s">
        <v>56</v>
      </c>
    </row>
    <row r="232" spans="1:46" s="27" customFormat="1" x14ac:dyDescent="0.15">
      <c r="A232" s="39">
        <v>41494</v>
      </c>
      <c r="B232" s="2" t="s">
        <v>1874</v>
      </c>
      <c r="C232" s="13" t="s">
        <v>403</v>
      </c>
      <c r="D232" s="13" t="s">
        <v>199</v>
      </c>
      <c r="E232" s="13" t="s">
        <v>408</v>
      </c>
      <c r="F232" s="13"/>
      <c r="G232" s="13" t="s">
        <v>399</v>
      </c>
      <c r="H232" s="13" t="s">
        <v>202</v>
      </c>
      <c r="I232" s="2" t="s">
        <v>203</v>
      </c>
      <c r="J232" s="2" t="s">
        <v>202</v>
      </c>
      <c r="K232" s="2" t="s">
        <v>5</v>
      </c>
      <c r="L232" s="13"/>
      <c r="M232" s="13">
        <v>8061172</v>
      </c>
      <c r="N232" s="13"/>
      <c r="O232" s="13"/>
      <c r="P232" s="13"/>
      <c r="Q232" s="25"/>
      <c r="R232" s="46"/>
      <c r="S232" s="13"/>
      <c r="T232" s="13"/>
      <c r="U232" s="13" t="s">
        <v>7</v>
      </c>
      <c r="V232" s="26">
        <v>0.03</v>
      </c>
      <c r="W232" s="13">
        <f t="shared" si="83"/>
        <v>241835.16</v>
      </c>
      <c r="X232" s="13">
        <f>240000+1835</f>
        <v>241835</v>
      </c>
      <c r="Y232" s="13">
        <f>240000+1835</f>
        <v>241835</v>
      </c>
      <c r="Z232" s="13">
        <f>W232-Y232</f>
        <v>0.16000000000349246</v>
      </c>
      <c r="AA232" s="13">
        <f>1100000+500000+3600000</f>
        <v>5200000</v>
      </c>
      <c r="AB232" s="13">
        <f>1100000+500000+3600000</f>
        <v>5200000</v>
      </c>
      <c r="AC232" s="13">
        <f>1040000+500000</f>
        <v>1540000</v>
      </c>
      <c r="AD232" s="13">
        <f>1040000+500000</f>
        <v>1540000</v>
      </c>
      <c r="AE232" s="26">
        <f t="shared" si="70"/>
        <v>0.19103921861486145</v>
      </c>
      <c r="AF232" s="13">
        <f>744809+257450+500000+3111464.45+130459</f>
        <v>4744182.45</v>
      </c>
      <c r="AG232" s="13">
        <f>1002259+500000+3111464.45+130459</f>
        <v>4744182.45</v>
      </c>
      <c r="AH232" s="13">
        <f>782099+257450+500000+3246104.45+130459+18700</f>
        <v>4934812.45</v>
      </c>
      <c r="AI232" s="13"/>
      <c r="AJ232" s="13"/>
      <c r="AK232" s="13"/>
      <c r="AL232" s="13">
        <f>1039549+500000+3246104.45+130459+18700</f>
        <v>4934812.45</v>
      </c>
      <c r="AM232" s="26">
        <v>3.7400000000000003E-2</v>
      </c>
      <c r="AN232" s="26">
        <f t="shared" si="71"/>
        <v>194480</v>
      </c>
      <c r="AO232" s="13">
        <f>41140+18700+134640</f>
        <v>194480</v>
      </c>
      <c r="AP232" s="13">
        <f>41140+18700+134640</f>
        <v>194480</v>
      </c>
      <c r="AQ232" s="2">
        <f t="shared" si="74"/>
        <v>0</v>
      </c>
      <c r="AR232" s="13"/>
      <c r="AS232" s="13">
        <v>105</v>
      </c>
      <c r="AT232" s="13" t="s">
        <v>391</v>
      </c>
    </row>
    <row r="233" spans="1:46" s="27" customFormat="1" x14ac:dyDescent="0.15">
      <c r="A233" s="39">
        <v>41487</v>
      </c>
      <c r="B233" s="2" t="s">
        <v>1875</v>
      </c>
      <c r="C233" s="13" t="s">
        <v>404</v>
      </c>
      <c r="D233" s="13" t="s">
        <v>409</v>
      </c>
      <c r="E233" s="13" t="s">
        <v>408</v>
      </c>
      <c r="F233" s="13" t="s">
        <v>106</v>
      </c>
      <c r="G233" s="13" t="s">
        <v>107</v>
      </c>
      <c r="H233" s="2" t="s">
        <v>108</v>
      </c>
      <c r="I233" s="2" t="s">
        <v>109</v>
      </c>
      <c r="J233" s="2" t="s">
        <v>108</v>
      </c>
      <c r="K233" s="2" t="s">
        <v>5</v>
      </c>
      <c r="L233" s="13"/>
      <c r="M233" s="13">
        <v>3427568</v>
      </c>
      <c r="N233" s="13"/>
      <c r="O233" s="13"/>
      <c r="P233" s="13"/>
      <c r="Q233" s="25"/>
      <c r="R233" s="46"/>
      <c r="S233" s="13"/>
      <c r="T233" s="13"/>
      <c r="U233" s="13" t="s">
        <v>7</v>
      </c>
      <c r="V233" s="26">
        <v>0.03</v>
      </c>
      <c r="W233" s="13">
        <f t="shared" si="83"/>
        <v>102827.04</v>
      </c>
      <c r="X233" s="13">
        <f>50000+52827</f>
        <v>102827</v>
      </c>
      <c r="Y233" s="13">
        <f>102827</f>
        <v>102827</v>
      </c>
      <c r="Z233" s="13">
        <v>0</v>
      </c>
      <c r="AA233" s="13">
        <f>342756.8+1199648.8+1199648.8+449022.34</f>
        <v>3191076.74</v>
      </c>
      <c r="AB233" s="13">
        <f>2742054.4+449022.34</f>
        <v>3191076.7399999998</v>
      </c>
      <c r="AC233" s="13">
        <f>342756.8+1063906+1170256.88+65134.72</f>
        <v>2642054.4</v>
      </c>
      <c r="AD233" s="13">
        <f>2576919.68+65134.72</f>
        <v>2642054.4000000004</v>
      </c>
      <c r="AE233" s="26">
        <f t="shared" si="70"/>
        <v>0.7708247947232556</v>
      </c>
      <c r="AF233" s="13">
        <f>41130+99990+20000+741940+70492+118190+255024.25+514360+100000+355370+10000</f>
        <v>2326496.25</v>
      </c>
      <c r="AG233" s="13">
        <f>2316496.25+10000</f>
        <v>2326496.25</v>
      </c>
      <c r="AH233" s="13">
        <f>204113+99990+20000+741940+70492+170477.53+295692.33+514360+100000+355370+26793.44</f>
        <v>2599228.3000000003</v>
      </c>
      <c r="AI233" s="13"/>
      <c r="AJ233" s="13"/>
      <c r="AK233" s="13"/>
      <c r="AL233" s="13">
        <f>2572434.86+26793.44</f>
        <v>2599228.2999999998</v>
      </c>
      <c r="AM233" s="26">
        <v>3.7400000000000003E-2</v>
      </c>
      <c r="AN233" s="26">
        <f t="shared" si="71"/>
        <v>119346.270076</v>
      </c>
      <c r="AO233" s="13">
        <f>102552.83+16793.44</f>
        <v>119346.27</v>
      </c>
      <c r="AP233" s="13">
        <f>102552.83+16793.44</f>
        <v>119346.27</v>
      </c>
      <c r="AQ233" s="2">
        <f t="shared" si="74"/>
        <v>7.599999662488699E-5</v>
      </c>
      <c r="AR233" s="13"/>
      <c r="AS233" s="13">
        <v>42</v>
      </c>
      <c r="AT233" s="13" t="s">
        <v>391</v>
      </c>
    </row>
    <row r="234" spans="1:46" s="27" customFormat="1" x14ac:dyDescent="0.15">
      <c r="A234" s="39">
        <v>41496</v>
      </c>
      <c r="B234" s="2" t="s">
        <v>1876</v>
      </c>
      <c r="C234" s="13" t="s">
        <v>405</v>
      </c>
      <c r="D234" s="13" t="s">
        <v>410</v>
      </c>
      <c r="E234" s="13" t="s">
        <v>408</v>
      </c>
      <c r="F234" s="13" t="s">
        <v>411</v>
      </c>
      <c r="G234" s="13" t="s">
        <v>368</v>
      </c>
      <c r="H234" s="13" t="s">
        <v>412</v>
      </c>
      <c r="I234" s="13" t="s">
        <v>413</v>
      </c>
      <c r="J234" s="13" t="s">
        <v>414</v>
      </c>
      <c r="K234" s="13" t="s">
        <v>371</v>
      </c>
      <c r="L234" s="13"/>
      <c r="M234" s="13">
        <v>2823828.2</v>
      </c>
      <c r="N234" s="13"/>
      <c r="O234" s="13"/>
      <c r="P234" s="13"/>
      <c r="Q234" s="25" t="s">
        <v>418</v>
      </c>
      <c r="R234" s="46">
        <v>41512</v>
      </c>
      <c r="S234" s="13">
        <v>848</v>
      </c>
      <c r="T234" s="13"/>
      <c r="U234" s="13" t="s">
        <v>7</v>
      </c>
      <c r="V234" s="26">
        <v>0.03</v>
      </c>
      <c r="W234" s="13">
        <f t="shared" si="83"/>
        <v>84714.846000000005</v>
      </c>
      <c r="X234" s="13">
        <f>42358+42357</f>
        <v>84715</v>
      </c>
      <c r="Y234" s="13">
        <f>84715</f>
        <v>84715</v>
      </c>
      <c r="Z234" s="13">
        <v>0</v>
      </c>
      <c r="AA234" s="13">
        <f>564765.64+564765.64+282382.82+16984.89+40432+564765.64+8292.84+500000+225000</f>
        <v>2767389.4699999997</v>
      </c>
      <c r="AB234" s="13">
        <f>2034096.63+8292.84+500000+225000</f>
        <v>2767389.4699999997</v>
      </c>
      <c r="AC234" s="13">
        <f>564765.64+564765.64+282382.82+16984.89+40432+564765.64+8292.84+500000</f>
        <v>2542389.4699999997</v>
      </c>
      <c r="AD234" s="13">
        <f>2034096.63+8292.84+500000</f>
        <v>2542389.4699999997</v>
      </c>
      <c r="AE234" s="26">
        <f t="shared" si="70"/>
        <v>0.90033432982927208</v>
      </c>
      <c r="AF234" s="13">
        <f>3388+219780+108026.24+100000+350000+51000+15160+32026.7+2125+200000+1510+152999.17+3057+89600+407250+3121+50000+62031+1043+500000</f>
        <v>2352117.11</v>
      </c>
      <c r="AG234" s="13">
        <f>1735922.11+3121+50000+62031+1043+500000</f>
        <v>2352117.1100000003</v>
      </c>
      <c r="AH234" s="13">
        <f>3388+238982+108026.24+100000+19202+350000+51000+15160+32026.7+2125+200000+1510+10179+152999.17+3057+89600+20577+407250+50282+60000+17000+7650+500000</f>
        <v>2440014.11</v>
      </c>
      <c r="AI234" s="13">
        <f>143</f>
        <v>143</v>
      </c>
      <c r="AJ234" s="13">
        <f>2500+2031+900</f>
        <v>5431</v>
      </c>
      <c r="AK234" s="13">
        <f>621</f>
        <v>621</v>
      </c>
      <c r="AL234" s="13">
        <f>1805082.11+3121+50282+79031+1043+7650+500000</f>
        <v>2446209.1100000003</v>
      </c>
      <c r="AM234" s="26">
        <v>3.4000000000000002E-2</v>
      </c>
      <c r="AN234" s="26">
        <f t="shared" si="71"/>
        <v>94091.241979999992</v>
      </c>
      <c r="AO234" s="13">
        <f>19202+19202+9601+578+1375+19202+282+17000+7650</f>
        <v>94092</v>
      </c>
      <c r="AP234" s="13">
        <f>69160+282+17000+7650</f>
        <v>94092</v>
      </c>
      <c r="AQ234" s="2">
        <f t="shared" si="74"/>
        <v>-0.75802000000840053</v>
      </c>
      <c r="AR234" s="13"/>
      <c r="AS234" s="13">
        <v>6</v>
      </c>
      <c r="AT234" s="13" t="s">
        <v>419</v>
      </c>
    </row>
    <row r="235" spans="1:46" s="16" customFormat="1" x14ac:dyDescent="0.15">
      <c r="A235" s="36">
        <v>41506</v>
      </c>
      <c r="B235" s="2" t="s">
        <v>1877</v>
      </c>
      <c r="C235" s="11" t="s">
        <v>406</v>
      </c>
      <c r="D235" s="11" t="s">
        <v>446</v>
      </c>
      <c r="E235" s="11" t="s">
        <v>408</v>
      </c>
      <c r="F235" s="11" t="s">
        <v>447</v>
      </c>
      <c r="G235" s="11" t="s">
        <v>448</v>
      </c>
      <c r="H235" s="6" t="s">
        <v>350</v>
      </c>
      <c r="I235" s="6" t="s">
        <v>351</v>
      </c>
      <c r="J235" s="6" t="s">
        <v>352</v>
      </c>
      <c r="K235" s="6" t="s">
        <v>95</v>
      </c>
      <c r="L235" s="11"/>
      <c r="M235" s="11">
        <v>17411600</v>
      </c>
      <c r="N235" s="11">
        <f>14846</f>
        <v>14846</v>
      </c>
      <c r="O235" s="11"/>
      <c r="P235" s="11"/>
      <c r="Q235" s="14" t="s">
        <v>449</v>
      </c>
      <c r="R235" s="43">
        <v>41521</v>
      </c>
      <c r="S235" s="11">
        <v>5224</v>
      </c>
      <c r="T235" s="11"/>
      <c r="U235" s="11" t="s">
        <v>7</v>
      </c>
      <c r="V235" s="15">
        <v>0.03</v>
      </c>
      <c r="W235" s="11">
        <f t="shared" si="83"/>
        <v>522793.38</v>
      </c>
      <c r="X235" s="11">
        <f>300000+222348</f>
        <v>522348</v>
      </c>
      <c r="Y235" s="11">
        <f>522348</f>
        <v>522348</v>
      </c>
      <c r="Z235" s="11">
        <f t="shared" ref="Z235" si="84">W235-Y235</f>
        <v>445.38000000000466</v>
      </c>
      <c r="AA235" s="11">
        <f>7235029+4001023+3455157+2041627+693610</f>
        <v>17426446</v>
      </c>
      <c r="AB235" s="11">
        <f>17426446</f>
        <v>17426446</v>
      </c>
      <c r="AC235" s="11">
        <f>4000000+2100000+2000000+3780000</f>
        <v>11880000</v>
      </c>
      <c r="AD235" s="11">
        <f>11880000</f>
        <v>11880000</v>
      </c>
      <c r="AE235" s="15">
        <f t="shared" si="70"/>
        <v>0.68172248087762699</v>
      </c>
      <c r="AF235" s="11">
        <f>1495000+600000+1237500+520106.7+1500000+100000+1500000+300000+3199470+780000+110000</f>
        <v>11342076.699999999</v>
      </c>
      <c r="AG235" s="11">
        <f>11232076.7+110000</f>
        <v>11342076.699999999</v>
      </c>
      <c r="AH235" s="11">
        <f>1495000+600000+1237500+520106.7+1500000+100000+508315.83+1500000+300000+3294109.21+780000-100000+110000</f>
        <v>11845031.74</v>
      </c>
      <c r="AI235" s="11"/>
      <c r="AJ235" s="11"/>
      <c r="AK235" s="11"/>
      <c r="AL235" s="11">
        <f>11735031.74+110000</f>
        <v>11845031.74</v>
      </c>
      <c r="AM235" s="15"/>
      <c r="AN235" s="15">
        <f t="shared" si="71"/>
        <v>0</v>
      </c>
      <c r="AO235" s="11"/>
      <c r="AP235" s="11"/>
      <c r="AQ235" s="2">
        <f t="shared" si="74"/>
        <v>0</v>
      </c>
      <c r="AR235" s="11"/>
      <c r="AS235" s="11"/>
      <c r="AT235" s="11"/>
    </row>
    <row r="236" spans="1:46" s="27" customFormat="1" x14ac:dyDescent="0.15">
      <c r="A236" s="39">
        <v>41511</v>
      </c>
      <c r="B236" s="2" t="s">
        <v>1878</v>
      </c>
      <c r="C236" s="13" t="s">
        <v>407</v>
      </c>
      <c r="D236" s="13" t="s">
        <v>464</v>
      </c>
      <c r="E236" s="13" t="s">
        <v>408</v>
      </c>
      <c r="F236" s="13" t="s">
        <v>465</v>
      </c>
      <c r="G236" s="13" t="s">
        <v>453</v>
      </c>
      <c r="H236" s="6" t="s">
        <v>350</v>
      </c>
      <c r="I236" s="6" t="s">
        <v>351</v>
      </c>
      <c r="J236" s="6" t="s">
        <v>352</v>
      </c>
      <c r="K236" s="13" t="s">
        <v>455</v>
      </c>
      <c r="L236" s="13"/>
      <c r="M236" s="13">
        <v>407310.98</v>
      </c>
      <c r="N236" s="13"/>
      <c r="O236" s="13"/>
      <c r="P236" s="13"/>
      <c r="Q236" s="25" t="s">
        <v>466</v>
      </c>
      <c r="R236" s="46">
        <v>41523</v>
      </c>
      <c r="S236" s="13">
        <v>123</v>
      </c>
      <c r="T236" s="13"/>
      <c r="U236" s="13" t="s">
        <v>7</v>
      </c>
      <c r="V236" s="26">
        <v>3.5999999999999997E-2</v>
      </c>
      <c r="W236" s="13">
        <f t="shared" si="83"/>
        <v>14663.195279999998</v>
      </c>
      <c r="X236" s="13">
        <f>14663</f>
        <v>14663</v>
      </c>
      <c r="Y236" s="13">
        <f>14663</f>
        <v>14663</v>
      </c>
      <c r="Z236" s="13">
        <v>0</v>
      </c>
      <c r="AA236" s="13">
        <f>407310.98</f>
        <v>407310.98</v>
      </c>
      <c r="AB236" s="13">
        <f>407310.98</f>
        <v>407310.98</v>
      </c>
      <c r="AC236" s="13">
        <f>250000+100000</f>
        <v>350000</v>
      </c>
      <c r="AD236" s="13">
        <f>350000</f>
        <v>350000</v>
      </c>
      <c r="AE236" s="26">
        <f t="shared" si="70"/>
        <v>0.85929429155089321</v>
      </c>
      <c r="AF236" s="13">
        <f>300000</f>
        <v>300000</v>
      </c>
      <c r="AG236" s="13">
        <f>300000</f>
        <v>300000</v>
      </c>
      <c r="AH236" s="13">
        <f>13849+300000</f>
        <v>313849</v>
      </c>
      <c r="AI236" s="13"/>
      <c r="AJ236" s="13"/>
      <c r="AK236" s="13"/>
      <c r="AL236" s="13">
        <f>313849</f>
        <v>313849</v>
      </c>
      <c r="AM236" s="26">
        <v>3.4000000000000002E-2</v>
      </c>
      <c r="AN236" s="26">
        <f t="shared" si="71"/>
        <v>13848.57332</v>
      </c>
      <c r="AO236" s="13">
        <f>13849</f>
        <v>13849</v>
      </c>
      <c r="AP236" s="13">
        <f>13849</f>
        <v>13849</v>
      </c>
      <c r="AQ236" s="2">
        <f t="shared" si="74"/>
        <v>-0.42668000000048778</v>
      </c>
      <c r="AR236" s="13"/>
      <c r="AS236" s="13"/>
      <c r="AT236" s="13"/>
    </row>
    <row r="237" spans="1:46" s="27" customFormat="1" x14ac:dyDescent="0.15">
      <c r="A237" s="39">
        <v>41519</v>
      </c>
      <c r="B237" s="2" t="s">
        <v>1879</v>
      </c>
      <c r="C237" s="13" t="s">
        <v>97</v>
      </c>
      <c r="D237" s="13" t="s">
        <v>98</v>
      </c>
      <c r="E237" s="13" t="s">
        <v>80</v>
      </c>
      <c r="F237" s="13" t="s">
        <v>99</v>
      </c>
      <c r="G237" s="13" t="s">
        <v>52</v>
      </c>
      <c r="H237" s="13" t="s">
        <v>100</v>
      </c>
      <c r="I237" s="13" t="s">
        <v>101</v>
      </c>
      <c r="J237" s="13" t="s">
        <v>102</v>
      </c>
      <c r="K237" s="13" t="s">
        <v>40</v>
      </c>
      <c r="L237" s="13"/>
      <c r="M237" s="13">
        <v>8700000</v>
      </c>
      <c r="N237" s="13">
        <f>7411961</f>
        <v>7411961</v>
      </c>
      <c r="O237" s="13"/>
      <c r="P237" s="13"/>
      <c r="Q237" s="25" t="s">
        <v>103</v>
      </c>
      <c r="R237" s="46">
        <v>41647</v>
      </c>
      <c r="S237" s="13">
        <v>2610</v>
      </c>
      <c r="T237" s="13"/>
      <c r="U237" s="13" t="s">
        <v>7</v>
      </c>
      <c r="V237" s="26">
        <v>0.03</v>
      </c>
      <c r="W237" s="13">
        <f t="shared" si="83"/>
        <v>483358.82999999996</v>
      </c>
      <c r="X237" s="13">
        <f>100000+161000+215853+6506</f>
        <v>483359</v>
      </c>
      <c r="Y237" s="13">
        <f>476853+6506</f>
        <v>483359</v>
      </c>
      <c r="Z237" s="13">
        <f>W237-Y237</f>
        <v>-0.17000000004190952</v>
      </c>
      <c r="AA237" s="13">
        <f>870000+1807511+741196+943418.25+262358.92+1513947+750296.57+1557966+897006.31+964467.59+1202132+516121+258646+1268234</f>
        <v>13553300.640000001</v>
      </c>
      <c r="AB237" s="13">
        <f>10308167.64+1202132+516121+258646+1268234</f>
        <v>13553300.640000001</v>
      </c>
      <c r="AC237" s="13">
        <f>870000+1807511+741196+943418.25+1513947+262358.92+750296.57+1557966+897006.31+964467.59+1202132+516121+258646+1268234</f>
        <v>13553300.640000001</v>
      </c>
      <c r="AD237" s="13">
        <f>9343700.05+964467.59+1202132+516121+258646+1268234</f>
        <v>13553300.640000001</v>
      </c>
      <c r="AE237" s="26">
        <f t="shared" si="70"/>
        <v>0.8411949755836674</v>
      </c>
      <c r="AF237" s="13">
        <f>185363.8+400000+113137+100000+870412+550469+108775+130000+50000+213111+110000+517692.8+47483+1001642.88+1068541+10904.14+26179.6+215000+729247.18+160506.3+67770+400000+193580.09+40000+4800+890+5122+100000+509765.8+1000000+1657000+23159.5+30000+1500000+14841.5</f>
        <v>12155393.589999998</v>
      </c>
      <c r="AG237" s="13">
        <f>7269814.79+40000+4800+890+5122+100000+509765.8+1000000+1657000+23159.5+30000+1500000+14841.5</f>
        <v>12155393.59</v>
      </c>
      <c r="AH237" s="13">
        <f>585363.8+113137+16200+100000+961447+550469+108775+155201+50000+400000+213111+32076+110000+517692.8+8920+124467+1001642.88+1068541+10904.14+26179.6+298469+729247.18+221758.3-4500+67770+400000+193580.09+41000+50812+100000+509765.8+1058421+1657000+16194+50000+43120+30000+1500000</f>
        <v>13116764.589999998</v>
      </c>
      <c r="AI237" s="13">
        <f>296+402.3+85</f>
        <v>783.3</v>
      </c>
      <c r="AJ237" s="13">
        <f>9953.5+6000+8415.5</f>
        <v>24369</v>
      </c>
      <c r="AK237" s="13">
        <f>5510+5586+6341</f>
        <v>17437</v>
      </c>
      <c r="AL237" s="13">
        <f>8101451.79+50812+100000+509765.8+1058421+1657000+31953.5+50000+43120+11988.3+30000+1500000+14841.5</f>
        <v>13159353.890000001</v>
      </c>
      <c r="AM237" s="26">
        <v>3.4000000000000002E-2</v>
      </c>
      <c r="AN237" s="26">
        <f t="shared" si="71"/>
        <v>460812.22176000004</v>
      </c>
      <c r="AO237" s="13">
        <f>29580+61455+25201+32076+8920+51474+25510+52971+30498+32792+58421+8794+43120</f>
        <v>460812</v>
      </c>
      <c r="AP237" s="13">
        <f>350477+58421+8794+43120</f>
        <v>460812</v>
      </c>
      <c r="AQ237" s="2">
        <f t="shared" si="74"/>
        <v>0.2217600000440143</v>
      </c>
      <c r="AR237" s="13"/>
      <c r="AS237" s="13">
        <v>90</v>
      </c>
      <c r="AT237" s="13" t="s">
        <v>56</v>
      </c>
    </row>
    <row r="238" spans="1:46" s="27" customFormat="1" ht="13.15" customHeight="1" x14ac:dyDescent="0.15">
      <c r="A238" s="39">
        <v>41522</v>
      </c>
      <c r="B238" s="2" t="s">
        <v>1880</v>
      </c>
      <c r="C238" s="13" t="s">
        <v>467</v>
      </c>
      <c r="D238" s="13" t="s">
        <v>468</v>
      </c>
      <c r="E238" s="13" t="s">
        <v>30</v>
      </c>
      <c r="F238" s="13" t="s">
        <v>469</v>
      </c>
      <c r="G238" s="13" t="s">
        <v>453</v>
      </c>
      <c r="H238" s="13" t="s">
        <v>412</v>
      </c>
      <c r="I238" s="13" t="s">
        <v>413</v>
      </c>
      <c r="J238" s="13" t="s">
        <v>414</v>
      </c>
      <c r="K238" s="13" t="s">
        <v>13</v>
      </c>
      <c r="L238" s="13"/>
      <c r="M238" s="13">
        <f>360000</f>
        <v>360000</v>
      </c>
      <c r="N238" s="13"/>
      <c r="O238" s="13"/>
      <c r="P238" s="13"/>
      <c r="Q238" s="25" t="s">
        <v>470</v>
      </c>
      <c r="R238" s="46">
        <v>41540</v>
      </c>
      <c r="S238" s="13">
        <v>108</v>
      </c>
      <c r="T238" s="13"/>
      <c r="U238" s="13" t="s">
        <v>457</v>
      </c>
      <c r="V238" s="26">
        <v>3.5999999999999997E-2</v>
      </c>
      <c r="W238" s="13">
        <f t="shared" si="83"/>
        <v>12959.999999999998</v>
      </c>
      <c r="X238" s="13">
        <f>12960</f>
        <v>12960</v>
      </c>
      <c r="Y238" s="13">
        <f>12960</f>
        <v>12960</v>
      </c>
      <c r="Z238" s="13">
        <v>0</v>
      </c>
      <c r="AA238" s="13">
        <f>108000+108000+35827+126898.7+60633.15</f>
        <v>439358.85000000003</v>
      </c>
      <c r="AB238" s="13">
        <f>251827+126898.7+60633.15</f>
        <v>439358.85000000003</v>
      </c>
      <c r="AC238" s="13">
        <f>108000+107000+35827</f>
        <v>250827</v>
      </c>
      <c r="AD238" s="13">
        <f>250827</f>
        <v>250827</v>
      </c>
      <c r="AE238" s="26">
        <f t="shared" si="70"/>
        <v>0.6967416666666667</v>
      </c>
      <c r="AF238" s="13">
        <f>39536.1+100000+99999+890</f>
        <v>240425.1</v>
      </c>
      <c r="AG238" s="13">
        <f>239535.1+890</f>
        <v>240425.1</v>
      </c>
      <c r="AH238" s="13">
        <f>43208.1+3672+100000+1218+99999</f>
        <v>248097.1</v>
      </c>
      <c r="AI238" s="13"/>
      <c r="AJ238" s="13">
        <f>890</f>
        <v>890</v>
      </c>
      <c r="AK238" s="13"/>
      <c r="AL238" s="13">
        <f>248097.1+890</f>
        <v>248987.1</v>
      </c>
      <c r="AM238" s="26">
        <v>3.4000000000000002E-2</v>
      </c>
      <c r="AN238" s="26">
        <f t="shared" si="71"/>
        <v>14938.200900000002</v>
      </c>
      <c r="AO238" s="13">
        <f>3672+3672+1218</f>
        <v>8562</v>
      </c>
      <c r="AP238" s="13">
        <f>8562</f>
        <v>8562</v>
      </c>
      <c r="AQ238" s="2">
        <f t="shared" si="74"/>
        <v>6376.2009000000016</v>
      </c>
      <c r="AR238" s="13"/>
      <c r="AS238" s="13"/>
      <c r="AT238" s="13"/>
    </row>
    <row r="239" spans="1:46" s="16" customFormat="1" x14ac:dyDescent="0.15">
      <c r="A239" s="36">
        <v>41588</v>
      </c>
      <c r="B239" s="2" t="s">
        <v>1881</v>
      </c>
      <c r="C239" s="11" t="s">
        <v>471</v>
      </c>
      <c r="D239" s="11" t="s">
        <v>474</v>
      </c>
      <c r="E239" s="11" t="s">
        <v>30</v>
      </c>
      <c r="F239" s="11" t="s">
        <v>475</v>
      </c>
      <c r="G239" s="11" t="s">
        <v>476</v>
      </c>
      <c r="H239" s="11" t="s">
        <v>477</v>
      </c>
      <c r="I239" s="11" t="s">
        <v>479</v>
      </c>
      <c r="J239" s="11" t="s">
        <v>248</v>
      </c>
      <c r="K239" s="11" t="s">
        <v>478</v>
      </c>
      <c r="L239" s="11"/>
      <c r="M239" s="11">
        <v>20420000</v>
      </c>
      <c r="N239" s="11"/>
      <c r="O239" s="11"/>
      <c r="P239" s="11"/>
      <c r="Q239" s="14" t="s">
        <v>480</v>
      </c>
      <c r="R239" s="43">
        <v>41604</v>
      </c>
      <c r="S239" s="11">
        <v>6126</v>
      </c>
      <c r="T239" s="11"/>
      <c r="U239" s="11" t="s">
        <v>7</v>
      </c>
      <c r="V239" s="15">
        <v>0.03</v>
      </c>
      <c r="W239" s="11">
        <f t="shared" si="83"/>
        <v>612600</v>
      </c>
      <c r="X239" s="11">
        <f>304982+197440+110178.5</f>
        <v>612600.5</v>
      </c>
      <c r="Y239" s="11">
        <f>612600.5</f>
        <v>612600.5</v>
      </c>
      <c r="Z239" s="11">
        <v>0</v>
      </c>
      <c r="AA239" s="11">
        <f>192567.45+3063000+4102272.91+1817346.1+2107050.5+1172949.32+1319715.41</f>
        <v>13774901.690000001</v>
      </c>
      <c r="AB239" s="11">
        <f>7357840.36+1817346.1+2107050.5+1172949.32+1319715.41</f>
        <v>13774901.690000001</v>
      </c>
      <c r="AC239" s="11">
        <f>3063000+192567.45+4102272.91+1817346.1+2107050.5+1172949.32</f>
        <v>12455186.280000001</v>
      </c>
      <c r="AD239" s="11">
        <f>7357840.36+1817346.1+2107050.5+1172949.32</f>
        <v>12455186.280000001</v>
      </c>
      <c r="AE239" s="15">
        <f t="shared" si="70"/>
        <v>0.60995035651322238</v>
      </c>
      <c r="AF239" s="11">
        <f>795510.11+302080+1800000+2902+17400+133706.8+1900+180000+3025621.29+124664+6000+216225.5+400000+89600+6100+17668.5+450000+300000+1009763.23+1193487.09+587722.2+4988+650000+309700+200000+15350.5+1242572.7</f>
        <v>13082961.919999998</v>
      </c>
      <c r="AG239" s="11">
        <f>7006009.7+89600+6100+17668.5+450000+300000+1009763.23+1193487.09+587722.2+4988+650000+309700+200000+15350.5+1242572.7</f>
        <v>13082961.919999998</v>
      </c>
      <c r="AH239" s="11">
        <f>795510.11+302080+1800000+17400+133706.8+1900+180000+3169927.92+124664+6000+216225.5+400000+89600+6100+30000+514697.52+300000+1009763.23+1193487.09+587722.2+4988+41756.09+650000+309700+200000+39599.89+46981.86+1242572.7</f>
        <v>13414382.909999998</v>
      </c>
      <c r="AI239" s="11">
        <f>121+626+4057</f>
        <v>4804</v>
      </c>
      <c r="AJ239" s="11">
        <f>956+16005.5+10649.5</f>
        <v>27611</v>
      </c>
      <c r="AK239" s="11">
        <f>1825+1037+644</f>
        <v>3506</v>
      </c>
      <c r="AL239" s="11">
        <f>7147414.33+121+956+1825+89600+6100+30000+17668.5+514697.52+300000+1009763.23+1193487.09+587722.2+4988+41756.09+650000+309700+200000+54950.39+46981.86+1242572.7</f>
        <v>13450303.909999998</v>
      </c>
      <c r="AM239" s="15">
        <v>3.56E-2</v>
      </c>
      <c r="AN239" s="15">
        <f t="shared" si="71"/>
        <v>490386.50016400003</v>
      </c>
      <c r="AO239" s="11">
        <f>326636.64+75011.01+41756.99+46981.86</f>
        <v>490386.5</v>
      </c>
      <c r="AP239" s="11">
        <f>326636.64+75011.01+41756.99+46981.86</f>
        <v>490386.5</v>
      </c>
      <c r="AQ239" s="6">
        <f t="shared" si="74"/>
        <v>1.6400002641603351E-4</v>
      </c>
      <c r="AR239" s="11"/>
      <c r="AS239" s="11"/>
      <c r="AT239" s="11"/>
    </row>
    <row r="240" spans="1:46" s="16" customFormat="1" x14ac:dyDescent="0.15">
      <c r="A240" s="36">
        <v>41532</v>
      </c>
      <c r="B240" s="2" t="s">
        <v>1882</v>
      </c>
      <c r="C240" s="11" t="s">
        <v>472</v>
      </c>
      <c r="D240" s="11" t="s">
        <v>481</v>
      </c>
      <c r="E240" s="11" t="s">
        <v>30</v>
      </c>
      <c r="F240" s="11" t="s">
        <v>482</v>
      </c>
      <c r="G240" s="11" t="s">
        <v>476</v>
      </c>
      <c r="H240" s="11" t="s">
        <v>246</v>
      </c>
      <c r="I240" s="11" t="s">
        <v>479</v>
      </c>
      <c r="J240" s="11" t="s">
        <v>248</v>
      </c>
      <c r="K240" s="11" t="s">
        <v>5</v>
      </c>
      <c r="L240" s="11"/>
      <c r="M240" s="11">
        <v>26077738.800000001</v>
      </c>
      <c r="N240" s="11"/>
      <c r="O240" s="11"/>
      <c r="P240" s="11"/>
      <c r="Q240" s="14" t="s">
        <v>483</v>
      </c>
      <c r="R240" s="43">
        <v>41604</v>
      </c>
      <c r="S240" s="11">
        <v>7824</v>
      </c>
      <c r="T240" s="11"/>
      <c r="U240" s="11" t="s">
        <v>7</v>
      </c>
      <c r="V240" s="15">
        <v>0.03</v>
      </c>
      <c r="W240" s="11">
        <f t="shared" si="83"/>
        <v>782332.16399999999</v>
      </c>
      <c r="X240" s="11">
        <f>6047+315350.5</f>
        <v>321397.5</v>
      </c>
      <c r="Y240" s="11">
        <f>6047+315350.5</f>
        <v>321397.5</v>
      </c>
      <c r="Z240" s="11">
        <f>W240-Y240</f>
        <v>460934.66399999999</v>
      </c>
      <c r="AA240" s="11">
        <f>436932.03+332451.14+342973.34+181059.07</f>
        <v>1293415.58</v>
      </c>
      <c r="AB240" s="11">
        <f>436932.03+332451.14+342973.34+181059.07</f>
        <v>1293415.58</v>
      </c>
      <c r="AC240" s="11">
        <f>436932.03+342973.34+332451.14</f>
        <v>1112356.5100000002</v>
      </c>
      <c r="AD240" s="11">
        <f>436932.03+332451.14+342973.34</f>
        <v>1112356.51</v>
      </c>
      <c r="AE240" s="15">
        <f t="shared" si="70"/>
        <v>4.2655405000068494E-2</v>
      </c>
      <c r="AF240" s="11">
        <f>602410+50000+294547.79</f>
        <v>946957.79</v>
      </c>
      <c r="AG240" s="11">
        <f>602410+50000+294547.79</f>
        <v>946957.79</v>
      </c>
      <c r="AH240" s="11">
        <f>602410+50000+294547.79+6445.7</f>
        <v>953403.49</v>
      </c>
      <c r="AI240" s="11"/>
      <c r="AJ240" s="11"/>
      <c r="AK240" s="11"/>
      <c r="AL240" s="11">
        <f>602410+50000+294547.79+6445.7</f>
        <v>953403.49</v>
      </c>
      <c r="AM240" s="15">
        <v>3.56E-2</v>
      </c>
      <c r="AN240" s="15">
        <f t="shared" ref="AN240:AN241" si="85">AM240*AB240</f>
        <v>46045.594648000006</v>
      </c>
      <c r="AO240" s="11">
        <f>15554.78+11835.26+12209.85+6445.7</f>
        <v>46045.59</v>
      </c>
      <c r="AP240" s="11">
        <f>15554.78+11835.26+12209.85+6445.7</f>
        <v>46045.59</v>
      </c>
      <c r="AQ240" s="6">
        <f t="shared" si="74"/>
        <v>4.6480000091833062E-3</v>
      </c>
      <c r="AR240" s="11"/>
      <c r="AS240" s="11">
        <v>180</v>
      </c>
      <c r="AT240" s="11" t="s">
        <v>484</v>
      </c>
    </row>
    <row r="241" spans="1:46" s="16" customFormat="1" x14ac:dyDescent="0.15">
      <c r="A241" s="36">
        <v>41535</v>
      </c>
      <c r="B241" s="2" t="s">
        <v>1883</v>
      </c>
      <c r="C241" s="11" t="s">
        <v>473</v>
      </c>
      <c r="D241" s="11" t="s">
        <v>485</v>
      </c>
      <c r="E241" s="11" t="s">
        <v>30</v>
      </c>
      <c r="F241" s="11" t="s">
        <v>486</v>
      </c>
      <c r="G241" s="11" t="s">
        <v>487</v>
      </c>
      <c r="H241" s="11" t="s">
        <v>488</v>
      </c>
      <c r="I241" s="6" t="s">
        <v>115</v>
      </c>
      <c r="J241" s="6" t="s">
        <v>116</v>
      </c>
      <c r="K241" s="6" t="s">
        <v>40</v>
      </c>
      <c r="L241" s="11"/>
      <c r="M241" s="11">
        <v>937580</v>
      </c>
      <c r="N241" s="11"/>
      <c r="O241" s="11"/>
      <c r="P241" s="11"/>
      <c r="Q241" s="14" t="s">
        <v>489</v>
      </c>
      <c r="R241" s="43">
        <v>41547</v>
      </c>
      <c r="S241" s="11">
        <v>282</v>
      </c>
      <c r="T241" s="11"/>
      <c r="U241" s="11" t="s">
        <v>7</v>
      </c>
      <c r="V241" s="15">
        <v>3.5999999999999997E-2</v>
      </c>
      <c r="W241" s="11">
        <f t="shared" si="83"/>
        <v>33752.879999999997</v>
      </c>
      <c r="X241" s="11">
        <f>33753</f>
        <v>33753</v>
      </c>
      <c r="Y241" s="11">
        <f>33753</f>
        <v>33753</v>
      </c>
      <c r="Z241" s="11">
        <v>0</v>
      </c>
      <c r="AA241" s="11">
        <f>281274+177032+131261.2+80000</f>
        <v>669567.19999999995</v>
      </c>
      <c r="AB241" s="11">
        <f>589567.2+80000</f>
        <v>669567.19999999995</v>
      </c>
      <c r="AC241" s="11">
        <f>281274+177032+131261.2</f>
        <v>589567.19999999995</v>
      </c>
      <c r="AD241" s="11">
        <f>589567.2</f>
        <v>589567.19999999995</v>
      </c>
      <c r="AE241" s="15">
        <f t="shared" si="70"/>
        <v>0.62881802086221972</v>
      </c>
      <c r="AF241" s="11">
        <f>200000+50000+12960+100000+200000</f>
        <v>562960</v>
      </c>
      <c r="AG241" s="11">
        <f>562960</f>
        <v>562960</v>
      </c>
      <c r="AH241" s="11">
        <f>9563+200000+50000+12960+106019+204463</f>
        <v>583005</v>
      </c>
      <c r="AI241" s="11"/>
      <c r="AJ241" s="11"/>
      <c r="AK241" s="11"/>
      <c r="AL241" s="11">
        <f>583005</f>
        <v>583005</v>
      </c>
      <c r="AM241" s="15">
        <v>3.4000000000000002E-2</v>
      </c>
      <c r="AN241" s="15">
        <f t="shared" si="85"/>
        <v>22765.284800000001</v>
      </c>
      <c r="AO241" s="11">
        <f>9563+6019+4463</f>
        <v>20045</v>
      </c>
      <c r="AP241" s="11">
        <f>20045</f>
        <v>20045</v>
      </c>
      <c r="AQ241" s="6">
        <f t="shared" si="74"/>
        <v>2720.2848000000013</v>
      </c>
      <c r="AR241" s="11"/>
      <c r="AS241" s="11"/>
      <c r="AT241" s="11"/>
    </row>
    <row r="242" spans="1:46" s="20" customFormat="1" x14ac:dyDescent="0.15">
      <c r="A242" s="37">
        <v>41557</v>
      </c>
      <c r="B242" s="2" t="s">
        <v>1884</v>
      </c>
      <c r="C242" s="17" t="s">
        <v>27</v>
      </c>
      <c r="D242" s="17" t="s">
        <v>45</v>
      </c>
      <c r="E242" s="17" t="s">
        <v>30</v>
      </c>
      <c r="F242" s="17" t="s">
        <v>31</v>
      </c>
      <c r="G242" s="17" t="s">
        <v>32</v>
      </c>
      <c r="H242" s="17" t="s">
        <v>33</v>
      </c>
      <c r="I242" s="17" t="s">
        <v>34</v>
      </c>
      <c r="J242" s="17" t="s">
        <v>937</v>
      </c>
      <c r="K242" s="17" t="s">
        <v>35</v>
      </c>
      <c r="L242" s="17"/>
      <c r="M242" s="17">
        <v>7763574.6600000001</v>
      </c>
      <c r="N242" s="17"/>
      <c r="O242" s="17"/>
      <c r="P242" s="17"/>
      <c r="Q242" s="18" t="s">
        <v>28</v>
      </c>
      <c r="R242" s="44">
        <v>41627</v>
      </c>
      <c r="S242" s="17">
        <v>2330</v>
      </c>
      <c r="T242" s="17"/>
      <c r="U242" s="17" t="s">
        <v>7</v>
      </c>
      <c r="V242" s="19">
        <v>0.03</v>
      </c>
      <c r="W242" s="17">
        <f t="shared" ref="W242:W258" si="86">M242*V242</f>
        <v>232907.23980000001</v>
      </c>
      <c r="X242" s="17">
        <f>92979+100000+15976+11975</f>
        <v>220930</v>
      </c>
      <c r="Y242" s="17">
        <f>92979+100000+15976+11975</f>
        <v>220930</v>
      </c>
      <c r="Z242" s="17">
        <f>W242-Y242</f>
        <v>11977.23980000001</v>
      </c>
      <c r="AA242" s="17">
        <f>408855+453122+775336+772266+1014198+1482456+865169</f>
        <v>5771402</v>
      </c>
      <c r="AB242" s="17">
        <f>4906233+865169</f>
        <v>5771402</v>
      </c>
      <c r="AC242" s="17">
        <f>408855+453122+775336+772266+1014098+1482456</f>
        <v>4906133</v>
      </c>
      <c r="AD242" s="17">
        <f>3423677+1482456</f>
        <v>4906133</v>
      </c>
      <c r="AE242" s="19">
        <f t="shared" si="70"/>
        <v>0.63194252839194054</v>
      </c>
      <c r="AF242" s="17">
        <f>179000+200000+277980.9+99990+50000+324272.32+341762+48000+4953+146314.53+423799+30000+701290+100000+18240+299874.5+12941+2228.94+3000+300000+399815+147840.62+24008.3+170000+300889+26000+30000+25889.7+3155+12431+150000+42973.1+5815</f>
        <v>4902462.9099999992</v>
      </c>
      <c r="AG242" s="17">
        <f>3258417.25+2228.94+3000+300000+399815+147840.62+24008.3+170000+300889+26000+30000+25889.7+3155+12431+150000+42973.1+5815</f>
        <v>4902462.9099999992</v>
      </c>
      <c r="AH242" s="17">
        <f>179000+213492.21+292933.92+99990+50000+324272.32+368123+48000+10000+4953+5100+20000+207054.53+423799+30000+701290+100000+18240+299874.5+12941+2228.94+3000+348921.04+399815+147840.62+24008.3+170000+300889+26000+30000+25889.7+3155+150000+40143.1+5815</f>
        <v>5086769.18</v>
      </c>
      <c r="AI242" s="17">
        <f>3838</f>
        <v>3838</v>
      </c>
      <c r="AJ242" s="17">
        <f>5910+2830</f>
        <v>8740</v>
      </c>
      <c r="AK242" s="17">
        <f>2683</f>
        <v>2683</v>
      </c>
      <c r="AL242" s="17">
        <f>3409063.48+2228.94+3000+348921.04+399815+147840.62+24008.3+170000+300889+26000+30000+25889.7+3155+12431+150000+42973.1+5815</f>
        <v>5102030.18</v>
      </c>
      <c r="AM242" s="19">
        <v>3.5000000000000003E-2</v>
      </c>
      <c r="AN242" s="19">
        <f t="shared" ref="AN242:AN250" si="87">AM242*AB242</f>
        <v>201999.07</v>
      </c>
      <c r="AO242" s="17">
        <f>26361+26257+34483+30280.91</f>
        <v>117381.91</v>
      </c>
      <c r="AP242" s="17">
        <f>87101+30280.91</f>
        <v>117381.91</v>
      </c>
      <c r="AQ242" s="6"/>
      <c r="AR242" s="17"/>
      <c r="AS242" s="17">
        <v>100</v>
      </c>
      <c r="AT242" s="17" t="s">
        <v>29</v>
      </c>
    </row>
    <row r="243" spans="1:46" s="16" customFormat="1" x14ac:dyDescent="0.15">
      <c r="A243" s="36">
        <v>41562</v>
      </c>
      <c r="B243" s="2" t="s">
        <v>1885</v>
      </c>
      <c r="C243" s="11" t="s">
        <v>142</v>
      </c>
      <c r="D243" s="11" t="s">
        <v>143</v>
      </c>
      <c r="E243" s="11" t="s">
        <v>144</v>
      </c>
      <c r="F243" s="11" t="s">
        <v>145</v>
      </c>
      <c r="G243" s="11" t="s">
        <v>146</v>
      </c>
      <c r="H243" s="11" t="s">
        <v>147</v>
      </c>
      <c r="I243" s="11" t="s">
        <v>148</v>
      </c>
      <c r="J243" s="11" t="s">
        <v>150</v>
      </c>
      <c r="K243" s="11" t="s">
        <v>149</v>
      </c>
      <c r="L243" s="11"/>
      <c r="M243" s="11">
        <f>13700792.69-2000000</f>
        <v>11700792.689999999</v>
      </c>
      <c r="N243" s="11"/>
      <c r="O243" s="11"/>
      <c r="P243" s="11"/>
      <c r="Q243" s="14" t="s">
        <v>151</v>
      </c>
      <c r="R243" s="43">
        <v>41782</v>
      </c>
      <c r="S243" s="11">
        <v>4111</v>
      </c>
      <c r="T243" s="11"/>
      <c r="U243" s="11" t="s">
        <v>7</v>
      </c>
      <c r="V243" s="15">
        <v>0.03</v>
      </c>
      <c r="W243" s="11">
        <f t="shared" si="86"/>
        <v>351023.78069999994</v>
      </c>
      <c r="X243" s="11">
        <v>351024</v>
      </c>
      <c r="Y243" s="11">
        <v>351024</v>
      </c>
      <c r="Z243" s="11">
        <v>0</v>
      </c>
      <c r="AA243" s="11">
        <f>3534362+2340159</f>
        <v>5874521</v>
      </c>
      <c r="AB243" s="11">
        <f>5874521</f>
        <v>5874521</v>
      </c>
      <c r="AC243" s="11">
        <f>3534362+2340159</f>
        <v>5874521</v>
      </c>
      <c r="AD243" s="11">
        <f>5874521</f>
        <v>5874521</v>
      </c>
      <c r="AE243" s="15">
        <f t="shared" si="70"/>
        <v>0.50206179663542094</v>
      </c>
      <c r="AF243" s="11">
        <f>334120.37+4071+32100+468239.8+604970+50000+1535324.89+54300+429990+699999.85+50517+250000+149990+44900+306227.22+100000+100000+25000+160000+2400+41524.9+31701</f>
        <v>5475376.0299999993</v>
      </c>
      <c r="AG243" s="11">
        <f>5402150.13+41524.9+31701</f>
        <v>5475376.0300000003</v>
      </c>
      <c r="AH243" s="11">
        <f>454288.37+4071+32100+468239.8+604970+50000+1535324.89+50000+180000+79565+11000+429990+699999.85+50517+250000+159990+44900+306227.22+100000+100000+25000+160000+2400+1500+41524.9+14200</f>
        <v>5855808.0299999993</v>
      </c>
      <c r="AI243" s="11"/>
      <c r="AJ243" s="11"/>
      <c r="AK243" s="11">
        <f>17501</f>
        <v>17501</v>
      </c>
      <c r="AL243" s="11">
        <f>5800083.13+41524.9+31701</f>
        <v>5873309.0300000003</v>
      </c>
      <c r="AM243" s="15">
        <v>3.4000000000000002E-2</v>
      </c>
      <c r="AN243" s="15">
        <f t="shared" si="87"/>
        <v>199733.71400000001</v>
      </c>
      <c r="AO243" s="11">
        <f>120168+79565</f>
        <v>199733</v>
      </c>
      <c r="AP243" s="11">
        <f>199733</f>
        <v>199733</v>
      </c>
      <c r="AQ243" s="6">
        <f t="shared" ref="AQ243:AQ287" si="88">AN243-AP243</f>
        <v>0.71400000000721775</v>
      </c>
      <c r="AR243" s="11"/>
      <c r="AS243" s="11">
        <v>85</v>
      </c>
      <c r="AT243" s="11" t="s">
        <v>152</v>
      </c>
    </row>
    <row r="244" spans="1:46" s="16" customFormat="1" x14ac:dyDescent="0.15">
      <c r="A244" s="36">
        <v>41566</v>
      </c>
      <c r="B244" s="2" t="s">
        <v>1886</v>
      </c>
      <c r="C244" s="11" t="s">
        <v>490</v>
      </c>
      <c r="D244" s="11" t="s">
        <v>491</v>
      </c>
      <c r="E244" s="11" t="s">
        <v>144</v>
      </c>
      <c r="F244" s="11" t="s">
        <v>492</v>
      </c>
      <c r="G244" s="11" t="s">
        <v>487</v>
      </c>
      <c r="H244" s="11" t="s">
        <v>493</v>
      </c>
      <c r="I244" s="6" t="s">
        <v>23</v>
      </c>
      <c r="J244" s="6" t="s">
        <v>22</v>
      </c>
      <c r="K244" s="6" t="s">
        <v>13</v>
      </c>
      <c r="L244" s="11"/>
      <c r="M244" s="11">
        <v>3443591.39</v>
      </c>
      <c r="N244" s="11"/>
      <c r="O244" s="11"/>
      <c r="P244" s="11"/>
      <c r="Q244" s="14" t="s">
        <v>494</v>
      </c>
      <c r="R244" s="43">
        <v>41736</v>
      </c>
      <c r="S244" s="11">
        <v>1034</v>
      </c>
      <c r="T244" s="11"/>
      <c r="U244" s="11" t="s">
        <v>7</v>
      </c>
      <c r="V244" s="15">
        <v>3.5999999999999997E-2</v>
      </c>
      <c r="W244" s="11">
        <f t="shared" si="86"/>
        <v>123969.29003999999</v>
      </c>
      <c r="X244" s="11">
        <f>103969+20000</f>
        <v>123969</v>
      </c>
      <c r="Y244" s="11">
        <f>123969</f>
        <v>123969</v>
      </c>
      <c r="Z244" s="11">
        <v>0</v>
      </c>
      <c r="AA244" s="11">
        <f>688718+200000+833077.42+200000+500000+200000+200000+400000</f>
        <v>3221795.42</v>
      </c>
      <c r="AB244" s="11">
        <f>2421795.42+200000+200000+400000</f>
        <v>3221795.42</v>
      </c>
      <c r="AC244" s="11">
        <f>688718+150000+50000+833077.42+200000+500000+200000+100000+100000+400000</f>
        <v>3221795.42</v>
      </c>
      <c r="AD244" s="11">
        <f>2421795.42+200000+100000+100000+400000</f>
        <v>3221795.42</v>
      </c>
      <c r="AE244" s="15">
        <f t="shared" si="70"/>
        <v>0.93559167018361022</v>
      </c>
      <c r="AF244" s="11">
        <f>300337.98+153796.6+14887+150000+5613+150000+80000+570000+180000+30000+170740+450000+52500+5000+13000+28040+70000+25000+150000+14000+7215+453846.04</f>
        <v>3073975.62</v>
      </c>
      <c r="AG244" s="11">
        <f>2312874.58+13000+28040+70000+25000+150000+14000+7215+453846.04</f>
        <v>3073975.62</v>
      </c>
      <c r="AH244" s="11">
        <f>323753.98+153796.6+14887+15328.81+150000+6800+150000+40000+28325+570000+180000+36800+170740+17000+450000+52500+19800+28040+6800+70000+25000+150000+13600+453846.04</f>
        <v>3127017.4299999997</v>
      </c>
      <c r="AI244" s="11"/>
      <c r="AJ244" s="11">
        <f>6800+7215</f>
        <v>14015</v>
      </c>
      <c r="AK244" s="11">
        <f>5613+5000+7200</f>
        <v>17813</v>
      </c>
      <c r="AL244" s="11">
        <f>2359931.39+10613+19800+28040+6800+70000+25000+150000+13600+14000+7215+453846.04</f>
        <v>3158845.43</v>
      </c>
      <c r="AM244" s="15">
        <v>3.4000000000000002E-2</v>
      </c>
      <c r="AN244" s="15">
        <f t="shared" si="87"/>
        <v>109541.04428</v>
      </c>
      <c r="AO244" s="11">
        <f>23416+6800+28325+6800+17000+6800+6800+13600</f>
        <v>109541</v>
      </c>
      <c r="AP244" s="11">
        <f>82341+6800+6800+13600</f>
        <v>109541</v>
      </c>
      <c r="AQ244" s="6">
        <f t="shared" si="88"/>
        <v>4.4280000001890585E-2</v>
      </c>
      <c r="AR244" s="11"/>
      <c r="AS244" s="11">
        <v>52</v>
      </c>
      <c r="AT244" s="11" t="s">
        <v>495</v>
      </c>
    </row>
    <row r="245" spans="1:46" s="9" customFormat="1" x14ac:dyDescent="0.15">
      <c r="A245" s="35">
        <v>41552</v>
      </c>
      <c r="B245" s="2" t="s">
        <v>1887</v>
      </c>
      <c r="C245" s="6" t="s">
        <v>49</v>
      </c>
      <c r="D245" s="6" t="s">
        <v>50</v>
      </c>
      <c r="E245" s="6" t="s">
        <v>0</v>
      </c>
      <c r="F245" s="6" t="s">
        <v>51</v>
      </c>
      <c r="G245" s="6" t="s">
        <v>52</v>
      </c>
      <c r="H245" s="6" t="s">
        <v>53</v>
      </c>
      <c r="I245" s="6" t="s">
        <v>54</v>
      </c>
      <c r="J245" s="6" t="s">
        <v>57</v>
      </c>
      <c r="K245" s="6" t="s">
        <v>40</v>
      </c>
      <c r="L245" s="6"/>
      <c r="M245" s="6">
        <v>14920000</v>
      </c>
      <c r="N245" s="6">
        <f>28090783.74+23448433.68+1649187.29</f>
        <v>53188404.710000001</v>
      </c>
      <c r="O245" s="6"/>
      <c r="P245" s="6"/>
      <c r="Q245" s="7" t="s">
        <v>55</v>
      </c>
      <c r="R245" s="42">
        <v>41739</v>
      </c>
      <c r="S245" s="6">
        <v>4476</v>
      </c>
      <c r="T245" s="6"/>
      <c r="U245" s="6" t="s">
        <v>7</v>
      </c>
      <c r="V245" s="8">
        <v>2.5000000000000001E-2</v>
      </c>
      <c r="W245" s="6">
        <f t="shared" ref="W245:W254" si="89">(M245+N245)*V245</f>
        <v>1702710.1177500002</v>
      </c>
      <c r="X245" s="6">
        <f>3347+300000+300000+500000+108632+163290.89</f>
        <v>1375269.8900000001</v>
      </c>
      <c r="Y245" s="6">
        <f>1103347+108632+163290.89</f>
        <v>1375269.8900000001</v>
      </c>
      <c r="Z245" s="6">
        <f>W245-Y245</f>
        <v>327440.22775000008</v>
      </c>
      <c r="AA245" s="6">
        <f>2984000+4016000+8000000+11795982.62</f>
        <v>26795982.619999997</v>
      </c>
      <c r="AB245" s="6">
        <f>15000000+11795982.62</f>
        <v>26795982.619999997</v>
      </c>
      <c r="AC245" s="6">
        <f>5400000+1600000+7978500+5000000+3000000</f>
        <v>22978500</v>
      </c>
      <c r="AD245" s="6">
        <f>14978500+5000000+3000000</f>
        <v>22978500</v>
      </c>
      <c r="AE245" s="8">
        <f t="shared" si="70"/>
        <v>0.33738126884399311</v>
      </c>
      <c r="AF245" s="6">
        <f>2799840+1011505+306677.36+100000+200000+500000+400000+3399384.4+100000+500000+300000+800000+100000+1169995.8+99600+499599+229977+1400000+2012328.5+500000+1049995+163290.89+103918.08+897000+400000+300764.82+153672.06</f>
        <v>19497547.91</v>
      </c>
      <c r="AG245" s="6">
        <f>11787002.56+499599+229977+1400000+2012328.5+500000+1049995+163290.89+103918.08+897000+400000+300764.82+153672.06</f>
        <v>19497547.91</v>
      </c>
      <c r="AH245" s="6">
        <f>2837840-2+1011505+306677.36+100000+200000+500000+400000+3671384.4+100000+500000+300000+800000+100000+1169995.8+99600+499599+229977+1801063+2012328.5+500000+1049995+103918.08+897000+400000+300764.82+133848.56</f>
        <v>20025494.52</v>
      </c>
      <c r="AI245" s="6">
        <f>50774.74+5111</f>
        <v>55885.74</v>
      </c>
      <c r="AJ245" s="6">
        <f>16429.25+797.5</f>
        <v>17226.75</v>
      </c>
      <c r="AK245" s="6">
        <f>96086.9+13915</f>
        <v>110001.9</v>
      </c>
      <c r="AL245" s="6">
        <f>12097000.56+499599+229977+1801063+2012328.5+500000+1049995+163290.89+103918.08+897000+400000+300764.82+153672.06</f>
        <v>20208608.91</v>
      </c>
      <c r="AM245" s="8">
        <v>3.4000000000000002E-2</v>
      </c>
      <c r="AN245" s="8">
        <f t="shared" si="87"/>
        <v>911063.40908000001</v>
      </c>
      <c r="AO245" s="6">
        <f>101456+136544+272000+401063</f>
        <v>911063</v>
      </c>
      <c r="AP245" s="6">
        <f>510000+401063</f>
        <v>911063</v>
      </c>
      <c r="AQ245" s="6">
        <f t="shared" si="88"/>
        <v>0.4090800000121817</v>
      </c>
      <c r="AR245" s="6"/>
      <c r="AS245" s="6">
        <v>210</v>
      </c>
      <c r="AT245" s="6" t="s">
        <v>56</v>
      </c>
    </row>
    <row r="246" spans="1:46" s="9" customFormat="1" x14ac:dyDescent="0.15">
      <c r="A246" s="35">
        <v>41562</v>
      </c>
      <c r="B246" s="2" t="s">
        <v>1888</v>
      </c>
      <c r="C246" s="6" t="s">
        <v>58</v>
      </c>
      <c r="D246" s="6" t="s">
        <v>59</v>
      </c>
      <c r="E246" s="6" t="s">
        <v>0</v>
      </c>
      <c r="F246" s="6" t="s">
        <v>60</v>
      </c>
      <c r="G246" s="6" t="s">
        <v>52</v>
      </c>
      <c r="H246" s="6" t="s">
        <v>61</v>
      </c>
      <c r="I246" s="6" t="s">
        <v>62</v>
      </c>
      <c r="J246" s="6" t="s">
        <v>63</v>
      </c>
      <c r="K246" s="6" t="s">
        <v>64</v>
      </c>
      <c r="L246" s="6"/>
      <c r="M246" s="6">
        <v>126591039.39</v>
      </c>
      <c r="N246" s="6"/>
      <c r="O246" s="6"/>
      <c r="P246" s="6"/>
      <c r="Q246" s="7"/>
      <c r="R246" s="42"/>
      <c r="S246" s="6"/>
      <c r="T246" s="6"/>
      <c r="U246" s="6" t="s">
        <v>7</v>
      </c>
      <c r="V246" s="8">
        <v>0.02</v>
      </c>
      <c r="W246" s="6">
        <f t="shared" si="89"/>
        <v>2531820.7878</v>
      </c>
      <c r="X246" s="6">
        <f>1339360.2+703496.86+39149.8+235277+150000+24261.3+40276</f>
        <v>2531821.16</v>
      </c>
      <c r="Y246" s="6">
        <f>2317283.86+150000+24261.3+40276</f>
        <v>2531821.1599999997</v>
      </c>
      <c r="Z246" s="6">
        <f>W246-Y246</f>
        <v>-0.37219999963417649</v>
      </c>
      <c r="AA246" s="6">
        <f>32318003.98+7487579.48+599890+2762001+13667033+11201326+8494049</f>
        <v>76529882.460000008</v>
      </c>
      <c r="AB246" s="6">
        <f>43167474.46+13667033+11201326+8494049</f>
        <v>76529882.460000008</v>
      </c>
      <c r="AC246" s="6">
        <f>20000000+10000000+2318003.98+2762001+3000000+3000000+2087469+4000000+5000000+4667033+5000000+6201326</f>
        <v>68035832.980000004</v>
      </c>
      <c r="AD246" s="6">
        <f>43167473.98+4000000+5000000+4667033+5000000+6201326</f>
        <v>68035832.979999989</v>
      </c>
      <c r="AE246" s="8">
        <f t="shared" si="70"/>
        <v>0.53744588327769482</v>
      </c>
      <c r="AF246" s="6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+278871+994543.61+572548.86+228865+28687.4+1444761.8+96117.3+526839.54+2100447.29+1852663.62+789411.18+148035.6+5570000+338584.68+1537251.56+4811840+335748.43+1915883.8+113608+586410.91+1768821+20000+5100+32279</f>
        <v>62106885.219999969</v>
      </c>
      <c r="AG246" s="6">
        <f>35872585.2+136980.44+278871+994543.61+572548.86+228865+28687.4+1444761.8+96117.3+526839.54+2100447.29+1852663.62+789411.18+148035.6+5570000+338584.68+1537251.56+4811840+335748.43+1915883.8+113608+586410.91+1768821+20000+5100+32279</f>
        <v>62106885.219999984</v>
      </c>
      <c r="AH246" s="6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+278871+994543.61+531648.86+228865+1444761.8+96117.3+526839.54+2100447.29+318163.76+1800191.5+789411.18+148035.6+5570000+338584.68+1537251.56+4811840+335748.43+1893749+113608+586410.91+1750261+20000+32279</f>
        <v>67155219.889999986</v>
      </c>
      <c r="AI246" s="6">
        <f>3101+2577+1474</f>
        <v>7152</v>
      </c>
      <c r="AJ246" s="6">
        <f>40970.12+5100</f>
        <v>46070.12</v>
      </c>
      <c r="AK246" s="6">
        <f>40900+25586.4+8925+20660.8+18560</f>
        <v>114632.2</v>
      </c>
      <c r="AL246" s="6">
        <f>40358769.34+136980.44+411841.09+278871+994543.61+531648.86+40900+228865+28687.4+1444761.8+96117.3+526839.54+2100447.29+318163.76+1800191.5+52472.12+789411.18+148035.6+5570000+338584.68+1537251.56+4811840+335748.43+1915883.8+113608+586410.91+1768821+20000+5100+32279</f>
        <v>67323074.209999979</v>
      </c>
      <c r="AM246" s="8">
        <v>3.3599999999999998E-2</v>
      </c>
      <c r="AN246" s="8">
        <f t="shared" si="87"/>
        <v>2571404.0506560002</v>
      </c>
      <c r="AO246" s="6">
        <f>2286004+238393.61</f>
        <v>2524397.61</v>
      </c>
      <c r="AP246" s="6">
        <f>2286004+238393.61</f>
        <v>2524397.61</v>
      </c>
      <c r="AQ246" s="6"/>
      <c r="AR246" s="6"/>
      <c r="AS246" s="6">
        <v>530</v>
      </c>
      <c r="AT246" s="6" t="s">
        <v>56</v>
      </c>
    </row>
    <row r="247" spans="1:46" s="9" customFormat="1" x14ac:dyDescent="0.15">
      <c r="A247" s="35">
        <v>41565</v>
      </c>
      <c r="B247" s="2" t="s">
        <v>1889</v>
      </c>
      <c r="C247" s="6" t="s">
        <v>104</v>
      </c>
      <c r="D247" s="6" t="s">
        <v>105</v>
      </c>
      <c r="E247" s="6" t="s">
        <v>0</v>
      </c>
      <c r="F247" s="6" t="s">
        <v>106</v>
      </c>
      <c r="G247" s="6" t="s">
        <v>107</v>
      </c>
      <c r="H247" s="6" t="s">
        <v>108</v>
      </c>
      <c r="I247" s="6" t="s">
        <v>109</v>
      </c>
      <c r="J247" s="6" t="s">
        <v>108</v>
      </c>
      <c r="K247" s="6" t="s">
        <v>95</v>
      </c>
      <c r="L247" s="6"/>
      <c r="M247" s="6">
        <v>5992383</v>
      </c>
      <c r="N247" s="6">
        <f>672621</f>
        <v>672621</v>
      </c>
      <c r="O247" s="6"/>
      <c r="P247" s="6"/>
      <c r="Q247" s="7"/>
      <c r="R247" s="42"/>
      <c r="S247" s="6"/>
      <c r="T247" s="6"/>
      <c r="U247" s="6" t="s">
        <v>7</v>
      </c>
      <c r="V247" s="8">
        <v>0.03</v>
      </c>
      <c r="W247" s="6">
        <f t="shared" si="89"/>
        <v>199950.12</v>
      </c>
      <c r="X247" s="6">
        <f>54370+75401+50000+20179</f>
        <v>199950</v>
      </c>
      <c r="Y247" s="6">
        <f>129771+50000+20179</f>
        <v>199950</v>
      </c>
      <c r="Z247" s="6">
        <f>W247-Y247</f>
        <v>0.11999999999534339</v>
      </c>
      <c r="AA247" s="6">
        <f>599238.3+1153533.7+2441896+599238+671147.3</f>
        <v>5465053.2999999998</v>
      </c>
      <c r="AB247" s="6">
        <f>4194668+599238+671147.3</f>
        <v>5465053.2999999998</v>
      </c>
      <c r="AC247" s="6">
        <f>599238.3+1153533.7+2441896+599238+571147.3</f>
        <v>5365053.3</v>
      </c>
      <c r="AD247" s="6">
        <f>4194668+599238+571147.3</f>
        <v>5365053.3</v>
      </c>
      <c r="AE247" s="8">
        <f t="shared" si="70"/>
        <v>0.80495875171267717</v>
      </c>
      <c r="AF247" s="6">
        <f>9000+432000+455000+233980+150000+40000+233980+759450+999900+199980+30000+100000+200000+500000+80000+70000</f>
        <v>4493290</v>
      </c>
      <c r="AG247" s="6">
        <f>3313310+199980+30000+100000+200000+500000+80000+70000</f>
        <v>4493290</v>
      </c>
      <c r="AH247" s="6">
        <f>129314.17+432000+494104.79+233980+150000+60000+40000+233980+842230.28+999900+199980+30000+100000+200000+500000+80000+47512.41+70000</f>
        <v>4843001.6500000004</v>
      </c>
      <c r="AI247" s="6"/>
      <c r="AJ247" s="6"/>
      <c r="AK247" s="6"/>
      <c r="AL247" s="6">
        <f>3615509.24+199980+30000+100000+200000+500000+80000+47512.41+70000</f>
        <v>4843001.6500000004</v>
      </c>
      <c r="AM247" s="8">
        <v>3.7400000000000003E-2</v>
      </c>
      <c r="AN247" s="8">
        <f t="shared" si="87"/>
        <v>204392.99342000001</v>
      </c>
      <c r="AO247" s="6">
        <f>22411.5+156880.58+25100.91</f>
        <v>204392.99</v>
      </c>
      <c r="AP247" s="6">
        <f>22411.5+156880.58+25100.91</f>
        <v>204392.99</v>
      </c>
      <c r="AQ247" s="6">
        <f t="shared" si="88"/>
        <v>3.4200000227428973E-3</v>
      </c>
      <c r="AR247" s="6"/>
      <c r="AS247" s="6">
        <v>66</v>
      </c>
      <c r="AT247" s="6" t="s">
        <v>56</v>
      </c>
    </row>
    <row r="248" spans="1:46" s="9" customFormat="1" x14ac:dyDescent="0.15">
      <c r="A248" s="35">
        <v>41579</v>
      </c>
      <c r="B248" s="2" t="s">
        <v>1890</v>
      </c>
      <c r="C248" s="6" t="s">
        <v>496</v>
      </c>
      <c r="D248" s="6" t="s">
        <v>497</v>
      </c>
      <c r="E248" s="6" t="s">
        <v>0</v>
      </c>
      <c r="F248" s="6" t="s">
        <v>498</v>
      </c>
      <c r="G248" s="6" t="s">
        <v>487</v>
      </c>
      <c r="H248" s="6" t="s">
        <v>499</v>
      </c>
      <c r="I248" s="6" t="s">
        <v>101</v>
      </c>
      <c r="J248" s="6" t="s">
        <v>102</v>
      </c>
      <c r="K248" s="6" t="s">
        <v>173</v>
      </c>
      <c r="L248" s="6"/>
      <c r="M248" s="6">
        <v>3117195.98</v>
      </c>
      <c r="N248" s="6"/>
      <c r="O248" s="6"/>
      <c r="P248" s="6"/>
      <c r="Q248" s="7" t="s">
        <v>500</v>
      </c>
      <c r="R248" s="42">
        <v>41627</v>
      </c>
      <c r="S248" s="6">
        <v>936</v>
      </c>
      <c r="T248" s="6"/>
      <c r="U248" s="6" t="s">
        <v>7</v>
      </c>
      <c r="V248" s="8">
        <v>3.5999999999999997E-2</v>
      </c>
      <c r="W248" s="6">
        <f t="shared" si="89"/>
        <v>112219.05527999999</v>
      </c>
      <c r="X248" s="6">
        <f>112219</f>
        <v>112219</v>
      </c>
      <c r="Y248" s="6">
        <f>112219</f>
        <v>112219</v>
      </c>
      <c r="Z248" s="6">
        <v>0</v>
      </c>
      <c r="AA248" s="6">
        <f>620000+935000+930000</f>
        <v>2485000</v>
      </c>
      <c r="AB248" s="6">
        <f>1555000+930000</f>
        <v>2485000</v>
      </c>
      <c r="AC248" s="6">
        <f>620000+900000+930000</f>
        <v>2450000</v>
      </c>
      <c r="AD248" s="6">
        <f>1520000+930000</f>
        <v>2450000</v>
      </c>
      <c r="AE248" s="8">
        <f t="shared" si="70"/>
        <v>0.78596277414678306</v>
      </c>
      <c r="AF248" s="6">
        <f>3740+113280+20000+460000+708975.94+93503.7+50000+50000+700000+50000+72600</f>
        <v>2322099.6399999997</v>
      </c>
      <c r="AG248" s="6">
        <f>1449499.64+50000+700000+50000+72600</f>
        <v>2322099.6399999997</v>
      </c>
      <c r="AH248" s="6">
        <f>3740+21080+113280+100000-100000+20000+460000+740765.94+93503.7+50000+81620+700000+50000+72600</f>
        <v>2406589.6399999997</v>
      </c>
      <c r="AI248" s="6"/>
      <c r="AJ248" s="6"/>
      <c r="AK248" s="6"/>
      <c r="AL248" s="6">
        <f>1502369.64+81620+700000+50000+72600</f>
        <v>2406589.6399999997</v>
      </c>
      <c r="AM248" s="8">
        <v>3.4000000000000002E-2</v>
      </c>
      <c r="AN248" s="8">
        <f t="shared" si="87"/>
        <v>84490</v>
      </c>
      <c r="AO248" s="6">
        <f>21080+31790+31620</f>
        <v>84490</v>
      </c>
      <c r="AP248" s="6">
        <f>52870+31620</f>
        <v>84490</v>
      </c>
      <c r="AQ248" s="6">
        <f t="shared" si="88"/>
        <v>0</v>
      </c>
      <c r="AR248" s="6"/>
      <c r="AS248" s="6">
        <v>35</v>
      </c>
      <c r="AT248" s="6" t="s">
        <v>501</v>
      </c>
    </row>
    <row r="249" spans="1:46" s="9" customFormat="1" x14ac:dyDescent="0.15">
      <c r="A249" s="35">
        <v>41599</v>
      </c>
      <c r="B249" s="2" t="s">
        <v>1891</v>
      </c>
      <c r="C249" s="6" t="s">
        <v>438</v>
      </c>
      <c r="D249" s="6" t="s">
        <v>439</v>
      </c>
      <c r="E249" s="6" t="s">
        <v>0</v>
      </c>
      <c r="F249" s="6" t="s">
        <v>440</v>
      </c>
      <c r="G249" s="6" t="s">
        <v>423</v>
      </c>
      <c r="H249" s="6" t="s">
        <v>441</v>
      </c>
      <c r="I249" s="6" t="s">
        <v>442</v>
      </c>
      <c r="J249" s="6" t="s">
        <v>443</v>
      </c>
      <c r="K249" s="6" t="s">
        <v>431</v>
      </c>
      <c r="L249" s="6"/>
      <c r="M249" s="6">
        <v>5811890</v>
      </c>
      <c r="N249" s="6"/>
      <c r="O249" s="6"/>
      <c r="P249" s="6"/>
      <c r="Q249" s="7" t="s">
        <v>444</v>
      </c>
      <c r="R249" s="42">
        <v>41599</v>
      </c>
      <c r="S249" s="6">
        <f>562+588+594</f>
        <v>1744</v>
      </c>
      <c r="T249" s="6"/>
      <c r="U249" s="6" t="s">
        <v>445</v>
      </c>
      <c r="V249" s="8">
        <v>0.04</v>
      </c>
      <c r="W249" s="6">
        <f t="shared" si="89"/>
        <v>232475.6</v>
      </c>
      <c r="X249" s="6">
        <f>232476</f>
        <v>232476</v>
      </c>
      <c r="Y249" s="6">
        <f>232476</f>
        <v>232476</v>
      </c>
      <c r="Z249" s="6">
        <v>0</v>
      </c>
      <c r="AA249" s="6">
        <f>200000+2000000</f>
        <v>2200000</v>
      </c>
      <c r="AB249" s="6">
        <f>2200000</f>
        <v>2200000</v>
      </c>
      <c r="AC249" s="6">
        <f>200000+2000000</f>
        <v>2200000</v>
      </c>
      <c r="AD249" s="6">
        <f>200000+2000000</f>
        <v>2200000</v>
      </c>
      <c r="AE249" s="8">
        <f t="shared" si="70"/>
        <v>0.37853434941129305</v>
      </c>
      <c r="AF249" s="6">
        <f>6974+86000+100000+1431000+260035.5</f>
        <v>1884009.5</v>
      </c>
      <c r="AG249" s="6">
        <f>192974+1431000+260035.5</f>
        <v>1884009.5</v>
      </c>
      <c r="AH249" s="6">
        <f>13774+86000+100000+1499000+260035.5</f>
        <v>1958809.5</v>
      </c>
      <c r="AI249" s="6"/>
      <c r="AJ249" s="6"/>
      <c r="AK249" s="6"/>
      <c r="AL249" s="6">
        <f>199774+1499000+260035.5</f>
        <v>1958809.5</v>
      </c>
      <c r="AM249" s="8">
        <v>3.4000000000000002E-2</v>
      </c>
      <c r="AN249" s="8">
        <f t="shared" si="87"/>
        <v>74800</v>
      </c>
      <c r="AO249" s="6">
        <f>6800+68000</f>
        <v>74800</v>
      </c>
      <c r="AP249" s="6">
        <f>6800+68000</f>
        <v>74800</v>
      </c>
      <c r="AQ249" s="6">
        <f t="shared" si="88"/>
        <v>0</v>
      </c>
      <c r="AR249" s="6"/>
      <c r="AS249" s="6"/>
      <c r="AT249" s="6"/>
    </row>
    <row r="250" spans="1:46" s="9" customFormat="1" x14ac:dyDescent="0.15">
      <c r="A250" s="35">
        <v>41583</v>
      </c>
      <c r="B250" s="2" t="s">
        <v>1892</v>
      </c>
      <c r="C250" s="6" t="s">
        <v>386</v>
      </c>
      <c r="D250" s="6" t="s">
        <v>387</v>
      </c>
      <c r="E250" s="6" t="s">
        <v>0</v>
      </c>
      <c r="F250" s="6" t="s">
        <v>388</v>
      </c>
      <c r="G250" s="6" t="s">
        <v>368</v>
      </c>
      <c r="H250" s="6" t="s">
        <v>239</v>
      </c>
      <c r="I250" s="6" t="s">
        <v>87</v>
      </c>
      <c r="J250" s="6" t="s">
        <v>86</v>
      </c>
      <c r="K250" s="6" t="s">
        <v>13</v>
      </c>
      <c r="L250" s="6"/>
      <c r="M250" s="6">
        <v>76467</v>
      </c>
      <c r="N250" s="6">
        <v>479</v>
      </c>
      <c r="O250" s="6"/>
      <c r="P250" s="6"/>
      <c r="Q250" s="7" t="s">
        <v>389</v>
      </c>
      <c r="R250" s="42">
        <v>41657</v>
      </c>
      <c r="S250" s="6">
        <v>23</v>
      </c>
      <c r="T250" s="6"/>
      <c r="U250" s="6" t="s">
        <v>390</v>
      </c>
      <c r="V250" s="8">
        <v>3.5999999999999997E-2</v>
      </c>
      <c r="W250" s="6">
        <f t="shared" si="89"/>
        <v>2770.0559999999996</v>
      </c>
      <c r="X250" s="6">
        <f>2753+17</f>
        <v>2770</v>
      </c>
      <c r="Y250" s="6">
        <f>2753+17</f>
        <v>2770</v>
      </c>
      <c r="Z250" s="6">
        <f>W250-Y250</f>
        <v>5.599999999958527E-2</v>
      </c>
      <c r="AA250" s="6">
        <f>54000+22946</f>
        <v>76946</v>
      </c>
      <c r="AB250" s="6">
        <f>76946</f>
        <v>76946</v>
      </c>
      <c r="AC250" s="6">
        <f>54000+22946</f>
        <v>76946</v>
      </c>
      <c r="AD250" s="6">
        <f>54000+22946</f>
        <v>76946</v>
      </c>
      <c r="AE250" s="8">
        <f t="shared" si="70"/>
        <v>1</v>
      </c>
      <c r="AF250" s="6">
        <f>50000+24330</f>
        <v>74330</v>
      </c>
      <c r="AG250" s="6">
        <f>50000+24330</f>
        <v>74330</v>
      </c>
      <c r="AH250" s="6">
        <f>1836+50000+780+24330</f>
        <v>76946</v>
      </c>
      <c r="AI250" s="6"/>
      <c r="AJ250" s="6"/>
      <c r="AK250" s="6"/>
      <c r="AL250" s="6">
        <f>52616+24330</f>
        <v>76946</v>
      </c>
      <c r="AM250" s="8">
        <v>3.4000000000000002E-2</v>
      </c>
      <c r="AN250" s="8">
        <f t="shared" si="87"/>
        <v>2616.1640000000002</v>
      </c>
      <c r="AO250" s="6">
        <f>1836+780</f>
        <v>2616</v>
      </c>
      <c r="AP250" s="6">
        <f>2616</f>
        <v>2616</v>
      </c>
      <c r="AQ250" s="6">
        <f t="shared" si="88"/>
        <v>0.16400000000021464</v>
      </c>
      <c r="AR250" s="6"/>
      <c r="AS250" s="6"/>
      <c r="AT250" s="6"/>
    </row>
    <row r="251" spans="1:46" s="9" customFormat="1" x14ac:dyDescent="0.15">
      <c r="A251" s="35">
        <v>41592</v>
      </c>
      <c r="B251" s="2" t="s">
        <v>1893</v>
      </c>
      <c r="C251" s="6" t="s">
        <v>502</v>
      </c>
      <c r="D251" s="6" t="s">
        <v>506</v>
      </c>
      <c r="E251" s="6" t="s">
        <v>0</v>
      </c>
      <c r="F251" s="6" t="s">
        <v>507</v>
      </c>
      <c r="G251" s="6" t="s">
        <v>508</v>
      </c>
      <c r="H251" s="6" t="s">
        <v>150</v>
      </c>
      <c r="I251" s="11" t="s">
        <v>148</v>
      </c>
      <c r="J251" s="11" t="s">
        <v>150</v>
      </c>
      <c r="K251" s="6" t="s">
        <v>5</v>
      </c>
      <c r="L251" s="6"/>
      <c r="M251" s="6">
        <v>3058486</v>
      </c>
      <c r="N251" s="6"/>
      <c r="O251" s="6"/>
      <c r="P251" s="6"/>
      <c r="Q251" s="7" t="s">
        <v>509</v>
      </c>
      <c r="R251" s="42">
        <v>41596</v>
      </c>
      <c r="S251" s="6">
        <v>918</v>
      </c>
      <c r="T251" s="6"/>
      <c r="U251" s="6" t="s">
        <v>14</v>
      </c>
      <c r="V251" s="8">
        <v>3.5999999999999997E-2</v>
      </c>
      <c r="W251" s="6">
        <f t="shared" si="89"/>
        <v>110105.49599999998</v>
      </c>
      <c r="X251" s="6">
        <f>110105.36</f>
        <v>110105.36</v>
      </c>
      <c r="Y251" s="6">
        <f>110105.36</f>
        <v>110105.36</v>
      </c>
      <c r="Z251" s="6">
        <v>0</v>
      </c>
      <c r="AA251" s="6">
        <f>2140940.2</f>
        <v>2140940.2000000002</v>
      </c>
      <c r="AB251" s="6">
        <f>2140940.2</f>
        <v>2140940.2000000002</v>
      </c>
      <c r="AC251" s="6">
        <f>2140940.2</f>
        <v>2140940.2000000002</v>
      </c>
      <c r="AD251" s="6">
        <f>2140940.2</f>
        <v>2140940.2000000002</v>
      </c>
      <c r="AE251" s="8">
        <f t="shared" si="70"/>
        <v>0.70000000000000007</v>
      </c>
      <c r="AF251" s="6">
        <f>662597.44+76520+217382+144519+3713.5+549993.7+19281+101637+180000+36000</f>
        <v>1991643.64</v>
      </c>
      <c r="AG251" s="6">
        <f>1955643.64+36000</f>
        <v>1991643.64</v>
      </c>
      <c r="AH251" s="6">
        <f>662597.44+3670+147171.03+217387+144519+549993.7+17074+100000+180000+36000</f>
        <v>2058412.17</v>
      </c>
      <c r="AI251" s="6">
        <f>714</f>
        <v>714</v>
      </c>
      <c r="AJ251" s="6">
        <f>2016.5+500+500</f>
        <v>3016.5</v>
      </c>
      <c r="AK251" s="6">
        <f>983+1137+1181+526</f>
        <v>3827</v>
      </c>
      <c r="AL251" s="6">
        <f>2022412.17+714+3016.5+3827+36000</f>
        <v>2065969.67</v>
      </c>
      <c r="AM251" s="8"/>
      <c r="AN251" s="8">
        <f t="shared" ref="AN251:AN258" si="90">AM251*AB251</f>
        <v>0</v>
      </c>
      <c r="AO251" s="6"/>
      <c r="AP251" s="6"/>
      <c r="AQ251" s="6">
        <f t="shared" si="88"/>
        <v>0</v>
      </c>
      <c r="AR251" s="6"/>
      <c r="AS251" s="6">
        <v>30</v>
      </c>
      <c r="AT251" s="6" t="s">
        <v>484</v>
      </c>
    </row>
    <row r="252" spans="1:46" s="9" customFormat="1" x14ac:dyDescent="0.15">
      <c r="A252" s="35">
        <v>41596</v>
      </c>
      <c r="B252" s="2" t="s">
        <v>1894</v>
      </c>
      <c r="C252" s="6" t="s">
        <v>503</v>
      </c>
      <c r="D252" s="6" t="s">
        <v>510</v>
      </c>
      <c r="E252" s="6" t="s">
        <v>0</v>
      </c>
      <c r="F252" s="6" t="s">
        <v>511</v>
      </c>
      <c r="G252" s="6" t="s">
        <v>487</v>
      </c>
      <c r="H252" s="6" t="s">
        <v>239</v>
      </c>
      <c r="I252" s="6" t="s">
        <v>87</v>
      </c>
      <c r="J252" s="6" t="s">
        <v>86</v>
      </c>
      <c r="K252" s="6" t="s">
        <v>13</v>
      </c>
      <c r="L252" s="6"/>
      <c r="M252" s="6">
        <v>12067070</v>
      </c>
      <c r="N252" s="6"/>
      <c r="O252" s="6"/>
      <c r="P252" s="6"/>
      <c r="Q252" s="7" t="s">
        <v>512</v>
      </c>
      <c r="R252" s="42">
        <v>41795</v>
      </c>
      <c r="S252" s="6">
        <v>3621</v>
      </c>
      <c r="T252" s="6"/>
      <c r="U252" s="6" t="s">
        <v>513</v>
      </c>
      <c r="V252" s="8">
        <v>0.03</v>
      </c>
      <c r="W252" s="6">
        <f t="shared" si="89"/>
        <v>362012.1</v>
      </c>
      <c r="X252" s="6">
        <f>160000+100000</f>
        <v>260000</v>
      </c>
      <c r="Y252" s="6">
        <f>160000+100000</f>
        <v>260000</v>
      </c>
      <c r="Z252" s="6">
        <f>W252-Y252</f>
        <v>102012.09999999998</v>
      </c>
      <c r="AA252" s="6">
        <f>925730.97+1604965+916823.14+1472099.61+1747622.51</f>
        <v>6667241.2299999995</v>
      </c>
      <c r="AB252" s="6">
        <f>925730.97+1604965+916823.14+1472099.61+1747622.51</f>
        <v>6667241.2299999995</v>
      </c>
      <c r="AC252" s="6">
        <f>925730.97+1604965</f>
        <v>2530695.9699999997</v>
      </c>
      <c r="AD252" s="6">
        <f>925730.97+1604965</f>
        <v>2530695.9699999997</v>
      </c>
      <c r="AE252" s="8">
        <f t="shared" si="70"/>
        <v>0.20971917540877774</v>
      </c>
      <c r="AF252" s="6">
        <f>453000+400000+1100000+253120+25200+595000+200000+60000+2721.6+20000+12000</f>
        <v>3121041.6</v>
      </c>
      <c r="AG252" s="6">
        <f>453000+400000+1100000+253120+25200+595000+200000+60000+2721.6+20000+12000</f>
        <v>3121041.6</v>
      </c>
      <c r="AH252" s="6">
        <f>484475+400000+1154569+253120+205272+595000+200000+110051+47.74+2721.6+20000+12000</f>
        <v>3437256.3400000003</v>
      </c>
      <c r="AI252" s="6"/>
      <c r="AJ252" s="6"/>
      <c r="AK252" s="6"/>
      <c r="AL252" s="6">
        <f>484475+400000+1154569+253120+205272+595000+200000+110051+47.74+2721.6+20000+12000</f>
        <v>3437256.3400000003</v>
      </c>
      <c r="AM252" s="8">
        <v>3.4000000000000002E-2</v>
      </c>
      <c r="AN252" s="8">
        <f t="shared" si="90"/>
        <v>226686.20181999999</v>
      </c>
      <c r="AO252" s="6">
        <f>31475+54569+31172+50051</f>
        <v>167267</v>
      </c>
      <c r="AP252" s="6">
        <f>31475+54569+31172+50051</f>
        <v>167267</v>
      </c>
      <c r="AQ252" s="6">
        <f t="shared" si="88"/>
        <v>59419.201819999987</v>
      </c>
      <c r="AR252" s="6"/>
      <c r="AS252" s="6">
        <v>140</v>
      </c>
      <c r="AT252" s="6" t="s">
        <v>514</v>
      </c>
    </row>
    <row r="253" spans="1:46" s="9" customFormat="1" x14ac:dyDescent="0.15">
      <c r="A253" s="35">
        <v>41609</v>
      </c>
      <c r="B253" s="2" t="s">
        <v>1895</v>
      </c>
      <c r="C253" s="6" t="s">
        <v>504</v>
      </c>
      <c r="D253" s="6" t="s">
        <v>515</v>
      </c>
      <c r="E253" s="6" t="s">
        <v>0</v>
      </c>
      <c r="F253" s="6" t="s">
        <v>516</v>
      </c>
      <c r="G253" s="6" t="s">
        <v>163</v>
      </c>
      <c r="H253" s="6" t="s">
        <v>164</v>
      </c>
      <c r="I253" s="6" t="s">
        <v>165</v>
      </c>
      <c r="J253" s="6" t="s">
        <v>164</v>
      </c>
      <c r="K253" s="6" t="s">
        <v>5</v>
      </c>
      <c r="L253" s="6"/>
      <c r="M253" s="6">
        <v>11000000</v>
      </c>
      <c r="N253" s="6"/>
      <c r="O253" s="6"/>
      <c r="P253" s="6"/>
      <c r="Q253" s="7" t="s">
        <v>517</v>
      </c>
      <c r="R253" s="42">
        <v>41614</v>
      </c>
      <c r="S253" s="6">
        <v>3300</v>
      </c>
      <c r="T253" s="6"/>
      <c r="U253" s="6" t="s">
        <v>513</v>
      </c>
      <c r="V253" s="8">
        <v>0.03</v>
      </c>
      <c r="W253" s="6">
        <f t="shared" si="89"/>
        <v>330000</v>
      </c>
      <c r="X253" s="6">
        <f>330000</f>
        <v>330000</v>
      </c>
      <c r="Y253" s="6">
        <f>330000</f>
        <v>330000</v>
      </c>
      <c r="Z253" s="6">
        <v>0</v>
      </c>
      <c r="AA253" s="6">
        <f>500000+2000000+2000000+1000000</f>
        <v>5500000</v>
      </c>
      <c r="AB253" s="6">
        <f>5500000</f>
        <v>5500000</v>
      </c>
      <c r="AC253" s="6">
        <f>500000+1000000+500000+2000000+1000000+200000+400000+100000</f>
        <v>5700000</v>
      </c>
      <c r="AD253" s="6">
        <f>5000000+200000+400000+100000</f>
        <v>5700000</v>
      </c>
      <c r="AE253" s="8">
        <f t="shared" si="70"/>
        <v>0.51818181818181819</v>
      </c>
      <c r="AF253" s="6">
        <f>480000+900000+420000+1000000+500000+150000+400000+500000+250000+80000+55000+88000+400000+400000+100000</f>
        <v>5723000</v>
      </c>
      <c r="AG253" s="6">
        <f>4680000+55000+88000+400000+400000+100000</f>
        <v>5723000</v>
      </c>
      <c r="AH253" s="6">
        <f>480000+900000+470000+1000000+500000+150000+484750+601700+250000+80000+55000+88000+400000+400000+100000</f>
        <v>5959450</v>
      </c>
      <c r="AI253" s="6"/>
      <c r="AJ253" s="6"/>
      <c r="AK253" s="6"/>
      <c r="AL253" s="6">
        <f>4916450+55000+88000+400000+400000+100000</f>
        <v>5959450</v>
      </c>
      <c r="AM253" s="8"/>
      <c r="AN253" s="8">
        <f t="shared" si="90"/>
        <v>0</v>
      </c>
      <c r="AO253" s="6"/>
      <c r="AP253" s="6"/>
      <c r="AQ253" s="6">
        <f t="shared" si="88"/>
        <v>0</v>
      </c>
      <c r="AR253" s="6"/>
      <c r="AS253" s="6">
        <v>120</v>
      </c>
      <c r="AT253" s="6" t="s">
        <v>518</v>
      </c>
    </row>
    <row r="254" spans="1:46" s="9" customFormat="1" x14ac:dyDescent="0.15">
      <c r="A254" s="35">
        <v>41609</v>
      </c>
      <c r="B254" s="2" t="s">
        <v>1896</v>
      </c>
      <c r="C254" s="6" t="s">
        <v>505</v>
      </c>
      <c r="D254" s="6" t="s">
        <v>519</v>
      </c>
      <c r="E254" s="6" t="s">
        <v>0</v>
      </c>
      <c r="F254" s="6" t="s">
        <v>60</v>
      </c>
      <c r="G254" s="6" t="s">
        <v>487</v>
      </c>
      <c r="H254" s="6" t="s">
        <v>325</v>
      </c>
      <c r="I254" s="6" t="s">
        <v>326</v>
      </c>
      <c r="J254" s="6" t="s">
        <v>325</v>
      </c>
      <c r="K254" s="6" t="s">
        <v>35</v>
      </c>
      <c r="L254" s="6"/>
      <c r="M254" s="6">
        <v>924545</v>
      </c>
      <c r="N254" s="6"/>
      <c r="O254" s="6"/>
      <c r="P254" s="6"/>
      <c r="Q254" s="7" t="s">
        <v>520</v>
      </c>
      <c r="R254" s="42">
        <v>41625</v>
      </c>
      <c r="S254" s="6">
        <v>278</v>
      </c>
      <c r="T254" s="6"/>
      <c r="U254" s="6" t="s">
        <v>513</v>
      </c>
      <c r="V254" s="8">
        <v>0.03</v>
      </c>
      <c r="W254" s="6">
        <f t="shared" si="89"/>
        <v>27736.35</v>
      </c>
      <c r="X254" s="6">
        <f>2200+23046+490</f>
        <v>25736</v>
      </c>
      <c r="Y254" s="6">
        <f>2200+23046+2490</f>
        <v>27736</v>
      </c>
      <c r="Z254" s="6">
        <f>W254-Y254</f>
        <v>0.34999999999854481</v>
      </c>
      <c r="AA254" s="6">
        <f>300000</f>
        <v>300000</v>
      </c>
      <c r="AB254" s="6">
        <f>300000</f>
        <v>300000</v>
      </c>
      <c r="AC254" s="6">
        <f>300000</f>
        <v>300000</v>
      </c>
      <c r="AD254" s="6">
        <f>300000</f>
        <v>300000</v>
      </c>
      <c r="AE254" s="8">
        <f t="shared" si="70"/>
        <v>0.32448393534116782</v>
      </c>
      <c r="AF254" s="6">
        <f>200000+2490+50000</f>
        <v>252490</v>
      </c>
      <c r="AG254" s="6">
        <f>202490+50000</f>
        <v>252490</v>
      </c>
      <c r="AH254" s="6">
        <f>10200+200000+9122.49+50000</f>
        <v>269322.49</v>
      </c>
      <c r="AI254" s="6"/>
      <c r="AJ254" s="6"/>
      <c r="AK254" s="6">
        <v>2490</v>
      </c>
      <c r="AL254" s="6">
        <f>219322.49+2490+50000</f>
        <v>271812.49</v>
      </c>
      <c r="AM254" s="8">
        <v>3.4000000000000002E-2</v>
      </c>
      <c r="AN254" s="8">
        <f t="shared" si="90"/>
        <v>10200</v>
      </c>
      <c r="AO254" s="6">
        <f>10200</f>
        <v>10200</v>
      </c>
      <c r="AP254" s="6">
        <f>10200</f>
        <v>10200</v>
      </c>
      <c r="AQ254" s="6">
        <f t="shared" si="88"/>
        <v>0</v>
      </c>
      <c r="AR254" s="6"/>
      <c r="AS254" s="6">
        <v>7</v>
      </c>
      <c r="AT254" s="6" t="s">
        <v>522</v>
      </c>
    </row>
    <row r="255" spans="1:46" s="9" customFormat="1" x14ac:dyDescent="0.15">
      <c r="A255" s="35">
        <v>41618</v>
      </c>
      <c r="B255" s="2" t="s">
        <v>1897</v>
      </c>
      <c r="C255" s="6" t="s">
        <v>20</v>
      </c>
      <c r="D255" s="6" t="s">
        <v>46</v>
      </c>
      <c r="E255" s="6" t="s">
        <v>0</v>
      </c>
      <c r="F255" s="6" t="s">
        <v>15</v>
      </c>
      <c r="G255" s="6" t="s">
        <v>16</v>
      </c>
      <c r="H255" s="6" t="s">
        <v>17</v>
      </c>
      <c r="I255" s="6" t="s">
        <v>18</v>
      </c>
      <c r="J255" s="6" t="s">
        <v>19</v>
      </c>
      <c r="K255" s="6" t="s">
        <v>5</v>
      </c>
      <c r="L255" s="6"/>
      <c r="M255" s="6">
        <v>19413696.16</v>
      </c>
      <c r="N255" s="6">
        <f>1201003.24</f>
        <v>1201003.24</v>
      </c>
      <c r="O255" s="6"/>
      <c r="P255" s="6"/>
      <c r="Q255" s="7" t="s">
        <v>521</v>
      </c>
      <c r="R255" s="42">
        <v>41739</v>
      </c>
      <c r="S255" s="6">
        <v>5825</v>
      </c>
      <c r="T255" s="6"/>
      <c r="U255" s="6" t="s">
        <v>7</v>
      </c>
      <c r="V255" s="8">
        <v>0.03</v>
      </c>
      <c r="W255" s="6">
        <f>(M255+N255)*V255</f>
        <v>618440.98199999996</v>
      </c>
      <c r="X255" s="6">
        <f>300000+282411</f>
        <v>582411</v>
      </c>
      <c r="Y255" s="6">
        <f>582411</f>
        <v>582411</v>
      </c>
      <c r="Z255" s="6">
        <f>W255-Y255</f>
        <v>36029.98199999996</v>
      </c>
      <c r="AA255" s="6">
        <f>7525280+3885465+7552551.92+1651347.64</f>
        <v>20614644.560000002</v>
      </c>
      <c r="AB255" s="6">
        <f>11410745+7552551.92+1651347.64</f>
        <v>20614644.560000002</v>
      </c>
      <c r="AC255" s="6">
        <f>5390000+2790000+4140000+1270000+320000+820000</f>
        <v>14730000</v>
      </c>
      <c r="AD255" s="6">
        <f>12320000+1270000+320000+820000</f>
        <v>14730000</v>
      </c>
      <c r="AE255" s="8">
        <f t="shared" si="70"/>
        <v>0.71453867525228143</v>
      </c>
      <c r="AF255" s="6">
        <f>4920213+2600000+3958215.55+1216638.63+320000+1304560</f>
        <v>14319627.18</v>
      </c>
      <c r="AG255" s="6">
        <f>11478428.55+1216638.63+320000+1304560</f>
        <v>14319627.18</v>
      </c>
      <c r="AH255" s="6">
        <f>4920213+2600000+3958215.55+1216638.63+320000+1304560</f>
        <v>14319627.18</v>
      </c>
      <c r="AI255" s="6"/>
      <c r="AJ255" s="6"/>
      <c r="AK255" s="6"/>
      <c r="AL255" s="6">
        <f>11478428.55+1216638.63+320000+1304560</f>
        <v>14319627.18</v>
      </c>
      <c r="AM255" s="8"/>
      <c r="AN255" s="8"/>
      <c r="AO255" s="6"/>
      <c r="AP255" s="6"/>
      <c r="AQ255" s="6">
        <f t="shared" si="88"/>
        <v>0</v>
      </c>
      <c r="AR255" s="6"/>
      <c r="AS255" s="6"/>
      <c r="AT255" s="6"/>
    </row>
    <row r="256" spans="1:46" s="9" customFormat="1" x14ac:dyDescent="0.15">
      <c r="A256" s="35">
        <v>41626</v>
      </c>
      <c r="B256" s="2" t="s">
        <v>1898</v>
      </c>
      <c r="C256" s="6" t="s">
        <v>523</v>
      </c>
      <c r="D256" s="6" t="s">
        <v>526</v>
      </c>
      <c r="E256" s="6" t="s">
        <v>0</v>
      </c>
      <c r="F256" s="6" t="s">
        <v>527</v>
      </c>
      <c r="G256" s="6"/>
      <c r="H256" s="6" t="s">
        <v>177</v>
      </c>
      <c r="I256" s="6" t="s">
        <v>178</v>
      </c>
      <c r="J256" s="6" t="s">
        <v>179</v>
      </c>
      <c r="K256" s="6"/>
      <c r="L256" s="6"/>
      <c r="M256" s="6">
        <v>8060000</v>
      </c>
      <c r="N256" s="6"/>
      <c r="O256" s="6"/>
      <c r="P256" s="6"/>
      <c r="Q256" s="7"/>
      <c r="R256" s="42"/>
      <c r="S256" s="6"/>
      <c r="T256" s="6"/>
      <c r="U256" s="6" t="s">
        <v>7</v>
      </c>
      <c r="V256" s="8">
        <v>0.03</v>
      </c>
      <c r="W256" s="6">
        <f t="shared" si="86"/>
        <v>241800</v>
      </c>
      <c r="X256" s="6">
        <f>241800</f>
        <v>241800</v>
      </c>
      <c r="Y256" s="6">
        <f>241800</f>
        <v>241800</v>
      </c>
      <c r="Z256" s="6">
        <f>W256-Y256</f>
        <v>0</v>
      </c>
      <c r="AA256" s="6"/>
      <c r="AB256" s="6"/>
      <c r="AC256" s="6">
        <f>3057158</f>
        <v>3057158</v>
      </c>
      <c r="AD256" s="6">
        <f>3057158</f>
        <v>3057158</v>
      </c>
      <c r="AE256" s="8">
        <f t="shared" si="70"/>
        <v>0.37930000000000003</v>
      </c>
      <c r="AF256" s="6">
        <f>1710000+606500+100000+29500+259096.52+60000</f>
        <v>2765096.52</v>
      </c>
      <c r="AG256" s="6">
        <f>2765096.52</f>
        <v>2765096.52</v>
      </c>
      <c r="AH256" s="6">
        <f>1710000+606500+100000+29500+259096.52+60000</f>
        <v>2765096.52</v>
      </c>
      <c r="AI256" s="6"/>
      <c r="AJ256" s="6"/>
      <c r="AK256" s="6"/>
      <c r="AL256" s="6">
        <f>2765096.52</f>
        <v>2765096.52</v>
      </c>
      <c r="AM256" s="8"/>
      <c r="AN256" s="8"/>
      <c r="AO256" s="6"/>
      <c r="AP256" s="6"/>
      <c r="AQ256" s="6">
        <f t="shared" si="88"/>
        <v>0</v>
      </c>
      <c r="AR256" s="6"/>
      <c r="AS256" s="6">
        <v>104</v>
      </c>
      <c r="AT256" s="6" t="s">
        <v>495</v>
      </c>
    </row>
    <row r="257" spans="1:46" s="9" customFormat="1" x14ac:dyDescent="0.15">
      <c r="A257" s="35">
        <v>41626</v>
      </c>
      <c r="B257" s="2" t="s">
        <v>1899</v>
      </c>
      <c r="C257" s="6" t="s">
        <v>524</v>
      </c>
      <c r="D257" s="6" t="s">
        <v>528</v>
      </c>
      <c r="E257" s="6" t="s">
        <v>0</v>
      </c>
      <c r="F257" s="6" t="s">
        <v>529</v>
      </c>
      <c r="G257" s="6" t="s">
        <v>487</v>
      </c>
      <c r="H257" s="6" t="s">
        <v>150</v>
      </c>
      <c r="I257" s="11" t="s">
        <v>148</v>
      </c>
      <c r="J257" s="11" t="s">
        <v>150</v>
      </c>
      <c r="K257" s="6" t="s">
        <v>530</v>
      </c>
      <c r="L257" s="6"/>
      <c r="M257" s="6">
        <v>229276</v>
      </c>
      <c r="N257" s="6"/>
      <c r="O257" s="6"/>
      <c r="P257" s="6"/>
      <c r="Q257" s="7" t="s">
        <v>531</v>
      </c>
      <c r="R257" s="42">
        <v>41782</v>
      </c>
      <c r="S257" s="6">
        <v>69</v>
      </c>
      <c r="T257" s="6"/>
      <c r="U257" s="6" t="s">
        <v>532</v>
      </c>
      <c r="V257" s="8">
        <v>0.03</v>
      </c>
      <c r="W257" s="6">
        <f t="shared" si="86"/>
        <v>6878.28</v>
      </c>
      <c r="X257" s="6"/>
      <c r="Y257" s="6"/>
      <c r="Z257" s="6">
        <f t="shared" ref="Z257:Z258" si="91">W257-Y257</f>
        <v>6878.28</v>
      </c>
      <c r="AA257" s="6">
        <f>91710.76</f>
        <v>91710.76</v>
      </c>
      <c r="AB257" s="6">
        <f>91710.76</f>
        <v>91710.76</v>
      </c>
      <c r="AC257" s="6">
        <f>91710.76</f>
        <v>91710.76</v>
      </c>
      <c r="AD257" s="6">
        <f>91710.76</f>
        <v>91710.76</v>
      </c>
      <c r="AE257" s="8">
        <f t="shared" si="70"/>
        <v>0.40000157015998183</v>
      </c>
      <c r="AF257" s="6">
        <f>61818+1350+299-3118</f>
        <v>60349</v>
      </c>
      <c r="AG257" s="6">
        <f>60349</f>
        <v>60349</v>
      </c>
      <c r="AH257" s="6">
        <f>61818+1350+2990</f>
        <v>66158</v>
      </c>
      <c r="AI257" s="6"/>
      <c r="AJ257" s="6"/>
      <c r="AK257" s="6"/>
      <c r="AL257" s="6">
        <f>66158</f>
        <v>66158</v>
      </c>
      <c r="AM257" s="8">
        <v>3.4000000000000002E-2</v>
      </c>
      <c r="AN257" s="8">
        <f t="shared" si="90"/>
        <v>3118.1658400000001</v>
      </c>
      <c r="AO257" s="6">
        <f>3118</f>
        <v>3118</v>
      </c>
      <c r="AP257" s="6">
        <f>3118</f>
        <v>3118</v>
      </c>
      <c r="AQ257" s="6">
        <f t="shared" si="88"/>
        <v>0.16584000000011656</v>
      </c>
      <c r="AR257" s="6"/>
      <c r="AS257" s="6">
        <v>2</v>
      </c>
      <c r="AT257" s="6" t="s">
        <v>484</v>
      </c>
    </row>
    <row r="258" spans="1:46" s="9" customFormat="1" x14ac:dyDescent="0.15">
      <c r="A258" s="35">
        <v>41628</v>
      </c>
      <c r="B258" s="2" t="s">
        <v>1900</v>
      </c>
      <c r="C258" s="6" t="s">
        <v>525</v>
      </c>
      <c r="D258" s="6" t="s">
        <v>533</v>
      </c>
      <c r="E258" s="6" t="s">
        <v>0</v>
      </c>
      <c r="F258" s="6" t="s">
        <v>534</v>
      </c>
      <c r="G258" s="6" t="s">
        <v>487</v>
      </c>
      <c r="H258" s="6" t="s">
        <v>535</v>
      </c>
      <c r="I258" s="6" t="s">
        <v>252</v>
      </c>
      <c r="J258" s="6" t="s">
        <v>253</v>
      </c>
      <c r="K258" s="6" t="s">
        <v>173</v>
      </c>
      <c r="L258" s="6"/>
      <c r="M258" s="6">
        <v>330000</v>
      </c>
      <c r="N258" s="6"/>
      <c r="O258" s="6"/>
      <c r="P258" s="6"/>
      <c r="Q258" s="7" t="s">
        <v>536</v>
      </c>
      <c r="R258" s="42">
        <v>41633</v>
      </c>
      <c r="S258" s="6">
        <v>99</v>
      </c>
      <c r="T258" s="6"/>
      <c r="U258" s="6" t="s">
        <v>532</v>
      </c>
      <c r="V258" s="8">
        <v>3.5999999999999997E-2</v>
      </c>
      <c r="W258" s="6">
        <f t="shared" si="86"/>
        <v>11880</v>
      </c>
      <c r="X258" s="6">
        <f>3405.5</f>
        <v>3405.5</v>
      </c>
      <c r="Y258" s="6">
        <f>3405.5</f>
        <v>3405.5</v>
      </c>
      <c r="Z258" s="6">
        <f t="shared" si="91"/>
        <v>8474.5</v>
      </c>
      <c r="AA258" s="6">
        <f>180000</f>
        <v>180000</v>
      </c>
      <c r="AB258" s="6">
        <f>180000</f>
        <v>180000</v>
      </c>
      <c r="AC258" s="6">
        <f>180000</f>
        <v>180000</v>
      </c>
      <c r="AD258" s="6">
        <f>180000</f>
        <v>180000</v>
      </c>
      <c r="AE258" s="8">
        <f t="shared" si="70"/>
        <v>0.54545454545454541</v>
      </c>
      <c r="AF258" s="6">
        <f>720+170000</f>
        <v>170720</v>
      </c>
      <c r="AG258" s="6">
        <f>170720</f>
        <v>170720</v>
      </c>
      <c r="AH258" s="6">
        <v>176120</v>
      </c>
      <c r="AI258" s="6"/>
      <c r="AJ258" s="6">
        <v>720</v>
      </c>
      <c r="AK258" s="6"/>
      <c r="AL258" s="6">
        <f>176120+720</f>
        <v>176840</v>
      </c>
      <c r="AM258" s="8">
        <v>3.4000000000000002E-2</v>
      </c>
      <c r="AN258" s="8">
        <f t="shared" si="90"/>
        <v>6120</v>
      </c>
      <c r="AO258" s="6">
        <f>6120</f>
        <v>6120</v>
      </c>
      <c r="AP258" s="6">
        <f>6120</f>
        <v>6120</v>
      </c>
      <c r="AQ258" s="6">
        <f t="shared" si="88"/>
        <v>0</v>
      </c>
      <c r="AR258" s="6"/>
      <c r="AS258" s="6">
        <v>5</v>
      </c>
      <c r="AT258" s="6" t="s">
        <v>518</v>
      </c>
    </row>
    <row r="259" spans="1:46" s="9" customFormat="1" x14ac:dyDescent="0.15">
      <c r="A259" s="35">
        <v>41640</v>
      </c>
      <c r="B259" s="2" t="s">
        <v>1901</v>
      </c>
      <c r="C259" s="6" t="s">
        <v>6</v>
      </c>
      <c r="D259" s="6" t="s">
        <v>47</v>
      </c>
      <c r="E259" s="6" t="s">
        <v>0</v>
      </c>
      <c r="F259" s="6" t="s">
        <v>1</v>
      </c>
      <c r="G259" s="6" t="s">
        <v>2</v>
      </c>
      <c r="H259" s="6" t="s">
        <v>3</v>
      </c>
      <c r="I259" s="6" t="s">
        <v>4</v>
      </c>
      <c r="J259" s="6" t="s">
        <v>3</v>
      </c>
      <c r="K259" s="6" t="s">
        <v>5</v>
      </c>
      <c r="L259" s="6"/>
      <c r="M259" s="6">
        <v>61225227</v>
      </c>
      <c r="N259" s="6"/>
      <c r="O259" s="6"/>
      <c r="P259" s="6"/>
      <c r="Q259" s="7">
        <v>1251022</v>
      </c>
      <c r="R259" s="42">
        <v>41697</v>
      </c>
      <c r="S259" s="6">
        <v>18368</v>
      </c>
      <c r="T259" s="6"/>
      <c r="U259" s="6" t="s">
        <v>7</v>
      </c>
      <c r="V259" s="8">
        <v>2.5000000000000001E-2</v>
      </c>
      <c r="W259" s="6">
        <f>M259*V259</f>
        <v>1530630.675</v>
      </c>
      <c r="X259" s="6">
        <f>790000+468466.4+272164.6</f>
        <v>1530631</v>
      </c>
      <c r="Y259" s="6">
        <f>790000+468466.4+272164.6</f>
        <v>1530631</v>
      </c>
      <c r="Z259" s="6">
        <f>W259-X259</f>
        <v>-0.32499999995343387</v>
      </c>
      <c r="AA259" s="6">
        <f>8100136.9+20024819.28+10001584.1+15013323.46+8000362.68</f>
        <v>61140226.420000002</v>
      </c>
      <c r="AB259" s="6">
        <f>28124956.18+15013323.46+8000362.68+10001584.1</f>
        <v>61140226.420000002</v>
      </c>
      <c r="AC259" s="6">
        <f>5670095.83+14017373.5+5720057.11+10004878.75</f>
        <v>35412405.189999998</v>
      </c>
      <c r="AD259" s="6">
        <f>19687469.33+5720057.11+10004878.75</f>
        <v>35412405.189999998</v>
      </c>
      <c r="AE259" s="8">
        <f t="shared" si="70"/>
        <v>0.57839565364126777</v>
      </c>
      <c r="AF259" s="6">
        <f>1236545.96+390000+1870800+41420+1031680+900000+4417606.38+107690.06+4701758.88+973480+1293574.85+745482.42+1682644.7+64865.45+1805575.7+707451.38+31679+9706439.31+779400</f>
        <v>32488094.090000004</v>
      </c>
      <c r="AG259" s="6">
        <f>9995742.4+4701758.88+973480+1293574.85+745482.42+1682644.7+64865.45+1805575.7+707451.38+31679+9706439.31+779400</f>
        <v>32488094.090000004</v>
      </c>
      <c r="AH259" s="6">
        <f>230000+1236545.96+390000+1870800+403420+700000+1597310.2+642854.78+900000+307403.7+4689770.98+107690.06+4701758.88+973480+1293574.85+1101538.82+712883.57+712883.57+1682644.7+64865.45+1805575.7+707451.38+9706439.31+779400</f>
        <v>37318291.910000004</v>
      </c>
      <c r="AI259" s="6">
        <f>28717</f>
        <v>28717</v>
      </c>
      <c r="AJ259" s="6"/>
      <c r="AK259" s="6">
        <f>1147+1815</f>
        <v>2962</v>
      </c>
      <c r="AL259" s="6">
        <f>13075795.68+4701758.88+973480+1293574.85+1101538.82+712883.57+712883.57+1682644.7+64865.45+1805575.7+707451.38+31679+9706439.31+779400</f>
        <v>37349970.909999996</v>
      </c>
      <c r="AM259" s="8">
        <v>3.56E-2</v>
      </c>
      <c r="AN259" s="8">
        <f t="shared" ref="AN259:AN302" si="92">AM259*AB259</f>
        <v>2176592.0605520001</v>
      </c>
      <c r="AO259" s="6">
        <f>356056.4+30026.65+16000.73</f>
        <v>402083.78</v>
      </c>
      <c r="AP259" s="6">
        <f>356056.4+30026.65+16000.73</f>
        <v>402083.78</v>
      </c>
      <c r="AQ259" s="6"/>
      <c r="AR259" s="6"/>
      <c r="AS259" s="6"/>
      <c r="AT259" s="6" t="s">
        <v>8</v>
      </c>
    </row>
    <row r="260" spans="1:46" s="9" customFormat="1" x14ac:dyDescent="0.15">
      <c r="A260" s="35">
        <v>41640</v>
      </c>
      <c r="B260" s="2" t="s">
        <v>1902</v>
      </c>
      <c r="C260" s="6" t="s">
        <v>65</v>
      </c>
      <c r="D260" s="6" t="s">
        <v>117</v>
      </c>
      <c r="E260" s="6" t="s">
        <v>0</v>
      </c>
      <c r="F260" s="6" t="s">
        <v>118</v>
      </c>
      <c r="G260" s="6" t="s">
        <v>52</v>
      </c>
      <c r="H260" s="6" t="s">
        <v>119</v>
      </c>
      <c r="I260" s="6" t="s">
        <v>120</v>
      </c>
      <c r="J260" s="6" t="s">
        <v>119</v>
      </c>
      <c r="K260" s="6" t="s">
        <v>40</v>
      </c>
      <c r="L260" s="6"/>
      <c r="M260" s="6">
        <v>14355608.07</v>
      </c>
      <c r="N260" s="6"/>
      <c r="O260" s="6"/>
      <c r="P260" s="6"/>
      <c r="Q260" s="7" t="s">
        <v>138</v>
      </c>
      <c r="R260" s="42">
        <v>41703</v>
      </c>
      <c r="S260" s="6">
        <v>4307</v>
      </c>
      <c r="T260" s="6"/>
      <c r="U260" s="6" t="s">
        <v>7</v>
      </c>
      <c r="V260" s="8">
        <v>3.2000000000000001E-2</v>
      </c>
      <c r="W260" s="6">
        <f t="shared" ref="W260:W263" si="93">M260*V260</f>
        <v>459379.45824000001</v>
      </c>
      <c r="X260" s="6">
        <v>459379</v>
      </c>
      <c r="Y260" s="6">
        <v>459379</v>
      </c>
      <c r="Z260" s="6">
        <v>0</v>
      </c>
      <c r="AA260" s="6">
        <f>4306682+4593794.58+1866229+717780.88</f>
        <v>11484486.460000001</v>
      </c>
      <c r="AB260" s="6">
        <f>10766705.58+717780.88</f>
        <v>11484486.460000001</v>
      </c>
      <c r="AC260" s="6">
        <f>4306682+4593794.58+1866229+717780.88</f>
        <v>11484486.460000001</v>
      </c>
      <c r="AD260" s="6">
        <f>10766705.58+717780.88</f>
        <v>11484486.460000001</v>
      </c>
      <c r="AE260" s="8">
        <f t="shared" si="70"/>
        <v>0.80000000027863682</v>
      </c>
      <c r="AF260" s="6">
        <f>200000+779000+732276.6+30310+600000+200000+500000+300000+650079.1+240100+1700000+495000+250000+300000+1063073.9-20000+217397.29+129999.36+300000+400000+300000+147384.74+118800</f>
        <v>9633420.9900000002</v>
      </c>
      <c r="AG260" s="6">
        <f>8019839.6+217397.29+129999.36+300000+400000+300000+147384.74+118800</f>
        <v>9633420.9900000002</v>
      </c>
      <c r="AH260" s="6">
        <f>996427+214355+779000+732276.6+30310+600000+50000+356189+500000+300000+650079.1+240100+1700000+495000+20000+467459.35+313452+300000+1063073.9-20000+217397.29+50000-50000+154404.36+300000+400000+300000+110000+118800</f>
        <v>11388323.599999998</v>
      </c>
      <c r="AI260" s="6">
        <f>7226+3123</f>
        <v>10349</v>
      </c>
      <c r="AJ260" s="6">
        <f>4432.5+31906.74</f>
        <v>36339.240000000005</v>
      </c>
      <c r="AK260" s="6">
        <f>3152.6+2355</f>
        <v>5507.6</v>
      </c>
      <c r="AL260" s="6">
        <f>9787721.95+217397.29+50000-50000+154404.36+14811.1+300000+400000+300000+147384.74+118800</f>
        <v>11440519.439999998</v>
      </c>
      <c r="AM260" s="8">
        <v>3.4000000000000002E-2</v>
      </c>
      <c r="AN260" s="8">
        <f t="shared" si="92"/>
        <v>390472.53964000003</v>
      </c>
      <c r="AO260" s="6">
        <f>146427+156189+63452+24405</f>
        <v>390473</v>
      </c>
      <c r="AP260" s="6">
        <f>366068+24405</f>
        <v>390473</v>
      </c>
      <c r="AQ260" s="6">
        <f t="shared" si="88"/>
        <v>-0.46035999996820465</v>
      </c>
      <c r="AR260" s="6"/>
      <c r="AS260" s="6"/>
      <c r="AT260" s="6"/>
    </row>
    <row r="261" spans="1:46" s="9" customFormat="1" x14ac:dyDescent="0.15">
      <c r="A261" s="35">
        <v>41640</v>
      </c>
      <c r="B261" s="2" t="s">
        <v>1903</v>
      </c>
      <c r="C261" s="6" t="s">
        <v>110</v>
      </c>
      <c r="D261" s="6" t="s">
        <v>139</v>
      </c>
      <c r="E261" s="6" t="s">
        <v>0</v>
      </c>
      <c r="F261" s="6" t="s">
        <v>140</v>
      </c>
      <c r="G261" s="6" t="s">
        <v>52</v>
      </c>
      <c r="H261" s="6" t="s">
        <v>141</v>
      </c>
      <c r="I261" s="6" t="s">
        <v>925</v>
      </c>
      <c r="J261" s="6" t="s">
        <v>927</v>
      </c>
      <c r="K261" s="6" t="s">
        <v>911</v>
      </c>
      <c r="L261" s="6"/>
      <c r="M261" s="6">
        <v>467301.49</v>
      </c>
      <c r="N261" s="6"/>
      <c r="O261" s="6"/>
      <c r="P261" s="6"/>
      <c r="Q261" s="7" t="s">
        <v>1596</v>
      </c>
      <c r="R261" s="42">
        <v>41652</v>
      </c>
      <c r="S261" s="6">
        <v>141</v>
      </c>
      <c r="T261" s="6"/>
      <c r="U261" s="6" t="s">
        <v>7</v>
      </c>
      <c r="V261" s="8">
        <v>3.5999999999999997E-2</v>
      </c>
      <c r="W261" s="6">
        <f t="shared" si="93"/>
        <v>16822.853639999998</v>
      </c>
      <c r="X261" s="6">
        <f>16823</f>
        <v>16823</v>
      </c>
      <c r="Y261" s="6">
        <f>16823</f>
        <v>16823</v>
      </c>
      <c r="Z261" s="6">
        <f t="shared" ref="Z261:Z263" si="94">W261-X261</f>
        <v>-0.14636000000245986</v>
      </c>
      <c r="AA261" s="6">
        <f>467301.49</f>
        <v>467301.49</v>
      </c>
      <c r="AB261" s="6">
        <f>467301.49</f>
        <v>467301.49</v>
      </c>
      <c r="AC261" s="6">
        <f>443936.42</f>
        <v>443936.42</v>
      </c>
      <c r="AD261" s="6">
        <f>443936.42</f>
        <v>443936.42</v>
      </c>
      <c r="AE261" s="8">
        <f t="shared" si="70"/>
        <v>0.95000000962975739</v>
      </c>
      <c r="AF261" s="6">
        <f>98157.64+67370.2+72080+62714.14+83536</f>
        <v>383857.98</v>
      </c>
      <c r="AG261" s="6">
        <f>383857.98</f>
        <v>383857.98</v>
      </c>
      <c r="AH261" s="6">
        <f>114045.64+67370.2+72080+62714.14+83536</f>
        <v>399745.98</v>
      </c>
      <c r="AI261" s="6"/>
      <c r="AJ261" s="6"/>
      <c r="AK261" s="6"/>
      <c r="AL261" s="6">
        <f>399745.98</f>
        <v>399745.98</v>
      </c>
      <c r="AM261" s="8">
        <v>3.4000000000000002E-2</v>
      </c>
      <c r="AN261" s="8">
        <f t="shared" si="92"/>
        <v>15888.250660000002</v>
      </c>
      <c r="AO261" s="6">
        <f>15888</f>
        <v>15888</v>
      </c>
      <c r="AP261" s="6">
        <f>15888</f>
        <v>15888</v>
      </c>
      <c r="AQ261" s="6">
        <f t="shared" si="88"/>
        <v>0.25066000000151689</v>
      </c>
      <c r="AR261" s="6"/>
      <c r="AS261" s="6">
        <v>5</v>
      </c>
      <c r="AT261" s="6" t="s">
        <v>1577</v>
      </c>
    </row>
    <row r="262" spans="1:46" s="9" customFormat="1" x14ac:dyDescent="0.15">
      <c r="A262" s="35">
        <v>41640</v>
      </c>
      <c r="B262" s="2" t="s">
        <v>1904</v>
      </c>
      <c r="C262" s="6" t="s">
        <v>111</v>
      </c>
      <c r="D262" s="6" t="s">
        <v>112</v>
      </c>
      <c r="E262" s="6" t="s">
        <v>0</v>
      </c>
      <c r="F262" s="6" t="s">
        <v>113</v>
      </c>
      <c r="G262" s="6" t="s">
        <v>52</v>
      </c>
      <c r="H262" s="6" t="s">
        <v>114</v>
      </c>
      <c r="I262" s="6" t="s">
        <v>115</v>
      </c>
      <c r="J262" s="6" t="s">
        <v>116</v>
      </c>
      <c r="K262" s="6" t="s">
        <v>40</v>
      </c>
      <c r="L262" s="6"/>
      <c r="M262" s="6">
        <v>42615176.350000001</v>
      </c>
      <c r="N262" s="6"/>
      <c r="O262" s="6"/>
      <c r="P262" s="6"/>
      <c r="Q262" s="7"/>
      <c r="R262" s="42"/>
      <c r="S262" s="6"/>
      <c r="T262" s="6"/>
      <c r="U262" s="6" t="s">
        <v>7</v>
      </c>
      <c r="V262" s="8">
        <v>0.03</v>
      </c>
      <c r="W262" s="6">
        <f t="shared" si="93"/>
        <v>1278455.2904999999</v>
      </c>
      <c r="X262" s="6">
        <f>300000+200000+300000+300000+187455</f>
        <v>1287455</v>
      </c>
      <c r="Y262" s="6">
        <f>800000+300000+187455</f>
        <v>1287455</v>
      </c>
      <c r="Z262" s="6">
        <f t="shared" si="94"/>
        <v>-8999.7095000001136</v>
      </c>
      <c r="AA262" s="6">
        <f>2000000+1400000+3100000+3386113.5+8000000+1562804.33+3792461.6+2185009.61+3000000+1527903.85</f>
        <v>29954292.890000001</v>
      </c>
      <c r="AB262" s="6">
        <f>17886113.5+1562804.33+3792461.6+2185009.61+3000000+1527903.85</f>
        <v>29954292.890000001</v>
      </c>
      <c r="AC262" s="6">
        <f>2000000+2000000+1400000+1100000+3386113.5+8000000+1562804.23+3792461.6+5185009.61+1527903.85</f>
        <v>29954292.790000003</v>
      </c>
      <c r="AD262" s="6">
        <f>17886113.5+1562804.33+3792461.6+5185009.61+1527903.85</f>
        <v>29954292.890000001</v>
      </c>
      <c r="AE262" s="8">
        <f t="shared" si="70"/>
        <v>0.70290200242243051</v>
      </c>
      <c r="AF262" s="6">
        <f>1699998.5+50000+935000+571220+93000+400000+937451.2+300000+397471.4+520000+1738100+500000+700000+400000+100000+7248+4143449+1030000+1300000+400000+717000+71500+1200000+400000+2900000+600000+2837507.32+350000+766700+70562+640000+200000+100000+200000+1010000+9717</f>
        <v>28295924.420000002</v>
      </c>
      <c r="AG262" s="6">
        <f>15822938.1+400000+717000+71500+1200000+400000+2900000+600000+2837507.32+350000+766700+70562+640000+200000+100000+200000+1019717</f>
        <v>28295924.420000002</v>
      </c>
      <c r="AH262" s="6">
        <f>1767998.5+152276.42+1088000-153000+571220+47600+93000+400000+937451.2+300000+70506+502871.4+520000+1853228+500000+700000+400000+100000+7248+4415449+1030000+1300000+400000+770135+71500+1200000+400000+3028944+600000+3013797.32+350000+766700+70562+640000+200000+100000+200000+1010000+51949</f>
        <v>29477435.84</v>
      </c>
      <c r="AI262" s="6">
        <f>2126</f>
        <v>2126</v>
      </c>
      <c r="AJ262" s="6">
        <f>4505</f>
        <v>4505</v>
      </c>
      <c r="AK262" s="6">
        <f>3086</f>
        <v>3086</v>
      </c>
      <c r="AL262" s="6">
        <f>16603848.52+400000+770135+71500+1200000+400000+3028944+600000+3013797.32+350000+766700+70562+640000+200000+100000+200000+1010000+9717+51949</f>
        <v>29487152.84</v>
      </c>
      <c r="AM262" s="8">
        <v>3.4000000000000002E-2</v>
      </c>
      <c r="AN262" s="8">
        <f t="shared" si="92"/>
        <v>1018445.9582600001</v>
      </c>
      <c r="AO262" s="6">
        <f>68000+47600+105400+115128+272000+53135+128944+176290+51949</f>
        <v>1018446</v>
      </c>
      <c r="AP262" s="6">
        <f>608128+53135+128944+176290+51949</f>
        <v>1018446</v>
      </c>
      <c r="AQ262" s="6">
        <f t="shared" si="88"/>
        <v>-4.1739999898709357E-2</v>
      </c>
      <c r="AR262" s="6" t="s">
        <v>989</v>
      </c>
      <c r="AS262" s="6">
        <v>150</v>
      </c>
      <c r="AT262" s="6" t="s">
        <v>8</v>
      </c>
    </row>
    <row r="263" spans="1:46" s="9" customFormat="1" x14ac:dyDescent="0.15">
      <c r="A263" s="35">
        <v>41699</v>
      </c>
      <c r="B263" s="2" t="s">
        <v>1905</v>
      </c>
      <c r="C263" s="6" t="s">
        <v>1367</v>
      </c>
      <c r="D263" s="6" t="s">
        <v>1368</v>
      </c>
      <c r="E263" s="6" t="s">
        <v>0</v>
      </c>
      <c r="F263" s="6" t="s">
        <v>60</v>
      </c>
      <c r="G263" s="6" t="s">
        <v>1369</v>
      </c>
      <c r="H263" s="6" t="s">
        <v>325</v>
      </c>
      <c r="I263" s="6" t="s">
        <v>1461</v>
      </c>
      <c r="J263" s="6" t="s">
        <v>325</v>
      </c>
      <c r="K263" s="6" t="s">
        <v>149</v>
      </c>
      <c r="L263" s="6"/>
      <c r="M263" s="6">
        <v>1917855</v>
      </c>
      <c r="N263" s="6">
        <f>1786410+1935450+1962360</f>
        <v>5684220</v>
      </c>
      <c r="O263" s="6"/>
      <c r="P263" s="6"/>
      <c r="Q263" s="7" t="s">
        <v>1370</v>
      </c>
      <c r="R263" s="42">
        <v>41724</v>
      </c>
      <c r="S263" s="6">
        <f>576+536+581+589</f>
        <v>2282</v>
      </c>
      <c r="T263" s="6"/>
      <c r="U263" s="6" t="s">
        <v>7</v>
      </c>
      <c r="V263" s="8">
        <v>0.03</v>
      </c>
      <c r="W263" s="6">
        <f t="shared" si="93"/>
        <v>57535.65</v>
      </c>
      <c r="X263" s="6">
        <f>13182</f>
        <v>13182</v>
      </c>
      <c r="Y263" s="6">
        <f>13182</f>
        <v>13182</v>
      </c>
      <c r="Z263" s="6">
        <f t="shared" si="94"/>
        <v>44353.65</v>
      </c>
      <c r="AA263" s="6">
        <f>1000000+500000</f>
        <v>1500000</v>
      </c>
      <c r="AB263" s="6">
        <f>1000000+500000</f>
        <v>1500000</v>
      </c>
      <c r="AC263" s="6">
        <f>1000000+500000</f>
        <v>1500000</v>
      </c>
      <c r="AD263" s="6">
        <f>1000000+500000</f>
        <v>1500000</v>
      </c>
      <c r="AE263" s="8">
        <f t="shared" si="70"/>
        <v>0.19731454898826964</v>
      </c>
      <c r="AF263" s="6">
        <f>430000+100000+13182+590901.4+100050+200000</f>
        <v>1434133.4</v>
      </c>
      <c r="AG263" s="6">
        <f>430000+100000+13182+590901.4+100050+200000</f>
        <v>1434133.4</v>
      </c>
      <c r="AH263" s="6">
        <f>464000+100000+590901.4+100050+217000</f>
        <v>1471951.4</v>
      </c>
      <c r="AI263" s="6"/>
      <c r="AJ263" s="6"/>
      <c r="AK263" s="6">
        <f>13182</f>
        <v>13182</v>
      </c>
      <c r="AL263" s="6">
        <f>464000+100000+13182+590901.4+100050+217000</f>
        <v>1485133.4</v>
      </c>
      <c r="AM263" s="8">
        <v>3.4000000000000002E-2</v>
      </c>
      <c r="AN263" s="8">
        <f t="shared" si="92"/>
        <v>51000.000000000007</v>
      </c>
      <c r="AO263" s="6">
        <f>34000+17000</f>
        <v>51000</v>
      </c>
      <c r="AP263" s="6">
        <f>34000+17000</f>
        <v>51000</v>
      </c>
      <c r="AQ263" s="6">
        <f t="shared" si="88"/>
        <v>0</v>
      </c>
      <c r="AR263" s="6"/>
      <c r="AS263" s="6">
        <v>60</v>
      </c>
      <c r="AT263" s="6" t="s">
        <v>1371</v>
      </c>
    </row>
    <row r="264" spans="1:46" s="9" customFormat="1" x14ac:dyDescent="0.15">
      <c r="A264" s="35">
        <v>41699</v>
      </c>
      <c r="B264" s="2" t="s">
        <v>1906</v>
      </c>
      <c r="C264" s="6" t="s">
        <v>66</v>
      </c>
      <c r="D264" s="6" t="s">
        <v>67</v>
      </c>
      <c r="E264" s="6" t="s">
        <v>0</v>
      </c>
      <c r="F264" s="6" t="s">
        <v>68</v>
      </c>
      <c r="G264" s="6" t="s">
        <v>52</v>
      </c>
      <c r="H264" s="6" t="s">
        <v>69</v>
      </c>
      <c r="I264" s="6" t="s">
        <v>70</v>
      </c>
      <c r="J264" s="6" t="s">
        <v>69</v>
      </c>
      <c r="K264" s="6" t="s">
        <v>40</v>
      </c>
      <c r="L264" s="6"/>
      <c r="M264" s="6">
        <v>261648.41</v>
      </c>
      <c r="N264" s="6"/>
      <c r="O264" s="6"/>
      <c r="P264" s="6"/>
      <c r="Q264" s="7" t="s">
        <v>71</v>
      </c>
      <c r="R264" s="42">
        <v>41724</v>
      </c>
      <c r="S264" s="6">
        <v>79</v>
      </c>
      <c r="T264" s="6"/>
      <c r="U264" s="6" t="s">
        <v>7</v>
      </c>
      <c r="V264" s="8">
        <v>3.5999999999999997E-2</v>
      </c>
      <c r="W264" s="6">
        <f>M264*V264</f>
        <v>9419.3427599999995</v>
      </c>
      <c r="X264" s="6">
        <v>9419</v>
      </c>
      <c r="Y264" s="6">
        <v>9419</v>
      </c>
      <c r="Z264" s="6">
        <v>0</v>
      </c>
      <c r="AA264" s="6">
        <v>248565.99</v>
      </c>
      <c r="AB264" s="6">
        <f>248565.99</f>
        <v>248565.99</v>
      </c>
      <c r="AC264" s="6">
        <f>248565.99</f>
        <v>248565.99</v>
      </c>
      <c r="AD264" s="6">
        <f>248565.99</f>
        <v>248565.99</v>
      </c>
      <c r="AE264" s="8">
        <f t="shared" si="70"/>
        <v>0.95000000191096134</v>
      </c>
      <c r="AF264" s="6">
        <f>109977+75077.56</f>
        <v>185054.56</v>
      </c>
      <c r="AG264" s="6">
        <f>109977+75077.56</f>
        <v>185054.56</v>
      </c>
      <c r="AH264" s="6">
        <f>8541+109977+130000-130000+75077.56</f>
        <v>193595.56</v>
      </c>
      <c r="AI264" s="6"/>
      <c r="AJ264" s="6"/>
      <c r="AK264" s="6"/>
      <c r="AL264" s="6">
        <f>118518+130000-130000+75077.56</f>
        <v>193595.56</v>
      </c>
      <c r="AM264" s="8">
        <v>3.4000000000000002E-2</v>
      </c>
      <c r="AN264" s="8">
        <f t="shared" si="92"/>
        <v>8451.2436600000001</v>
      </c>
      <c r="AO264" s="6">
        <v>8541</v>
      </c>
      <c r="AP264" s="6">
        <f>8541</f>
        <v>8541</v>
      </c>
      <c r="AQ264" s="6">
        <f t="shared" si="88"/>
        <v>-89.756339999999909</v>
      </c>
      <c r="AR264" s="6"/>
      <c r="AS264" s="6"/>
      <c r="AT264" s="6"/>
    </row>
    <row r="265" spans="1:46" s="9" customFormat="1" x14ac:dyDescent="0.15">
      <c r="A265" s="35">
        <v>41699</v>
      </c>
      <c r="B265" s="2" t="s">
        <v>1907</v>
      </c>
      <c r="C265" s="6" t="s">
        <v>153</v>
      </c>
      <c r="D265" s="6" t="s">
        <v>162</v>
      </c>
      <c r="E265" s="6" t="s">
        <v>0</v>
      </c>
      <c r="F265" s="6" t="s">
        <v>1221</v>
      </c>
      <c r="G265" s="6" t="s">
        <v>163</v>
      </c>
      <c r="H265" s="6" t="s">
        <v>164</v>
      </c>
      <c r="I265" s="6" t="s">
        <v>165</v>
      </c>
      <c r="J265" s="6" t="s">
        <v>164</v>
      </c>
      <c r="K265" s="6"/>
      <c r="L265" s="6"/>
      <c r="M265" s="6">
        <v>1054353.53</v>
      </c>
      <c r="N265" s="6"/>
      <c r="O265" s="6"/>
      <c r="P265" s="6"/>
      <c r="Q265" s="7" t="s">
        <v>1597</v>
      </c>
      <c r="R265" s="42">
        <v>41984</v>
      </c>
      <c r="S265" s="6">
        <v>317</v>
      </c>
      <c r="T265" s="6"/>
      <c r="U265" s="6" t="s">
        <v>7</v>
      </c>
      <c r="V265" s="8">
        <v>0.03</v>
      </c>
      <c r="W265" s="6">
        <f t="shared" ref="W265:W268" si="95">M265*V265</f>
        <v>31630.605899999999</v>
      </c>
      <c r="X265" s="6">
        <f>31631</f>
        <v>31631</v>
      </c>
      <c r="Y265" s="6">
        <f>31631</f>
        <v>31631</v>
      </c>
      <c r="Z265" s="6">
        <v>0</v>
      </c>
      <c r="AA265" s="6">
        <f>200000+300000</f>
        <v>500000</v>
      </c>
      <c r="AB265" s="6">
        <f>200000+300000</f>
        <v>500000</v>
      </c>
      <c r="AC265" s="6">
        <f>200000+300000</f>
        <v>500000</v>
      </c>
      <c r="AD265" s="6">
        <f>200000+300000</f>
        <v>500000</v>
      </c>
      <c r="AE265" s="8">
        <f t="shared" si="70"/>
        <v>0.4742242386194695</v>
      </c>
      <c r="AF265" s="6">
        <f>80000+75000+300000</f>
        <v>455000</v>
      </c>
      <c r="AG265" s="6">
        <f>80000+75000+300000</f>
        <v>455000</v>
      </c>
      <c r="AH265" s="6">
        <f>80000+6800+75000+10200+300000</f>
        <v>472000</v>
      </c>
      <c r="AI265" s="6"/>
      <c r="AJ265" s="6"/>
      <c r="AK265" s="6"/>
      <c r="AL265" s="6">
        <f>80000+6800+75000+10200+300000</f>
        <v>472000</v>
      </c>
      <c r="AM265" s="8">
        <v>3.4000000000000002E-2</v>
      </c>
      <c r="AN265" s="8">
        <f t="shared" si="92"/>
        <v>17000</v>
      </c>
      <c r="AO265" s="6">
        <f>6800+10200</f>
        <v>17000</v>
      </c>
      <c r="AP265" s="6">
        <f>6800+10200</f>
        <v>17000</v>
      </c>
      <c r="AQ265" s="6">
        <f t="shared" si="88"/>
        <v>0</v>
      </c>
      <c r="AR265" s="6"/>
      <c r="AS265" s="6">
        <v>15</v>
      </c>
      <c r="AT265" s="6" t="s">
        <v>167</v>
      </c>
    </row>
    <row r="266" spans="1:46" s="9" customFormat="1" x14ac:dyDescent="0.15">
      <c r="A266" s="35">
        <v>41730</v>
      </c>
      <c r="B266" s="2" t="s">
        <v>1908</v>
      </c>
      <c r="C266" s="6" t="s">
        <v>154</v>
      </c>
      <c r="D266" s="6" t="s">
        <v>157</v>
      </c>
      <c r="E266" s="6" t="s">
        <v>0</v>
      </c>
      <c r="F266" s="6" t="s">
        <v>158</v>
      </c>
      <c r="G266" s="6" t="s">
        <v>146</v>
      </c>
      <c r="H266" s="6" t="s">
        <v>159</v>
      </c>
      <c r="I266" s="6" t="s">
        <v>23</v>
      </c>
      <c r="J266" s="6" t="s">
        <v>22</v>
      </c>
      <c r="K266" s="6" t="s">
        <v>13</v>
      </c>
      <c r="L266" s="6"/>
      <c r="M266" s="6">
        <v>1393840</v>
      </c>
      <c r="N266" s="6">
        <f>429523.15+77938.15+345972.4</f>
        <v>853433.70000000007</v>
      </c>
      <c r="O266" s="6"/>
      <c r="P266" s="6"/>
      <c r="Q266" s="7" t="s">
        <v>160</v>
      </c>
      <c r="R266" s="42">
        <v>41763</v>
      </c>
      <c r="S266" s="6">
        <v>419</v>
      </c>
      <c r="T266" s="6"/>
      <c r="U266" s="6" t="s">
        <v>7</v>
      </c>
      <c r="V266" s="8">
        <v>3.5999999999999997E-2</v>
      </c>
      <c r="W266" s="6">
        <f>V266*(M266+N266)</f>
        <v>80901.853199999998</v>
      </c>
      <c r="X266" s="6">
        <f>45613+5000+27483</f>
        <v>78096</v>
      </c>
      <c r="Y266" s="6">
        <f>50613+27483</f>
        <v>78096</v>
      </c>
      <c r="Z266" s="6">
        <f>W266-Y266</f>
        <v>2805.8531999999977</v>
      </c>
      <c r="AA266" s="6">
        <f>335937+217744.38+24436.3+128856.94+19484.54+415975.55+490195.76+200000</f>
        <v>1832630.4700000002</v>
      </c>
      <c r="AB266" s="6">
        <f>1142434.71+490195.76+200000</f>
        <v>1832630.47</v>
      </c>
      <c r="AC266" s="6">
        <f>335937+242180.68+564317.03+171809.26+318386.5+200000</f>
        <v>1832630.47</v>
      </c>
      <c r="AD266" s="6">
        <f>578117.68+564317.03+171809.26+318386.5+200000</f>
        <v>1832630.47</v>
      </c>
      <c r="AE266" s="8">
        <f t="shared" si="70"/>
        <v>0.81549055195190501</v>
      </c>
      <c r="AF266" s="6">
        <f>65000+220000+13300+40000+203700+390058.05+28000+120000+128500+100000+138279.76+40717.7+157200+118000+9369.1+7000</f>
        <v>1779124.61</v>
      </c>
      <c r="AG266" s="6">
        <f>338300+203700+390058.05+28000+120000+128500+100000+138279.76+40717.7+157200+118000+9369.1+7000</f>
        <v>1779124.61</v>
      </c>
      <c r="AH266" s="6">
        <f>78094+220000+7403+831+18343+54143+203700+390058.05+26667+120000+128500+50000+100000+145079.76+40717.7+157200-80000+118000</f>
        <v>1778736.51</v>
      </c>
      <c r="AI266" s="6"/>
      <c r="AJ266" s="6">
        <v>7000</v>
      </c>
      <c r="AK266" s="6">
        <f>9369.1</f>
        <v>9369.1</v>
      </c>
      <c r="AL266" s="6">
        <f>378814+203700+390058.05+26667+120000+128500+50000+100000+145079.76+40717.7+157200-80000+118000+9369.1+7000</f>
        <v>1795105.61</v>
      </c>
      <c r="AM266" s="8">
        <v>3.4000000000000002E-2</v>
      </c>
      <c r="AN266" s="8">
        <f t="shared" si="92"/>
        <v>62309.435980000002</v>
      </c>
      <c r="AO266" s="6">
        <f>11422+7403+831+4381+662+14143+10825+5842+6800</f>
        <v>62309</v>
      </c>
      <c r="AP266" s="6">
        <f>38842+10825+5842+6800</f>
        <v>62309</v>
      </c>
      <c r="AQ266" s="6">
        <f t="shared" si="88"/>
        <v>0.43598000000201864</v>
      </c>
      <c r="AR266" s="6"/>
      <c r="AS266" s="6">
        <v>20</v>
      </c>
      <c r="AT266" s="6" t="s">
        <v>161</v>
      </c>
    </row>
    <row r="267" spans="1:46" s="9" customFormat="1" x14ac:dyDescent="0.15">
      <c r="A267" s="35">
        <v>41730</v>
      </c>
      <c r="B267" s="2" t="s">
        <v>1909</v>
      </c>
      <c r="C267" s="6" t="s">
        <v>155</v>
      </c>
      <c r="D267" s="6" t="s">
        <v>168</v>
      </c>
      <c r="E267" s="6" t="s">
        <v>0</v>
      </c>
      <c r="F267" s="6" t="s">
        <v>169</v>
      </c>
      <c r="G267" s="6" t="s">
        <v>170</v>
      </c>
      <c r="H267" s="6" t="s">
        <v>171</v>
      </c>
      <c r="I267" s="6" t="s">
        <v>172</v>
      </c>
      <c r="J267" s="6" t="s">
        <v>171</v>
      </c>
      <c r="K267" s="6" t="s">
        <v>173</v>
      </c>
      <c r="L267" s="6"/>
      <c r="M267" s="6">
        <v>1470000</v>
      </c>
      <c r="N267" s="6"/>
      <c r="O267" s="6"/>
      <c r="P267" s="6"/>
      <c r="Q267" s="7" t="s">
        <v>1598</v>
      </c>
      <c r="R267" s="42">
        <v>41901</v>
      </c>
      <c r="S267" s="6">
        <v>441</v>
      </c>
      <c r="T267" s="6"/>
      <c r="U267" s="6" t="s">
        <v>7</v>
      </c>
      <c r="V267" s="8">
        <v>3.5999999999999997E-2</v>
      </c>
      <c r="W267" s="6">
        <f t="shared" si="95"/>
        <v>52919.999999999993</v>
      </c>
      <c r="X267" s="6">
        <f>48921+3999</f>
        <v>52920</v>
      </c>
      <c r="Y267" s="6">
        <f>48921+3999</f>
        <v>52920</v>
      </c>
      <c r="Z267" s="6">
        <f>W267-Y267</f>
        <v>0</v>
      </c>
      <c r="AA267" s="6">
        <f>664033.28+511966.73</f>
        <v>1176000.01</v>
      </c>
      <c r="AB267" s="6">
        <f>1176000</f>
        <v>1176000</v>
      </c>
      <c r="AC267" s="6">
        <f>664033.28+505966.73</f>
        <v>1170000.01</v>
      </c>
      <c r="AD267" s="6">
        <f>664033.28+505966.73</f>
        <v>1170000.01</v>
      </c>
      <c r="AE267" s="8">
        <f t="shared" si="70"/>
        <v>0.79591837414965982</v>
      </c>
      <c r="AF267" s="6">
        <f>182910+58000+3028.24+57870+1800+399600+38400+24480+30000+300000+23443.5+10098</f>
        <v>1129629.74</v>
      </c>
      <c r="AG267" s="6">
        <f>182910+58000+3028.24+57870+1800+399600+38400+24480+30000+300000+23443.5+10098</f>
        <v>1129629.74</v>
      </c>
      <c r="AH267" s="6">
        <f>222894+58000+3028.24+57870+1800+399600+38400+24480+30000+300000+23443.5</f>
        <v>1159515.74</v>
      </c>
      <c r="AI267" s="6">
        <f>2885</f>
        <v>2885</v>
      </c>
      <c r="AJ267" s="6"/>
      <c r="AK267" s="6">
        <f>7213</f>
        <v>7213</v>
      </c>
      <c r="AL267" s="6">
        <f>222894+58000+3028.24+57870+1800+399600+38400+24480+30000+300000+23443.5+10098</f>
        <v>1169613.74</v>
      </c>
      <c r="AM267" s="8">
        <v>3.4000000000000002E-2</v>
      </c>
      <c r="AN267" s="8">
        <f t="shared" si="92"/>
        <v>39984</v>
      </c>
      <c r="AO267" s="6">
        <f>22577+17407</f>
        <v>39984</v>
      </c>
      <c r="AP267" s="6">
        <f>39984</f>
        <v>39984</v>
      </c>
      <c r="AQ267" s="6">
        <f t="shared" si="88"/>
        <v>0</v>
      </c>
      <c r="AR267" s="6"/>
      <c r="AS267" s="6">
        <v>1</v>
      </c>
      <c r="AT267" s="6" t="s">
        <v>174</v>
      </c>
    </row>
    <row r="268" spans="1:46" s="9" customFormat="1" x14ac:dyDescent="0.15">
      <c r="A268" s="35">
        <v>41745</v>
      </c>
      <c r="B268" s="2" t="s">
        <v>1910</v>
      </c>
      <c r="C268" s="6" t="s">
        <v>156</v>
      </c>
      <c r="D268" s="6" t="s">
        <v>175</v>
      </c>
      <c r="E268" s="6" t="s">
        <v>0</v>
      </c>
      <c r="F268" s="6" t="s">
        <v>176</v>
      </c>
      <c r="G268" s="6" t="s">
        <v>170</v>
      </c>
      <c r="H268" s="6" t="s">
        <v>177</v>
      </c>
      <c r="I268" s="6" t="s">
        <v>178</v>
      </c>
      <c r="J268" s="6" t="s">
        <v>179</v>
      </c>
      <c r="K268" s="6" t="s">
        <v>173</v>
      </c>
      <c r="L268" s="6"/>
      <c r="M268" s="6">
        <v>1287679</v>
      </c>
      <c r="N268" s="6"/>
      <c r="O268" s="6"/>
      <c r="P268" s="6"/>
      <c r="Q268" s="7" t="s">
        <v>1599</v>
      </c>
      <c r="R268" s="42">
        <v>41780</v>
      </c>
      <c r="S268" s="6">
        <v>387</v>
      </c>
      <c r="T268" s="6"/>
      <c r="U268" s="6" t="s">
        <v>7</v>
      </c>
      <c r="V268" s="8">
        <v>3.5999999999999997E-2</v>
      </c>
      <c r="W268" s="6">
        <f t="shared" si="95"/>
        <v>46356.443999999996</v>
      </c>
      <c r="X268" s="6">
        <f>46356</f>
        <v>46356</v>
      </c>
      <c r="Y268" s="6">
        <f>46356</f>
        <v>46356</v>
      </c>
      <c r="Z268" s="6">
        <v>0</v>
      </c>
      <c r="AA268" s="6">
        <f>400000+150000</f>
        <v>550000</v>
      </c>
      <c r="AB268" s="6">
        <f>400000+150000</f>
        <v>550000</v>
      </c>
      <c r="AC268" s="6">
        <f>400000+150000</f>
        <v>550000</v>
      </c>
      <c r="AD268" s="6">
        <f>400000+150000</f>
        <v>550000</v>
      </c>
      <c r="AE268" s="8">
        <f t="shared" si="70"/>
        <v>0.42712508319231735</v>
      </c>
      <c r="AF268" s="6">
        <f>100000+153418.72+100000+9800+116000</f>
        <v>479218.72</v>
      </c>
      <c r="AG268" s="6">
        <f>353418.72+9800+116000</f>
        <v>479218.72</v>
      </c>
      <c r="AH268" s="6">
        <f>113600+153418.72+100000+9800+5100+116000</f>
        <v>497918.71999999997</v>
      </c>
      <c r="AI268" s="6"/>
      <c r="AJ268" s="6"/>
      <c r="AK268" s="6"/>
      <c r="AL268" s="6">
        <f>367018.72+9800+5100+116000</f>
        <v>497918.71999999997</v>
      </c>
      <c r="AM268" s="8">
        <v>3.4000000000000002E-2</v>
      </c>
      <c r="AN268" s="8">
        <f t="shared" si="92"/>
        <v>18700</v>
      </c>
      <c r="AO268" s="6">
        <f>13600+5100</f>
        <v>18700</v>
      </c>
      <c r="AP268" s="6">
        <f>13600+5100</f>
        <v>18700</v>
      </c>
      <c r="AQ268" s="6">
        <f t="shared" si="88"/>
        <v>0</v>
      </c>
      <c r="AR268" s="6"/>
      <c r="AS268" s="6">
        <v>20</v>
      </c>
      <c r="AT268" s="6" t="s">
        <v>161</v>
      </c>
    </row>
    <row r="269" spans="1:46" s="9" customFormat="1" x14ac:dyDescent="0.15">
      <c r="A269" s="35">
        <v>41747</v>
      </c>
      <c r="B269" s="2" t="s">
        <v>1911</v>
      </c>
      <c r="C269" s="6" t="s">
        <v>24</v>
      </c>
      <c r="D269" s="6" t="s">
        <v>48</v>
      </c>
      <c r="E269" s="6" t="s">
        <v>0</v>
      </c>
      <c r="F269" s="6" t="s">
        <v>21</v>
      </c>
      <c r="G269" s="6" t="s">
        <v>10</v>
      </c>
      <c r="H269" s="6" t="s">
        <v>22</v>
      </c>
      <c r="I269" s="6" t="s">
        <v>23</v>
      </c>
      <c r="J269" s="6" t="s">
        <v>22</v>
      </c>
      <c r="K269" s="6" t="s">
        <v>13</v>
      </c>
      <c r="L269" s="6"/>
      <c r="M269" s="6">
        <v>420488.3</v>
      </c>
      <c r="N269" s="6"/>
      <c r="O269" s="6"/>
      <c r="P269" s="6"/>
      <c r="Q269" s="7" t="s">
        <v>25</v>
      </c>
      <c r="R269" s="42">
        <v>41789</v>
      </c>
      <c r="S269" s="6">
        <v>127</v>
      </c>
      <c r="T269" s="6"/>
      <c r="U269" s="6" t="s">
        <v>7</v>
      </c>
      <c r="V269" s="8">
        <v>3.5999999999999997E-2</v>
      </c>
      <c r="W269" s="6">
        <f>V269*M269</f>
        <v>15137.578799999999</v>
      </c>
      <c r="X269" s="6">
        <f>15138</f>
        <v>15138</v>
      </c>
      <c r="Y269" s="6">
        <f>15138</f>
        <v>15138</v>
      </c>
      <c r="Z269" s="6">
        <f>W269-Y269</f>
        <v>-0.42120000000068103</v>
      </c>
      <c r="AA269" s="6">
        <f>378000</f>
        <v>378000</v>
      </c>
      <c r="AB269" s="6">
        <f>378000</f>
        <v>378000</v>
      </c>
      <c r="AC269" s="6">
        <f>378000</f>
        <v>378000</v>
      </c>
      <c r="AD269" s="6">
        <f>378000</f>
        <v>378000</v>
      </c>
      <c r="AE269" s="8">
        <f t="shared" si="70"/>
        <v>0.89895485795918695</v>
      </c>
      <c r="AF269" s="6">
        <f>138482+180202.49</f>
        <v>318684.49</v>
      </c>
      <c r="AG269" s="6">
        <f>318684.49</f>
        <v>318684.49</v>
      </c>
      <c r="AH269" s="6">
        <f>151334+190202.49+10000-10000</f>
        <v>341536.49</v>
      </c>
      <c r="AI269" s="6"/>
      <c r="AJ269" s="6"/>
      <c r="AK269" s="6"/>
      <c r="AL269" s="6">
        <f>341536.49+10000-10000</f>
        <v>341536.49</v>
      </c>
      <c r="AM269" s="8">
        <v>3.4000000000000002E-2</v>
      </c>
      <c r="AN269" s="8">
        <f t="shared" si="92"/>
        <v>12852.000000000002</v>
      </c>
      <c r="AO269" s="6">
        <f>12852</f>
        <v>12852</v>
      </c>
      <c r="AP269" s="6">
        <f>12852</f>
        <v>12852</v>
      </c>
      <c r="AQ269" s="6">
        <f t="shared" si="88"/>
        <v>0</v>
      </c>
      <c r="AR269" s="6"/>
      <c r="AS269" s="6">
        <v>5</v>
      </c>
      <c r="AT269" s="6" t="s">
        <v>26</v>
      </c>
    </row>
    <row r="270" spans="1:46" s="9" customFormat="1" x14ac:dyDescent="0.15">
      <c r="A270" s="35">
        <v>41744</v>
      </c>
      <c r="B270" s="2" t="s">
        <v>1912</v>
      </c>
      <c r="C270" s="6" t="s">
        <v>198</v>
      </c>
      <c r="D270" s="6" t="s">
        <v>197</v>
      </c>
      <c r="E270" s="6" t="s">
        <v>0</v>
      </c>
      <c r="F270" s="6" t="s">
        <v>940</v>
      </c>
      <c r="G270" s="6" t="s">
        <v>941</v>
      </c>
      <c r="H270" s="6" t="s">
        <v>147</v>
      </c>
      <c r="I270" s="11" t="s">
        <v>148</v>
      </c>
      <c r="J270" s="11" t="s">
        <v>150</v>
      </c>
      <c r="K270" s="6"/>
      <c r="L270" s="6"/>
      <c r="M270" s="6">
        <v>1414102.49</v>
      </c>
      <c r="N270" s="6"/>
      <c r="O270" s="6"/>
      <c r="P270" s="6"/>
      <c r="Q270" s="7" t="s">
        <v>1600</v>
      </c>
      <c r="R270" s="42">
        <v>41763</v>
      </c>
      <c r="S270" s="6">
        <v>425</v>
      </c>
      <c r="T270" s="6"/>
      <c r="U270" s="6" t="s">
        <v>7</v>
      </c>
      <c r="V270" s="8">
        <v>3.5999999999999997E-2</v>
      </c>
      <c r="W270" s="6">
        <f>V270*M270</f>
        <v>50907.689639999997</v>
      </c>
      <c r="X270" s="6">
        <f>50908</f>
        <v>50908</v>
      </c>
      <c r="Y270" s="6">
        <f>50908</f>
        <v>50908</v>
      </c>
      <c r="Z270" s="6">
        <v>0</v>
      </c>
      <c r="AA270" s="6"/>
      <c r="AB270" s="6"/>
      <c r="AC270" s="6">
        <f>424230.75</f>
        <v>424230.75</v>
      </c>
      <c r="AD270" s="6">
        <f>424230.75</f>
        <v>424230.75</v>
      </c>
      <c r="AE270" s="8">
        <f t="shared" si="70"/>
        <v>0.30000000212148697</v>
      </c>
      <c r="AF270" s="6">
        <f>390089.53</f>
        <v>390089.53</v>
      </c>
      <c r="AG270" s="6">
        <f>390089.53</f>
        <v>390089.53</v>
      </c>
      <c r="AH270" s="6">
        <f>390089.53</f>
        <v>390089.53</v>
      </c>
      <c r="AI270" s="6"/>
      <c r="AJ270" s="6"/>
      <c r="AK270" s="6"/>
      <c r="AL270" s="6">
        <f>390089.53</f>
        <v>390089.53</v>
      </c>
      <c r="AM270" s="8"/>
      <c r="AN270" s="8">
        <f t="shared" si="92"/>
        <v>0</v>
      </c>
      <c r="AO270" s="6"/>
      <c r="AP270" s="6"/>
      <c r="AQ270" s="6">
        <f t="shared" si="88"/>
        <v>0</v>
      </c>
      <c r="AR270" s="6"/>
      <c r="AS270" s="6">
        <v>15</v>
      </c>
      <c r="AT270" s="6" t="s">
        <v>152</v>
      </c>
    </row>
    <row r="271" spans="1:46" s="9" customFormat="1" x14ac:dyDescent="0.15">
      <c r="A271" s="35">
        <v>41760</v>
      </c>
      <c r="B271" s="2" t="s">
        <v>1913</v>
      </c>
      <c r="C271" s="6" t="s">
        <v>180</v>
      </c>
      <c r="D271" s="6" t="s">
        <v>199</v>
      </c>
      <c r="E271" s="6" t="s">
        <v>0</v>
      </c>
      <c r="F271" s="6" t="s">
        <v>200</v>
      </c>
      <c r="G271" s="6" t="s">
        <v>201</v>
      </c>
      <c r="H271" s="6" t="s">
        <v>202</v>
      </c>
      <c r="I271" s="6" t="s">
        <v>203</v>
      </c>
      <c r="J271" s="6" t="s">
        <v>202</v>
      </c>
      <c r="K271" s="6" t="s">
        <v>166</v>
      </c>
      <c r="L271" s="6"/>
      <c r="M271" s="6">
        <v>10118443</v>
      </c>
      <c r="N271" s="6"/>
      <c r="O271" s="6"/>
      <c r="P271" s="6"/>
      <c r="Q271" s="7"/>
      <c r="R271" s="42"/>
      <c r="S271" s="6"/>
      <c r="T271" s="6"/>
      <c r="U271" s="6" t="s">
        <v>7</v>
      </c>
      <c r="V271" s="8">
        <v>0.03</v>
      </c>
      <c r="W271" s="6">
        <f t="shared" ref="W271:W292" si="96">V271*M271</f>
        <v>303553.28999999998</v>
      </c>
      <c r="X271" s="6">
        <f>100000+100000+103553</f>
        <v>303553</v>
      </c>
      <c r="Y271" s="6">
        <f>100000+100000+103553</f>
        <v>303553</v>
      </c>
      <c r="Z271" s="6">
        <f t="shared" ref="Z271:Z302" si="97">W271-Y271</f>
        <v>0.28999999997904524</v>
      </c>
      <c r="AA271" s="6">
        <f>1800000+3000000+1700000+1410000</f>
        <v>7910000</v>
      </c>
      <c r="AB271" s="6">
        <f>1800000+3000000+1700000+1410000</f>
        <v>7910000</v>
      </c>
      <c r="AC271" s="6">
        <f>1800000+2900000+1700000+1300000</f>
        <v>7700000</v>
      </c>
      <c r="AD271" s="6">
        <f>1800000+2900000+1700000+1300000</f>
        <v>7700000</v>
      </c>
      <c r="AE271" s="8">
        <f t="shared" si="70"/>
        <v>0.76098664587031817</v>
      </c>
      <c r="AF271" s="6">
        <f>1739791+1500000+1000000+100000+100000+1763580+925000+200000</f>
        <v>7328371</v>
      </c>
      <c r="AG271" s="6">
        <f>1739791+1500000+1000000+100000+100000+1763580+925000+200000</f>
        <v>7328371</v>
      </c>
      <c r="AH271" s="6">
        <f>1739791+61020+1500000+1000000+112200+100000+100000+1763580+977734+200000</f>
        <v>7554325</v>
      </c>
      <c r="AI271" s="6"/>
      <c r="AJ271" s="6"/>
      <c r="AK271" s="6"/>
      <c r="AL271" s="6">
        <f>1800811+1500000+1000000+112200+100000+100000+1763580+977734+200000</f>
        <v>7554325</v>
      </c>
      <c r="AM271" s="8">
        <v>3.7400000000000003E-2</v>
      </c>
      <c r="AN271" s="8">
        <f t="shared" si="92"/>
        <v>295834</v>
      </c>
      <c r="AO271" s="6">
        <f>67320+112200+63580+52734</f>
        <v>295834</v>
      </c>
      <c r="AP271" s="6">
        <f>67320+112200+63580+52734</f>
        <v>295834</v>
      </c>
      <c r="AQ271" s="6">
        <f t="shared" si="88"/>
        <v>0</v>
      </c>
      <c r="AR271" s="6"/>
      <c r="AS271" s="6">
        <v>132</v>
      </c>
      <c r="AT271" s="6" t="s">
        <v>152</v>
      </c>
    </row>
    <row r="272" spans="1:46" s="9" customFormat="1" x14ac:dyDescent="0.15">
      <c r="A272" s="35">
        <v>41767</v>
      </c>
      <c r="B272" s="2" t="s">
        <v>1914</v>
      </c>
      <c r="C272" s="6" t="s">
        <v>181</v>
      </c>
      <c r="D272" s="6" t="s">
        <v>204</v>
      </c>
      <c r="E272" s="6" t="s">
        <v>0</v>
      </c>
      <c r="F272" s="6" t="s">
        <v>205</v>
      </c>
      <c r="G272" s="6" t="s">
        <v>170</v>
      </c>
      <c r="H272" s="6" t="s">
        <v>206</v>
      </c>
      <c r="I272" s="6" t="s">
        <v>207</v>
      </c>
      <c r="J272" s="6" t="s">
        <v>208</v>
      </c>
      <c r="K272" s="6" t="s">
        <v>173</v>
      </c>
      <c r="L272" s="6"/>
      <c r="M272" s="6">
        <v>944953.41</v>
      </c>
      <c r="N272" s="6"/>
      <c r="O272" s="6"/>
      <c r="P272" s="6"/>
      <c r="Q272" s="7" t="s">
        <v>209</v>
      </c>
      <c r="R272" s="42">
        <v>41773</v>
      </c>
      <c r="S272" s="6">
        <v>284</v>
      </c>
      <c r="T272" s="6"/>
      <c r="U272" s="6" t="s">
        <v>7</v>
      </c>
      <c r="V272" s="8">
        <v>3.5999999999999997E-2</v>
      </c>
      <c r="W272" s="6">
        <f t="shared" si="96"/>
        <v>34018.322759999995</v>
      </c>
      <c r="X272" s="6">
        <f>19298.8+14719.2</f>
        <v>34018</v>
      </c>
      <c r="Y272" s="6">
        <f>19298.8+14719.2</f>
        <v>34018</v>
      </c>
      <c r="Z272" s="6">
        <f t="shared" si="97"/>
        <v>0.32275999999546912</v>
      </c>
      <c r="AA272" s="6">
        <f>300000+200000+200000+50000</f>
        <v>750000</v>
      </c>
      <c r="AB272" s="6">
        <f>500000+200000+50000</f>
        <v>750000</v>
      </c>
      <c r="AC272" s="6">
        <f>300000+200000+200000+50000</f>
        <v>750000</v>
      </c>
      <c r="AD272" s="6">
        <f>300000+200000+200000+50000</f>
        <v>750000</v>
      </c>
      <c r="AE272" s="8">
        <f t="shared" si="70"/>
        <v>0.79368992382386339</v>
      </c>
      <c r="AF272" s="6">
        <f>4298.8+237666.29+13164+103300+49000+36239.25+30175.85+110000+33671+2500+40000</f>
        <v>660015.18999999994</v>
      </c>
      <c r="AG272" s="6">
        <f>255129.09+103300+49000+36239.25+30175.85+110000+33671+2500+40000</f>
        <v>660015.18999999994</v>
      </c>
      <c r="AH272" s="6">
        <f>15632.8+237666.29+13164+28000+110100+6800+49000+36239.25+30175.85+110000+33671+1700+2500+40000</f>
        <v>714649.19</v>
      </c>
      <c r="AI272" s="6"/>
      <c r="AJ272" s="6"/>
      <c r="AK272" s="6"/>
      <c r="AL272" s="6">
        <f>294463.09+110100+6800+49000+36239.25+30175.85+110000+33671+1700+2500+40000</f>
        <v>714649.19000000006</v>
      </c>
      <c r="AM272" s="8">
        <v>3.4000000000000002E-2</v>
      </c>
      <c r="AN272" s="8">
        <f t="shared" si="92"/>
        <v>25500.000000000004</v>
      </c>
      <c r="AO272" s="6">
        <f>10200+6800+6800+1700</f>
        <v>25500</v>
      </c>
      <c r="AP272" s="6">
        <f>10200+6800+6800+1700</f>
        <v>25500</v>
      </c>
      <c r="AQ272" s="6">
        <f t="shared" si="88"/>
        <v>0</v>
      </c>
      <c r="AR272" s="6"/>
      <c r="AS272" s="6">
        <v>4</v>
      </c>
      <c r="AT272" s="6" t="s">
        <v>210</v>
      </c>
    </row>
    <row r="273" spans="1:46" s="9" customFormat="1" x14ac:dyDescent="0.15">
      <c r="A273" s="35">
        <v>41760</v>
      </c>
      <c r="B273" s="2" t="s">
        <v>1915</v>
      </c>
      <c r="C273" s="6" t="s">
        <v>182</v>
      </c>
      <c r="D273" s="6" t="s">
        <v>211</v>
      </c>
      <c r="E273" s="6" t="s">
        <v>0</v>
      </c>
      <c r="F273" s="6" t="s">
        <v>213</v>
      </c>
      <c r="G273" s="6" t="s">
        <v>170</v>
      </c>
      <c r="H273" s="6" t="s">
        <v>212</v>
      </c>
      <c r="I273" s="6" t="s">
        <v>70</v>
      </c>
      <c r="J273" s="6" t="s">
        <v>69</v>
      </c>
      <c r="K273" s="6" t="s">
        <v>13</v>
      </c>
      <c r="L273" s="6"/>
      <c r="M273" s="6">
        <v>14986416.529999999</v>
      </c>
      <c r="N273" s="6"/>
      <c r="O273" s="6"/>
      <c r="P273" s="6"/>
      <c r="Q273" s="7" t="s">
        <v>1601</v>
      </c>
      <c r="R273" s="42">
        <v>41926</v>
      </c>
      <c r="S273" s="6">
        <v>4496</v>
      </c>
      <c r="T273" s="6"/>
      <c r="U273" s="6" t="s">
        <v>7</v>
      </c>
      <c r="V273" s="8">
        <v>0.03</v>
      </c>
      <c r="W273" s="6">
        <f t="shared" si="96"/>
        <v>449592.49589999998</v>
      </c>
      <c r="X273" s="6">
        <f>30860+150000+8300+260433</f>
        <v>449593</v>
      </c>
      <c r="Y273" s="6">
        <f>30860+150000+8300+260433</f>
        <v>449593</v>
      </c>
      <c r="Z273" s="6">
        <f t="shared" si="97"/>
        <v>-0.50410000002011657</v>
      </c>
      <c r="AA273" s="6">
        <f>796432+2084740+2579406+808723+735655</f>
        <v>7004956</v>
      </c>
      <c r="AB273" s="6">
        <f>796432+2084740+2579406+808723+735655</f>
        <v>7004956</v>
      </c>
      <c r="AC273" s="6">
        <f>796432+2084740+2579406+808723</f>
        <v>6269301</v>
      </c>
      <c r="AD273" s="6">
        <f>796432+2084740+2579406+808723</f>
        <v>6269301</v>
      </c>
      <c r="AE273" s="8">
        <f t="shared" si="70"/>
        <v>0.41833222688359378</v>
      </c>
      <c r="AF273" s="6">
        <f>420746.8+140000+400000+123011.69+1209786.5+37620+1122657+35391+263000</f>
        <v>3752212.99</v>
      </c>
      <c r="AG273" s="6">
        <f>420746.8+140000+400000+123011.69+1209786.5+37620+1122657+35391+263000</f>
        <v>3752212.99</v>
      </c>
      <c r="AH273" s="6">
        <f>27079+70881+420746.8+227700+400000+114711.69+1237283.5+37620+1122657+35391+288012</f>
        <v>3982081.99</v>
      </c>
      <c r="AI273" s="6"/>
      <c r="AJ273" s="6">
        <v>1400</v>
      </c>
      <c r="AK273" s="6">
        <v>6900</v>
      </c>
      <c r="AL273" s="6">
        <f>97960+420746.8+227700+400000+123011.69+1237283.5+37620+1122657+35391+288012</f>
        <v>3990381.99</v>
      </c>
      <c r="AM273" s="8">
        <v>3.4000000000000002E-2</v>
      </c>
      <c r="AN273" s="8">
        <f>AM273*AB273</f>
        <v>238168.50400000002</v>
      </c>
      <c r="AO273" s="6">
        <f>97960+87700+27497+25012</f>
        <v>238169</v>
      </c>
      <c r="AP273" s="6">
        <f>97960+87700+27497+25012</f>
        <v>238169</v>
      </c>
      <c r="AQ273" s="6">
        <f t="shared" si="88"/>
        <v>-0.49599999998463318</v>
      </c>
      <c r="AR273" s="6"/>
      <c r="AS273" s="6">
        <v>110</v>
      </c>
      <c r="AT273" s="6" t="s">
        <v>161</v>
      </c>
    </row>
    <row r="274" spans="1:46" s="9" customFormat="1" x14ac:dyDescent="0.15">
      <c r="A274" s="35">
        <v>41760</v>
      </c>
      <c r="B274" s="2" t="s">
        <v>1916</v>
      </c>
      <c r="C274" s="6" t="s">
        <v>183</v>
      </c>
      <c r="D274" s="6" t="s">
        <v>1402</v>
      </c>
      <c r="E274" s="6" t="s">
        <v>0</v>
      </c>
      <c r="F274" s="6" t="s">
        <v>1403</v>
      </c>
      <c r="G274" s="6" t="s">
        <v>214</v>
      </c>
      <c r="H274" s="6" t="s">
        <v>108</v>
      </c>
      <c r="I274" s="6" t="s">
        <v>109</v>
      </c>
      <c r="J274" s="6" t="s">
        <v>108</v>
      </c>
      <c r="K274" s="6" t="s">
        <v>5</v>
      </c>
      <c r="L274" s="6"/>
      <c r="M274" s="6">
        <v>225929</v>
      </c>
      <c r="N274" s="6"/>
      <c r="O274" s="6"/>
      <c r="P274" s="6"/>
      <c r="Q274" s="7"/>
      <c r="R274" s="42">
        <v>41939</v>
      </c>
      <c r="S274" s="6">
        <v>67.78</v>
      </c>
      <c r="T274" s="6"/>
      <c r="U274" s="6" t="s">
        <v>7</v>
      </c>
      <c r="V274" s="8">
        <v>3.5999999999999997E-2</v>
      </c>
      <c r="W274" s="6">
        <f t="shared" si="96"/>
        <v>8133.4439999999995</v>
      </c>
      <c r="X274" s="6">
        <f>8133</f>
        <v>8133</v>
      </c>
      <c r="Y274" s="6">
        <f>8133</f>
        <v>8133</v>
      </c>
      <c r="Z274" s="6">
        <f t="shared" si="97"/>
        <v>0.44399999999950523</v>
      </c>
      <c r="AA274" s="6">
        <f>180743.2</f>
        <v>180743.2</v>
      </c>
      <c r="AB274" s="6">
        <f>180743.2</f>
        <v>180743.2</v>
      </c>
      <c r="AC274" s="6">
        <f>100000</f>
        <v>100000</v>
      </c>
      <c r="AD274" s="6">
        <f>100000</f>
        <v>100000</v>
      </c>
      <c r="AE274" s="8">
        <f t="shared" si="70"/>
        <v>0.4426169283270408</v>
      </c>
      <c r="AF274" s="6">
        <f>100</f>
        <v>100</v>
      </c>
      <c r="AG274" s="6">
        <f>100</f>
        <v>100</v>
      </c>
      <c r="AH274" s="6">
        <f>60180.96</f>
        <v>60180.959999999999</v>
      </c>
      <c r="AI274" s="6"/>
      <c r="AJ274" s="6"/>
      <c r="AK274" s="6"/>
      <c r="AL274" s="6">
        <f>60180.96</f>
        <v>60180.959999999999</v>
      </c>
      <c r="AM274" s="8">
        <v>3.7400000000000003E-2</v>
      </c>
      <c r="AN274" s="8">
        <f t="shared" si="92"/>
        <v>6759.7956800000011</v>
      </c>
      <c r="AO274" s="6">
        <f>6759.8</f>
        <v>6759.8</v>
      </c>
      <c r="AP274" s="6">
        <f>6759.8</f>
        <v>6759.8</v>
      </c>
      <c r="AQ274" s="6">
        <f t="shared" si="88"/>
        <v>-4.3199999990974902E-3</v>
      </c>
      <c r="AR274" s="6"/>
      <c r="AS274" s="6">
        <v>2</v>
      </c>
      <c r="AT274" s="6" t="s">
        <v>1577</v>
      </c>
    </row>
    <row r="275" spans="1:46" s="9" customFormat="1" x14ac:dyDescent="0.15">
      <c r="A275" s="35">
        <v>41760</v>
      </c>
      <c r="B275" s="2" t="s">
        <v>1917</v>
      </c>
      <c r="C275" s="6" t="s">
        <v>184</v>
      </c>
      <c r="D275" s="6" t="s">
        <v>215</v>
      </c>
      <c r="E275" s="6" t="s">
        <v>0</v>
      </c>
      <c r="F275" s="6"/>
      <c r="G275" s="6" t="s">
        <v>170</v>
      </c>
      <c r="H275" s="6" t="s">
        <v>216</v>
      </c>
      <c r="I275" s="6" t="s">
        <v>217</v>
      </c>
      <c r="J275" s="6"/>
      <c r="K275" s="6"/>
      <c r="L275" s="6"/>
      <c r="M275" s="6">
        <v>769500</v>
      </c>
      <c r="N275" s="6"/>
      <c r="O275" s="6"/>
      <c r="P275" s="6"/>
      <c r="Q275" s="7" t="s">
        <v>218</v>
      </c>
      <c r="R275" s="42">
        <v>41796</v>
      </c>
      <c r="S275" s="6">
        <v>231</v>
      </c>
      <c r="T275" s="6"/>
      <c r="U275" s="6" t="s">
        <v>7</v>
      </c>
      <c r="V275" s="8">
        <v>4.5999999999999999E-2</v>
      </c>
      <c r="W275" s="6">
        <f t="shared" si="96"/>
        <v>35397</v>
      </c>
      <c r="X275" s="6">
        <f>35397</f>
        <v>35397</v>
      </c>
      <c r="Y275" s="6">
        <f>35397</f>
        <v>35397</v>
      </c>
      <c r="Z275" s="6">
        <f t="shared" si="97"/>
        <v>0</v>
      </c>
      <c r="AA275" s="6"/>
      <c r="AB275" s="6"/>
      <c r="AC275" s="6"/>
      <c r="AD275" s="6"/>
      <c r="AE275" s="8">
        <f t="shared" si="70"/>
        <v>0</v>
      </c>
      <c r="AF275" s="6"/>
      <c r="AG275" s="6"/>
      <c r="AH275" s="6"/>
      <c r="AI275" s="6"/>
      <c r="AJ275" s="6"/>
      <c r="AK275" s="6"/>
      <c r="AL275" s="6"/>
      <c r="AM275" s="8"/>
      <c r="AN275" s="8">
        <f t="shared" si="92"/>
        <v>0</v>
      </c>
      <c r="AO275" s="6"/>
      <c r="AP275" s="6"/>
      <c r="AQ275" s="6">
        <f t="shared" si="88"/>
        <v>0</v>
      </c>
      <c r="AR275" s="6"/>
      <c r="AS275" s="6">
        <v>6</v>
      </c>
      <c r="AT275" s="6" t="s">
        <v>219</v>
      </c>
    </row>
    <row r="276" spans="1:46" s="9" customFormat="1" x14ac:dyDescent="0.15">
      <c r="A276" s="35">
        <v>41779</v>
      </c>
      <c r="B276" s="2" t="s">
        <v>1918</v>
      </c>
      <c r="C276" s="6" t="s">
        <v>185</v>
      </c>
      <c r="D276" s="6" t="s">
        <v>220</v>
      </c>
      <c r="E276" s="6" t="s">
        <v>0</v>
      </c>
      <c r="F276" s="6" t="s">
        <v>221</v>
      </c>
      <c r="G276" s="6" t="s">
        <v>170</v>
      </c>
      <c r="H276" s="6" t="s">
        <v>222</v>
      </c>
      <c r="I276" s="6" t="s">
        <v>223</v>
      </c>
      <c r="J276" s="6" t="s">
        <v>222</v>
      </c>
      <c r="K276" s="6" t="s">
        <v>173</v>
      </c>
      <c r="L276" s="6"/>
      <c r="M276" s="6">
        <v>520000</v>
      </c>
      <c r="N276" s="6"/>
      <c r="O276" s="6"/>
      <c r="P276" s="6"/>
      <c r="Q276" s="7" t="s">
        <v>224</v>
      </c>
      <c r="R276" s="42">
        <v>41793</v>
      </c>
      <c r="S276" s="6">
        <v>156</v>
      </c>
      <c r="T276" s="6"/>
      <c r="U276" s="6" t="s">
        <v>7</v>
      </c>
      <c r="V276" s="8">
        <v>3.5999999999999997E-2</v>
      </c>
      <c r="W276" s="6">
        <f t="shared" si="96"/>
        <v>18720</v>
      </c>
      <c r="X276" s="6">
        <f>18720</f>
        <v>18720</v>
      </c>
      <c r="Y276" s="6">
        <f>18720</f>
        <v>18720</v>
      </c>
      <c r="Z276" s="6">
        <f t="shared" si="97"/>
        <v>0</v>
      </c>
      <c r="AA276" s="6">
        <f>156000</f>
        <v>156000</v>
      </c>
      <c r="AB276" s="6">
        <f>156000</f>
        <v>156000</v>
      </c>
      <c r="AC276" s="6">
        <f>156000</f>
        <v>156000</v>
      </c>
      <c r="AD276" s="6">
        <v>156000</v>
      </c>
      <c r="AE276" s="8">
        <f t="shared" si="70"/>
        <v>0.3</v>
      </c>
      <c r="AF276" s="6">
        <f>140000</f>
        <v>140000</v>
      </c>
      <c r="AG276" s="6">
        <f>140000</f>
        <v>140000</v>
      </c>
      <c r="AH276" s="6">
        <f>145304</f>
        <v>145304</v>
      </c>
      <c r="AI276" s="6"/>
      <c r="AJ276" s="6"/>
      <c r="AK276" s="6"/>
      <c r="AL276" s="6">
        <f>145304</f>
        <v>145304</v>
      </c>
      <c r="AM276" s="8">
        <v>3.4000000000000002E-2</v>
      </c>
      <c r="AN276" s="8">
        <f t="shared" si="92"/>
        <v>5304</v>
      </c>
      <c r="AO276" s="6">
        <v>5304</v>
      </c>
      <c r="AP276" s="6">
        <v>5304</v>
      </c>
      <c r="AQ276" s="6">
        <f t="shared" si="88"/>
        <v>0</v>
      </c>
      <c r="AR276" s="6"/>
      <c r="AS276" s="6"/>
      <c r="AT276" s="6"/>
    </row>
    <row r="277" spans="1:46" s="9" customFormat="1" x14ac:dyDescent="0.15">
      <c r="A277" s="35">
        <v>41791</v>
      </c>
      <c r="B277" s="2" t="s">
        <v>1919</v>
      </c>
      <c r="C277" s="6" t="s">
        <v>186</v>
      </c>
      <c r="D277" s="6" t="s">
        <v>225</v>
      </c>
      <c r="E277" s="6" t="s">
        <v>0</v>
      </c>
      <c r="F277" s="6" t="s">
        <v>226</v>
      </c>
      <c r="G277" s="6" t="s">
        <v>170</v>
      </c>
      <c r="H277" s="6" t="s">
        <v>164</v>
      </c>
      <c r="I277" s="6" t="s">
        <v>165</v>
      </c>
      <c r="J277" s="6" t="s">
        <v>164</v>
      </c>
      <c r="K277" s="6" t="s">
        <v>149</v>
      </c>
      <c r="L277" s="6"/>
      <c r="M277" s="6">
        <v>16000000</v>
      </c>
      <c r="N277" s="6"/>
      <c r="O277" s="6"/>
      <c r="P277" s="6"/>
      <c r="Q277" s="7"/>
      <c r="R277" s="42"/>
      <c r="S277" s="6"/>
      <c r="T277" s="6"/>
      <c r="U277" s="6" t="s">
        <v>7</v>
      </c>
      <c r="V277" s="8">
        <v>0.03</v>
      </c>
      <c r="W277" s="6">
        <f t="shared" si="96"/>
        <v>480000</v>
      </c>
      <c r="X277" s="6">
        <f>300000+180000</f>
        <v>480000</v>
      </c>
      <c r="Y277" s="6">
        <f>300000+180000</f>
        <v>480000</v>
      </c>
      <c r="Z277" s="6">
        <f t="shared" si="97"/>
        <v>0</v>
      </c>
      <c r="AA277" s="6"/>
      <c r="AB277" s="6"/>
      <c r="AC277" s="6">
        <f>1000000+2300000+1000000+2000000+2100000</f>
        <v>8400000</v>
      </c>
      <c r="AD277" s="6">
        <f>1000000+2300000+1000000+2000000+2100000</f>
        <v>8400000</v>
      </c>
      <c r="AE277" s="8">
        <f t="shared" si="70"/>
        <v>0.52500000000000002</v>
      </c>
      <c r="AF277" s="6">
        <f>300000+361050+200000+400000+1300000+400000+100000+500000+400000+50000+1770000+100000+1800000+250000</f>
        <v>7931050</v>
      </c>
      <c r="AG277" s="6">
        <f>861050+400000+1300000+400000+100000+500000+400000+50000+1770000+100000+1800000+250000</f>
        <v>7931050</v>
      </c>
      <c r="AH277" s="6">
        <f>300000+361050+200000+400000+1300000+400000+500000+400000+50000+1770000+100000+1800000+250000</f>
        <v>7831050</v>
      </c>
      <c r="AI277" s="6"/>
      <c r="AJ277" s="6"/>
      <c r="AK277" s="6"/>
      <c r="AL277" s="6">
        <f>861050+400000+1300000+400000+500000+400000+50000+1770000+100000+1800000+250000</f>
        <v>7831050</v>
      </c>
      <c r="AM277" s="8">
        <v>3.4000000000000002E-2</v>
      </c>
      <c r="AN277" s="8">
        <f t="shared" si="92"/>
        <v>0</v>
      </c>
      <c r="AO277" s="6"/>
      <c r="AP277" s="6"/>
      <c r="AQ277" s="6">
        <f t="shared" si="88"/>
        <v>0</v>
      </c>
      <c r="AR277" s="6"/>
      <c r="AS277" s="6">
        <v>44</v>
      </c>
      <c r="AT277" s="6" t="s">
        <v>167</v>
      </c>
    </row>
    <row r="278" spans="1:46" s="9" customFormat="1" x14ac:dyDescent="0.15">
      <c r="A278" s="35">
        <v>41791</v>
      </c>
      <c r="B278" s="2" t="s">
        <v>1920</v>
      </c>
      <c r="C278" s="6" t="s">
        <v>187</v>
      </c>
      <c r="D278" s="6" t="s">
        <v>227</v>
      </c>
      <c r="E278" s="6" t="s">
        <v>0</v>
      </c>
      <c r="F278" s="6" t="s">
        <v>1009</v>
      </c>
      <c r="G278" s="6" t="s">
        <v>170</v>
      </c>
      <c r="H278" s="6" t="s">
        <v>228</v>
      </c>
      <c r="I278" s="6" t="s">
        <v>120</v>
      </c>
      <c r="J278" s="6" t="s">
        <v>119</v>
      </c>
      <c r="K278" s="6" t="s">
        <v>13</v>
      </c>
      <c r="L278" s="6"/>
      <c r="M278" s="6">
        <v>3326070</v>
      </c>
      <c r="N278" s="6"/>
      <c r="O278" s="6"/>
      <c r="P278" s="6"/>
      <c r="Q278" s="7" t="s">
        <v>1602</v>
      </c>
      <c r="R278" s="42">
        <v>41873</v>
      </c>
      <c r="S278" s="6">
        <v>998</v>
      </c>
      <c r="T278" s="6"/>
      <c r="U278" s="6" t="s">
        <v>7</v>
      </c>
      <c r="V278" s="8">
        <v>3.5999999999999997E-2</v>
      </c>
      <c r="W278" s="6">
        <f t="shared" si="96"/>
        <v>119738.51999999999</v>
      </c>
      <c r="X278" s="6">
        <f>39996+37384.74+1278+1001</f>
        <v>79659.739999999991</v>
      </c>
      <c r="Y278" s="6">
        <f>39996+37384.74+1278+1001</f>
        <v>79659.739999999991</v>
      </c>
      <c r="Z278" s="6">
        <f t="shared" si="97"/>
        <v>40078.78</v>
      </c>
      <c r="AA278" s="6">
        <f>300000+200000+400000</f>
        <v>900000</v>
      </c>
      <c r="AB278" s="6">
        <f>300000+200000+400000</f>
        <v>900000</v>
      </c>
      <c r="AC278" s="6">
        <f>300000+200000+400000</f>
        <v>900000</v>
      </c>
      <c r="AD278" s="6">
        <f>300000+200000+400000</f>
        <v>900000</v>
      </c>
      <c r="AE278" s="8">
        <f t="shared" si="70"/>
        <v>0.27058961477058513</v>
      </c>
      <c r="AF278" s="6">
        <f>150000+110000+14253+500000+1001+1278</f>
        <v>776532</v>
      </c>
      <c r="AG278" s="6">
        <f>150000+110000+14253+500000+1001+1278</f>
        <v>776532</v>
      </c>
      <c r="AH278" s="6">
        <f>10200+150000+110000+6800+14253+13600+500000</f>
        <v>804853</v>
      </c>
      <c r="AI278" s="6">
        <f>936</f>
        <v>936</v>
      </c>
      <c r="AJ278" s="6">
        <f>1001</f>
        <v>1001</v>
      </c>
      <c r="AK278" s="6">
        <f>342</f>
        <v>342</v>
      </c>
      <c r="AL278" s="6">
        <f>10200+150000+110000+6800+14253+13600+500000+1001+1278</f>
        <v>807132</v>
      </c>
      <c r="AM278" s="8">
        <v>3.4000000000000002E-2</v>
      </c>
      <c r="AN278" s="8">
        <f t="shared" si="92"/>
        <v>30600.000000000004</v>
      </c>
      <c r="AO278" s="6">
        <f>10200+6800+13600</f>
        <v>30600</v>
      </c>
      <c r="AP278" s="6">
        <f>10200+6800+13600</f>
        <v>30600</v>
      </c>
      <c r="AQ278" s="6">
        <f t="shared" si="88"/>
        <v>0</v>
      </c>
      <c r="AR278" s="6"/>
      <c r="AS278" s="6">
        <v>35</v>
      </c>
      <c r="AT278" s="6" t="s">
        <v>219</v>
      </c>
    </row>
    <row r="279" spans="1:46" s="9" customFormat="1" x14ac:dyDescent="0.15">
      <c r="A279" s="35">
        <v>41820</v>
      </c>
      <c r="B279" s="2" t="s">
        <v>1921</v>
      </c>
      <c r="C279" s="6" t="s">
        <v>188</v>
      </c>
      <c r="D279" s="6" t="s">
        <v>229</v>
      </c>
      <c r="E279" s="6" t="s">
        <v>0</v>
      </c>
      <c r="F279" s="6" t="s">
        <v>1615</v>
      </c>
      <c r="G279" s="6" t="s">
        <v>170</v>
      </c>
      <c r="H279" s="6" t="s">
        <v>230</v>
      </c>
      <c r="I279" s="6" t="s">
        <v>231</v>
      </c>
      <c r="J279" s="6" t="s">
        <v>230</v>
      </c>
      <c r="K279" s="6" t="s">
        <v>173</v>
      </c>
      <c r="L279" s="6"/>
      <c r="M279" s="6">
        <v>5305357.5999999996</v>
      </c>
      <c r="N279" s="6"/>
      <c r="O279" s="6"/>
      <c r="P279" s="6"/>
      <c r="Q279" s="7" t="s">
        <v>1603</v>
      </c>
      <c r="R279" s="42">
        <v>41892</v>
      </c>
      <c r="S279" s="6">
        <v>1592</v>
      </c>
      <c r="T279" s="6"/>
      <c r="U279" s="6" t="s">
        <v>7</v>
      </c>
      <c r="V279" s="8">
        <v>0.03</v>
      </c>
      <c r="W279" s="6">
        <f t="shared" si="96"/>
        <v>159160.72799999997</v>
      </c>
      <c r="X279" s="6">
        <f>100000+59161</f>
        <v>159161</v>
      </c>
      <c r="Y279" s="6">
        <f>100000+59161</f>
        <v>159161</v>
      </c>
      <c r="Z279" s="6">
        <f t="shared" si="97"/>
        <v>-0.27200000002630986</v>
      </c>
      <c r="AA279" s="6">
        <f>1060000+1060000+1500000</f>
        <v>3620000</v>
      </c>
      <c r="AB279" s="6">
        <f>1060000+1060000+1500000</f>
        <v>3620000</v>
      </c>
      <c r="AC279" s="6">
        <f>1060000+700000+360000+1000000</f>
        <v>3120000</v>
      </c>
      <c r="AD279" s="6">
        <f>1060000+700000+360000+1000000</f>
        <v>3120000</v>
      </c>
      <c r="AE279" s="8">
        <f t="shared" si="70"/>
        <v>0.58808476925287756</v>
      </c>
      <c r="AF279" s="6">
        <f>200000+150000+6366.43+480000+100000+100000+11130+350000+170000+100000+170000+761770.35+346600</f>
        <v>2945866.78</v>
      </c>
      <c r="AG279" s="6">
        <f>200000+150000+6366.43+480000+100000+100000+11130+350000+170000+100000+170000+761770.35+346600</f>
        <v>2945866.78</v>
      </c>
      <c r="AH279" s="6">
        <f>236040+150000+36040+6366.43+480000+100000+100000+11130+350000+170000+100000+51000+170000+761770.35+346600</f>
        <v>3068946.78</v>
      </c>
      <c r="AI279" s="6"/>
      <c r="AJ279" s="6"/>
      <c r="AK279" s="6"/>
      <c r="AL279" s="6">
        <f>386040+36040+6366.43+480000+100000+100000+11130+350000+170000+100000+51000+170000+761770.35+346600</f>
        <v>3068946.78</v>
      </c>
      <c r="AM279" s="8">
        <v>3.4000000000000002E-2</v>
      </c>
      <c r="AN279" s="8">
        <f t="shared" si="92"/>
        <v>123080.00000000001</v>
      </c>
      <c r="AO279" s="6">
        <f>36040+51000</f>
        <v>87040</v>
      </c>
      <c r="AP279" s="6">
        <f>36040+51000</f>
        <v>87040</v>
      </c>
      <c r="AQ279" s="6">
        <f t="shared" si="88"/>
        <v>36040.000000000015</v>
      </c>
      <c r="AR279" s="6"/>
      <c r="AS279" s="6">
        <v>72</v>
      </c>
      <c r="AT279" s="6" t="s">
        <v>161</v>
      </c>
    </row>
    <row r="280" spans="1:46" s="9" customFormat="1" x14ac:dyDescent="0.15">
      <c r="A280" s="35">
        <v>41821</v>
      </c>
      <c r="B280" s="2" t="s">
        <v>1922</v>
      </c>
      <c r="C280" s="6" t="s">
        <v>189</v>
      </c>
      <c r="D280" s="6" t="s">
        <v>232</v>
      </c>
      <c r="E280" s="6" t="s">
        <v>0</v>
      </c>
      <c r="F280" s="6" t="s">
        <v>1633</v>
      </c>
      <c r="G280" s="6" t="s">
        <v>201</v>
      </c>
      <c r="H280" s="6" t="s">
        <v>171</v>
      </c>
      <c r="I280" s="6" t="s">
        <v>172</v>
      </c>
      <c r="J280" s="6" t="s">
        <v>937</v>
      </c>
      <c r="K280" s="6"/>
      <c r="L280" s="6"/>
      <c r="M280" s="6">
        <v>743283</v>
      </c>
      <c r="N280" s="6"/>
      <c r="O280" s="6"/>
      <c r="P280" s="6"/>
      <c r="Q280" s="7" t="s">
        <v>1610</v>
      </c>
      <c r="R280" s="42">
        <v>41901</v>
      </c>
      <c r="S280" s="6">
        <v>223</v>
      </c>
      <c r="T280" s="6"/>
      <c r="U280" s="6" t="s">
        <v>7</v>
      </c>
      <c r="V280" s="8">
        <v>3.5999999999999997E-2</v>
      </c>
      <c r="W280" s="6">
        <f t="shared" si="96"/>
        <v>26758.187999999998</v>
      </c>
      <c r="X280" s="6">
        <f>26758</f>
        <v>26758</v>
      </c>
      <c r="Y280" s="6">
        <f>26758</f>
        <v>26758</v>
      </c>
      <c r="Z280" s="6">
        <f t="shared" si="97"/>
        <v>0.18799999999828287</v>
      </c>
      <c r="AA280" s="6">
        <f>631790.55</f>
        <v>631790.55000000005</v>
      </c>
      <c r="AB280" s="6">
        <f>631790.55</f>
        <v>631790.55000000005</v>
      </c>
      <c r="AC280" s="6">
        <f>631790.55</f>
        <v>631790.55000000005</v>
      </c>
      <c r="AD280" s="6">
        <f>631790.55</f>
        <v>631790.55000000005</v>
      </c>
      <c r="AE280" s="8">
        <f t="shared" si="70"/>
        <v>0.85000000000000009</v>
      </c>
      <c r="AF280" s="6">
        <f>600000</f>
        <v>600000</v>
      </c>
      <c r="AG280" s="6">
        <f>600000</f>
        <v>600000</v>
      </c>
      <c r="AH280" s="6">
        <f>621481</f>
        <v>621481</v>
      </c>
      <c r="AI280" s="6"/>
      <c r="AJ280" s="6"/>
      <c r="AK280" s="6"/>
      <c r="AL280" s="6">
        <f>621481</f>
        <v>621481</v>
      </c>
      <c r="AM280" s="8">
        <v>3.4000000000000002E-2</v>
      </c>
      <c r="AN280" s="8">
        <f t="shared" si="92"/>
        <v>21480.878700000005</v>
      </c>
      <c r="AO280" s="6">
        <f>21481</f>
        <v>21481</v>
      </c>
      <c r="AP280" s="6">
        <f>21481</f>
        <v>21481</v>
      </c>
      <c r="AQ280" s="6">
        <f t="shared" si="88"/>
        <v>-0.12129999999524443</v>
      </c>
      <c r="AR280" s="6"/>
      <c r="AS280" s="6">
        <v>10</v>
      </c>
      <c r="AT280" s="6" t="s">
        <v>161</v>
      </c>
    </row>
    <row r="281" spans="1:46" s="9" customFormat="1" x14ac:dyDescent="0.15">
      <c r="A281" s="35">
        <v>41885</v>
      </c>
      <c r="B281" s="2" t="s">
        <v>1923</v>
      </c>
      <c r="C281" s="6" t="s">
        <v>190</v>
      </c>
      <c r="D281" s="6" t="s">
        <v>233</v>
      </c>
      <c r="E281" s="6" t="s">
        <v>0</v>
      </c>
      <c r="F281" s="6" t="s">
        <v>440</v>
      </c>
      <c r="G281" s="6" t="s">
        <v>1575</v>
      </c>
      <c r="H281" s="6" t="s">
        <v>147</v>
      </c>
      <c r="I281" s="11" t="s">
        <v>148</v>
      </c>
      <c r="J281" s="11" t="s">
        <v>150</v>
      </c>
      <c r="K281" s="6" t="s">
        <v>1616</v>
      </c>
      <c r="L281" s="6"/>
      <c r="M281" s="6">
        <v>8546786.3000000007</v>
      </c>
      <c r="N281" s="6"/>
      <c r="O281" s="6"/>
      <c r="P281" s="6"/>
      <c r="Q281" s="7"/>
      <c r="R281" s="42"/>
      <c r="S281" s="6"/>
      <c r="T281" s="6"/>
      <c r="U281" s="6" t="s">
        <v>7</v>
      </c>
      <c r="V281" s="8">
        <v>0.03</v>
      </c>
      <c r="W281" s="6">
        <f t="shared" si="96"/>
        <v>256403.58900000001</v>
      </c>
      <c r="X281" s="6">
        <f>200000+56404</f>
        <v>256404</v>
      </c>
      <c r="Y281" s="6">
        <f>200000+56404</f>
        <v>256404</v>
      </c>
      <c r="Z281" s="6">
        <f t="shared" si="97"/>
        <v>-0.41099999999278225</v>
      </c>
      <c r="AA281" s="6">
        <f>1200000+1000000+800000+300000</f>
        <v>3300000</v>
      </c>
      <c r="AB281" s="6">
        <f>1200000+1000000+800000+300000</f>
        <v>3300000</v>
      </c>
      <c r="AC281" s="6">
        <f>1200000+1000000+800000+300000</f>
        <v>3300000</v>
      </c>
      <c r="AD281" s="6">
        <f>1200000+1000000+800000+300000</f>
        <v>3300000</v>
      </c>
      <c r="AE281" s="8">
        <f>AD281/(M281+N281)</f>
        <v>0.3861100399807586</v>
      </c>
      <c r="AF281" s="6">
        <f>418000+139996+683298+399253.05+121557.38+5000+218000+20828+150000+495560+20000+91000+94580+455383.14+13365.5</f>
        <v>3325821.0700000003</v>
      </c>
      <c r="AG281" s="6">
        <f>418000+139996+683298+399253.05+121557.38+5000+218000+20828+150000+495560+20000+91000+94580+455383.14+13365.5</f>
        <v>3325821.0700000003</v>
      </c>
      <c r="AH281" s="6">
        <f>458800+139996+717298+399253.05+121557.38+32200+218000+20828+150000+495560+20000+91000+104780+455383.14</f>
        <v>3424655.5700000003</v>
      </c>
      <c r="AI281" s="6">
        <f>2572</f>
        <v>2572</v>
      </c>
      <c r="AJ281" s="6">
        <f>10793.5</f>
        <v>10793.5</v>
      </c>
      <c r="AK281" s="6"/>
      <c r="AL281" s="6">
        <f>458800+139996+717298+399253.05+121557.38+32200+218000+20828+150000+495560+20000+91000+104780+455383.14+13365.5</f>
        <v>3438021.0700000003</v>
      </c>
      <c r="AM281" s="8">
        <v>3.4000000000000002E-2</v>
      </c>
      <c r="AN281" s="8">
        <f t="shared" si="92"/>
        <v>112200.00000000001</v>
      </c>
      <c r="AO281" s="6">
        <f>40800+34000+27200+10200</f>
        <v>112200</v>
      </c>
      <c r="AP281" s="6">
        <f>40800+34000+27200+10200</f>
        <v>112200</v>
      </c>
      <c r="AQ281" s="6">
        <f t="shared" si="88"/>
        <v>0</v>
      </c>
      <c r="AR281" s="6"/>
      <c r="AS281" s="6">
        <v>30</v>
      </c>
      <c r="AT281" s="6" t="s">
        <v>1577</v>
      </c>
    </row>
    <row r="282" spans="1:46" s="9" customFormat="1" x14ac:dyDescent="0.15">
      <c r="A282" s="35">
        <v>41837</v>
      </c>
      <c r="B282" s="2" t="s">
        <v>1924</v>
      </c>
      <c r="C282" s="6" t="s">
        <v>191</v>
      </c>
      <c r="D282" s="6" t="s">
        <v>234</v>
      </c>
      <c r="E282" s="6" t="s">
        <v>0</v>
      </c>
      <c r="F282" s="6" t="s">
        <v>1617</v>
      </c>
      <c r="G282" s="6" t="s">
        <v>170</v>
      </c>
      <c r="H282" s="6" t="s">
        <v>235</v>
      </c>
      <c r="I282" s="6" t="s">
        <v>236</v>
      </c>
      <c r="J282" s="6" t="s">
        <v>237</v>
      </c>
      <c r="K282" s="6" t="s">
        <v>149</v>
      </c>
      <c r="L282" s="6"/>
      <c r="M282" s="6">
        <v>5519500</v>
      </c>
      <c r="N282" s="6"/>
      <c r="O282" s="6"/>
      <c r="P282" s="6"/>
      <c r="Q282" s="7" t="s">
        <v>1604</v>
      </c>
      <c r="R282" s="42">
        <v>41897</v>
      </c>
      <c r="S282" s="6">
        <v>1656</v>
      </c>
      <c r="T282" s="6"/>
      <c r="U282" s="6" t="s">
        <v>7</v>
      </c>
      <c r="V282" s="8">
        <v>0.03</v>
      </c>
      <c r="W282" s="6">
        <f t="shared" si="96"/>
        <v>165585</v>
      </c>
      <c r="X282" s="6">
        <f>50000+115585</f>
        <v>165585</v>
      </c>
      <c r="Y282" s="6">
        <f>50000+115585</f>
        <v>165585</v>
      </c>
      <c r="Z282" s="6">
        <f t="shared" si="97"/>
        <v>0</v>
      </c>
      <c r="AA282" s="6">
        <f>1000000+500000+1600000</f>
        <v>3100000</v>
      </c>
      <c r="AB282" s="6">
        <f>1000000+500000+1600000</f>
        <v>3100000</v>
      </c>
      <c r="AC282" s="6">
        <f>1000000+500000+1650000</f>
        <v>3150000</v>
      </c>
      <c r="AD282" s="6">
        <f>1000000+500000+1650000</f>
        <v>3150000</v>
      </c>
      <c r="AE282" s="8">
        <f t="shared" si="70"/>
        <v>0.57070386810399498</v>
      </c>
      <c r="AF282" s="6">
        <f>300000+6623.4+394887.52+50000+500000+500000+300000+1281865.23+25000+100000</f>
        <v>3458376.15</v>
      </c>
      <c r="AG282" s="6">
        <f>300000+6623.4+394887.52+50000+500000+500000+300000+1281865.23+25000+100000</f>
        <v>3458376.15</v>
      </c>
      <c r="AH282" s="6">
        <f>300000+34000+6623.4+394887.52+67000+500000+500000-0.4+300000+1336265.23+25000+100000</f>
        <v>3563775.75</v>
      </c>
      <c r="AI282" s="6"/>
      <c r="AJ282" s="6"/>
      <c r="AK282" s="6"/>
      <c r="AL282" s="6">
        <f>300000+6623.4+34000+394887.52+67000+500000+500000-0.4+300000+1336265.23+25000+100000</f>
        <v>3563775.75</v>
      </c>
      <c r="AM282" s="8">
        <v>3.4000000000000002E-2</v>
      </c>
      <c r="AN282" s="8">
        <f t="shared" si="92"/>
        <v>105400.00000000001</v>
      </c>
      <c r="AO282" s="6">
        <f>34000+17000+54400</f>
        <v>105400</v>
      </c>
      <c r="AP282" s="6">
        <f>34000+17000+54400</f>
        <v>105400</v>
      </c>
      <c r="AQ282" s="6">
        <f t="shared" si="88"/>
        <v>0</v>
      </c>
      <c r="AR282" s="6"/>
      <c r="AS282" s="6">
        <v>77</v>
      </c>
      <c r="AT282" s="6" t="s">
        <v>152</v>
      </c>
    </row>
    <row r="283" spans="1:46" s="9" customFormat="1" x14ac:dyDescent="0.15">
      <c r="A283" s="35">
        <v>41837</v>
      </c>
      <c r="B283" s="2" t="s">
        <v>1925</v>
      </c>
      <c r="C283" s="6" t="s">
        <v>192</v>
      </c>
      <c r="D283" s="6" t="s">
        <v>238</v>
      </c>
      <c r="E283" s="6" t="s">
        <v>0</v>
      </c>
      <c r="F283" s="6" t="s">
        <v>1432</v>
      </c>
      <c r="G283" s="6" t="s">
        <v>170</v>
      </c>
      <c r="H283" s="6" t="s">
        <v>239</v>
      </c>
      <c r="I283" s="6" t="s">
        <v>87</v>
      </c>
      <c r="J283" s="6" t="s">
        <v>86</v>
      </c>
      <c r="K283" s="6" t="s">
        <v>149</v>
      </c>
      <c r="L283" s="6"/>
      <c r="M283" s="6">
        <v>14892896.99</v>
      </c>
      <c r="N283" s="6"/>
      <c r="O283" s="6"/>
      <c r="P283" s="6"/>
      <c r="Q283" s="7"/>
      <c r="R283" s="42"/>
      <c r="S283" s="6"/>
      <c r="T283" s="6"/>
      <c r="U283" s="6" t="s">
        <v>7</v>
      </c>
      <c r="V283" s="8"/>
      <c r="W283" s="6">
        <f t="shared" si="96"/>
        <v>0</v>
      </c>
      <c r="X283" s="6"/>
      <c r="Y283" s="6"/>
      <c r="Z283" s="6">
        <f t="shared" si="97"/>
        <v>0</v>
      </c>
      <c r="AA283" s="6"/>
      <c r="AB283" s="6"/>
      <c r="AC283" s="6"/>
      <c r="AD283" s="6"/>
      <c r="AE283" s="8">
        <f t="shared" si="70"/>
        <v>0</v>
      </c>
      <c r="AF283" s="6"/>
      <c r="AG283" s="6"/>
      <c r="AH283" s="6"/>
      <c r="AI283" s="6"/>
      <c r="AJ283" s="6"/>
      <c r="AK283" s="6"/>
      <c r="AL283" s="6"/>
      <c r="AM283" s="8">
        <v>3.4000000000000002E-2</v>
      </c>
      <c r="AN283" s="8">
        <f t="shared" si="92"/>
        <v>0</v>
      </c>
      <c r="AO283" s="6"/>
      <c r="AP283" s="6"/>
      <c r="AQ283" s="6">
        <f t="shared" si="88"/>
        <v>0</v>
      </c>
      <c r="AR283" s="6"/>
      <c r="AS283" s="6">
        <v>100</v>
      </c>
      <c r="AT283" s="6" t="s">
        <v>1577</v>
      </c>
    </row>
    <row r="284" spans="1:46" s="9" customFormat="1" x14ac:dyDescent="0.15">
      <c r="A284" s="35">
        <v>41821</v>
      </c>
      <c r="B284" s="2" t="s">
        <v>1926</v>
      </c>
      <c r="C284" s="6" t="s">
        <v>193</v>
      </c>
      <c r="D284" s="6" t="s">
        <v>240</v>
      </c>
      <c r="E284" s="6" t="s">
        <v>0</v>
      </c>
      <c r="F284" s="6" t="s">
        <v>241</v>
      </c>
      <c r="G284" s="6" t="s">
        <v>170</v>
      </c>
      <c r="H284" s="6" t="s">
        <v>228</v>
      </c>
      <c r="I284" s="6" t="s">
        <v>120</v>
      </c>
      <c r="J284" s="6" t="s">
        <v>119</v>
      </c>
      <c r="K284" s="6" t="s">
        <v>13</v>
      </c>
      <c r="L284" s="6"/>
      <c r="M284" s="6">
        <v>1885067.2</v>
      </c>
      <c r="N284" s="6"/>
      <c r="O284" s="6"/>
      <c r="P284" s="6"/>
      <c r="Q284" s="7" t="s">
        <v>1607</v>
      </c>
      <c r="R284" s="42">
        <v>41873</v>
      </c>
      <c r="S284" s="6">
        <v>566</v>
      </c>
      <c r="T284" s="6"/>
      <c r="U284" s="6" t="s">
        <v>7</v>
      </c>
      <c r="V284" s="8">
        <v>3.5999999999999997E-2</v>
      </c>
      <c r="W284" s="6">
        <f t="shared" si="96"/>
        <v>67862.419199999989</v>
      </c>
      <c r="X284" s="6">
        <f>53051+14811.1</f>
        <v>67862.100000000006</v>
      </c>
      <c r="Y284" s="6">
        <f>53051+14811.1</f>
        <v>67862.100000000006</v>
      </c>
      <c r="Z284" s="6">
        <f t="shared" si="97"/>
        <v>0.31919999998353887</v>
      </c>
      <c r="AA284" s="6">
        <f>565520+565520+146474+377013+87884-146474</f>
        <v>1595937</v>
      </c>
      <c r="AB284" s="6">
        <f>565520+565520+146474+377013+87884-146474</f>
        <v>1595937</v>
      </c>
      <c r="AC284" s="6">
        <f>565520+565520</f>
        <v>1131040</v>
      </c>
      <c r="AD284" s="6">
        <f>565520+565520</f>
        <v>1131040</v>
      </c>
      <c r="AE284" s="8">
        <f t="shared" si="70"/>
        <v>0.59999983024477854</v>
      </c>
      <c r="AF284" s="6">
        <f>200000+90000+200000+500000</f>
        <v>990000</v>
      </c>
      <c r="AG284" s="6">
        <f>200000+90000+200000+500000</f>
        <v>990000</v>
      </c>
      <c r="AH284" s="6">
        <f>200000+19228+90000+200000+19228+500000+17798</f>
        <v>1046254</v>
      </c>
      <c r="AI284" s="6"/>
      <c r="AJ284" s="6"/>
      <c r="AK284" s="6"/>
      <c r="AL284" s="6">
        <f>219228+90000+200000+19228+500000+17798</f>
        <v>1046254</v>
      </c>
      <c r="AM284" s="8">
        <v>3.4000000000000002E-2</v>
      </c>
      <c r="AN284" s="8">
        <f t="shared" si="92"/>
        <v>54261.858000000007</v>
      </c>
      <c r="AO284" s="6">
        <f>19228+17798+19228</f>
        <v>56254</v>
      </c>
      <c r="AP284" s="6">
        <f>19228+17798+19228</f>
        <v>56254</v>
      </c>
      <c r="AQ284" s="6">
        <f t="shared" si="88"/>
        <v>-1992.1419999999925</v>
      </c>
      <c r="AR284" s="6"/>
      <c r="AS284" s="6">
        <v>21</v>
      </c>
      <c r="AT284" s="6" t="s">
        <v>219</v>
      </c>
    </row>
    <row r="285" spans="1:46" s="9" customFormat="1" x14ac:dyDescent="0.15">
      <c r="A285" s="35">
        <v>41821</v>
      </c>
      <c r="B285" s="2" t="s">
        <v>1927</v>
      </c>
      <c r="C285" s="6" t="s">
        <v>194</v>
      </c>
      <c r="D285" s="6" t="s">
        <v>242</v>
      </c>
      <c r="E285" s="6" t="s">
        <v>0</v>
      </c>
      <c r="F285" s="6" t="s">
        <v>145</v>
      </c>
      <c r="G285" s="6" t="s">
        <v>170</v>
      </c>
      <c r="H285" s="6" t="s">
        <v>243</v>
      </c>
      <c r="I285" s="6" t="s">
        <v>926</v>
      </c>
      <c r="J285" s="6" t="s">
        <v>254</v>
      </c>
      <c r="K285" s="6" t="s">
        <v>173</v>
      </c>
      <c r="L285" s="6"/>
      <c r="M285" s="6">
        <v>1679000</v>
      </c>
      <c r="N285" s="6"/>
      <c r="O285" s="6"/>
      <c r="P285" s="6"/>
      <c r="Q285" s="7" t="s">
        <v>1606</v>
      </c>
      <c r="R285" s="42">
        <v>41867</v>
      </c>
      <c r="S285" s="6">
        <v>504</v>
      </c>
      <c r="T285" s="6"/>
      <c r="U285" s="6" t="s">
        <v>7</v>
      </c>
      <c r="V285" s="8">
        <v>3.5999999999999997E-2</v>
      </c>
      <c r="W285" s="6">
        <f t="shared" si="96"/>
        <v>60443.999999999993</v>
      </c>
      <c r="X285" s="6">
        <f>4884+55560</f>
        <v>60444</v>
      </c>
      <c r="Y285" s="6">
        <f>4884+55560</f>
        <v>60444</v>
      </c>
      <c r="Z285" s="6">
        <f t="shared" si="97"/>
        <v>0</v>
      </c>
      <c r="AA285" s="6">
        <f>671600</f>
        <v>671600</v>
      </c>
      <c r="AB285" s="6">
        <f>671600</f>
        <v>671600</v>
      </c>
      <c r="AC285" s="6">
        <f>671600</f>
        <v>671600</v>
      </c>
      <c r="AD285" s="6">
        <f>671600</f>
        <v>671600</v>
      </c>
      <c r="AE285" s="8">
        <f t="shared" si="70"/>
        <v>0.4</v>
      </c>
      <c r="AF285" s="6">
        <f>228851+150000+100000+158720</f>
        <v>637571</v>
      </c>
      <c r="AG285" s="6">
        <f>228851+150000+100000+158720</f>
        <v>637571</v>
      </c>
      <c r="AH285" s="6">
        <f>251685+150000+100000+158720</f>
        <v>660405</v>
      </c>
      <c r="AI285" s="6"/>
      <c r="AJ285" s="6"/>
      <c r="AK285" s="6"/>
      <c r="AL285" s="6">
        <f>251685+150000+100000+158720</f>
        <v>660405</v>
      </c>
      <c r="AM285" s="8">
        <v>3.4000000000000002E-2</v>
      </c>
      <c r="AN285" s="8">
        <f t="shared" si="92"/>
        <v>22834.400000000001</v>
      </c>
      <c r="AO285" s="6">
        <f>22834</f>
        <v>22834</v>
      </c>
      <c r="AP285" s="6">
        <f>22834</f>
        <v>22834</v>
      </c>
      <c r="AQ285" s="6">
        <f t="shared" si="88"/>
        <v>0.40000000000145519</v>
      </c>
      <c r="AR285" s="6"/>
      <c r="AS285" s="6">
        <v>19</v>
      </c>
      <c r="AT285" s="6" t="s">
        <v>219</v>
      </c>
    </row>
    <row r="286" spans="1:46" s="9" customFormat="1" x14ac:dyDescent="0.15">
      <c r="A286" s="35">
        <v>41821</v>
      </c>
      <c r="B286" s="2" t="s">
        <v>1928</v>
      </c>
      <c r="C286" s="6" t="s">
        <v>195</v>
      </c>
      <c r="D286" s="6" t="s">
        <v>245</v>
      </c>
      <c r="E286" s="6" t="s">
        <v>0</v>
      </c>
      <c r="F286" s="6" t="s">
        <v>21</v>
      </c>
      <c r="G286" s="6" t="s">
        <v>170</v>
      </c>
      <c r="H286" s="6" t="s">
        <v>246</v>
      </c>
      <c r="I286" s="6" t="s">
        <v>247</v>
      </c>
      <c r="J286" s="6" t="s">
        <v>248</v>
      </c>
      <c r="K286" s="6" t="s">
        <v>173</v>
      </c>
      <c r="L286" s="6"/>
      <c r="M286" s="6">
        <v>1758061</v>
      </c>
      <c r="N286" s="6"/>
      <c r="O286" s="6"/>
      <c r="P286" s="6"/>
      <c r="Q286" s="7" t="s">
        <v>1605</v>
      </c>
      <c r="R286" s="42">
        <v>41859</v>
      </c>
      <c r="S286" s="6">
        <v>528</v>
      </c>
      <c r="T286" s="6"/>
      <c r="U286" s="6" t="s">
        <v>7</v>
      </c>
      <c r="V286" s="8">
        <v>3.5999999999999997E-2</v>
      </c>
      <c r="W286" s="6">
        <f t="shared" si="96"/>
        <v>63290.195999999996</v>
      </c>
      <c r="X286" s="6">
        <f>63290</f>
        <v>63290</v>
      </c>
      <c r="Y286" s="6">
        <f>63290</f>
        <v>63290</v>
      </c>
      <c r="Z286" s="6">
        <f t="shared" si="97"/>
        <v>0.19599999999627471</v>
      </c>
      <c r="AA286" s="6">
        <f>527418.3+527418.3</f>
        <v>1054836.6000000001</v>
      </c>
      <c r="AB286" s="6">
        <f>527418.3+527418.3</f>
        <v>1054836.6000000001</v>
      </c>
      <c r="AC286" s="6">
        <f>527418.3+527418.3</f>
        <v>1054836.6000000001</v>
      </c>
      <c r="AD286" s="6">
        <f>527418.3+527418.3</f>
        <v>1054836.6000000001</v>
      </c>
      <c r="AE286" s="8">
        <f t="shared" si="70"/>
        <v>0.60000000000000009</v>
      </c>
      <c r="AF286" s="6">
        <f>300000+80000+300000+283430+50000</f>
        <v>1013430</v>
      </c>
      <c r="AG286" s="6">
        <f>300000+80000+300000+283430+50000</f>
        <v>1013430</v>
      </c>
      <c r="AH286" s="6">
        <f>300000+35864+80000+300000+283430+50000</f>
        <v>1049294</v>
      </c>
      <c r="AI286" s="6"/>
      <c r="AJ286" s="6"/>
      <c r="AK286" s="6"/>
      <c r="AL286" s="6">
        <f>335864+80000+300000+283430+50000</f>
        <v>1049294</v>
      </c>
      <c r="AM286" s="8">
        <v>3.4000000000000002E-2</v>
      </c>
      <c r="AN286" s="8">
        <f t="shared" si="92"/>
        <v>35864.444400000008</v>
      </c>
      <c r="AO286" s="6"/>
      <c r="AP286" s="6"/>
      <c r="AQ286" s="6">
        <f t="shared" si="88"/>
        <v>35864.444400000008</v>
      </c>
      <c r="AR286" s="6"/>
      <c r="AS286" s="6">
        <v>18</v>
      </c>
      <c r="AT286" s="6" t="s">
        <v>1577</v>
      </c>
    </row>
    <row r="287" spans="1:46" s="9" customFormat="1" x14ac:dyDescent="0.15">
      <c r="A287" s="35">
        <v>41855</v>
      </c>
      <c r="B287" s="2" t="s">
        <v>1929</v>
      </c>
      <c r="C287" s="6" t="s">
        <v>196</v>
      </c>
      <c r="D287" s="6" t="s">
        <v>249</v>
      </c>
      <c r="E287" s="6" t="s">
        <v>0</v>
      </c>
      <c r="F287" s="6" t="s">
        <v>250</v>
      </c>
      <c r="G287" s="6" t="s">
        <v>170</v>
      </c>
      <c r="H287" s="6" t="s">
        <v>251</v>
      </c>
      <c r="I287" s="6" t="s">
        <v>252</v>
      </c>
      <c r="J287" s="6" t="s">
        <v>253</v>
      </c>
      <c r="K287" s="6" t="s">
        <v>173</v>
      </c>
      <c r="L287" s="6"/>
      <c r="M287" s="6">
        <v>100000</v>
      </c>
      <c r="N287" s="6"/>
      <c r="O287" s="6"/>
      <c r="P287" s="6"/>
      <c r="Q287" s="7" t="s">
        <v>1613</v>
      </c>
      <c r="R287" s="42">
        <v>41960</v>
      </c>
      <c r="S287" s="6">
        <v>30</v>
      </c>
      <c r="T287" s="6"/>
      <c r="U287" s="6" t="s">
        <v>7</v>
      </c>
      <c r="V287" s="8">
        <v>3.5999999999999997E-2</v>
      </c>
      <c r="W287" s="6">
        <f t="shared" si="96"/>
        <v>3599.9999999999995</v>
      </c>
      <c r="X287" s="6">
        <f>550+90+2150</f>
        <v>2790</v>
      </c>
      <c r="Y287" s="6">
        <f>640+2150</f>
        <v>2790</v>
      </c>
      <c r="Z287" s="6">
        <f t="shared" si="97"/>
        <v>809.99999999999955</v>
      </c>
      <c r="AA287" s="6">
        <f>100000</f>
        <v>100000</v>
      </c>
      <c r="AB287" s="6">
        <f>100000</f>
        <v>100000</v>
      </c>
      <c r="AC287" s="6">
        <f>100000</f>
        <v>100000</v>
      </c>
      <c r="AD287" s="6">
        <f>100000</f>
        <v>100000</v>
      </c>
      <c r="AE287" s="8">
        <f t="shared" si="70"/>
        <v>1</v>
      </c>
      <c r="AF287" s="6">
        <f>94450+2150</f>
        <v>96600</v>
      </c>
      <c r="AG287" s="6">
        <f>94450+2150</f>
        <v>96600</v>
      </c>
      <c r="AH287" s="6">
        <f>97850</f>
        <v>97850</v>
      </c>
      <c r="AI287" s="6">
        <v>1000</v>
      </c>
      <c r="AJ287" s="6">
        <v>320</v>
      </c>
      <c r="AK287" s="6">
        <v>830</v>
      </c>
      <c r="AL287" s="6">
        <f>97850+2150</f>
        <v>100000</v>
      </c>
      <c r="AM287" s="8">
        <v>3.4000000000000002E-2</v>
      </c>
      <c r="AN287" s="8">
        <f t="shared" si="92"/>
        <v>3400.0000000000005</v>
      </c>
      <c r="AO287" s="6">
        <f>3400</f>
        <v>3400</v>
      </c>
      <c r="AP287" s="6">
        <f>3400</f>
        <v>3400</v>
      </c>
      <c r="AQ287" s="6">
        <f t="shared" si="88"/>
        <v>0</v>
      </c>
      <c r="AR287" s="6"/>
      <c r="AS287" s="6"/>
      <c r="AT287" s="6"/>
    </row>
    <row r="288" spans="1:46" s="9" customFormat="1" x14ac:dyDescent="0.15">
      <c r="A288" s="35">
        <v>41876</v>
      </c>
      <c r="B288" s="2" t="s">
        <v>1930</v>
      </c>
      <c r="C288" s="6" t="s">
        <v>1126</v>
      </c>
      <c r="D288" s="6" t="s">
        <v>1127</v>
      </c>
      <c r="E288" s="6" t="s">
        <v>0</v>
      </c>
      <c r="F288" s="6" t="s">
        <v>1128</v>
      </c>
      <c r="G288" s="6" t="s">
        <v>1129</v>
      </c>
      <c r="H288" s="6" t="s">
        <v>243</v>
      </c>
      <c r="I288" s="6" t="s">
        <v>926</v>
      </c>
      <c r="J288" s="6" t="s">
        <v>254</v>
      </c>
      <c r="K288" s="6" t="s">
        <v>173</v>
      </c>
      <c r="L288" s="6"/>
      <c r="M288" s="6">
        <v>1628000</v>
      </c>
      <c r="N288" s="6"/>
      <c r="O288" s="6"/>
      <c r="P288" s="6"/>
      <c r="Q288" s="7" t="s">
        <v>1608</v>
      </c>
      <c r="R288" s="42">
        <v>41894</v>
      </c>
      <c r="S288" s="6">
        <v>489</v>
      </c>
      <c r="T288" s="6"/>
      <c r="U288" s="6" t="s">
        <v>1130</v>
      </c>
      <c r="V288" s="8">
        <v>3.5999999999999997E-2</v>
      </c>
      <c r="W288" s="6">
        <f t="shared" si="96"/>
        <v>58607.999999999993</v>
      </c>
      <c r="X288" s="6">
        <f>4884</f>
        <v>4884</v>
      </c>
      <c r="Y288" s="6">
        <f>4884</f>
        <v>4884</v>
      </c>
      <c r="Z288" s="6">
        <f t="shared" si="97"/>
        <v>53723.999999999993</v>
      </c>
      <c r="AA288" s="6">
        <f>500000</f>
        <v>500000</v>
      </c>
      <c r="AB288" s="6">
        <f>500000</f>
        <v>500000</v>
      </c>
      <c r="AC288" s="6">
        <f>500000</f>
        <v>500000</v>
      </c>
      <c r="AD288" s="6">
        <f>500000</f>
        <v>500000</v>
      </c>
      <c r="AE288" s="8">
        <f t="shared" si="70"/>
        <v>0.30712530712530711</v>
      </c>
      <c r="AF288" s="6">
        <f>192530+200000</f>
        <v>392530</v>
      </c>
      <c r="AG288" s="6">
        <f>192530+200000</f>
        <v>392530</v>
      </c>
      <c r="AH288" s="6">
        <f>209530+200000</f>
        <v>409530</v>
      </c>
      <c r="AI288" s="6"/>
      <c r="AJ288" s="6"/>
      <c r="AK288" s="6"/>
      <c r="AL288" s="6">
        <f>209530+200000</f>
        <v>409530</v>
      </c>
      <c r="AM288" s="8">
        <v>3.4000000000000002E-2</v>
      </c>
      <c r="AN288" s="8">
        <f t="shared" si="92"/>
        <v>17000</v>
      </c>
      <c r="AO288" s="6">
        <f>17000</f>
        <v>17000</v>
      </c>
      <c r="AP288" s="6">
        <f>17000</f>
        <v>17000</v>
      </c>
      <c r="AQ288" s="6">
        <f>AN288-AP288</f>
        <v>0</v>
      </c>
      <c r="AR288" s="6"/>
      <c r="AS288" s="6"/>
      <c r="AT288" s="6"/>
    </row>
    <row r="289" spans="1:46" s="9" customFormat="1" x14ac:dyDescent="0.15">
      <c r="A289" s="35">
        <v>41981</v>
      </c>
      <c r="B289" s="2" t="s">
        <v>1931</v>
      </c>
      <c r="C289" s="6" t="s">
        <v>1372</v>
      </c>
      <c r="D289" s="6" t="s">
        <v>1503</v>
      </c>
      <c r="E289" s="6" t="s">
        <v>1504</v>
      </c>
      <c r="F289" s="6" t="s">
        <v>1505</v>
      </c>
      <c r="G289" s="6" t="s">
        <v>1506</v>
      </c>
      <c r="H289" s="6" t="s">
        <v>33</v>
      </c>
      <c r="I289" s="6" t="s">
        <v>172</v>
      </c>
      <c r="J289" s="6" t="s">
        <v>937</v>
      </c>
      <c r="K289" s="6" t="s">
        <v>5</v>
      </c>
      <c r="L289" s="6"/>
      <c r="M289" s="6">
        <v>234000</v>
      </c>
      <c r="N289" s="6"/>
      <c r="O289" s="6"/>
      <c r="P289" s="6"/>
      <c r="Q289" s="7" t="s">
        <v>1609</v>
      </c>
      <c r="R289" s="42">
        <v>41901</v>
      </c>
      <c r="S289" s="6">
        <v>71</v>
      </c>
      <c r="T289" s="6"/>
      <c r="U289" s="6" t="s">
        <v>7</v>
      </c>
      <c r="V289" s="8">
        <v>3.5999999999999997E-2</v>
      </c>
      <c r="W289" s="6">
        <f t="shared" si="96"/>
        <v>8424</v>
      </c>
      <c r="X289" s="6">
        <f>8424</f>
        <v>8424</v>
      </c>
      <c r="Y289" s="6">
        <f>8424</f>
        <v>8424</v>
      </c>
      <c r="Z289" s="6">
        <f t="shared" si="97"/>
        <v>0</v>
      </c>
      <c r="AA289" s="6">
        <f>198900</f>
        <v>198900</v>
      </c>
      <c r="AB289" s="6">
        <f>198900</f>
        <v>198900</v>
      </c>
      <c r="AC289" s="6"/>
      <c r="AD289" s="6"/>
      <c r="AE289" s="8"/>
      <c r="AF289" s="6"/>
      <c r="AG289" s="6"/>
      <c r="AH289" s="6"/>
      <c r="AI289" s="6"/>
      <c r="AJ289" s="6"/>
      <c r="AK289" s="6"/>
      <c r="AL289" s="6"/>
      <c r="AM289" s="8">
        <v>3.5000000000000003E-2</v>
      </c>
      <c r="AN289" s="8">
        <f t="shared" si="92"/>
        <v>6961.5000000000009</v>
      </c>
      <c r="AO289" s="6">
        <f>6961.5</f>
        <v>6961.5</v>
      </c>
      <c r="AP289" s="6">
        <f>6961.5</f>
        <v>6961.5</v>
      </c>
      <c r="AQ289" s="6">
        <f t="shared" ref="AQ289:AQ302" si="98">AN289-AP289</f>
        <v>0</v>
      </c>
      <c r="AR289" s="6"/>
      <c r="AS289" s="6"/>
      <c r="AT289" s="6"/>
    </row>
    <row r="290" spans="1:46" s="9" customFormat="1" x14ac:dyDescent="0.15">
      <c r="A290" s="35">
        <v>41883</v>
      </c>
      <c r="B290" s="2" t="s">
        <v>1932</v>
      </c>
      <c r="C290" s="6" t="s">
        <v>1373</v>
      </c>
      <c r="D290" s="6" t="s">
        <v>1375</v>
      </c>
      <c r="E290" s="6" t="s">
        <v>0</v>
      </c>
      <c r="F290" s="6" t="s">
        <v>1379</v>
      </c>
      <c r="G290" s="6" t="s">
        <v>1376</v>
      </c>
      <c r="H290" s="6" t="s">
        <v>212</v>
      </c>
      <c r="I290" s="6" t="s">
        <v>70</v>
      </c>
      <c r="J290" s="6" t="s">
        <v>69</v>
      </c>
      <c r="K290" s="6" t="s">
        <v>1377</v>
      </c>
      <c r="L290" s="6"/>
      <c r="M290" s="6">
        <v>35751217.619999997</v>
      </c>
      <c r="N290" s="6"/>
      <c r="O290" s="6"/>
      <c r="P290" s="6"/>
      <c r="Q290" s="7" t="s">
        <v>1611</v>
      </c>
      <c r="R290" s="42">
        <v>41926</v>
      </c>
      <c r="S290" s="6">
        <v>10726</v>
      </c>
      <c r="T290" s="6"/>
      <c r="U290" s="6" t="s">
        <v>7</v>
      </c>
      <c r="V290" s="8">
        <v>0.03</v>
      </c>
      <c r="W290" s="6">
        <f t="shared" si="96"/>
        <v>1072536.5285999998</v>
      </c>
      <c r="X290" s="6">
        <f>300000+1100</f>
        <v>301100</v>
      </c>
      <c r="Y290" s="6">
        <f>300000+1100</f>
        <v>301100</v>
      </c>
      <c r="Z290" s="6">
        <f t="shared" si="97"/>
        <v>771436.52859999985</v>
      </c>
      <c r="AA290" s="6">
        <f>6139908.14</f>
        <v>6139908.1399999997</v>
      </c>
      <c r="AB290" s="6">
        <f>6139908.14</f>
        <v>6139908.1399999997</v>
      </c>
      <c r="AC290" s="6">
        <f>6139908.14</f>
        <v>6139908.1399999997</v>
      </c>
      <c r="AD290" s="6">
        <f>6139908.14</f>
        <v>6139908.1399999997</v>
      </c>
      <c r="AE290" s="8">
        <f t="shared" si="70"/>
        <v>0.17173983289915148</v>
      </c>
      <c r="AF290" s="6">
        <f>2500000+1275735+548750+853000+172560+434000+25925</f>
        <v>5809970</v>
      </c>
      <c r="AG290" s="6">
        <f>2500000+1275735+548750+853000+172560+434000+25925</f>
        <v>5809970</v>
      </c>
      <c r="AH290" s="6">
        <f>2708757+1275735+548750+853000+172560+434000+24825</f>
        <v>6017627</v>
      </c>
      <c r="AI290" s="6"/>
      <c r="AJ290" s="6">
        <f>1100</f>
        <v>1100</v>
      </c>
      <c r="AK290" s="6"/>
      <c r="AL290" s="6">
        <f>2708757+1275735+548750+853000+172560+434000+25925</f>
        <v>6018727</v>
      </c>
      <c r="AM290" s="8">
        <v>3.4000000000000002E-2</v>
      </c>
      <c r="AN290" s="8">
        <f t="shared" si="92"/>
        <v>208756.87676000001</v>
      </c>
      <c r="AO290" s="6">
        <f>208757</f>
        <v>208757</v>
      </c>
      <c r="AP290" s="6">
        <f>208757</f>
        <v>208757</v>
      </c>
      <c r="AQ290" s="6">
        <f t="shared" si="98"/>
        <v>-0.12323999998625368</v>
      </c>
      <c r="AR290" s="6"/>
      <c r="AS290" s="6">
        <v>120</v>
      </c>
      <c r="AT290" s="6" t="s">
        <v>1638</v>
      </c>
    </row>
    <row r="291" spans="1:46" s="9" customFormat="1" x14ac:dyDescent="0.15">
      <c r="A291" s="35">
        <v>41883</v>
      </c>
      <c r="B291" s="2" t="s">
        <v>1933</v>
      </c>
      <c r="C291" s="6" t="s">
        <v>1374</v>
      </c>
      <c r="D291" s="6" t="s">
        <v>1618</v>
      </c>
      <c r="E291" s="6" t="s">
        <v>0</v>
      </c>
      <c r="F291" s="6"/>
      <c r="G291" s="6" t="s">
        <v>1575</v>
      </c>
      <c r="H291" s="6" t="s">
        <v>1619</v>
      </c>
      <c r="I291" s="6" t="s">
        <v>1620</v>
      </c>
      <c r="J291" s="6" t="s">
        <v>1297</v>
      </c>
      <c r="K291" s="6" t="s">
        <v>1616</v>
      </c>
      <c r="L291" s="6"/>
      <c r="M291" s="6">
        <v>5226063</v>
      </c>
      <c r="N291" s="6"/>
      <c r="O291" s="6"/>
      <c r="P291" s="6"/>
      <c r="Q291" s="7"/>
      <c r="R291" s="42"/>
      <c r="S291" s="6"/>
      <c r="T291" s="6"/>
      <c r="U291" s="6" t="s">
        <v>7</v>
      </c>
      <c r="V291" s="8">
        <v>0.03</v>
      </c>
      <c r="W291" s="6">
        <f t="shared" si="96"/>
        <v>156781.88999999998</v>
      </c>
      <c r="X291" s="6">
        <f>50000</f>
        <v>50000</v>
      </c>
      <c r="Y291" s="6">
        <f>50000</f>
        <v>50000</v>
      </c>
      <c r="Z291" s="6">
        <f t="shared" si="97"/>
        <v>106781.88999999998</v>
      </c>
      <c r="AA291" s="6"/>
      <c r="AB291" s="6"/>
      <c r="AC291" s="6"/>
      <c r="AD291" s="6"/>
      <c r="AE291" s="8">
        <f t="shared" si="70"/>
        <v>0</v>
      </c>
      <c r="AF291" s="6"/>
      <c r="AG291" s="6"/>
      <c r="AH291" s="6"/>
      <c r="AI291" s="6"/>
      <c r="AJ291" s="6"/>
      <c r="AK291" s="6"/>
      <c r="AL291" s="6"/>
      <c r="AM291" s="8">
        <v>3.4000000000000002E-2</v>
      </c>
      <c r="AN291" s="8">
        <f t="shared" si="92"/>
        <v>0</v>
      </c>
      <c r="AO291" s="6"/>
      <c r="AP291" s="6"/>
      <c r="AQ291" s="6">
        <f t="shared" si="98"/>
        <v>0</v>
      </c>
      <c r="AR291" s="6"/>
      <c r="AS291" s="6">
        <v>70</v>
      </c>
      <c r="AT291" s="6" t="s">
        <v>1583</v>
      </c>
    </row>
    <row r="292" spans="1:46" s="9" customFormat="1" x14ac:dyDescent="0.15">
      <c r="A292" s="35">
        <v>41883</v>
      </c>
      <c r="B292" s="2" t="s">
        <v>1934</v>
      </c>
      <c r="C292" s="6" t="s">
        <v>1378</v>
      </c>
      <c r="D292" s="6" t="s">
        <v>1621</v>
      </c>
      <c r="E292" s="6" t="s">
        <v>0</v>
      </c>
      <c r="F292" s="6" t="s">
        <v>1634</v>
      </c>
      <c r="G292" s="6" t="s">
        <v>1622</v>
      </c>
      <c r="H292" s="6" t="s">
        <v>640</v>
      </c>
      <c r="I292" s="6" t="s">
        <v>641</v>
      </c>
      <c r="J292" s="6" t="s">
        <v>640</v>
      </c>
      <c r="K292" s="6"/>
      <c r="L292" s="6"/>
      <c r="M292" s="6">
        <v>3364678</v>
      </c>
      <c r="N292" s="6"/>
      <c r="O292" s="6"/>
      <c r="P292" s="6"/>
      <c r="Q292" s="7"/>
      <c r="R292" s="42"/>
      <c r="S292" s="6"/>
      <c r="T292" s="6"/>
      <c r="U292" s="6" t="s">
        <v>7</v>
      </c>
      <c r="V292" s="8">
        <v>3.5999999999999997E-2</v>
      </c>
      <c r="W292" s="6">
        <f t="shared" si="96"/>
        <v>121128.408</v>
      </c>
      <c r="X292" s="6"/>
      <c r="Y292" s="6"/>
      <c r="Z292" s="6">
        <f t="shared" si="97"/>
        <v>121128.408</v>
      </c>
      <c r="AA292" s="6"/>
      <c r="AB292" s="6"/>
      <c r="AC292" s="6"/>
      <c r="AD292" s="6"/>
      <c r="AE292" s="8">
        <f t="shared" ref="AE292:AE302" si="99">AC292/(M292+N292)</f>
        <v>0</v>
      </c>
      <c r="AF292" s="6"/>
      <c r="AG292" s="6"/>
      <c r="AH292" s="6"/>
      <c r="AI292" s="6"/>
      <c r="AJ292" s="6"/>
      <c r="AK292" s="6"/>
      <c r="AL292" s="6"/>
      <c r="AM292" s="8"/>
      <c r="AN292" s="8">
        <f t="shared" si="92"/>
        <v>0</v>
      </c>
      <c r="AO292" s="6"/>
      <c r="AP292" s="6"/>
      <c r="AQ292" s="6">
        <f t="shared" si="98"/>
        <v>0</v>
      </c>
      <c r="AR292" s="6"/>
      <c r="AS292" s="6"/>
      <c r="AT292" s="6"/>
    </row>
    <row r="293" spans="1:46" s="9" customFormat="1" x14ac:dyDescent="0.15">
      <c r="A293" s="35">
        <v>41943</v>
      </c>
      <c r="B293" s="2" t="s">
        <v>1935</v>
      </c>
      <c r="C293" s="6" t="s">
        <v>1398</v>
      </c>
      <c r="D293" s="6" t="s">
        <v>1404</v>
      </c>
      <c r="E293" s="6" t="s">
        <v>0</v>
      </c>
      <c r="F293" s="6" t="s">
        <v>1405</v>
      </c>
      <c r="G293" s="6" t="s">
        <v>1406</v>
      </c>
      <c r="H293" s="6" t="s">
        <v>1407</v>
      </c>
      <c r="I293" s="6" t="s">
        <v>23</v>
      </c>
      <c r="J293" s="6" t="s">
        <v>22</v>
      </c>
      <c r="K293" s="6" t="s">
        <v>13</v>
      </c>
      <c r="L293" s="6"/>
      <c r="M293" s="6">
        <v>1963798.74</v>
      </c>
      <c r="N293" s="6"/>
      <c r="O293" s="6"/>
      <c r="P293" s="6"/>
      <c r="Q293" s="7"/>
      <c r="R293" s="42"/>
      <c r="S293" s="6"/>
      <c r="T293" s="6"/>
      <c r="U293" s="6" t="s">
        <v>7</v>
      </c>
      <c r="V293" s="8">
        <v>3.5999999999999997E-2</v>
      </c>
      <c r="W293" s="6">
        <f t="shared" ref="W293:W300" si="100">(M293+N293)*V293</f>
        <v>70696.754639999999</v>
      </c>
      <c r="X293" s="6">
        <f>70697</f>
        <v>70697</v>
      </c>
      <c r="Y293" s="6">
        <f>70697</f>
        <v>70697</v>
      </c>
      <c r="Z293" s="6">
        <f t="shared" si="97"/>
        <v>-0.24536000000080094</v>
      </c>
      <c r="AA293" s="6">
        <f>392759+742768+742768</f>
        <v>1878295</v>
      </c>
      <c r="AB293" s="6">
        <f>392759+742768+742768</f>
        <v>1878295</v>
      </c>
      <c r="AC293" s="6">
        <f>392759</f>
        <v>392759</v>
      </c>
      <c r="AD293" s="6">
        <f>392759</f>
        <v>392759</v>
      </c>
      <c r="AE293" s="8">
        <f t="shared" si="99"/>
        <v>0.19999961910557087</v>
      </c>
      <c r="AF293" s="6">
        <f>307759.98+34711.1+77215.36+100000+12045.22+10950.2+107248.44+255570+130000</f>
        <v>1035500.2999999998</v>
      </c>
      <c r="AG293" s="6">
        <f>307759.98+34711.1+77215.36+100000+12045.22+10950.2+107248.44+255570+130000</f>
        <v>1035500.2999999998</v>
      </c>
      <c r="AH293" s="6">
        <f>346367.98+25456.8+77215.36+100000+12045.22+10950.2+152748.44+255570+130000</f>
        <v>1110353.9999999998</v>
      </c>
      <c r="AI293" s="6"/>
      <c r="AJ293" s="6">
        <f>4500</f>
        <v>4500</v>
      </c>
      <c r="AK293" s="6">
        <f>9254.3</f>
        <v>9254.2999999999993</v>
      </c>
      <c r="AL293" s="6">
        <f>346367.98+34711.1+77215.36+100000+12045.22+10950.2+157248.44+255570+130000</f>
        <v>1124108.2999999998</v>
      </c>
      <c r="AM293" s="8">
        <v>3.4000000000000002E-2</v>
      </c>
      <c r="AN293" s="8">
        <f t="shared" si="92"/>
        <v>63862.030000000006</v>
      </c>
      <c r="AO293" s="6">
        <f>38608</f>
        <v>38608</v>
      </c>
      <c r="AP293" s="6">
        <f>38608</f>
        <v>38608</v>
      </c>
      <c r="AQ293" s="6">
        <f t="shared" si="98"/>
        <v>25254.030000000006</v>
      </c>
      <c r="AR293" s="6"/>
      <c r="AS293" s="6">
        <v>24</v>
      </c>
      <c r="AT293" s="6" t="s">
        <v>1638</v>
      </c>
    </row>
    <row r="294" spans="1:46" s="9" customFormat="1" x14ac:dyDescent="0.15">
      <c r="A294" s="35">
        <v>41913</v>
      </c>
      <c r="B294" s="2" t="s">
        <v>1936</v>
      </c>
      <c r="C294" s="6" t="s">
        <v>1399</v>
      </c>
      <c r="D294" s="6" t="s">
        <v>1623</v>
      </c>
      <c r="E294" s="6" t="s">
        <v>0</v>
      </c>
      <c r="F294" s="6" t="s">
        <v>1635</v>
      </c>
      <c r="G294" s="6" t="s">
        <v>1624</v>
      </c>
      <c r="H294" s="6" t="s">
        <v>1625</v>
      </c>
      <c r="I294" s="6" t="s">
        <v>1626</v>
      </c>
      <c r="J294" s="6" t="s">
        <v>1627</v>
      </c>
      <c r="K294" s="6" t="s">
        <v>1628</v>
      </c>
      <c r="L294" s="6"/>
      <c r="M294" s="6">
        <v>1585476.6</v>
      </c>
      <c r="N294" s="6">
        <f>2574970.61</f>
        <v>2574970.61</v>
      </c>
      <c r="O294" s="6"/>
      <c r="P294" s="6"/>
      <c r="Q294" s="7" t="s">
        <v>1614</v>
      </c>
      <c r="R294" s="42">
        <v>41974</v>
      </c>
      <c r="S294" s="6">
        <v>1249</v>
      </c>
      <c r="T294" s="6"/>
      <c r="U294" s="6" t="s">
        <v>7</v>
      </c>
      <c r="V294" s="8">
        <v>3.5999999999999997E-2</v>
      </c>
      <c r="W294" s="6">
        <f t="shared" si="100"/>
        <v>149776.09955999997</v>
      </c>
      <c r="X294" s="6">
        <f>100000</f>
        <v>100000</v>
      </c>
      <c r="Y294" s="6">
        <f>100000</f>
        <v>100000</v>
      </c>
      <c r="Z294" s="6">
        <f t="shared" si="97"/>
        <v>49776.099559999973</v>
      </c>
      <c r="AA294" s="6">
        <f>317095.32</f>
        <v>317095.32</v>
      </c>
      <c r="AB294" s="6">
        <f>317095.32</f>
        <v>317095.32</v>
      </c>
      <c r="AC294" s="6"/>
      <c r="AD294" s="6"/>
      <c r="AE294" s="8">
        <f t="shared" si="99"/>
        <v>0</v>
      </c>
      <c r="AF294" s="6"/>
      <c r="AG294" s="6"/>
      <c r="AH294" s="6"/>
      <c r="AI294" s="6"/>
      <c r="AJ294" s="6"/>
      <c r="AK294" s="6"/>
      <c r="AL294" s="6"/>
      <c r="AM294" s="8">
        <v>3.5000000000000003E-2</v>
      </c>
      <c r="AN294" s="8">
        <f t="shared" si="92"/>
        <v>11098.336200000002</v>
      </c>
      <c r="AO294" s="6">
        <f>11098.34</f>
        <v>11098.34</v>
      </c>
      <c r="AP294" s="6">
        <f>11098.34</f>
        <v>11098.34</v>
      </c>
      <c r="AQ294" s="6">
        <f t="shared" si="98"/>
        <v>-3.7999999985913746E-3</v>
      </c>
      <c r="AR294" s="6"/>
      <c r="AS294" s="6">
        <v>65</v>
      </c>
      <c r="AT294" s="6"/>
    </row>
    <row r="295" spans="1:46" s="9" customFormat="1" x14ac:dyDescent="0.15">
      <c r="A295" s="35">
        <v>41913</v>
      </c>
      <c r="B295" s="2" t="s">
        <v>1937</v>
      </c>
      <c r="C295" s="6" t="s">
        <v>1400</v>
      </c>
      <c r="D295" s="6" t="s">
        <v>1401</v>
      </c>
      <c r="E295" s="6" t="s">
        <v>0</v>
      </c>
      <c r="F295" s="6" t="s">
        <v>1636</v>
      </c>
      <c r="G295" s="6" t="s">
        <v>1575</v>
      </c>
      <c r="H295" s="6" t="s">
        <v>369</v>
      </c>
      <c r="I295" s="11" t="s">
        <v>370</v>
      </c>
      <c r="J295" s="11" t="s">
        <v>369</v>
      </c>
      <c r="K295" s="11" t="s">
        <v>13</v>
      </c>
      <c r="L295" s="6"/>
      <c r="M295" s="6">
        <v>5096142.2699999996</v>
      </c>
      <c r="N295" s="6"/>
      <c r="O295" s="6"/>
      <c r="P295" s="6"/>
      <c r="Q295" s="7"/>
      <c r="R295" s="42"/>
      <c r="S295" s="6"/>
      <c r="T295" s="6"/>
      <c r="U295" s="6" t="s">
        <v>7</v>
      </c>
      <c r="V295" s="8">
        <v>0.03</v>
      </c>
      <c r="W295" s="6">
        <f t="shared" si="100"/>
        <v>152884.26809999999</v>
      </c>
      <c r="X295" s="6">
        <f>152884</f>
        <v>152884</v>
      </c>
      <c r="Y295" s="6">
        <f>152884</f>
        <v>152884</v>
      </c>
      <c r="Z295" s="6">
        <f t="shared" si="97"/>
        <v>0.26809999998658895</v>
      </c>
      <c r="AA295" s="6">
        <f>1203963+1685548</f>
        <v>2889511</v>
      </c>
      <c r="AB295" s="6">
        <f>1203963+1685548</f>
        <v>2889511</v>
      </c>
      <c r="AC295" s="6">
        <f>1203963+1685548</f>
        <v>2889511</v>
      </c>
      <c r="AD295" s="6">
        <f>1203963+1685548</f>
        <v>2889511</v>
      </c>
      <c r="AE295" s="8">
        <f t="shared" si="99"/>
        <v>0.56699967287216257</v>
      </c>
      <c r="AF295" s="6">
        <f>955108.67+200000+1300200+250000</f>
        <v>2705308.67</v>
      </c>
      <c r="AG295" s="6">
        <f>955108.67+200000+1300200+250000</f>
        <v>2705308.67</v>
      </c>
      <c r="AH295" s="6">
        <f>996043.67+200000+1357509+250000</f>
        <v>2803552.67</v>
      </c>
      <c r="AI295" s="6"/>
      <c r="AJ295" s="6"/>
      <c r="AK295" s="6"/>
      <c r="AL295" s="6">
        <f>996043.67+200000+1357509+250000</f>
        <v>2803552.67</v>
      </c>
      <c r="AM295" s="8">
        <v>3.4000000000000002E-2</v>
      </c>
      <c r="AN295" s="8">
        <f t="shared" si="92"/>
        <v>98243.374000000011</v>
      </c>
      <c r="AO295" s="6">
        <f>40935+57309</f>
        <v>98244</v>
      </c>
      <c r="AP295" s="6">
        <f>40935+57309</f>
        <v>98244</v>
      </c>
      <c r="AQ295" s="6">
        <f t="shared" si="98"/>
        <v>-0.62599999998928979</v>
      </c>
      <c r="AR295" s="6"/>
      <c r="AS295" s="6">
        <v>11</v>
      </c>
      <c r="AT295" s="6" t="s">
        <v>1639</v>
      </c>
    </row>
    <row r="296" spans="1:46" s="9" customFormat="1" x14ac:dyDescent="0.15">
      <c r="A296" s="35">
        <v>41944</v>
      </c>
      <c r="B296" s="2" t="s">
        <v>1938</v>
      </c>
      <c r="C296" s="6" t="s">
        <v>1408</v>
      </c>
      <c r="D296" s="6" t="s">
        <v>1409</v>
      </c>
      <c r="E296" s="6" t="s">
        <v>0</v>
      </c>
      <c r="F296" s="6" t="s">
        <v>74</v>
      </c>
      <c r="G296" s="6" t="s">
        <v>1406</v>
      </c>
      <c r="H296" s="6" t="s">
        <v>1410</v>
      </c>
      <c r="I296" s="6" t="s">
        <v>70</v>
      </c>
      <c r="J296" s="6" t="s">
        <v>69</v>
      </c>
      <c r="K296" s="6" t="s">
        <v>13</v>
      </c>
      <c r="L296" s="6"/>
      <c r="M296" s="6">
        <v>1164800</v>
      </c>
      <c r="N296" s="6"/>
      <c r="O296" s="6"/>
      <c r="P296" s="6"/>
      <c r="Q296" s="7" t="s">
        <v>1612</v>
      </c>
      <c r="R296" s="42">
        <v>41949</v>
      </c>
      <c r="S296" s="6">
        <v>350</v>
      </c>
      <c r="T296" s="6"/>
      <c r="U296" s="6" t="s">
        <v>7</v>
      </c>
      <c r="V296" s="8">
        <v>3.5999999999999997E-2</v>
      </c>
      <c r="W296" s="6">
        <f t="shared" si="100"/>
        <v>41932.799999999996</v>
      </c>
      <c r="X296" s="6">
        <f>41933</f>
        <v>41933</v>
      </c>
      <c r="Y296" s="6">
        <f>41933</f>
        <v>41933</v>
      </c>
      <c r="Z296" s="6">
        <f t="shared" si="97"/>
        <v>-0.20000000000436557</v>
      </c>
      <c r="AA296" s="6">
        <f>349440+465920</f>
        <v>815360</v>
      </c>
      <c r="AB296" s="6">
        <f>349440+465920</f>
        <v>815360</v>
      </c>
      <c r="AC296" s="6">
        <f>349440</f>
        <v>349440</v>
      </c>
      <c r="AD296" s="6">
        <f>349440</f>
        <v>349440</v>
      </c>
      <c r="AE296" s="8">
        <f t="shared" si="99"/>
        <v>0.3</v>
      </c>
      <c r="AF296" s="6">
        <f>337559</f>
        <v>337559</v>
      </c>
      <c r="AG296" s="6">
        <f>337559</f>
        <v>337559</v>
      </c>
      <c r="AH296" s="6">
        <f>349440</f>
        <v>349440</v>
      </c>
      <c r="AI296" s="6"/>
      <c r="AJ296" s="6"/>
      <c r="AK296" s="6"/>
      <c r="AL296" s="6">
        <f>349440</f>
        <v>349440</v>
      </c>
      <c r="AM296" s="8">
        <v>3.4000000000000002E-2</v>
      </c>
      <c r="AN296" s="8">
        <f t="shared" si="92"/>
        <v>27722.240000000002</v>
      </c>
      <c r="AO296" s="6">
        <f>11881</f>
        <v>11881</v>
      </c>
      <c r="AP296" s="6">
        <f>11881</f>
        <v>11881</v>
      </c>
      <c r="AQ296" s="6">
        <f t="shared" si="98"/>
        <v>15841.240000000002</v>
      </c>
      <c r="AR296" s="6"/>
      <c r="AS296" s="6"/>
      <c r="AT296" s="6"/>
    </row>
    <row r="297" spans="1:46" s="9" customFormat="1" x14ac:dyDescent="0.15">
      <c r="A297" s="35">
        <v>41944</v>
      </c>
      <c r="B297" s="2" t="s">
        <v>1939</v>
      </c>
      <c r="C297" s="6" t="s">
        <v>1411</v>
      </c>
      <c r="D297" s="6" t="s">
        <v>1641</v>
      </c>
      <c r="E297" s="6" t="s">
        <v>0</v>
      </c>
      <c r="F297" s="6"/>
      <c r="G297" s="6" t="s">
        <v>1642</v>
      </c>
      <c r="H297" s="6" t="s">
        <v>1643</v>
      </c>
      <c r="I297" s="6"/>
      <c r="J297" s="6"/>
      <c r="K297" s="6"/>
      <c r="L297" s="6"/>
      <c r="M297" s="6">
        <v>6732000</v>
      </c>
      <c r="N297" s="6"/>
      <c r="O297" s="6"/>
      <c r="P297" s="6"/>
      <c r="Q297" s="7"/>
      <c r="R297" s="42"/>
      <c r="S297" s="6"/>
      <c r="T297" s="6"/>
      <c r="U297" s="6" t="s">
        <v>7</v>
      </c>
      <c r="V297" s="8">
        <v>0.03</v>
      </c>
      <c r="W297" s="6">
        <f t="shared" si="100"/>
        <v>201960</v>
      </c>
      <c r="X297" s="6">
        <f>201960</f>
        <v>201960</v>
      </c>
      <c r="Y297" s="6">
        <f>201960</f>
        <v>201960</v>
      </c>
      <c r="Z297" s="6">
        <f t="shared" si="97"/>
        <v>0</v>
      </c>
      <c r="AA297" s="6"/>
      <c r="AB297" s="6"/>
      <c r="AC297" s="6"/>
      <c r="AD297" s="6"/>
      <c r="AE297" s="8">
        <f t="shared" si="99"/>
        <v>0</v>
      </c>
      <c r="AF297" s="6"/>
      <c r="AG297" s="6"/>
      <c r="AH297" s="6"/>
      <c r="AI297" s="6"/>
      <c r="AJ297" s="6"/>
      <c r="AK297" s="6"/>
      <c r="AL297" s="6"/>
      <c r="AM297" s="8"/>
      <c r="AN297" s="8">
        <f t="shared" si="92"/>
        <v>0</v>
      </c>
      <c r="AO297" s="6"/>
      <c r="AP297" s="6"/>
      <c r="AQ297" s="6">
        <f t="shared" si="98"/>
        <v>0</v>
      </c>
      <c r="AR297" s="6"/>
      <c r="AS297" s="6">
        <v>120</v>
      </c>
      <c r="AT297" s="6" t="s">
        <v>1640</v>
      </c>
    </row>
    <row r="298" spans="1:46" s="9" customFormat="1" x14ac:dyDescent="0.15">
      <c r="A298" s="35">
        <v>41975</v>
      </c>
      <c r="B298" s="2" t="s">
        <v>1940</v>
      </c>
      <c r="C298" s="6" t="s">
        <v>1412</v>
      </c>
      <c r="D298" s="6" t="s">
        <v>1455</v>
      </c>
      <c r="E298" s="6" t="s">
        <v>0</v>
      </c>
      <c r="F298" s="6" t="s">
        <v>1456</v>
      </c>
      <c r="G298" s="6" t="s">
        <v>1452</v>
      </c>
      <c r="H298" s="6" t="s">
        <v>1457</v>
      </c>
      <c r="I298" s="6" t="s">
        <v>1459</v>
      </c>
      <c r="J298" s="6" t="s">
        <v>1458</v>
      </c>
      <c r="K298" s="6" t="s">
        <v>1460</v>
      </c>
      <c r="L298" s="6"/>
      <c r="M298" s="6">
        <v>3844302.43</v>
      </c>
      <c r="N298" s="6"/>
      <c r="O298" s="6"/>
      <c r="P298" s="6"/>
      <c r="Q298" s="7"/>
      <c r="R298" s="42"/>
      <c r="S298" s="6"/>
      <c r="T298" s="6"/>
      <c r="U298" s="6" t="s">
        <v>7</v>
      </c>
      <c r="V298" s="8">
        <v>0.03</v>
      </c>
      <c r="W298" s="6">
        <f t="shared" si="100"/>
        <v>115329.0729</v>
      </c>
      <c r="X298" s="6">
        <f>50000+50000</f>
        <v>100000</v>
      </c>
      <c r="Y298" s="6">
        <f>50000+50000</f>
        <v>100000</v>
      </c>
      <c r="Z298" s="6">
        <f t="shared" si="97"/>
        <v>15329.072899999999</v>
      </c>
      <c r="AA298" s="6">
        <f>509009.81</f>
        <v>509009.81</v>
      </c>
      <c r="AB298" s="6">
        <f>509009.81</f>
        <v>509009.81</v>
      </c>
      <c r="AC298" s="6">
        <f>509009.81</f>
        <v>509009.81</v>
      </c>
      <c r="AD298" s="6">
        <f>509009.81</f>
        <v>509009.81</v>
      </c>
      <c r="AE298" s="8">
        <f t="shared" si="99"/>
        <v>0.132406286775934</v>
      </c>
      <c r="AF298" s="6">
        <f>476503.35+4613</f>
        <v>481116.35</v>
      </c>
      <c r="AG298" s="6">
        <f>476503.35+4613</f>
        <v>481116.35</v>
      </c>
      <c r="AH298" s="6">
        <f>493809.35+4613</f>
        <v>498422.35</v>
      </c>
      <c r="AI298" s="6"/>
      <c r="AJ298" s="6"/>
      <c r="AK298" s="6"/>
      <c r="AL298" s="6">
        <f>493809.35+4613</f>
        <v>498422.35</v>
      </c>
      <c r="AM298" s="8">
        <v>3.4000000000000002E-2</v>
      </c>
      <c r="AN298" s="8">
        <f t="shared" si="92"/>
        <v>17306.33354</v>
      </c>
      <c r="AO298" s="6">
        <f>17306</f>
        <v>17306</v>
      </c>
      <c r="AP298" s="6">
        <f>17306</f>
        <v>17306</v>
      </c>
      <c r="AQ298" s="6">
        <f t="shared" si="98"/>
        <v>0.3335399999996298</v>
      </c>
      <c r="AR298" s="6"/>
      <c r="AS298" s="6">
        <v>88</v>
      </c>
      <c r="AT298" s="6" t="s">
        <v>1637</v>
      </c>
    </row>
    <row r="299" spans="1:46" s="9" customFormat="1" x14ac:dyDescent="0.15">
      <c r="A299" s="35">
        <v>41983</v>
      </c>
      <c r="B299" s="2" t="s">
        <v>1941</v>
      </c>
      <c r="C299" s="6" t="s">
        <v>1413</v>
      </c>
      <c r="D299" s="6" t="s">
        <v>1570</v>
      </c>
      <c r="E299" s="6" t="s">
        <v>0</v>
      </c>
      <c r="F299" s="6" t="s">
        <v>205</v>
      </c>
      <c r="G299" s="6" t="s">
        <v>1571</v>
      </c>
      <c r="H299" s="6" t="s">
        <v>1457</v>
      </c>
      <c r="I299" s="6" t="s">
        <v>1459</v>
      </c>
      <c r="J299" s="6" t="s">
        <v>1458</v>
      </c>
      <c r="K299" s="6" t="s">
        <v>13</v>
      </c>
      <c r="L299" s="6"/>
      <c r="M299" s="6">
        <v>1304546</v>
      </c>
      <c r="N299" s="6"/>
      <c r="O299" s="6"/>
      <c r="P299" s="6"/>
      <c r="Q299" s="7"/>
      <c r="R299" s="42"/>
      <c r="S299" s="6"/>
      <c r="T299" s="6"/>
      <c r="U299" s="6" t="s">
        <v>7</v>
      </c>
      <c r="V299" s="8">
        <v>0.03</v>
      </c>
      <c r="W299" s="6">
        <f t="shared" si="100"/>
        <v>39136.379999999997</v>
      </c>
      <c r="X299" s="6"/>
      <c r="Y299" s="6"/>
      <c r="Z299" s="6">
        <f t="shared" si="97"/>
        <v>39136.379999999997</v>
      </c>
      <c r="AA299" s="6">
        <f>400000</f>
        <v>400000</v>
      </c>
      <c r="AB299" s="6">
        <f>400000</f>
        <v>400000</v>
      </c>
      <c r="AC299" s="6">
        <f>200000+400000</f>
        <v>600000</v>
      </c>
      <c r="AD299" s="6">
        <f>200000+400000</f>
        <v>600000</v>
      </c>
      <c r="AE299" s="8">
        <f t="shared" si="99"/>
        <v>0.45993012128357297</v>
      </c>
      <c r="AF299" s="6">
        <f>200000+372906.45</f>
        <v>572906.44999999995</v>
      </c>
      <c r="AG299" s="6">
        <f>200000+372906.45</f>
        <v>572906.44999999995</v>
      </c>
      <c r="AH299" s="6">
        <f>200000+386506.45</f>
        <v>586506.44999999995</v>
      </c>
      <c r="AI299" s="6"/>
      <c r="AJ299" s="6"/>
      <c r="AK299" s="6"/>
      <c r="AL299" s="6">
        <f>200000+386506.45</f>
        <v>586506.44999999995</v>
      </c>
      <c r="AM299" s="8">
        <v>3.4000000000000002E-2</v>
      </c>
      <c r="AN299" s="8">
        <f t="shared" si="92"/>
        <v>13600.000000000002</v>
      </c>
      <c r="AO299" s="6">
        <f>13600</f>
        <v>13600</v>
      </c>
      <c r="AP299" s="6">
        <f>13600</f>
        <v>13600</v>
      </c>
      <c r="AQ299" s="6">
        <f t="shared" si="98"/>
        <v>0</v>
      </c>
      <c r="AR299" s="6"/>
      <c r="AS299" s="6"/>
      <c r="AT299" s="6"/>
    </row>
    <row r="300" spans="1:46" s="9" customFormat="1" x14ac:dyDescent="0.15">
      <c r="A300" s="35">
        <v>41949</v>
      </c>
      <c r="B300" s="2" t="s">
        <v>1942</v>
      </c>
      <c r="C300" s="6" t="s">
        <v>1414</v>
      </c>
      <c r="D300" s="6" t="s">
        <v>1629</v>
      </c>
      <c r="E300" s="6" t="s">
        <v>0</v>
      </c>
      <c r="F300" s="6" t="s">
        <v>1630</v>
      </c>
      <c r="G300" s="6" t="s">
        <v>1631</v>
      </c>
      <c r="H300" s="6" t="s">
        <v>1632</v>
      </c>
      <c r="I300" s="6"/>
      <c r="J300" s="6"/>
      <c r="K300" s="6"/>
      <c r="L300" s="6"/>
      <c r="M300" s="6">
        <v>38000000</v>
      </c>
      <c r="N300" s="6"/>
      <c r="O300" s="6"/>
      <c r="P300" s="6"/>
      <c r="Q300" s="7"/>
      <c r="R300" s="42"/>
      <c r="S300" s="6"/>
      <c r="T300" s="6"/>
      <c r="U300" s="6" t="s">
        <v>7</v>
      </c>
      <c r="V300" s="8">
        <v>0.03</v>
      </c>
      <c r="W300" s="6">
        <f t="shared" si="100"/>
        <v>1140000</v>
      </c>
      <c r="X300" s="6"/>
      <c r="Y300" s="6"/>
      <c r="Z300" s="6">
        <f t="shared" si="97"/>
        <v>1140000</v>
      </c>
      <c r="AA300" s="6"/>
      <c r="AB300" s="6"/>
      <c r="AC300" s="6">
        <f>1920000</f>
        <v>1920000</v>
      </c>
      <c r="AD300" s="6">
        <f>1920000</f>
        <v>1920000</v>
      </c>
      <c r="AE300" s="8">
        <f t="shared" si="99"/>
        <v>5.0526315789473683E-2</v>
      </c>
      <c r="AF300" s="6">
        <f>1550000+158835.2+700000</f>
        <v>2408835.2000000002</v>
      </c>
      <c r="AG300" s="6">
        <f>1550000+158835.2+700000</f>
        <v>2408835.2000000002</v>
      </c>
      <c r="AH300" s="6">
        <f>1550000+158835.2+700000</f>
        <v>2408835.2000000002</v>
      </c>
      <c r="AI300" s="6"/>
      <c r="AJ300" s="6"/>
      <c r="AK300" s="6"/>
      <c r="AL300" s="6">
        <f>1550000+158835.2+700000</f>
        <v>2408835.2000000002</v>
      </c>
      <c r="AM300" s="8"/>
      <c r="AN300" s="8">
        <f t="shared" si="92"/>
        <v>0</v>
      </c>
      <c r="AO300" s="6"/>
      <c r="AP300" s="6"/>
      <c r="AQ300" s="6">
        <f t="shared" si="98"/>
        <v>0</v>
      </c>
      <c r="AR300" s="6"/>
      <c r="AS300" s="6">
        <v>300</v>
      </c>
      <c r="AT300" s="6" t="s">
        <v>1583</v>
      </c>
    </row>
    <row r="301" spans="1:46" s="9" customFormat="1" x14ac:dyDescent="0.15">
      <c r="A301" s="35">
        <v>41975</v>
      </c>
      <c r="B301" s="2" t="s">
        <v>1943</v>
      </c>
      <c r="C301" s="6" t="s">
        <v>1449</v>
      </c>
      <c r="D301" s="6" t="s">
        <v>1450</v>
      </c>
      <c r="E301" s="6" t="s">
        <v>0</v>
      </c>
      <c r="F301" s="6" t="s">
        <v>1451</v>
      </c>
      <c r="G301" s="6" t="s">
        <v>1452</v>
      </c>
      <c r="H301" s="6" t="s">
        <v>1453</v>
      </c>
      <c r="I301" s="6" t="s">
        <v>23</v>
      </c>
      <c r="J301" s="6" t="s">
        <v>22</v>
      </c>
      <c r="K301" s="6" t="s">
        <v>13</v>
      </c>
      <c r="L301" s="6"/>
      <c r="M301" s="6">
        <v>3650065.35</v>
      </c>
      <c r="N301" s="6"/>
      <c r="O301" s="6"/>
      <c r="P301" s="6"/>
      <c r="Q301" s="7"/>
      <c r="R301" s="42"/>
      <c r="S301" s="6"/>
      <c r="T301" s="6"/>
      <c r="U301" s="6" t="s">
        <v>1454</v>
      </c>
      <c r="V301" s="8">
        <v>4.5999999999999999E-2</v>
      </c>
      <c r="W301" s="6">
        <f>V301*M301</f>
        <v>167903.0061</v>
      </c>
      <c r="X301" s="6">
        <f>80435</f>
        <v>80435</v>
      </c>
      <c r="Y301" s="6">
        <f>80435</f>
        <v>80435</v>
      </c>
      <c r="Z301" s="6">
        <f t="shared" si="97"/>
        <v>87468.006099999999</v>
      </c>
      <c r="AA301" s="6">
        <f>730013.07</f>
        <v>730013.07</v>
      </c>
      <c r="AB301" s="6">
        <f>730013.07</f>
        <v>730013.07</v>
      </c>
      <c r="AC301" s="6">
        <f>730013.07</f>
        <v>730013.07</v>
      </c>
      <c r="AD301" s="6">
        <f>730013.07</f>
        <v>730013.07</v>
      </c>
      <c r="AE301" s="8">
        <f t="shared" si="99"/>
        <v>0.19999999999999998</v>
      </c>
      <c r="AF301" s="6">
        <f>600000+103220+100000</f>
        <v>803220</v>
      </c>
      <c r="AG301" s="6">
        <f>600000+103220+100000</f>
        <v>803220</v>
      </c>
      <c r="AH301" s="6">
        <f>600000+24820+100000+100000</f>
        <v>824820</v>
      </c>
      <c r="AI301" s="6"/>
      <c r="AJ301" s="6">
        <f>3220</f>
        <v>3220</v>
      </c>
      <c r="AK301" s="6"/>
      <c r="AL301" s="6">
        <f>624820+103220+100000</f>
        <v>828040</v>
      </c>
      <c r="AM301" s="8">
        <v>3.4000000000000002E-2</v>
      </c>
      <c r="AN301" s="8">
        <f t="shared" si="92"/>
        <v>24820.444380000001</v>
      </c>
      <c r="AO301" s="6">
        <f>24820</f>
        <v>24820</v>
      </c>
      <c r="AP301" s="6">
        <f>24820</f>
        <v>24820</v>
      </c>
      <c r="AQ301" s="6">
        <f t="shared" si="98"/>
        <v>0.44438000000081956</v>
      </c>
      <c r="AR301" s="6"/>
      <c r="AS301" s="6"/>
      <c r="AT301" s="6"/>
    </row>
    <row r="302" spans="1:46" s="9" customFormat="1" x14ac:dyDescent="0.15">
      <c r="A302" s="35">
        <v>41981</v>
      </c>
      <c r="B302" s="2" t="s">
        <v>1944</v>
      </c>
      <c r="C302" s="6" t="s">
        <v>1496</v>
      </c>
      <c r="D302" s="6" t="s">
        <v>1497</v>
      </c>
      <c r="E302" s="6" t="s">
        <v>0</v>
      </c>
      <c r="F302" s="6" t="s">
        <v>1498</v>
      </c>
      <c r="G302" s="6" t="s">
        <v>1499</v>
      </c>
      <c r="H302" s="6" t="s">
        <v>429</v>
      </c>
      <c r="I302" s="6" t="s">
        <v>430</v>
      </c>
      <c r="J302" s="6" t="s">
        <v>429</v>
      </c>
      <c r="K302" s="6" t="s">
        <v>5</v>
      </c>
      <c r="L302" s="6"/>
      <c r="M302" s="6">
        <v>5796904.3700000001</v>
      </c>
      <c r="N302" s="6"/>
      <c r="O302" s="6"/>
      <c r="P302" s="6"/>
      <c r="Q302" s="7" t="s">
        <v>1500</v>
      </c>
      <c r="R302" s="42">
        <v>41974</v>
      </c>
      <c r="S302" s="6">
        <v>1740</v>
      </c>
      <c r="T302" s="6"/>
      <c r="U302" s="6" t="s">
        <v>1501</v>
      </c>
      <c r="V302" s="8">
        <v>0.03</v>
      </c>
      <c r="W302" s="6">
        <f>V302*M302</f>
        <v>173907.1311</v>
      </c>
      <c r="X302" s="6">
        <f>173907</f>
        <v>173907</v>
      </c>
      <c r="Y302" s="6">
        <f>173907</f>
        <v>173907</v>
      </c>
      <c r="Z302" s="6">
        <f t="shared" si="97"/>
        <v>0.13109999999869615</v>
      </c>
      <c r="AA302" s="6">
        <f>106693.74+1159380.87</f>
        <v>1266074.6100000001</v>
      </c>
      <c r="AB302" s="6">
        <f>1266074.61</f>
        <v>1266074.6100000001</v>
      </c>
      <c r="AC302" s="6">
        <f>1266074.61</f>
        <v>1266074.6100000001</v>
      </c>
      <c r="AD302" s="6">
        <f>1266074.61</f>
        <v>1266074.6100000001</v>
      </c>
      <c r="AE302" s="8">
        <f t="shared" si="99"/>
        <v>0.21840529516963553</v>
      </c>
      <c r="AF302" s="6">
        <f>558725.8+79941+177600+64401.8</f>
        <v>880668.60000000009</v>
      </c>
      <c r="AG302" s="6">
        <f>558725.8+79941+177600+64401.8</f>
        <v>880668.60000000009</v>
      </c>
      <c r="AH302" s="6">
        <f>558725.8+79941+177600+64401.8</f>
        <v>880668.60000000009</v>
      </c>
      <c r="AI302" s="6"/>
      <c r="AJ302" s="6"/>
      <c r="AK302" s="6"/>
      <c r="AL302" s="6">
        <f>558725.8+79941+177600+64401.8</f>
        <v>880668.60000000009</v>
      </c>
      <c r="AM302" s="8">
        <v>3.5900000000000001E-2</v>
      </c>
      <c r="AN302" s="8">
        <f t="shared" si="92"/>
        <v>45452.078499000003</v>
      </c>
      <c r="AO302" s="6">
        <f>3830.3+41621.76</f>
        <v>45452.060000000005</v>
      </c>
      <c r="AP302" s="6">
        <f>45452.06</f>
        <v>45452.06</v>
      </c>
      <c r="AQ302" s="6">
        <f t="shared" si="98"/>
        <v>1.84990000052494E-2</v>
      </c>
      <c r="AR302" s="6"/>
      <c r="AS302" s="6">
        <v>18</v>
      </c>
      <c r="AT302" s="6" t="s">
        <v>1502</v>
      </c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2014-12-23T13:43:50Z</dcterms:modified>
</cp:coreProperties>
</file>