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qiyi\git\hply\02_客户资料\事业项目部导入表\"/>
    </mc:Choice>
  </mc:AlternateContent>
  <bookViews>
    <workbookView xWindow="0" yWindow="0" windowWidth="15570" windowHeight="11730" tabRatio="833"/>
  </bookViews>
  <sheets>
    <sheet name="00_数据初始化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40" i="3" l="1"/>
  <c r="AO40" i="3"/>
  <c r="AL40" i="3"/>
  <c r="AH40" i="3"/>
  <c r="AG40" i="3"/>
  <c r="AF40" i="3"/>
  <c r="AD40" i="3"/>
  <c r="AC40" i="3"/>
  <c r="AB40" i="3"/>
  <c r="AN40" i="3" s="1"/>
  <c r="AQ40" i="3" s="1"/>
  <c r="AA40" i="3"/>
  <c r="Y40" i="3"/>
  <c r="X40" i="3"/>
  <c r="N40" i="3"/>
  <c r="AP39" i="3"/>
  <c r="AO39" i="3"/>
  <c r="AL39" i="3"/>
  <c r="AH39" i="3"/>
  <c r="AG39" i="3"/>
  <c r="AF39" i="3"/>
  <c r="AD39" i="3"/>
  <c r="AC39" i="3"/>
  <c r="AE39" i="3" s="1"/>
  <c r="AB39" i="3"/>
  <c r="AN39" i="3" s="1"/>
  <c r="AA39" i="3"/>
  <c r="Y39" i="3"/>
  <c r="X39" i="3"/>
  <c r="AP38" i="3"/>
  <c r="AO38" i="3"/>
  <c r="AL38" i="3"/>
  <c r="AH38" i="3"/>
  <c r="AG38" i="3"/>
  <c r="AF38" i="3"/>
  <c r="AD38" i="3"/>
  <c r="AC38" i="3"/>
  <c r="AB38" i="3"/>
  <c r="AN38" i="3" s="1"/>
  <c r="AA38" i="3"/>
  <c r="Y38" i="3"/>
  <c r="X38" i="3"/>
  <c r="AP37" i="3"/>
  <c r="AO37" i="3"/>
  <c r="AL37" i="3"/>
  <c r="AH37" i="3"/>
  <c r="AG37" i="3"/>
  <c r="AF37" i="3"/>
  <c r="AD37" i="3"/>
  <c r="AC37" i="3"/>
  <c r="AE37" i="3" s="1"/>
  <c r="AB37" i="3"/>
  <c r="AN37" i="3" s="1"/>
  <c r="AQ37" i="3" s="1"/>
  <c r="AA37" i="3"/>
  <c r="Y37" i="3"/>
  <c r="X37" i="3"/>
  <c r="AP36" i="3"/>
  <c r="AO36" i="3"/>
  <c r="AL36" i="3"/>
  <c r="AH36" i="3"/>
  <c r="AG36" i="3"/>
  <c r="AF36" i="3"/>
  <c r="AD36" i="3"/>
  <c r="AC36" i="3"/>
  <c r="AE36" i="3" s="1"/>
  <c r="AB36" i="3"/>
  <c r="AN36" i="3" s="1"/>
  <c r="AA36" i="3"/>
  <c r="Y36" i="3"/>
  <c r="X36" i="3"/>
  <c r="AP35" i="3"/>
  <c r="AO35" i="3"/>
  <c r="AL35" i="3"/>
  <c r="AH35" i="3"/>
  <c r="AG35" i="3"/>
  <c r="AF35" i="3"/>
  <c r="AD35" i="3"/>
  <c r="AC35" i="3"/>
  <c r="AB35" i="3"/>
  <c r="AN35" i="3" s="1"/>
  <c r="AA35" i="3"/>
  <c r="Y35" i="3"/>
  <c r="X35" i="3"/>
  <c r="N35" i="3"/>
  <c r="W35" i="3" s="1"/>
  <c r="AP34" i="3"/>
  <c r="AO34" i="3"/>
  <c r="AL34" i="3"/>
  <c r="AH34" i="3"/>
  <c r="AG34" i="3"/>
  <c r="AF34" i="3"/>
  <c r="AD34" i="3"/>
  <c r="AC34" i="3"/>
  <c r="AB34" i="3"/>
  <c r="AN34" i="3" s="1"/>
  <c r="AQ34" i="3" s="1"/>
  <c r="AA34" i="3"/>
  <c r="Y34" i="3"/>
  <c r="X34" i="3"/>
  <c r="N34" i="3"/>
  <c r="AP33" i="3"/>
  <c r="AO33" i="3"/>
  <c r="AL33" i="3"/>
  <c r="AH33" i="3"/>
  <c r="AG33" i="3"/>
  <c r="AF33" i="3"/>
  <c r="AD33" i="3"/>
  <c r="AC33" i="3"/>
  <c r="AE33" i="3" s="1"/>
  <c r="AB33" i="3"/>
  <c r="AN33" i="3" s="1"/>
  <c r="AQ33" i="3" s="1"/>
  <c r="AA33" i="3"/>
  <c r="Y33" i="3"/>
  <c r="X33" i="3"/>
  <c r="AP32" i="3"/>
  <c r="AO32" i="3"/>
  <c r="AH32" i="3"/>
  <c r="AG32" i="3"/>
  <c r="AF32" i="3"/>
  <c r="AD32" i="3"/>
  <c r="AC32" i="3"/>
  <c r="AE32" i="3" s="1"/>
  <c r="AB32" i="3"/>
  <c r="AN32" i="3" s="1"/>
  <c r="AA32" i="3"/>
  <c r="Y32" i="3"/>
  <c r="X32" i="3"/>
  <c r="AP31" i="3"/>
  <c r="AO31" i="3"/>
  <c r="AL31" i="3"/>
  <c r="AH31" i="3"/>
  <c r="AG31" i="3"/>
  <c r="AF31" i="3"/>
  <c r="AD31" i="3"/>
  <c r="AC31" i="3"/>
  <c r="AB31" i="3"/>
  <c r="AA31" i="3"/>
  <c r="Y31" i="3"/>
  <c r="N31" i="3"/>
  <c r="X31" i="3"/>
  <c r="AP30" i="3"/>
  <c r="AO30" i="3"/>
  <c r="AL30" i="3"/>
  <c r="AH30" i="3"/>
  <c r="AG30" i="3"/>
  <c r="AF30" i="3"/>
  <c r="AD30" i="3"/>
  <c r="AC30" i="3"/>
  <c r="AE30" i="3" s="1"/>
  <c r="AB30" i="3"/>
  <c r="AN30" i="3" s="1"/>
  <c r="AQ30" i="3" s="1"/>
  <c r="AA30" i="3"/>
  <c r="Y30" i="3"/>
  <c r="X30" i="3"/>
  <c r="AP29" i="3"/>
  <c r="AO29" i="3"/>
  <c r="AL29" i="3"/>
  <c r="AH29" i="3"/>
  <c r="AG29" i="3"/>
  <c r="AF29" i="3"/>
  <c r="AD29" i="3"/>
  <c r="AC29" i="3"/>
  <c r="AL110" i="3"/>
  <c r="AH110" i="3"/>
  <c r="AG110" i="3"/>
  <c r="AF110" i="3"/>
  <c r="AL91" i="3"/>
  <c r="AH91" i="3"/>
  <c r="AG91" i="3"/>
  <c r="AF91" i="3"/>
  <c r="AL86" i="3"/>
  <c r="AH86" i="3"/>
  <c r="AG86" i="3"/>
  <c r="AF86" i="3"/>
  <c r="AL75" i="3"/>
  <c r="AH75" i="3"/>
  <c r="AG75" i="3"/>
  <c r="AF75" i="3"/>
  <c r="AL66" i="3"/>
  <c r="AH66" i="3"/>
  <c r="AG66" i="3"/>
  <c r="AF66" i="3"/>
  <c r="AL49" i="3"/>
  <c r="AH49" i="3"/>
  <c r="AG49" i="3"/>
  <c r="AF49" i="3"/>
  <c r="AL7" i="3"/>
  <c r="AH7" i="3"/>
  <c r="AG7" i="3"/>
  <c r="AF7" i="3"/>
  <c r="AP114" i="3"/>
  <c r="AO114" i="3"/>
  <c r="AB114" i="3"/>
  <c r="AA114" i="3"/>
  <c r="AP76" i="3"/>
  <c r="AO76" i="3"/>
  <c r="AB76" i="3"/>
  <c r="AA76" i="3"/>
  <c r="AB123" i="3"/>
  <c r="AA123" i="3"/>
  <c r="AD49" i="3"/>
  <c r="AC49" i="3"/>
  <c r="AL125" i="3"/>
  <c r="AH125" i="3"/>
  <c r="AG125" i="3"/>
  <c r="AF125" i="3"/>
  <c r="AL120" i="3"/>
  <c r="AH120" i="3"/>
  <c r="AG120" i="3"/>
  <c r="AF120" i="3"/>
  <c r="AP108" i="3"/>
  <c r="AO108" i="3"/>
  <c r="AL108" i="3"/>
  <c r="AH108" i="3"/>
  <c r="AP12" i="3"/>
  <c r="AO12" i="3"/>
  <c r="AG12" i="3"/>
  <c r="AF12" i="3"/>
  <c r="AL12" i="3"/>
  <c r="AH12" i="3"/>
  <c r="AP5" i="3"/>
  <c r="AO5" i="3"/>
  <c r="AL5" i="3"/>
  <c r="AH5" i="3"/>
  <c r="AG5" i="3"/>
  <c r="AF5" i="3"/>
  <c r="AD5" i="3"/>
  <c r="AC5" i="3"/>
  <c r="AB5" i="3"/>
  <c r="AN5" i="3" s="1"/>
  <c r="AA5" i="3"/>
  <c r="Y5" i="3"/>
  <c r="X5" i="3"/>
  <c r="P5" i="3"/>
  <c r="W5" i="3" s="1"/>
  <c r="N5" i="3"/>
  <c r="AP43" i="3"/>
  <c r="AO43" i="3"/>
  <c r="AL43" i="3"/>
  <c r="AK43" i="3"/>
  <c r="AJ43" i="3"/>
  <c r="AH43" i="3"/>
  <c r="AG43" i="3"/>
  <c r="AF43" i="3"/>
  <c r="AD43" i="3"/>
  <c r="AC43" i="3"/>
  <c r="AB43" i="3"/>
  <c r="AN43" i="3" s="1"/>
  <c r="AA43" i="3"/>
  <c r="Y43" i="3"/>
  <c r="X43" i="3"/>
  <c r="N43" i="3"/>
  <c r="AP44" i="3"/>
  <c r="AO44" i="3"/>
  <c r="AL44" i="3"/>
  <c r="AH44" i="3"/>
  <c r="AG44" i="3"/>
  <c r="AF44" i="3"/>
  <c r="AD44" i="3"/>
  <c r="AC44" i="3"/>
  <c r="AB44" i="3"/>
  <c r="AN44" i="3" s="1"/>
  <c r="AA44" i="3"/>
  <c r="Y44" i="3"/>
  <c r="X44" i="3"/>
  <c r="W45" i="3"/>
  <c r="S44" i="3"/>
  <c r="N44" i="3"/>
  <c r="W44" i="3" s="1"/>
  <c r="AB29" i="3"/>
  <c r="AN29" i="3" s="1"/>
  <c r="AA29" i="3"/>
  <c r="Y29" i="3"/>
  <c r="X29" i="3"/>
  <c r="S29" i="3"/>
  <c r="N29" i="3"/>
  <c r="W29" i="3" s="1"/>
  <c r="AP28" i="3"/>
  <c r="AO28" i="3"/>
  <c r="AL28" i="3"/>
  <c r="AH28" i="3"/>
  <c r="AG28" i="3"/>
  <c r="AF28" i="3"/>
  <c r="AD28" i="3"/>
  <c r="AC28" i="3"/>
  <c r="AE28" i="3" s="1"/>
  <c r="AB28" i="3"/>
  <c r="AN28" i="3" s="1"/>
  <c r="AA28" i="3"/>
  <c r="Y28" i="3"/>
  <c r="X28" i="3"/>
  <c r="AL27" i="3"/>
  <c r="AH27" i="3"/>
  <c r="AG27" i="3"/>
  <c r="AF27" i="3"/>
  <c r="AD27" i="3"/>
  <c r="AC27" i="3"/>
  <c r="AB27" i="3"/>
  <c r="AA27" i="3"/>
  <c r="Y27" i="3"/>
  <c r="X27" i="3"/>
  <c r="N27" i="3"/>
  <c r="W27" i="3" s="1"/>
  <c r="AL26" i="3"/>
  <c r="AH26" i="3"/>
  <c r="AG26" i="3"/>
  <c r="AF26" i="3"/>
  <c r="AD26" i="3"/>
  <c r="AC26" i="3"/>
  <c r="AE26" i="3" s="1"/>
  <c r="AB26" i="3"/>
  <c r="AN26" i="3" s="1"/>
  <c r="AA26" i="3"/>
  <c r="Y26" i="3"/>
  <c r="X26" i="3"/>
  <c r="AP25" i="3"/>
  <c r="AO25" i="3"/>
  <c r="AL25" i="3"/>
  <c r="AH25" i="3"/>
  <c r="AG25" i="3"/>
  <c r="AF25" i="3"/>
  <c r="AD25" i="3"/>
  <c r="AC25" i="3"/>
  <c r="AE25" i="3" s="1"/>
  <c r="AB25" i="3"/>
  <c r="AA25" i="3"/>
  <c r="Y25" i="3"/>
  <c r="X25" i="3"/>
  <c r="W25" i="3"/>
  <c r="AP24" i="3"/>
  <c r="AO24" i="3"/>
  <c r="AL24" i="3"/>
  <c r="AH24" i="3"/>
  <c r="AG24" i="3"/>
  <c r="AF24" i="3"/>
  <c r="AD24" i="3"/>
  <c r="AC24" i="3"/>
  <c r="AE24" i="3" s="1"/>
  <c r="AB24" i="3"/>
  <c r="AN24" i="3" s="1"/>
  <c r="AQ24" i="3" s="1"/>
  <c r="AA24" i="3"/>
  <c r="Y24" i="3"/>
  <c r="X24" i="3"/>
  <c r="AP23" i="3"/>
  <c r="AO23" i="3"/>
  <c r="AL23" i="3"/>
  <c r="AH23" i="3"/>
  <c r="AG23" i="3"/>
  <c r="AF23" i="3"/>
  <c r="AD23" i="3"/>
  <c r="AC23" i="3"/>
  <c r="AE23" i="3" s="1"/>
  <c r="AB23" i="3"/>
  <c r="AN23" i="3" s="1"/>
  <c r="AA23" i="3"/>
  <c r="Y23" i="3"/>
  <c r="X23" i="3"/>
  <c r="W23" i="3"/>
  <c r="AP22" i="3"/>
  <c r="AO22" i="3"/>
  <c r="AN25" i="3"/>
  <c r="AQ25" i="3" s="1"/>
  <c r="AN27" i="3"/>
  <c r="AN31" i="3"/>
  <c r="AL22" i="3"/>
  <c r="AH22" i="3"/>
  <c r="AG22" i="3"/>
  <c r="AF22" i="3"/>
  <c r="AD22" i="3"/>
  <c r="AC22" i="3"/>
  <c r="AE22" i="3" s="1"/>
  <c r="AB22" i="3"/>
  <c r="AN22" i="3" s="1"/>
  <c r="AA22" i="3"/>
  <c r="Y22" i="3"/>
  <c r="X22" i="3"/>
  <c r="AL21" i="3"/>
  <c r="AH21" i="3"/>
  <c r="AG21" i="3"/>
  <c r="AF21" i="3"/>
  <c r="AD21" i="3"/>
  <c r="AC21" i="3"/>
  <c r="AB21" i="3"/>
  <c r="AN21" i="3" s="1"/>
  <c r="AQ21" i="3" s="1"/>
  <c r="AA21" i="3"/>
  <c r="Y21" i="3"/>
  <c r="X21" i="3"/>
  <c r="N21" i="3"/>
  <c r="W21" i="3" s="1"/>
  <c r="AP20" i="3"/>
  <c r="AO20" i="3"/>
  <c r="AL20" i="3"/>
  <c r="AH20" i="3"/>
  <c r="AG20" i="3"/>
  <c r="AF20" i="3"/>
  <c r="AE29" i="3"/>
  <c r="AE38" i="3"/>
  <c r="AD20" i="3"/>
  <c r="AC20" i="3"/>
  <c r="AE20" i="3" s="1"/>
  <c r="AB20" i="3"/>
  <c r="AN20" i="3" s="1"/>
  <c r="AA20" i="3"/>
  <c r="Y20" i="3"/>
  <c r="X20" i="3"/>
  <c r="W20" i="3"/>
  <c r="W22" i="3"/>
  <c r="W24" i="3"/>
  <c r="W26" i="3"/>
  <c r="W28" i="3"/>
  <c r="W30" i="3"/>
  <c r="W31" i="3"/>
  <c r="W32" i="3"/>
  <c r="W33" i="3"/>
  <c r="W36" i="3"/>
  <c r="W37" i="3"/>
  <c r="W38" i="3"/>
  <c r="W39" i="3"/>
  <c r="W40" i="3"/>
  <c r="AP18" i="3"/>
  <c r="AO18" i="3"/>
  <c r="AN17" i="3"/>
  <c r="AQ17" i="3" s="1"/>
  <c r="AL18" i="3"/>
  <c r="AH18" i="3"/>
  <c r="AG18" i="3"/>
  <c r="AF18" i="3"/>
  <c r="AD18" i="3"/>
  <c r="AC18" i="3"/>
  <c r="AE18" i="3" s="1"/>
  <c r="AB18" i="3"/>
  <c r="AN18" i="3" s="1"/>
  <c r="AA18" i="3"/>
  <c r="Y18" i="3"/>
  <c r="X18" i="3"/>
  <c r="AP16" i="3"/>
  <c r="AO16" i="3"/>
  <c r="AL16" i="3"/>
  <c r="AD16" i="3"/>
  <c r="AH16" i="3"/>
  <c r="AG16" i="3"/>
  <c r="AF16" i="3"/>
  <c r="AC16" i="3"/>
  <c r="AB16" i="3"/>
  <c r="AN16" i="3" s="1"/>
  <c r="AQ16" i="3" s="1"/>
  <c r="AA16" i="3"/>
  <c r="Y16" i="3"/>
  <c r="X16" i="3"/>
  <c r="N16" i="3"/>
  <c r="AP15" i="3"/>
  <c r="AO15" i="3"/>
  <c r="AL15" i="3"/>
  <c r="AH15" i="3"/>
  <c r="AG15" i="3"/>
  <c r="AF15" i="3"/>
  <c r="AD15" i="3"/>
  <c r="AC15" i="3"/>
  <c r="AE15" i="3" s="1"/>
  <c r="AB15" i="3"/>
  <c r="AN15" i="3" s="1"/>
  <c r="AA15" i="3"/>
  <c r="Y15" i="3"/>
  <c r="X15" i="3"/>
  <c r="AP14" i="3"/>
  <c r="AO14" i="3"/>
  <c r="AL14" i="3"/>
  <c r="AH14" i="3"/>
  <c r="AG14" i="3"/>
  <c r="AF14" i="3"/>
  <c r="AD14" i="3"/>
  <c r="AC14" i="3"/>
  <c r="AE14" i="3" s="1"/>
  <c r="AB14" i="3"/>
  <c r="AN14" i="3" s="1"/>
  <c r="AQ14" i="3" s="1"/>
  <c r="AA14" i="3"/>
  <c r="Y14" i="3"/>
  <c r="X14" i="3"/>
  <c r="AP13" i="3"/>
  <c r="AO13" i="3"/>
  <c r="AL13" i="3"/>
  <c r="AH13" i="3"/>
  <c r="AG13" i="3"/>
  <c r="AF13" i="3"/>
  <c r="AE17" i="3"/>
  <c r="AD13" i="3"/>
  <c r="AC13" i="3"/>
  <c r="AE13" i="3" s="1"/>
  <c r="AB13" i="3"/>
  <c r="AN13" i="3" s="1"/>
  <c r="AA13" i="3"/>
  <c r="Y13" i="3"/>
  <c r="X13" i="3"/>
  <c r="W13" i="3"/>
  <c r="W14" i="3"/>
  <c r="W15" i="3"/>
  <c r="W17" i="3"/>
  <c r="Z17" i="3" s="1"/>
  <c r="W18" i="3"/>
  <c r="AP11" i="3"/>
  <c r="AO11" i="3"/>
  <c r="AL11" i="3"/>
  <c r="AJ11" i="3"/>
  <c r="AK11" i="3"/>
  <c r="AH11" i="3"/>
  <c r="AG11" i="3"/>
  <c r="AF11" i="3"/>
  <c r="AD11" i="3"/>
  <c r="AC11" i="3"/>
  <c r="AB11" i="3"/>
  <c r="AN11" i="3" s="1"/>
  <c r="AA11" i="3"/>
  <c r="Y11" i="3"/>
  <c r="X11" i="3"/>
  <c r="N11" i="3"/>
  <c r="W11" i="3" s="1"/>
  <c r="AP10" i="3"/>
  <c r="AO10" i="3"/>
  <c r="AL10" i="3"/>
  <c r="AH10" i="3"/>
  <c r="AG10" i="3"/>
  <c r="AF10" i="3"/>
  <c r="AD10" i="3"/>
  <c r="AC10" i="3"/>
  <c r="AB10" i="3"/>
  <c r="AN10" i="3" s="1"/>
  <c r="AA10" i="3"/>
  <c r="Y10" i="3"/>
  <c r="X10" i="3"/>
  <c r="M10" i="3"/>
  <c r="W10" i="3" s="1"/>
  <c r="AP9" i="3"/>
  <c r="AO9" i="3"/>
  <c r="AL9" i="3"/>
  <c r="AH9" i="3"/>
  <c r="AG9" i="3"/>
  <c r="AF9" i="3"/>
  <c r="AD9" i="3"/>
  <c r="AC9" i="3"/>
  <c r="AE9" i="3" s="1"/>
  <c r="AB9" i="3"/>
  <c r="AN9" i="3" s="1"/>
  <c r="AA9" i="3"/>
  <c r="Y9" i="3"/>
  <c r="X9" i="3"/>
  <c r="W9" i="3"/>
  <c r="AP8" i="3"/>
  <c r="AO8" i="3"/>
  <c r="AL8" i="3"/>
  <c r="AH8" i="3"/>
  <c r="AG8" i="3"/>
  <c r="AF8" i="3"/>
  <c r="AD8" i="3"/>
  <c r="AC8" i="3"/>
  <c r="AB8" i="3"/>
  <c r="AN8" i="3" s="1"/>
  <c r="AA8" i="3"/>
  <c r="Y8" i="3"/>
  <c r="X8" i="3"/>
  <c r="N8" i="3"/>
  <c r="W8" i="3" s="1"/>
  <c r="AP102" i="3"/>
  <c r="AO102" i="3"/>
  <c r="AL102" i="3"/>
  <c r="AG102" i="3"/>
  <c r="AF102" i="3"/>
  <c r="AD102" i="3"/>
  <c r="AC102" i="3"/>
  <c r="AE102" i="3" s="1"/>
  <c r="AB102" i="3"/>
  <c r="AN102" i="3" s="1"/>
  <c r="AA102" i="3"/>
  <c r="Y102" i="3"/>
  <c r="X102" i="3"/>
  <c r="W102" i="3"/>
  <c r="AP101" i="3"/>
  <c r="AO101" i="3"/>
  <c r="AL101" i="3"/>
  <c r="AH101" i="3"/>
  <c r="AG101" i="3"/>
  <c r="AF101" i="3"/>
  <c r="AD101" i="3"/>
  <c r="AC101" i="3"/>
  <c r="AE101" i="3" s="1"/>
  <c r="AB101" i="3"/>
  <c r="AN101" i="3" s="1"/>
  <c r="AA101" i="3"/>
  <c r="W101" i="3"/>
  <c r="Z101" i="3" s="1"/>
  <c r="AL100" i="3"/>
  <c r="AH100" i="3"/>
  <c r="AG100" i="3"/>
  <c r="AF100" i="3"/>
  <c r="AD100" i="3"/>
  <c r="AC100" i="3"/>
  <c r="AE100" i="3" s="1"/>
  <c r="Y100" i="3"/>
  <c r="X100" i="3"/>
  <c r="W100" i="3"/>
  <c r="AP98" i="3"/>
  <c r="AO98" i="3"/>
  <c r="AL98" i="3"/>
  <c r="AH98" i="3"/>
  <c r="AG98" i="3"/>
  <c r="AF98" i="3"/>
  <c r="AD98" i="3"/>
  <c r="AC98" i="3"/>
  <c r="AE98" i="3" s="1"/>
  <c r="AB98" i="3"/>
  <c r="AN98" i="3" s="1"/>
  <c r="AQ98" i="3" s="1"/>
  <c r="AA98" i="3"/>
  <c r="Y98" i="3"/>
  <c r="X98" i="3"/>
  <c r="W98" i="3"/>
  <c r="AL97" i="3"/>
  <c r="AH97" i="3"/>
  <c r="AG97" i="3"/>
  <c r="AF97" i="3"/>
  <c r="AD97" i="3"/>
  <c r="AC97" i="3"/>
  <c r="AE97" i="3" s="1"/>
  <c r="AB97" i="3"/>
  <c r="AN97" i="3" s="1"/>
  <c r="AQ97" i="3" s="1"/>
  <c r="AA97" i="3"/>
  <c r="Y97" i="3"/>
  <c r="X97" i="3"/>
  <c r="W97" i="3"/>
  <c r="AN96" i="3"/>
  <c r="AQ96" i="3" s="1"/>
  <c r="AE96" i="3"/>
  <c r="W96" i="3"/>
  <c r="Z96" i="3" s="1"/>
  <c r="AL95" i="3"/>
  <c r="AK95" i="3"/>
  <c r="AJ95" i="3"/>
  <c r="AI95" i="3"/>
  <c r="AH95" i="3"/>
  <c r="AG95" i="3"/>
  <c r="AF95" i="3"/>
  <c r="AD95" i="3"/>
  <c r="AC95" i="3"/>
  <c r="AE95" i="3" s="1"/>
  <c r="AB95" i="3"/>
  <c r="AN95" i="3" s="1"/>
  <c r="AA95" i="3"/>
  <c r="Y95" i="3"/>
  <c r="X95" i="3"/>
  <c r="W95" i="3"/>
  <c r="AP92" i="3"/>
  <c r="AO92" i="3"/>
  <c r="AL92" i="3"/>
  <c r="AH92" i="3"/>
  <c r="AG92" i="3"/>
  <c r="AF92" i="3"/>
  <c r="AD92" i="3"/>
  <c r="AC92" i="3"/>
  <c r="AE92" i="3" s="1"/>
  <c r="AB92" i="3"/>
  <c r="AN92" i="3" s="1"/>
  <c r="AA92" i="3"/>
  <c r="Y92" i="3"/>
  <c r="X92" i="3"/>
  <c r="W92" i="3"/>
  <c r="AP88" i="3"/>
  <c r="AO88" i="3"/>
  <c r="AL88" i="3"/>
  <c r="AK88" i="3"/>
  <c r="AH88" i="3"/>
  <c r="AG88" i="3"/>
  <c r="AF88" i="3"/>
  <c r="AD88" i="3"/>
  <c r="AC88" i="3"/>
  <c r="AE88" i="3" s="1"/>
  <c r="AB88" i="3"/>
  <c r="AN88" i="3" s="1"/>
  <c r="AA88" i="3"/>
  <c r="Y88" i="3"/>
  <c r="X88" i="3"/>
  <c r="W88" i="3"/>
  <c r="AP85" i="3"/>
  <c r="AO85" i="3"/>
  <c r="AN84" i="3"/>
  <c r="AL85" i="3"/>
  <c r="AH85" i="3"/>
  <c r="AG85" i="3"/>
  <c r="AF85" i="3"/>
  <c r="AD85" i="3"/>
  <c r="AC85" i="3"/>
  <c r="AB85" i="3"/>
  <c r="AN85" i="3" s="1"/>
  <c r="AA85" i="3"/>
  <c r="Y85" i="3"/>
  <c r="X85" i="3"/>
  <c r="Y84" i="3"/>
  <c r="X84" i="3"/>
  <c r="AL83" i="3"/>
  <c r="AH83" i="3"/>
  <c r="AG83" i="3"/>
  <c r="AF83" i="3"/>
  <c r="AD115" i="3"/>
  <c r="AC115" i="3"/>
  <c r="AL115" i="3"/>
  <c r="AH115" i="3"/>
  <c r="AG115" i="3"/>
  <c r="AF115" i="3"/>
  <c r="AL112" i="3"/>
  <c r="AH112" i="3"/>
  <c r="AL109" i="3"/>
  <c r="AH109" i="3"/>
  <c r="AG109" i="3"/>
  <c r="AF109" i="3"/>
  <c r="AL90" i="3"/>
  <c r="AH90" i="3"/>
  <c r="AP19" i="3"/>
  <c r="AO19" i="3"/>
  <c r="AL19" i="3"/>
  <c r="AH19" i="3"/>
  <c r="AB121" i="3"/>
  <c r="AA121" i="3"/>
  <c r="AB129" i="3"/>
  <c r="AA129" i="3"/>
  <c r="AD120" i="3"/>
  <c r="AC120" i="3"/>
  <c r="AE84" i="3"/>
  <c r="AE85" i="3"/>
  <c r="AD83" i="3"/>
  <c r="AC83" i="3"/>
  <c r="AE83" i="3" s="1"/>
  <c r="AB83" i="3"/>
  <c r="AN83" i="3" s="1"/>
  <c r="AA83" i="3"/>
  <c r="Y83" i="3"/>
  <c r="X83" i="3"/>
  <c r="W83" i="3"/>
  <c r="W84" i="3"/>
  <c r="W85" i="3"/>
  <c r="AP82" i="3"/>
  <c r="AO82" i="3"/>
  <c r="AL82" i="3"/>
  <c r="AH82" i="3"/>
  <c r="AG82" i="3"/>
  <c r="AF82" i="3"/>
  <c r="AD82" i="3"/>
  <c r="AC82" i="3"/>
  <c r="AB82" i="3"/>
  <c r="AN82" i="3" s="1"/>
  <c r="AA82" i="3"/>
  <c r="Y82" i="3"/>
  <c r="X82" i="3"/>
  <c r="M82" i="3"/>
  <c r="W82" i="3" s="1"/>
  <c r="AP80" i="3"/>
  <c r="AO80" i="3"/>
  <c r="AL80" i="3"/>
  <c r="AH80" i="3"/>
  <c r="AG80" i="3"/>
  <c r="AF80" i="3"/>
  <c r="AD80" i="3"/>
  <c r="AC80" i="3"/>
  <c r="AB80" i="3"/>
  <c r="AA80" i="3"/>
  <c r="Y80" i="3"/>
  <c r="X80" i="3"/>
  <c r="AL79" i="3"/>
  <c r="AP3" i="3"/>
  <c r="AO3" i="3"/>
  <c r="AL3" i="3"/>
  <c r="AH3" i="3"/>
  <c r="AG3" i="3"/>
  <c r="AF3" i="3"/>
  <c r="AD3" i="3"/>
  <c r="AC3" i="3"/>
  <c r="AE3" i="3" s="1"/>
  <c r="AB3" i="3"/>
  <c r="AN3" i="3" s="1"/>
  <c r="AA3" i="3"/>
  <c r="Y3" i="3"/>
  <c r="X3" i="3"/>
  <c r="W3" i="3"/>
  <c r="AP2" i="3"/>
  <c r="AO2" i="3"/>
  <c r="AL2" i="3"/>
  <c r="AH2" i="3"/>
  <c r="AG2" i="3"/>
  <c r="AF2" i="3"/>
  <c r="AD2" i="3"/>
  <c r="AC2" i="3"/>
  <c r="AB2" i="3"/>
  <c r="AN2" i="3" s="1"/>
  <c r="AA2" i="3"/>
  <c r="Y2" i="3"/>
  <c r="X2" i="3"/>
  <c r="P2" i="3"/>
  <c r="N2" i="3"/>
  <c r="W2" i="3" s="1"/>
  <c r="AG90" i="3"/>
  <c r="AF90" i="3"/>
  <c r="AD109" i="3"/>
  <c r="AC109" i="3"/>
  <c r="AP93" i="3"/>
  <c r="AO93" i="3"/>
  <c r="AL93" i="3"/>
  <c r="AH93" i="3"/>
  <c r="AG93" i="3"/>
  <c r="AF93" i="3"/>
  <c r="AL81" i="3"/>
  <c r="AH81" i="3"/>
  <c r="AG81" i="3"/>
  <c r="AF81" i="3"/>
  <c r="AP125" i="3"/>
  <c r="AO125" i="3"/>
  <c r="AD93" i="3"/>
  <c r="AC93" i="3"/>
  <c r="AE93" i="3" s="1"/>
  <c r="AD12" i="3"/>
  <c r="AC12" i="3"/>
  <c r="AB12" i="3"/>
  <c r="AN12" i="3" s="1"/>
  <c r="AA12" i="3"/>
  <c r="Y12" i="3"/>
  <c r="X12" i="3"/>
  <c r="N12" i="3"/>
  <c r="W12" i="3" s="1"/>
  <c r="AG79" i="3"/>
  <c r="AF79" i="3"/>
  <c r="AH79" i="3"/>
  <c r="AD79" i="3"/>
  <c r="AC79" i="3"/>
  <c r="AB79" i="3"/>
  <c r="AA79" i="3"/>
  <c r="Y79" i="3"/>
  <c r="X79" i="3"/>
  <c r="N79" i="3"/>
  <c r="AP74" i="3"/>
  <c r="AO74" i="3"/>
  <c r="AL74" i="3"/>
  <c r="AH74" i="3"/>
  <c r="AC94" i="3"/>
  <c r="AB93" i="3"/>
  <c r="AN93" i="3" s="1"/>
  <c r="AQ93" i="3" s="1"/>
  <c r="AA93" i="3"/>
  <c r="Y93" i="3"/>
  <c r="X93" i="3"/>
  <c r="W93" i="3"/>
  <c r="S93" i="3"/>
  <c r="AB42" i="3"/>
  <c r="AN42" i="3" s="1"/>
  <c r="AA42" i="3"/>
  <c r="AF42" i="3"/>
  <c r="AB66" i="3"/>
  <c r="AA66" i="3"/>
  <c r="AD19" i="3"/>
  <c r="AC19" i="3"/>
  <c r="AP42" i="3"/>
  <c r="AO42" i="3"/>
  <c r="AL42" i="3"/>
  <c r="AH42" i="3"/>
  <c r="AG42" i="3"/>
  <c r="AD42" i="3"/>
  <c r="AC42" i="3"/>
  <c r="Y42" i="3"/>
  <c r="N42" i="3"/>
  <c r="W42" i="3" s="1"/>
  <c r="X42" i="3"/>
  <c r="S42" i="3"/>
  <c r="AP41" i="3"/>
  <c r="AO41" i="3"/>
  <c r="AL41" i="3"/>
  <c r="AH41" i="3"/>
  <c r="AG41" i="3"/>
  <c r="AF41" i="3"/>
  <c r="AD41" i="3"/>
  <c r="AC41" i="3"/>
  <c r="AE41" i="3" s="1"/>
  <c r="AB41" i="3"/>
  <c r="AN41" i="3" s="1"/>
  <c r="AA41" i="3"/>
  <c r="Y41" i="3"/>
  <c r="X41" i="3"/>
  <c r="W41" i="3"/>
  <c r="AP7" i="3"/>
  <c r="AO7" i="3"/>
  <c r="AF19" i="3"/>
  <c r="AD7" i="3"/>
  <c r="AC7" i="3"/>
  <c r="AB7" i="3"/>
  <c r="AA7" i="3"/>
  <c r="Y7" i="3"/>
  <c r="X7" i="3"/>
  <c r="Z102" i="3" l="1"/>
  <c r="Z24" i="3"/>
  <c r="Z23" i="3"/>
  <c r="Z27" i="3"/>
  <c r="AQ43" i="3"/>
  <c r="Z36" i="3"/>
  <c r="AQ35" i="3"/>
  <c r="AE31" i="3"/>
  <c r="Z98" i="3"/>
  <c r="Z25" i="3"/>
  <c r="Z100" i="3"/>
  <c r="Z33" i="3"/>
  <c r="AE27" i="3"/>
  <c r="AE35" i="3"/>
  <c r="AE16" i="3"/>
  <c r="AQ20" i="3"/>
  <c r="AE40" i="3"/>
  <c r="AE21" i="3"/>
  <c r="AE43" i="3"/>
  <c r="Z84" i="3"/>
  <c r="Z15" i="3"/>
  <c r="Z26" i="3"/>
  <c r="W43" i="3"/>
  <c r="AE44" i="3"/>
  <c r="AE5" i="3"/>
  <c r="AQ31" i="3"/>
  <c r="AE34" i="3"/>
  <c r="W34" i="3"/>
  <c r="Z31" i="3"/>
  <c r="AE8" i="3"/>
  <c r="Z11" i="3"/>
  <c r="AE10" i="3"/>
  <c r="W16" i="3"/>
  <c r="Z16" i="3" s="1"/>
  <c r="Z12" i="3"/>
  <c r="Z8" i="3"/>
  <c r="AE11" i="3"/>
  <c r="Z14" i="3"/>
  <c r="AQ15" i="3"/>
  <c r="AE42" i="3"/>
  <c r="AE12" i="3"/>
  <c r="AE82" i="3"/>
  <c r="AE2" i="3"/>
  <c r="N7" i="3"/>
  <c r="AE7" i="3" s="1"/>
  <c r="AL104" i="3"/>
  <c r="AH104" i="3"/>
  <c r="AG104" i="3"/>
  <c r="AF104" i="3"/>
  <c r="AP78" i="3"/>
  <c r="AO78" i="3"/>
  <c r="AN79" i="3"/>
  <c r="AQ79" i="3" s="1"/>
  <c r="AN80" i="3"/>
  <c r="AL78" i="3"/>
  <c r="AH78" i="3"/>
  <c r="AG78" i="3"/>
  <c r="AF78" i="3"/>
  <c r="AD78" i="3"/>
  <c r="AC78" i="3"/>
  <c r="AE78" i="3" s="1"/>
  <c r="AB78" i="3"/>
  <c r="AN78" i="3" s="1"/>
  <c r="AA78" i="3"/>
  <c r="Y78" i="3"/>
  <c r="X78" i="3"/>
  <c r="W78" i="3"/>
  <c r="W79" i="3"/>
  <c r="Z79" i="3" s="1"/>
  <c r="W80" i="3"/>
  <c r="AG122" i="3"/>
  <c r="AF122" i="3"/>
  <c r="AL122" i="3"/>
  <c r="AH122" i="3"/>
  <c r="AP66" i="3"/>
  <c r="AO66" i="3"/>
  <c r="AG74" i="3"/>
  <c r="AF74" i="3"/>
  <c r="AD74" i="3"/>
  <c r="AE74" i="3" s="1"/>
  <c r="AC74" i="3"/>
  <c r="AB74" i="3"/>
  <c r="AA74" i="3"/>
  <c r="Y74" i="3"/>
  <c r="X74" i="3"/>
  <c r="AO77" i="3"/>
  <c r="AL77" i="3"/>
  <c r="AH77" i="3"/>
  <c r="AG77" i="3"/>
  <c r="AF77" i="3"/>
  <c r="AD77" i="3"/>
  <c r="AC77" i="3"/>
  <c r="AE77" i="3" s="1"/>
  <c r="AB77" i="3"/>
  <c r="AN77" i="3" s="1"/>
  <c r="AQ77" i="3" s="1"/>
  <c r="AA77" i="3"/>
  <c r="Y77" i="3"/>
  <c r="X77" i="3"/>
  <c r="W77" i="3"/>
  <c r="AL76" i="3"/>
  <c r="AH76" i="3"/>
  <c r="AG76" i="3"/>
  <c r="AF76" i="3"/>
  <c r="AE79" i="3"/>
  <c r="AE80" i="3"/>
  <c r="AD76" i="3"/>
  <c r="AC76" i="3"/>
  <c r="AE76" i="3" s="1"/>
  <c r="AN76" i="3"/>
  <c r="Y76" i="3"/>
  <c r="X76" i="3"/>
  <c r="W76" i="3"/>
  <c r="AP72" i="3"/>
  <c r="AO72" i="3"/>
  <c r="AL72" i="3"/>
  <c r="AH72" i="3"/>
  <c r="AG72" i="3"/>
  <c r="AF72" i="3"/>
  <c r="AD72" i="3"/>
  <c r="AE72" i="3" s="1"/>
  <c r="AC72" i="3"/>
  <c r="AB72" i="3"/>
  <c r="AA72" i="3"/>
  <c r="Y72" i="3"/>
  <c r="X72" i="3"/>
  <c r="W72" i="3"/>
  <c r="AP71" i="3"/>
  <c r="AO71" i="3"/>
  <c r="AN70" i="3"/>
  <c r="AN72" i="3"/>
  <c r="AL71" i="3"/>
  <c r="AH71" i="3"/>
  <c r="AG71" i="3"/>
  <c r="AF71" i="3"/>
  <c r="AD71" i="3"/>
  <c r="AE71" i="3" s="1"/>
  <c r="AC71" i="3"/>
  <c r="AB71" i="3"/>
  <c r="AN71" i="3" s="1"/>
  <c r="AA71" i="3"/>
  <c r="Y71" i="3"/>
  <c r="X71" i="3"/>
  <c r="W71" i="3"/>
  <c r="AE70" i="3"/>
  <c r="W70" i="3"/>
  <c r="Z70" i="3" s="1"/>
  <c r="AP68" i="3"/>
  <c r="AO68" i="3"/>
  <c r="AN67" i="3"/>
  <c r="AL68" i="3"/>
  <c r="AH68" i="3"/>
  <c r="AG68" i="3"/>
  <c r="AF68" i="3"/>
  <c r="AP94" i="3"/>
  <c r="AO94" i="3"/>
  <c r="AL94" i="3"/>
  <c r="AH94" i="3"/>
  <c r="AG94" i="3"/>
  <c r="AF94" i="3"/>
  <c r="AE94" i="3"/>
  <c r="AD94" i="3"/>
  <c r="AB94" i="3"/>
  <c r="AN94" i="3" s="1"/>
  <c r="AA94" i="3"/>
  <c r="Y94" i="3"/>
  <c r="X94" i="3"/>
  <c r="W94" i="3"/>
  <c r="AL106" i="3"/>
  <c r="AH106" i="3"/>
  <c r="AG106" i="3"/>
  <c r="AF106" i="3"/>
  <c r="AL59" i="3"/>
  <c r="AH59" i="3"/>
  <c r="AG59" i="3"/>
  <c r="AF59" i="3"/>
  <c r="AD68" i="3"/>
  <c r="AE68" i="3" s="1"/>
  <c r="AC68" i="3"/>
  <c r="AB68" i="3"/>
  <c r="AN68" i="3" s="1"/>
  <c r="AA68" i="3"/>
  <c r="Y68" i="3"/>
  <c r="X68" i="3"/>
  <c r="W68" i="3"/>
  <c r="Y67" i="3"/>
  <c r="X67" i="3"/>
  <c r="AN66" i="3"/>
  <c r="AE67" i="3"/>
  <c r="AD66" i="3"/>
  <c r="AC66" i="3"/>
  <c r="Y66" i="3"/>
  <c r="X66" i="3"/>
  <c r="W67" i="3"/>
  <c r="N66" i="3"/>
  <c r="W66" i="3" s="1"/>
  <c r="AP65" i="3"/>
  <c r="AO65" i="3"/>
  <c r="AL65" i="3"/>
  <c r="AH69" i="3"/>
  <c r="AH65" i="3"/>
  <c r="AG65" i="3"/>
  <c r="AF65" i="3"/>
  <c r="AD65" i="3"/>
  <c r="AE65" i="3" s="1"/>
  <c r="AC65" i="3"/>
  <c r="AB65" i="3"/>
  <c r="AN65" i="3" s="1"/>
  <c r="AA65" i="3"/>
  <c r="Y65" i="3"/>
  <c r="X65" i="3"/>
  <c r="AP64" i="3"/>
  <c r="AL64" i="3"/>
  <c r="AH64" i="3"/>
  <c r="AG64" i="3"/>
  <c r="AF64" i="3"/>
  <c r="AD64" i="3"/>
  <c r="AC64" i="3"/>
  <c r="AB64" i="3"/>
  <c r="AN64" i="3" s="1"/>
  <c r="AA64" i="3"/>
  <c r="Y64" i="3"/>
  <c r="X64" i="3"/>
  <c r="AP63" i="3"/>
  <c r="AO63" i="3"/>
  <c r="AL63" i="3"/>
  <c r="AH63" i="3"/>
  <c r="AG63" i="3"/>
  <c r="AF63" i="3"/>
  <c r="AE64" i="3"/>
  <c r="AD63" i="3"/>
  <c r="AE63" i="3" s="1"/>
  <c r="AC63" i="3"/>
  <c r="AB63" i="3"/>
  <c r="AN63" i="3" s="1"/>
  <c r="AA63" i="3"/>
  <c r="Y63" i="3"/>
  <c r="X63" i="3"/>
  <c r="AP62" i="3"/>
  <c r="AO62" i="3"/>
  <c r="AN62" i="3"/>
  <c r="AL62" i="3"/>
  <c r="AH62" i="3"/>
  <c r="AG62" i="3"/>
  <c r="AF62" i="3"/>
  <c r="AD62" i="3"/>
  <c r="AC62" i="3"/>
  <c r="AE62" i="3" s="1"/>
  <c r="AA62" i="3"/>
  <c r="Y62" i="3"/>
  <c r="X62" i="3"/>
  <c r="AP61" i="3"/>
  <c r="AO61" i="3"/>
  <c r="AL61" i="3"/>
  <c r="AH61" i="3"/>
  <c r="AG61" i="3"/>
  <c r="AF61" i="3"/>
  <c r="AD61" i="3"/>
  <c r="AC61" i="3"/>
  <c r="AE61" i="3" s="1"/>
  <c r="AB61" i="3"/>
  <c r="AN61" i="3" s="1"/>
  <c r="AA61" i="3"/>
  <c r="Y61" i="3"/>
  <c r="X61" i="3"/>
  <c r="W61" i="3"/>
  <c r="W62" i="3"/>
  <c r="W63" i="3"/>
  <c r="W64" i="3"/>
  <c r="W65" i="3"/>
  <c r="AP60" i="3"/>
  <c r="AO60" i="3"/>
  <c r="AL60" i="3"/>
  <c r="AH60" i="3"/>
  <c r="AG60" i="3"/>
  <c r="AF60" i="3"/>
  <c r="AD60" i="3"/>
  <c r="AC60" i="3"/>
  <c r="AB60" i="3"/>
  <c r="AN60" i="3" s="1"/>
  <c r="AA60" i="3"/>
  <c r="Y60" i="3"/>
  <c r="N60" i="3"/>
  <c r="W60" i="3" s="1"/>
  <c r="X60" i="3"/>
  <c r="AP58" i="3"/>
  <c r="AO58" i="3"/>
  <c r="AL58" i="3"/>
  <c r="AH58" i="3"/>
  <c r="AG58" i="3"/>
  <c r="AD58" i="3"/>
  <c r="AF58" i="3"/>
  <c r="AC58" i="3"/>
  <c r="AE58" i="3" s="1"/>
  <c r="AB58" i="3"/>
  <c r="AN58" i="3" s="1"/>
  <c r="AA58" i="3"/>
  <c r="Y58" i="3"/>
  <c r="X58" i="3"/>
  <c r="AP57" i="3"/>
  <c r="AO57" i="3"/>
  <c r="AL57" i="3"/>
  <c r="AH57" i="3"/>
  <c r="AG57" i="3"/>
  <c r="AF57" i="3"/>
  <c r="AD57" i="3"/>
  <c r="AC57" i="3"/>
  <c r="AE57" i="3" s="1"/>
  <c r="AB57" i="3"/>
  <c r="AN57" i="3" s="1"/>
  <c r="AQ57" i="3" s="1"/>
  <c r="AA57" i="3"/>
  <c r="Y57" i="3"/>
  <c r="X57" i="3"/>
  <c r="AP55" i="3"/>
  <c r="AO55" i="3"/>
  <c r="AL55" i="3"/>
  <c r="AH55" i="3"/>
  <c r="AG55" i="3"/>
  <c r="AF55" i="3"/>
  <c r="AD55" i="3"/>
  <c r="AC55" i="3"/>
  <c r="AB55" i="3"/>
  <c r="AN55" i="3" s="1"/>
  <c r="AA55" i="3"/>
  <c r="Y55" i="3"/>
  <c r="X55" i="3"/>
  <c r="N55" i="3"/>
  <c r="W55" i="3" s="1"/>
  <c r="AL54" i="3"/>
  <c r="AH54" i="3"/>
  <c r="AG54" i="3"/>
  <c r="AF54" i="3"/>
  <c r="AD54" i="3"/>
  <c r="AC54" i="3"/>
  <c r="AE54" i="3" s="1"/>
  <c r="AB54" i="3"/>
  <c r="AN54" i="3" s="1"/>
  <c r="AQ54" i="3" s="1"/>
  <c r="AA54" i="3"/>
  <c r="Y54" i="3"/>
  <c r="X54" i="3"/>
  <c r="AP53" i="3"/>
  <c r="AO53" i="3"/>
  <c r="AL53" i="3"/>
  <c r="AH53" i="3"/>
  <c r="AG53" i="3"/>
  <c r="AF53" i="3"/>
  <c r="AD53" i="3"/>
  <c r="AC53" i="3"/>
  <c r="AE53" i="3" s="1"/>
  <c r="AB53" i="3"/>
  <c r="AN53" i="3" s="1"/>
  <c r="AQ53" i="3" s="1"/>
  <c r="AA53" i="3"/>
  <c r="Y53" i="3"/>
  <c r="X53" i="3"/>
  <c r="AP52" i="3"/>
  <c r="AO52" i="3"/>
  <c r="AL52" i="3"/>
  <c r="AH52" i="3"/>
  <c r="AG52" i="3"/>
  <c r="AF52" i="3"/>
  <c r="AD52" i="3"/>
  <c r="AC52" i="3"/>
  <c r="AB52" i="3"/>
  <c r="AN52" i="3" s="1"/>
  <c r="AQ52" i="3" s="1"/>
  <c r="AA52" i="3"/>
  <c r="Y52" i="3"/>
  <c r="X52" i="3"/>
  <c r="N52" i="3"/>
  <c r="W52" i="3" s="1"/>
  <c r="AP51" i="3"/>
  <c r="AO51" i="3"/>
  <c r="AL51" i="3"/>
  <c r="AH51" i="3"/>
  <c r="AG51" i="3"/>
  <c r="AF51" i="3"/>
  <c r="AD51" i="3"/>
  <c r="AC51" i="3"/>
  <c r="AE51" i="3" s="1"/>
  <c r="AB51" i="3"/>
  <c r="AN51" i="3" s="1"/>
  <c r="AQ51" i="3" s="1"/>
  <c r="AA51" i="3"/>
  <c r="Y51" i="3"/>
  <c r="X51" i="3"/>
  <c r="AP50" i="3"/>
  <c r="AO50" i="3"/>
  <c r="AL50" i="3"/>
  <c r="AH50" i="3"/>
  <c r="AG50" i="3"/>
  <c r="AF50" i="3"/>
  <c r="AD50" i="3"/>
  <c r="AC50" i="3"/>
  <c r="AE50" i="3" s="1"/>
  <c r="AA50" i="3"/>
  <c r="Y50" i="3"/>
  <c r="X50" i="3"/>
  <c r="AB49" i="3"/>
  <c r="AN49" i="3" s="1"/>
  <c r="AQ49" i="3" s="1"/>
  <c r="AA49" i="3"/>
  <c r="Y49" i="3"/>
  <c r="X49" i="3"/>
  <c r="N49" i="3"/>
  <c r="AP48" i="3"/>
  <c r="AO48" i="3"/>
  <c r="AL48" i="3"/>
  <c r="AH48" i="3"/>
  <c r="AG48" i="3"/>
  <c r="AF48" i="3"/>
  <c r="AD48" i="3"/>
  <c r="AC48" i="3"/>
  <c r="AE48" i="3" s="1"/>
  <c r="AB48" i="3"/>
  <c r="AN48" i="3" s="1"/>
  <c r="AQ48" i="3" s="1"/>
  <c r="AA48" i="3"/>
  <c r="Y48" i="3"/>
  <c r="X48" i="3"/>
  <c r="AP47" i="3"/>
  <c r="AO47" i="3"/>
  <c r="AL47" i="3"/>
  <c r="AH47" i="3"/>
  <c r="AG47" i="3"/>
  <c r="AF47" i="3"/>
  <c r="AD47" i="3"/>
  <c r="AC47" i="3"/>
  <c r="AE47" i="3" s="1"/>
  <c r="AB47" i="3"/>
  <c r="AN47" i="3" s="1"/>
  <c r="AA47" i="3"/>
  <c r="X47" i="3"/>
  <c r="AP46" i="3"/>
  <c r="AO46" i="3"/>
  <c r="AL46" i="3"/>
  <c r="AH46" i="3"/>
  <c r="AG46" i="3"/>
  <c r="AF46" i="3"/>
  <c r="AE56" i="3"/>
  <c r="AD46" i="3"/>
  <c r="AC46" i="3"/>
  <c r="AB46" i="3"/>
  <c r="AN46" i="3" s="1"/>
  <c r="AA46" i="3"/>
  <c r="Y46" i="3"/>
  <c r="X46" i="3"/>
  <c r="N46" i="3"/>
  <c r="W46" i="3" s="1"/>
  <c r="W130" i="3"/>
  <c r="Z130" i="3" s="1"/>
  <c r="W129" i="3"/>
  <c r="Z129" i="3" s="1"/>
  <c r="W128" i="3"/>
  <c r="Z128" i="3" s="1"/>
  <c r="AN128" i="3"/>
  <c r="AQ128" i="3" s="1"/>
  <c r="AN129" i="3"/>
  <c r="AQ129" i="3" s="1"/>
  <c r="AN130" i="3"/>
  <c r="AQ130" i="3" s="1"/>
  <c r="AB127" i="3"/>
  <c r="AN127" i="3" s="1"/>
  <c r="AQ127" i="3" s="1"/>
  <c r="AA127" i="3"/>
  <c r="AE123" i="3"/>
  <c r="AE124" i="3"/>
  <c r="AE126" i="3"/>
  <c r="AE127" i="3"/>
  <c r="AE128" i="3"/>
  <c r="AE129" i="3"/>
  <c r="AE130" i="3"/>
  <c r="AD125" i="3"/>
  <c r="AC125" i="3"/>
  <c r="AE125" i="3" s="1"/>
  <c r="AB125" i="3"/>
  <c r="AN125" i="3" s="1"/>
  <c r="AQ125" i="3" s="1"/>
  <c r="AA125" i="3"/>
  <c r="Y125" i="3"/>
  <c r="X125" i="3"/>
  <c r="AP122" i="3"/>
  <c r="AO122" i="3"/>
  <c r="AD122" i="3"/>
  <c r="AC122" i="3"/>
  <c r="AE122" i="3" s="1"/>
  <c r="AB122" i="3"/>
  <c r="AN122" i="3" s="1"/>
  <c r="AQ122" i="3" s="1"/>
  <c r="AA122" i="3"/>
  <c r="Y122" i="3"/>
  <c r="X122" i="3"/>
  <c r="AE120" i="3"/>
  <c r="AL119" i="3"/>
  <c r="AH119" i="3"/>
  <c r="AG119" i="3"/>
  <c r="AF119" i="3"/>
  <c r="AC119" i="3"/>
  <c r="AE119" i="3" s="1"/>
  <c r="AB119" i="3"/>
  <c r="AN119" i="3" s="1"/>
  <c r="AQ119" i="3" s="1"/>
  <c r="AA119" i="3"/>
  <c r="Y119" i="3"/>
  <c r="X119" i="3"/>
  <c r="Y118" i="3"/>
  <c r="X118" i="3"/>
  <c r="AP115" i="3"/>
  <c r="AO115" i="3"/>
  <c r="AE115" i="3"/>
  <c r="AB115" i="3"/>
  <c r="AN115" i="3" s="1"/>
  <c r="AA115" i="3"/>
  <c r="Y115" i="3"/>
  <c r="X115" i="3"/>
  <c r="AN113" i="3"/>
  <c r="AQ113" i="3" s="1"/>
  <c r="AN116" i="3"/>
  <c r="AQ116" i="3" s="1"/>
  <c r="AN117" i="3"/>
  <c r="AQ117" i="3" s="1"/>
  <c r="AN118" i="3"/>
  <c r="AQ118" i="3" s="1"/>
  <c r="AN120" i="3"/>
  <c r="AQ120" i="3" s="1"/>
  <c r="AN121" i="3"/>
  <c r="AQ121" i="3" s="1"/>
  <c r="AN123" i="3"/>
  <c r="AQ123" i="3" s="1"/>
  <c r="AN124" i="3"/>
  <c r="AQ124" i="3" s="1"/>
  <c r="AN126" i="3"/>
  <c r="AQ126" i="3" s="1"/>
  <c r="AL114" i="3"/>
  <c r="AH114" i="3"/>
  <c r="AG114" i="3"/>
  <c r="AF114" i="3"/>
  <c r="AE113" i="3"/>
  <c r="AE116" i="3"/>
  <c r="AE117" i="3"/>
  <c r="AE118" i="3"/>
  <c r="AE121" i="3"/>
  <c r="AD114" i="3"/>
  <c r="AC114" i="3"/>
  <c r="AE114" i="3" s="1"/>
  <c r="AN114" i="3"/>
  <c r="AQ114" i="3" s="1"/>
  <c r="Y114" i="3"/>
  <c r="X114" i="3"/>
  <c r="W114" i="3"/>
  <c r="W115" i="3"/>
  <c r="W116" i="3"/>
  <c r="Z116" i="3" s="1"/>
  <c r="W117" i="3"/>
  <c r="Z117" i="3" s="1"/>
  <c r="W118" i="3"/>
  <c r="W119" i="3"/>
  <c r="W120" i="3"/>
  <c r="Z120" i="3" s="1"/>
  <c r="W121" i="3"/>
  <c r="Z121" i="3" s="1"/>
  <c r="W122" i="3"/>
  <c r="W123" i="3"/>
  <c r="Z123" i="3" s="1"/>
  <c r="W124" i="3"/>
  <c r="Z124" i="3" s="1"/>
  <c r="W125" i="3"/>
  <c r="W126" i="3"/>
  <c r="Z126" i="3" s="1"/>
  <c r="W127" i="3"/>
  <c r="Z127" i="3" s="1"/>
  <c r="Y113" i="3"/>
  <c r="X113" i="3"/>
  <c r="W113" i="3"/>
  <c r="AP111" i="3"/>
  <c r="AO111" i="3"/>
  <c r="AL111" i="3"/>
  <c r="AH111" i="3"/>
  <c r="AG111" i="3"/>
  <c r="AF111" i="3"/>
  <c r="AD111" i="3"/>
  <c r="AC111" i="3"/>
  <c r="AE111" i="3" s="1"/>
  <c r="AB111" i="3"/>
  <c r="AN111" i="3" s="1"/>
  <c r="AA111" i="3"/>
  <c r="Y111" i="3"/>
  <c r="X111" i="3"/>
  <c r="AP110" i="3"/>
  <c r="AO110" i="3"/>
  <c r="AD110" i="3"/>
  <c r="AC110" i="3"/>
  <c r="AE110" i="3" s="1"/>
  <c r="AB110" i="3"/>
  <c r="AN110" i="3" s="1"/>
  <c r="AA110" i="3"/>
  <c r="AG108" i="3"/>
  <c r="AF108" i="3"/>
  <c r="AD108" i="3"/>
  <c r="AC108" i="3"/>
  <c r="AE108" i="3" s="1"/>
  <c r="AB108" i="3"/>
  <c r="AN108" i="3" s="1"/>
  <c r="AQ108" i="3" s="1"/>
  <c r="Y108" i="3"/>
  <c r="X108" i="3"/>
  <c r="AP109" i="3"/>
  <c r="AO109" i="3"/>
  <c r="AB109" i="3"/>
  <c r="AN109" i="3" s="1"/>
  <c r="AA109" i="3"/>
  <c r="Y109" i="3"/>
  <c r="X109" i="3"/>
  <c r="W108" i="3"/>
  <c r="W109" i="3"/>
  <c r="W110" i="3"/>
  <c r="Z110" i="3" s="1"/>
  <c r="W111" i="3"/>
  <c r="N109" i="3"/>
  <c r="AE109" i="3" s="1"/>
  <c r="AP87" i="3"/>
  <c r="AO87" i="3"/>
  <c r="AL87" i="3"/>
  <c r="AH87" i="3"/>
  <c r="AG87" i="3"/>
  <c r="AF87" i="3"/>
  <c r="AD87" i="3"/>
  <c r="AC87" i="3"/>
  <c r="AB87" i="3"/>
  <c r="AN87" i="3" s="1"/>
  <c r="AA87" i="3"/>
  <c r="M87" i="3"/>
  <c r="W87" i="3" s="1"/>
  <c r="AP104" i="3"/>
  <c r="AO104" i="3"/>
  <c r="AD104" i="3"/>
  <c r="AC104" i="3"/>
  <c r="AE104" i="3" s="1"/>
  <c r="AA104" i="3"/>
  <c r="AP45" i="3"/>
  <c r="AO45" i="3"/>
  <c r="AN45" i="3"/>
  <c r="AN50" i="3"/>
  <c r="AN56" i="3"/>
  <c r="AQ56" i="3" s="1"/>
  <c r="AL45" i="3"/>
  <c r="AH45" i="3"/>
  <c r="AG45" i="3"/>
  <c r="AF45" i="3"/>
  <c r="AE45" i="3"/>
  <c r="Y45" i="3"/>
  <c r="X45" i="3"/>
  <c r="W47" i="3"/>
  <c r="W48" i="3"/>
  <c r="W50" i="3"/>
  <c r="W51" i="3"/>
  <c r="W53" i="3"/>
  <c r="W54" i="3"/>
  <c r="W56" i="3"/>
  <c r="Z56" i="3" s="1"/>
  <c r="W57" i="3"/>
  <c r="Z57" i="3" s="1"/>
  <c r="W58" i="3"/>
  <c r="S45" i="3"/>
  <c r="AP106" i="3"/>
  <c r="AO106" i="3"/>
  <c r="AN104" i="3"/>
  <c r="AN105" i="3"/>
  <c r="AD106" i="3"/>
  <c r="AC106" i="3"/>
  <c r="AE106" i="3" s="1"/>
  <c r="AB106" i="3"/>
  <c r="AN106" i="3" s="1"/>
  <c r="AA106" i="3"/>
  <c r="Y106" i="3"/>
  <c r="X106" i="3"/>
  <c r="W104" i="3"/>
  <c r="W105" i="3"/>
  <c r="Z105" i="3" s="1"/>
  <c r="W106" i="3"/>
  <c r="AL103" i="3"/>
  <c r="AH103" i="3"/>
  <c r="AG103" i="3"/>
  <c r="AF103" i="3"/>
  <c r="AD91" i="3"/>
  <c r="AC91" i="3"/>
  <c r="AE91" i="3" s="1"/>
  <c r="AB91" i="3"/>
  <c r="AN91" i="3" s="1"/>
  <c r="AA91" i="3"/>
  <c r="Y91" i="3"/>
  <c r="X91" i="3"/>
  <c r="W91" i="3"/>
  <c r="AP81" i="3"/>
  <c r="AO81" i="3"/>
  <c r="AD81" i="3"/>
  <c r="AC81" i="3"/>
  <c r="AB81" i="3"/>
  <c r="AN81" i="3" s="1"/>
  <c r="AA81" i="3"/>
  <c r="Y81" i="3"/>
  <c r="X81" i="3"/>
  <c r="N81" i="3"/>
  <c r="W81" i="3" s="1"/>
  <c r="AP75" i="3"/>
  <c r="AO75" i="3"/>
  <c r="AN74" i="3"/>
  <c r="AD75" i="3"/>
  <c r="AC75" i="3"/>
  <c r="AE75" i="3" s="1"/>
  <c r="AB75" i="3"/>
  <c r="AN75" i="3" s="1"/>
  <c r="AA75" i="3"/>
  <c r="Y75" i="3"/>
  <c r="X75" i="3"/>
  <c r="W74" i="3"/>
  <c r="W75" i="3"/>
  <c r="AP59" i="3"/>
  <c r="AB59" i="3"/>
  <c r="AN59" i="3" s="1"/>
  <c r="AA59" i="3"/>
  <c r="AO59" i="3"/>
  <c r="AD59" i="3"/>
  <c r="AC59" i="3"/>
  <c r="AE59" i="3" s="1"/>
  <c r="AB69" i="3"/>
  <c r="AN69" i="3" s="1"/>
  <c r="Y59" i="3"/>
  <c r="X59" i="3"/>
  <c r="W59" i="3"/>
  <c r="AL69" i="3"/>
  <c r="AP69" i="3"/>
  <c r="AG69" i="3"/>
  <c r="AF69" i="3"/>
  <c r="AD69" i="3"/>
  <c r="AE69" i="3" s="1"/>
  <c r="Y69" i="3"/>
  <c r="W69" i="3"/>
  <c r="AL73" i="3"/>
  <c r="AH73" i="3"/>
  <c r="AD73" i="3"/>
  <c r="AE73" i="3" s="1"/>
  <c r="AC73" i="3"/>
  <c r="AB73" i="3"/>
  <c r="AN73" i="3" s="1"/>
  <c r="AQ73" i="3" s="1"/>
  <c r="AA73" i="3"/>
  <c r="W73" i="3"/>
  <c r="Z73" i="3" s="1"/>
  <c r="AL107" i="3"/>
  <c r="AH107" i="3"/>
  <c r="AP107" i="3"/>
  <c r="AG107" i="3"/>
  <c r="AD107" i="3"/>
  <c r="AC107" i="3"/>
  <c r="AE107" i="3" s="1"/>
  <c r="AB107" i="3"/>
  <c r="AN107" i="3" s="1"/>
  <c r="W107" i="3"/>
  <c r="AD90" i="3"/>
  <c r="AC90" i="3"/>
  <c r="AE90" i="3" s="1"/>
  <c r="AB90" i="3"/>
  <c r="AN90" i="3" s="1"/>
  <c r="AB99" i="3"/>
  <c r="AA90" i="3"/>
  <c r="Y90" i="3"/>
  <c r="X90" i="3"/>
  <c r="W90" i="3"/>
  <c r="AP89" i="3"/>
  <c r="AO89" i="3"/>
  <c r="AL89" i="3"/>
  <c r="AH89" i="3"/>
  <c r="AG89" i="3"/>
  <c r="AF89" i="3"/>
  <c r="AD89" i="3"/>
  <c r="AC89" i="3"/>
  <c r="AB89" i="3"/>
  <c r="AN89" i="3" s="1"/>
  <c r="AQ89" i="3" s="1"/>
  <c r="AA89" i="3"/>
  <c r="Y89" i="3"/>
  <c r="X89" i="3"/>
  <c r="N89" i="3"/>
  <c r="W89" i="3" s="1"/>
  <c r="AG19" i="3"/>
  <c r="AB19" i="3"/>
  <c r="AN19" i="3" s="1"/>
  <c r="AA19" i="3"/>
  <c r="Y19" i="3"/>
  <c r="X19" i="3"/>
  <c r="N19" i="3"/>
  <c r="AE19" i="3" s="1"/>
  <c r="AP86" i="3"/>
  <c r="AO86" i="3"/>
  <c r="AN7" i="3"/>
  <c r="AD86" i="3"/>
  <c r="AC86" i="3"/>
  <c r="AE86" i="3" s="1"/>
  <c r="AB86" i="3"/>
  <c r="AN86" i="3" s="1"/>
  <c r="AA86" i="3"/>
  <c r="Y86" i="3"/>
  <c r="AQ99" i="3"/>
  <c r="AQ100" i="3"/>
  <c r="AP112" i="3"/>
  <c r="AO112" i="3"/>
  <c r="AG112" i="3"/>
  <c r="AF112" i="3"/>
  <c r="AD112" i="3"/>
  <c r="AC112" i="3"/>
  <c r="AE112" i="3" s="1"/>
  <c r="AB112" i="3"/>
  <c r="AN112" i="3" s="1"/>
  <c r="AA112" i="3"/>
  <c r="W112" i="3"/>
  <c r="Z112" i="3" s="1"/>
  <c r="AL99" i="3"/>
  <c r="AH99" i="3"/>
  <c r="AG99" i="3"/>
  <c r="AF99" i="3"/>
  <c r="AD99" i="3"/>
  <c r="AC99" i="3"/>
  <c r="AE99" i="3" s="1"/>
  <c r="AA99" i="3"/>
  <c r="Y99" i="3"/>
  <c r="X99" i="3"/>
  <c r="W86" i="3"/>
  <c r="W99" i="3"/>
  <c r="AP4" i="3"/>
  <c r="AO4" i="3"/>
  <c r="AL4" i="3"/>
  <c r="AH4" i="3"/>
  <c r="AG4" i="3"/>
  <c r="AF4" i="3"/>
  <c r="AD4" i="3"/>
  <c r="AC4" i="3"/>
  <c r="AE4" i="3" s="1"/>
  <c r="AB4" i="3"/>
  <c r="AN4" i="3" s="1"/>
  <c r="AQ4" i="3" s="1"/>
  <c r="AA4" i="3"/>
  <c r="W4" i="3"/>
  <c r="AD103" i="3"/>
  <c r="AC103" i="3"/>
  <c r="AE103" i="3" s="1"/>
  <c r="AB103" i="3"/>
  <c r="AN103" i="3" s="1"/>
  <c r="AA103" i="3"/>
  <c r="Y103" i="3"/>
  <c r="W103" i="3"/>
  <c r="Z103" i="3" s="1"/>
  <c r="Z119" i="3" l="1"/>
  <c r="Z76" i="3"/>
  <c r="Z55" i="3"/>
  <c r="Z114" i="3"/>
  <c r="Z89" i="3"/>
  <c r="AQ112" i="3"/>
  <c r="Z90" i="3"/>
  <c r="Z46" i="3"/>
  <c r="Z81" i="3"/>
  <c r="Z94" i="3"/>
  <c r="Z91" i="3"/>
  <c r="AQ45" i="3"/>
  <c r="Z48" i="3"/>
  <c r="Z50" i="3"/>
  <c r="Z58" i="3"/>
  <c r="Z122" i="3"/>
  <c r="AQ66" i="3"/>
  <c r="Z109" i="3"/>
  <c r="Z115" i="3"/>
  <c r="AQ115" i="3"/>
  <c r="AE49" i="3"/>
  <c r="AE55" i="3"/>
  <c r="AE46" i="3"/>
  <c r="Z86" i="3"/>
  <c r="W19" i="3"/>
  <c r="Z106" i="3"/>
  <c r="W49" i="3"/>
  <c r="Z125" i="3"/>
  <c r="AE66" i="3"/>
  <c r="AE89" i="3"/>
  <c r="Z118" i="3"/>
  <c r="AE60" i="3"/>
  <c r="AE81" i="3"/>
  <c r="AE87" i="3"/>
  <c r="AE52" i="3"/>
  <c r="AQ61" i="3"/>
  <c r="W7" i="3"/>
  <c r="Z7" i="3" s="1"/>
  <c r="AQ64" i="3"/>
</calcChain>
</file>

<file path=xl/sharedStrings.xml><?xml version="1.0" encoding="utf-8"?>
<sst xmlns="http://schemas.openxmlformats.org/spreadsheetml/2006/main" count="1602" uniqueCount="892">
  <si>
    <t>项目部</t>
    <phoneticPr fontId="1" type="noConversion"/>
  </si>
  <si>
    <t>中铁建设集团有限公司贵阳北站项目经理部</t>
    <phoneticPr fontId="1" type="noConversion"/>
  </si>
  <si>
    <t>贵州省贵阳市</t>
    <phoneticPr fontId="1" type="noConversion"/>
  </si>
  <si>
    <t>王江军</t>
    <phoneticPr fontId="1" type="noConversion"/>
  </si>
  <si>
    <t>杭州蓝博凯盾防火门有限公司</t>
    <phoneticPr fontId="1" type="noConversion"/>
  </si>
  <si>
    <t>异地交税</t>
    <phoneticPr fontId="1" type="noConversion"/>
  </si>
  <si>
    <t>XMF14-01</t>
    <phoneticPr fontId="1" type="noConversion"/>
  </si>
  <si>
    <t>正常进行</t>
    <phoneticPr fontId="1" type="noConversion"/>
  </si>
  <si>
    <t>亦庄</t>
    <phoneticPr fontId="1" type="noConversion"/>
  </si>
  <si>
    <t>北京市第二建筑工程有限责任公司</t>
    <phoneticPr fontId="1" type="noConversion"/>
  </si>
  <si>
    <t>北京市</t>
    <phoneticPr fontId="1" type="noConversion"/>
  </si>
  <si>
    <t>江志真</t>
    <phoneticPr fontId="1" type="noConversion"/>
  </si>
  <si>
    <t>北京美伦美门窗制品有限公司</t>
    <phoneticPr fontId="1" type="noConversion"/>
  </si>
  <si>
    <t>否</t>
    <phoneticPr fontId="1" type="noConversion"/>
  </si>
  <si>
    <t>完工</t>
    <phoneticPr fontId="1" type="noConversion"/>
  </si>
  <si>
    <t>中铁建设集团有限公司</t>
    <phoneticPr fontId="1" type="noConversion"/>
  </si>
  <si>
    <t>安徽合肥</t>
    <phoneticPr fontId="1" type="noConversion"/>
  </si>
  <si>
    <t>颜自成</t>
    <phoneticPr fontId="1" type="noConversion"/>
  </si>
  <si>
    <t>杭州创基建筑装饰工程有限公司</t>
    <phoneticPr fontId="1" type="noConversion"/>
  </si>
  <si>
    <t>王艳</t>
    <phoneticPr fontId="1" type="noConversion"/>
  </si>
  <si>
    <t>XMF13-57</t>
    <phoneticPr fontId="1" type="noConversion"/>
  </si>
  <si>
    <t>北京建工博海建设有限公司</t>
    <phoneticPr fontId="1" type="noConversion"/>
  </si>
  <si>
    <t>孙超</t>
    <phoneticPr fontId="1" type="noConversion"/>
  </si>
  <si>
    <t>北京海锐广告有限公司</t>
    <phoneticPr fontId="1" type="noConversion"/>
  </si>
  <si>
    <t>XMF14-11</t>
    <phoneticPr fontId="1" type="noConversion"/>
  </si>
  <si>
    <t>0446164</t>
    <phoneticPr fontId="1" type="noConversion"/>
  </si>
  <si>
    <t>三河</t>
    <phoneticPr fontId="1" type="noConversion"/>
  </si>
  <si>
    <t>XMF13-44</t>
    <phoneticPr fontId="1" type="noConversion"/>
  </si>
  <si>
    <t>0245329</t>
    <phoneticPr fontId="1" type="noConversion"/>
  </si>
  <si>
    <t>冯国亮</t>
    <phoneticPr fontId="1" type="noConversion"/>
  </si>
  <si>
    <t>三河</t>
    <phoneticPr fontId="1" type="noConversion"/>
  </si>
  <si>
    <t>项目部</t>
    <phoneticPr fontId="1" type="noConversion"/>
  </si>
  <si>
    <t>香河县鸿坤房地产开发有限公司</t>
    <phoneticPr fontId="1" type="noConversion"/>
  </si>
  <si>
    <t>河北香河</t>
    <phoneticPr fontId="1" type="noConversion"/>
  </si>
  <si>
    <t>冯国亮</t>
    <phoneticPr fontId="1" type="noConversion"/>
  </si>
  <si>
    <t>三河市益吉装饰工程有限公司</t>
    <phoneticPr fontId="1" type="noConversion"/>
  </si>
  <si>
    <t>否</t>
    <phoneticPr fontId="1" type="noConversion"/>
  </si>
  <si>
    <t>XMF12-14</t>
    <phoneticPr fontId="1" type="noConversion"/>
  </si>
  <si>
    <t xml:space="preserve"> 中国印刷总公司</t>
    <phoneticPr fontId="1" type="noConversion"/>
  </si>
  <si>
    <t>北京市</t>
    <phoneticPr fontId="1" type="noConversion"/>
  </si>
  <si>
    <t>孙超</t>
    <phoneticPr fontId="1" type="noConversion"/>
  </si>
  <si>
    <t>否</t>
    <phoneticPr fontId="1" type="noConversion"/>
  </si>
  <si>
    <t>0091567</t>
    <phoneticPr fontId="1" type="noConversion"/>
  </si>
  <si>
    <t>印刷大楼改造工程</t>
    <phoneticPr fontId="1" type="noConversion"/>
  </si>
  <si>
    <t>XMF10-40</t>
    <phoneticPr fontId="1" type="noConversion"/>
  </si>
  <si>
    <t>幸福三村</t>
    <phoneticPr fontId="1" type="noConversion"/>
  </si>
  <si>
    <t>香河鸿坤理想城阳光项目</t>
    <phoneticPr fontId="1" type="noConversion"/>
  </si>
  <si>
    <t>合肥南站</t>
    <phoneticPr fontId="1" type="noConversion"/>
  </si>
  <si>
    <t>贵阳北站</t>
    <phoneticPr fontId="1" type="noConversion"/>
  </si>
  <si>
    <t>大兴京城高尔夫俱乐部</t>
    <phoneticPr fontId="1" type="noConversion"/>
  </si>
  <si>
    <t>XMF13-47</t>
    <phoneticPr fontId="1" type="noConversion"/>
  </si>
  <si>
    <t>数据技术研发中心建设项目6#楼</t>
    <phoneticPr fontId="1" type="noConversion"/>
  </si>
  <si>
    <t>汇天网络科技有限公司</t>
    <phoneticPr fontId="1" type="noConversion"/>
  </si>
  <si>
    <t>北京市</t>
    <phoneticPr fontId="1" type="noConversion"/>
  </si>
  <si>
    <t>李智勇</t>
    <phoneticPr fontId="1" type="noConversion"/>
  </si>
  <si>
    <t>北京通联门窗有限公司</t>
    <phoneticPr fontId="1" type="noConversion"/>
  </si>
  <si>
    <t>1251034</t>
    <phoneticPr fontId="1" type="noConversion"/>
  </si>
  <si>
    <t>管庄</t>
    <phoneticPr fontId="1" type="noConversion"/>
  </si>
  <si>
    <t>吕松岩</t>
    <phoneticPr fontId="1" type="noConversion"/>
  </si>
  <si>
    <t>XMF13-48</t>
  </si>
  <si>
    <t>研发办公楼D座等16项</t>
    <phoneticPr fontId="1" type="noConversion"/>
  </si>
  <si>
    <t>中国新兴建设开发总公司</t>
    <phoneticPr fontId="1" type="noConversion"/>
  </si>
  <si>
    <t>曲刚</t>
    <phoneticPr fontId="1" type="noConversion"/>
  </si>
  <si>
    <t>北京京业正通建筑材料有限责任公司</t>
    <phoneticPr fontId="1" type="noConversion"/>
  </si>
  <si>
    <t>王艳</t>
    <phoneticPr fontId="1" type="noConversion"/>
  </si>
  <si>
    <t>是</t>
    <phoneticPr fontId="1" type="noConversion"/>
  </si>
  <si>
    <t>XMF14-02</t>
  </si>
  <si>
    <t>XMF14-06</t>
    <phoneticPr fontId="1" type="noConversion"/>
  </si>
  <si>
    <t>北京嘉里中心翻装项目办公楼</t>
    <phoneticPr fontId="1" type="noConversion"/>
  </si>
  <si>
    <t>北京嘉奥房地产开发有限公司</t>
    <phoneticPr fontId="1" type="noConversion"/>
  </si>
  <si>
    <t>柯秋惠</t>
    <phoneticPr fontId="1" type="noConversion"/>
  </si>
  <si>
    <t>北京宇光装饰有限公司</t>
    <phoneticPr fontId="1" type="noConversion"/>
  </si>
  <si>
    <t>1251026</t>
    <phoneticPr fontId="1" type="noConversion"/>
  </si>
  <si>
    <t>XMF13-31</t>
    <phoneticPr fontId="1" type="noConversion"/>
  </si>
  <si>
    <t>中国国际贸易中心二座幕墙工程</t>
    <phoneticPr fontId="1" type="noConversion"/>
  </si>
  <si>
    <t>中国国际贸易中心股份有限公司二期物业中心</t>
    <phoneticPr fontId="1" type="noConversion"/>
  </si>
  <si>
    <t>0061068</t>
    <phoneticPr fontId="1" type="noConversion"/>
  </si>
  <si>
    <t>XMF13-27</t>
    <phoneticPr fontId="1" type="noConversion"/>
  </si>
  <si>
    <t>国贸世纪公寓样板间外墙工程</t>
    <phoneticPr fontId="1" type="noConversion"/>
  </si>
  <si>
    <t>中国国际贸易中心有限公司</t>
    <phoneticPr fontId="1" type="noConversion"/>
  </si>
  <si>
    <t>XMF08-02</t>
    <phoneticPr fontId="1" type="noConversion"/>
  </si>
  <si>
    <t>中国国际贸易中心三期</t>
    <phoneticPr fontId="1" type="noConversion"/>
  </si>
  <si>
    <t>项目部</t>
    <phoneticPr fontId="1" type="noConversion"/>
  </si>
  <si>
    <t>中国国际贸易中心股份有限公司</t>
    <phoneticPr fontId="1" type="noConversion"/>
  </si>
  <si>
    <t>完工</t>
    <phoneticPr fontId="1" type="noConversion"/>
  </si>
  <si>
    <t>XMF13-17</t>
    <phoneticPr fontId="1" type="noConversion"/>
  </si>
  <si>
    <t>朝阳区东坝驹子房农民安置房F区</t>
    <phoneticPr fontId="1" type="noConversion"/>
  </si>
  <si>
    <t>北京市朝阳城市建设综合开发公司</t>
    <phoneticPr fontId="1" type="noConversion"/>
  </si>
  <si>
    <t>余斌</t>
    <phoneticPr fontId="1" type="noConversion"/>
  </si>
  <si>
    <t>博洋恒润（北京）幕墙装饰工程有限公司</t>
    <phoneticPr fontId="1" type="noConversion"/>
  </si>
  <si>
    <t>0007301</t>
    <phoneticPr fontId="1" type="noConversion"/>
  </si>
  <si>
    <t>XMF13-32</t>
  </si>
  <si>
    <t>XMF13-33</t>
  </si>
  <si>
    <t>大兴北臧村镇居住及配套项目</t>
    <phoneticPr fontId="1" type="noConversion"/>
  </si>
  <si>
    <t>北京博大经开建设有限公司</t>
    <phoneticPr fontId="1" type="noConversion"/>
  </si>
  <si>
    <t>张永强</t>
    <phoneticPr fontId="1" type="noConversion"/>
  </si>
  <si>
    <t>北京泰顺源装饰装潢有限公司</t>
    <phoneticPr fontId="1" type="noConversion"/>
  </si>
  <si>
    <t>异地交税</t>
    <phoneticPr fontId="1" type="noConversion"/>
  </si>
  <si>
    <t>0061071</t>
    <phoneticPr fontId="1" type="noConversion"/>
  </si>
  <si>
    <t>XMF13-39</t>
    <phoneticPr fontId="1" type="noConversion"/>
  </si>
  <si>
    <t>锋创科技园4#研发办公楼</t>
    <phoneticPr fontId="1" type="noConversion"/>
  </si>
  <si>
    <t>锋创科技发展（北京）有限公司</t>
    <phoneticPr fontId="1" type="noConversion"/>
  </si>
  <si>
    <t>苏洪波</t>
    <phoneticPr fontId="1" type="noConversion"/>
  </si>
  <si>
    <t>北京嘉世弘商贸有限公司</t>
    <phoneticPr fontId="1" type="noConversion"/>
  </si>
  <si>
    <t>韩魁</t>
    <phoneticPr fontId="1" type="noConversion"/>
  </si>
  <si>
    <t>0245333</t>
    <phoneticPr fontId="1" type="noConversion"/>
  </si>
  <si>
    <t>XMF13-49</t>
  </si>
  <si>
    <t>天津红星国际广场3#地A2-A4楼</t>
    <phoneticPr fontId="1" type="noConversion"/>
  </si>
  <si>
    <t>天津市华运商贸物业有限公司</t>
    <phoneticPr fontId="1" type="noConversion"/>
  </si>
  <si>
    <t>天津市</t>
    <phoneticPr fontId="1" type="noConversion"/>
  </si>
  <si>
    <t>闫禄章</t>
    <phoneticPr fontId="1" type="noConversion"/>
  </si>
  <si>
    <t>北京奥维尔建筑材料销售有限公司</t>
    <phoneticPr fontId="1" type="noConversion"/>
  </si>
  <si>
    <t>XMF14-03</t>
  </si>
  <si>
    <t>XMF14-04</t>
  </si>
  <si>
    <t>北京实创科技园开发建设股份有限公司</t>
    <phoneticPr fontId="1" type="noConversion"/>
  </si>
  <si>
    <t>中集建设集团有限公司</t>
    <phoneticPr fontId="1" type="noConversion"/>
  </si>
  <si>
    <t>金生文</t>
    <phoneticPr fontId="1" type="noConversion"/>
  </si>
  <si>
    <t>北京长风幕墙装饰有限公司</t>
    <phoneticPr fontId="1" type="noConversion"/>
  </si>
  <si>
    <t>李猛</t>
    <phoneticPr fontId="1" type="noConversion"/>
  </si>
  <si>
    <t>3829玻璃石材幕墙及断桥铝合金</t>
    <phoneticPr fontId="1" type="noConversion"/>
  </si>
  <si>
    <t>61195部队后勤部管理处财务科</t>
    <phoneticPr fontId="1" type="noConversion"/>
  </si>
  <si>
    <t>霍林宝</t>
    <phoneticPr fontId="1" type="noConversion"/>
  </si>
  <si>
    <t>中国人民解放军61159部队后勤部</t>
    <phoneticPr fontId="1" type="noConversion"/>
  </si>
  <si>
    <t>XMF13-01</t>
    <phoneticPr fontId="1" type="noConversion"/>
  </si>
  <si>
    <t>北池子大街35号院翻改建</t>
    <phoneticPr fontId="1" type="noConversion"/>
  </si>
  <si>
    <t>北京城建亚泰建设集团有限公司</t>
    <phoneticPr fontId="1" type="noConversion"/>
  </si>
  <si>
    <t>0007311</t>
    <phoneticPr fontId="1" type="noConversion"/>
  </si>
  <si>
    <t>亦庄</t>
    <phoneticPr fontId="1" type="noConversion"/>
  </si>
  <si>
    <t>XMF13-05</t>
  </si>
  <si>
    <t>XMF13-06</t>
  </si>
  <si>
    <t>XMF13-07</t>
  </si>
  <si>
    <t>XMF13-08</t>
  </si>
  <si>
    <t>XMF13-09</t>
  </si>
  <si>
    <t>XMF13-10</t>
  </si>
  <si>
    <t>XMF13-11</t>
  </si>
  <si>
    <t>XMF13-12</t>
  </si>
  <si>
    <t>XMF13-13</t>
  </si>
  <si>
    <t>XMF13-14</t>
  </si>
  <si>
    <t>XMF13-15</t>
  </si>
  <si>
    <t>XMF13-16</t>
  </si>
  <si>
    <t>1251023</t>
    <phoneticPr fontId="1" type="noConversion"/>
  </si>
  <si>
    <t>解放军302医院感染综合楼</t>
    <phoneticPr fontId="1" type="noConversion"/>
  </si>
  <si>
    <t>中国人民解放军第三〇二医院</t>
    <phoneticPr fontId="1" type="noConversion"/>
  </si>
  <si>
    <t>邵幸来</t>
    <phoneticPr fontId="1" type="noConversion"/>
  </si>
  <si>
    <t>XMF13-45</t>
  </si>
  <si>
    <t>1#楼生物技术研发中心项目幕墙工程</t>
    <phoneticPr fontId="1" type="noConversion"/>
  </si>
  <si>
    <t>项目部</t>
    <phoneticPr fontId="1" type="noConversion"/>
  </si>
  <si>
    <t>北京城建七建设工程有限公司</t>
    <phoneticPr fontId="1" type="noConversion"/>
  </si>
  <si>
    <t>北京市</t>
    <phoneticPr fontId="1" type="noConversion"/>
  </si>
  <si>
    <t>罗刚</t>
    <phoneticPr fontId="1" type="noConversion"/>
  </si>
  <si>
    <t>北京世纪锦湖装饰工程有限公司</t>
    <phoneticPr fontId="1" type="noConversion"/>
  </si>
  <si>
    <t>否</t>
    <phoneticPr fontId="1" type="noConversion"/>
  </si>
  <si>
    <t>罗刚</t>
    <phoneticPr fontId="1" type="noConversion"/>
  </si>
  <si>
    <t>1245398</t>
    <phoneticPr fontId="1" type="noConversion"/>
  </si>
  <si>
    <t>管庄</t>
    <phoneticPr fontId="1" type="noConversion"/>
  </si>
  <si>
    <t>XMF14-07</t>
  </si>
  <si>
    <t>XMF14-08</t>
  </si>
  <si>
    <t>XMF14-09</t>
  </si>
  <si>
    <t>XMF14-10</t>
  </si>
  <si>
    <t>北京联合大学第二教学楼</t>
    <phoneticPr fontId="1" type="noConversion"/>
  </si>
  <si>
    <t>北京市第五建筑工程集团有限公司</t>
    <phoneticPr fontId="1" type="noConversion"/>
  </si>
  <si>
    <t>孙超</t>
    <phoneticPr fontId="1" type="noConversion"/>
  </si>
  <si>
    <t>1245385</t>
    <phoneticPr fontId="1" type="noConversion"/>
  </si>
  <si>
    <t>三河</t>
    <phoneticPr fontId="1" type="noConversion"/>
  </si>
  <si>
    <t>德州康博公馆一期2#工程</t>
    <phoneticPr fontId="1" type="noConversion"/>
  </si>
  <si>
    <t>中天建设集团有限公司德厚分公司</t>
    <phoneticPr fontId="1" type="noConversion"/>
  </si>
  <si>
    <t>山东德州</t>
    <phoneticPr fontId="1" type="noConversion"/>
  </si>
  <si>
    <t>李金光</t>
    <phoneticPr fontId="1" type="noConversion"/>
  </si>
  <si>
    <t>北京丰益宏业装饰有限公司</t>
    <phoneticPr fontId="1" type="noConversion"/>
  </si>
  <si>
    <t>异地交税</t>
    <phoneticPr fontId="1" type="noConversion"/>
  </si>
  <si>
    <t>昌平</t>
    <phoneticPr fontId="1" type="noConversion"/>
  </si>
  <si>
    <t>北京西红门兴海学校扩建项目</t>
    <phoneticPr fontId="1" type="noConversion"/>
  </si>
  <si>
    <t>北京鸿坤伟业房地产开发有限公司</t>
    <phoneticPr fontId="1" type="noConversion"/>
  </si>
  <si>
    <t>北京市</t>
    <phoneticPr fontId="1" type="noConversion"/>
  </si>
  <si>
    <t>冯国亮</t>
    <phoneticPr fontId="1" type="noConversion"/>
  </si>
  <si>
    <t>三河市益吉装饰工程有限公司</t>
    <phoneticPr fontId="1" type="noConversion"/>
  </si>
  <si>
    <t>否</t>
    <phoneticPr fontId="1" type="noConversion"/>
  </si>
  <si>
    <t>三河</t>
    <phoneticPr fontId="1" type="noConversion"/>
  </si>
  <si>
    <t>中国人民解放军96819部队综合管理楼</t>
    <phoneticPr fontId="1" type="noConversion"/>
  </si>
  <si>
    <t>中国新兴建设开发总公司</t>
    <phoneticPr fontId="1" type="noConversion"/>
  </si>
  <si>
    <t>马泽永</t>
    <phoneticPr fontId="1" type="noConversion"/>
  </si>
  <si>
    <t>天津市百环工贸有限公司</t>
    <phoneticPr fontId="1" type="noConversion"/>
  </si>
  <si>
    <t>王同利</t>
    <phoneticPr fontId="1" type="noConversion"/>
  </si>
  <si>
    <t>XMF14-13</t>
  </si>
  <si>
    <t>XMF14-14</t>
  </si>
  <si>
    <t>XMF14-15</t>
  </si>
  <si>
    <t>XMF14-16</t>
  </si>
  <si>
    <t>XMF14-17</t>
  </si>
  <si>
    <t>XMF14-18</t>
  </si>
  <si>
    <t>XMF14-19</t>
  </si>
  <si>
    <t>XMF14-20</t>
  </si>
  <si>
    <t>XMF14-21</t>
  </si>
  <si>
    <t>XMF14-22</t>
  </si>
  <si>
    <t>XMF14-23</t>
  </si>
  <si>
    <t>XMF14-24</t>
  </si>
  <si>
    <t>XMF14-25</t>
  </si>
  <si>
    <t>XMF14-26</t>
  </si>
  <si>
    <t>XMF14-27</t>
  </si>
  <si>
    <t>XMF14-28</t>
  </si>
  <si>
    <t>XMF14-29</t>
  </si>
  <si>
    <t>援肯尼亚卡通都医院</t>
    <phoneticPr fontId="1" type="noConversion"/>
  </si>
  <si>
    <t>XMF14-12</t>
    <phoneticPr fontId="1" type="noConversion"/>
  </si>
  <si>
    <t>天津东疆港瞰海轩工程</t>
    <phoneticPr fontId="1" type="noConversion"/>
  </si>
  <si>
    <t>浙江宝业建设集团有限公司</t>
    <phoneticPr fontId="1" type="noConversion"/>
  </si>
  <si>
    <t>天津市</t>
    <phoneticPr fontId="1" type="noConversion"/>
  </si>
  <si>
    <t>王培俊</t>
    <phoneticPr fontId="1" type="noConversion"/>
  </si>
  <si>
    <t>北京玉林强钢化玻璃有限公司</t>
    <phoneticPr fontId="1" type="noConversion"/>
  </si>
  <si>
    <t>国家体育总局乒乓球馆</t>
    <phoneticPr fontId="1" type="noConversion"/>
  </si>
  <si>
    <t>北京建工集团有限责任公司</t>
    <phoneticPr fontId="1" type="noConversion"/>
  </si>
  <si>
    <t>韩魁</t>
    <phoneticPr fontId="1" type="noConversion"/>
  </si>
  <si>
    <t>北京嘉世弘商贸有限公司</t>
    <phoneticPr fontId="1" type="noConversion"/>
  </si>
  <si>
    <t>韩魁</t>
    <phoneticPr fontId="1" type="noConversion"/>
  </si>
  <si>
    <t>125391</t>
    <phoneticPr fontId="1" type="noConversion"/>
  </si>
  <si>
    <t>大兴</t>
    <phoneticPr fontId="1" type="noConversion"/>
  </si>
  <si>
    <t>双井宿舍楼工程</t>
    <phoneticPr fontId="1" type="noConversion"/>
  </si>
  <si>
    <t>柯秋惠</t>
    <phoneticPr fontId="1" type="noConversion"/>
  </si>
  <si>
    <t>中国国际贸易中心有限公司</t>
    <phoneticPr fontId="1" type="noConversion"/>
  </si>
  <si>
    <t>天津武清红星广场示范区</t>
    <phoneticPr fontId="1" type="noConversion"/>
  </si>
  <si>
    <t>天津市</t>
    <phoneticPr fontId="1" type="noConversion"/>
  </si>
  <si>
    <t>大兴旧宫中学改扩建项目</t>
    <phoneticPr fontId="1" type="noConversion"/>
  </si>
  <si>
    <t>孙磊</t>
    <phoneticPr fontId="1" type="noConversion"/>
  </si>
  <si>
    <t>北京红星日晟门窗厂</t>
    <phoneticPr fontId="1" type="noConversion"/>
  </si>
  <si>
    <t>0446168</t>
    <phoneticPr fontId="1" type="noConversion"/>
  </si>
  <si>
    <t>亦庄</t>
    <phoneticPr fontId="1" type="noConversion"/>
  </si>
  <si>
    <t>M5样板间外立面幕墙</t>
    <phoneticPr fontId="1" type="noConversion"/>
  </si>
  <si>
    <t>北京五居投资有限公司</t>
    <phoneticPr fontId="1" type="noConversion"/>
  </si>
  <si>
    <t>许谊</t>
    <phoneticPr fontId="1" type="noConversion"/>
  </si>
  <si>
    <t>北京闵铝鑫门窗有限公司</t>
    <phoneticPr fontId="1" type="noConversion"/>
  </si>
  <si>
    <t>0446165</t>
    <phoneticPr fontId="1" type="noConversion"/>
  </si>
  <si>
    <t>东北旺农场科研楼一号楼</t>
    <phoneticPr fontId="1" type="noConversion"/>
  </si>
  <si>
    <t>北京城建道桥建设集团有限公司</t>
    <phoneticPr fontId="1" type="noConversion"/>
  </si>
  <si>
    <t>61785部队二期经济适用房</t>
    <phoneticPr fontId="1" type="noConversion"/>
  </si>
  <si>
    <t>霍林宝</t>
    <phoneticPr fontId="1" type="noConversion"/>
  </si>
  <si>
    <t>北京中医药大学良乡校区东院</t>
    <phoneticPr fontId="1" type="noConversion"/>
  </si>
  <si>
    <t>倪勇</t>
    <phoneticPr fontId="1" type="noConversion"/>
  </si>
  <si>
    <t>上海昂亚装饰有限公司</t>
    <phoneticPr fontId="1" type="noConversion"/>
  </si>
  <si>
    <t>天津武清原乡郡项目示范区</t>
    <phoneticPr fontId="1" type="noConversion"/>
  </si>
  <si>
    <t>万兴综合楼工程</t>
    <phoneticPr fontId="1" type="noConversion"/>
  </si>
  <si>
    <t>靓景明居四期</t>
    <phoneticPr fontId="1" type="noConversion"/>
  </si>
  <si>
    <t>徐建军</t>
    <phoneticPr fontId="1" type="noConversion"/>
  </si>
  <si>
    <t>高碑店市嘉鑫靓景窗业有限公司</t>
    <phoneticPr fontId="1" type="noConversion"/>
  </si>
  <si>
    <t>李成军</t>
    <phoneticPr fontId="1" type="noConversion"/>
  </si>
  <si>
    <t>海淀清河二期B4区</t>
    <phoneticPr fontId="1" type="noConversion"/>
  </si>
  <si>
    <t>余斌</t>
    <phoneticPr fontId="1" type="noConversion"/>
  </si>
  <si>
    <t>6201工程</t>
    <phoneticPr fontId="1" type="noConversion"/>
  </si>
  <si>
    <t>中国人民解放军战略规划综合局</t>
    <phoneticPr fontId="1" type="noConversion"/>
  </si>
  <si>
    <t>21#住宅楼等18项</t>
    <phoneticPr fontId="1" type="noConversion"/>
  </si>
  <si>
    <t>李春光</t>
    <phoneticPr fontId="1" type="noConversion"/>
  </si>
  <si>
    <t>北京邦士富生物科技有限公司</t>
    <phoneticPr fontId="1" type="noConversion"/>
  </si>
  <si>
    <t>北京市十一学校改造工程</t>
    <phoneticPr fontId="1" type="noConversion"/>
  </si>
  <si>
    <t>王军</t>
    <phoneticPr fontId="1" type="noConversion"/>
  </si>
  <si>
    <t>北京军建凯达幕墙装饰有限公司</t>
    <phoneticPr fontId="1" type="noConversion"/>
  </si>
  <si>
    <t>秦存国</t>
    <phoneticPr fontId="1" type="noConversion"/>
  </si>
  <si>
    <t>总政机关东区34号楼断桥铝合金</t>
    <phoneticPr fontId="1" type="noConversion"/>
  </si>
  <si>
    <t>总政机关营建办公室</t>
    <phoneticPr fontId="1" type="noConversion"/>
  </si>
  <si>
    <t>李玉朝</t>
    <phoneticPr fontId="1" type="noConversion"/>
  </si>
  <si>
    <t>北京若愚装饰有限公司</t>
    <phoneticPr fontId="1" type="noConversion"/>
  </si>
  <si>
    <t>杨书芳</t>
    <phoneticPr fontId="1" type="noConversion"/>
  </si>
  <si>
    <t>李玉斌</t>
    <phoneticPr fontId="1" type="noConversion"/>
  </si>
  <si>
    <t>XMF13-04</t>
    <phoneticPr fontId="1" type="noConversion"/>
  </si>
  <si>
    <t>61886部队食堂及文体活动用房</t>
    <phoneticPr fontId="1" type="noConversion"/>
  </si>
  <si>
    <t>中国人名解放军61886部队后勤部</t>
    <phoneticPr fontId="1" type="noConversion"/>
  </si>
  <si>
    <t>霍林宝</t>
    <phoneticPr fontId="1" type="noConversion"/>
  </si>
  <si>
    <t>中国人民解放军61886部队后勤部</t>
    <phoneticPr fontId="1" type="noConversion"/>
  </si>
  <si>
    <t>0007312</t>
    <phoneticPr fontId="1" type="noConversion"/>
  </si>
  <si>
    <t>完工</t>
    <phoneticPr fontId="1" type="noConversion"/>
  </si>
  <si>
    <t>平谷金海湖小镇定向安置房</t>
    <phoneticPr fontId="1" type="noConversion"/>
  </si>
  <si>
    <t>首创嘉铭新城镇投资发展有限公司</t>
    <phoneticPr fontId="1" type="noConversion"/>
  </si>
  <si>
    <t>王娜</t>
    <phoneticPr fontId="1" type="noConversion"/>
  </si>
  <si>
    <t>0007306</t>
    <phoneticPr fontId="1" type="noConversion"/>
  </si>
  <si>
    <t>广安门铁路住宅小区工程</t>
    <phoneticPr fontId="1" type="noConversion"/>
  </si>
  <si>
    <t>中铁建工集团有限公司</t>
    <phoneticPr fontId="1" type="noConversion"/>
  </si>
  <si>
    <t>马泽永</t>
    <phoneticPr fontId="1" type="noConversion"/>
  </si>
  <si>
    <t>0027651</t>
    <phoneticPr fontId="1" type="noConversion"/>
  </si>
  <si>
    <t>国隆府综合楼玻璃幕墙工程</t>
    <phoneticPr fontId="1" type="noConversion"/>
  </si>
  <si>
    <t>河北国隆房地产开发有限公司</t>
    <phoneticPr fontId="1" type="noConversion"/>
  </si>
  <si>
    <t>河北省</t>
    <phoneticPr fontId="1" type="noConversion"/>
  </si>
  <si>
    <t>王胜来</t>
    <phoneticPr fontId="1" type="noConversion"/>
  </si>
  <si>
    <t>廊坊祖寺千首门窗公司</t>
    <phoneticPr fontId="1" type="noConversion"/>
  </si>
  <si>
    <t>异地交税</t>
    <phoneticPr fontId="1" type="noConversion"/>
  </si>
  <si>
    <t>9061363</t>
    <phoneticPr fontId="1" type="noConversion"/>
  </si>
  <si>
    <t>4#生物研发楼等三项</t>
    <phoneticPr fontId="1" type="noConversion"/>
  </si>
  <si>
    <t>北京中关村生命科学园发展有限责任公司</t>
    <phoneticPr fontId="1" type="noConversion"/>
  </si>
  <si>
    <t>0027654</t>
    <phoneticPr fontId="1" type="noConversion"/>
  </si>
  <si>
    <t>广安门铁路住宅小区B段</t>
    <phoneticPr fontId="1" type="noConversion"/>
  </si>
  <si>
    <t>中铁电气化局集团北京建筑工程有限公司广安门项目</t>
    <phoneticPr fontId="1" type="noConversion"/>
  </si>
  <si>
    <t>0027652</t>
    <phoneticPr fontId="1" type="noConversion"/>
  </si>
  <si>
    <t>广安门铁路住宅小区A段</t>
    <phoneticPr fontId="1" type="noConversion"/>
  </si>
  <si>
    <t>中扶建设有限责任公司</t>
    <phoneticPr fontId="1" type="noConversion"/>
  </si>
  <si>
    <t>0027653</t>
    <phoneticPr fontId="1" type="noConversion"/>
  </si>
  <si>
    <t>亦庄</t>
    <phoneticPr fontId="1" type="noConversion"/>
  </si>
  <si>
    <t>来广营B2地块项目</t>
    <phoneticPr fontId="1" type="noConversion"/>
  </si>
  <si>
    <t>北京方兴融创房地产开发有限公司</t>
    <phoneticPr fontId="1" type="noConversion"/>
  </si>
  <si>
    <t>北京市</t>
    <phoneticPr fontId="1" type="noConversion"/>
  </si>
  <si>
    <t>姚志刚</t>
    <phoneticPr fontId="1" type="noConversion"/>
  </si>
  <si>
    <t>中盛泰和（北京）进出口有限公司</t>
    <phoneticPr fontId="1" type="noConversion"/>
  </si>
  <si>
    <t>否</t>
    <phoneticPr fontId="1" type="noConversion"/>
  </si>
  <si>
    <t>孙辉</t>
    <phoneticPr fontId="1" type="noConversion"/>
  </si>
  <si>
    <t>0027643</t>
    <phoneticPr fontId="1" type="noConversion"/>
  </si>
  <si>
    <t>管庄</t>
    <phoneticPr fontId="1" type="noConversion"/>
  </si>
  <si>
    <t>新华联雅园一期工程</t>
    <phoneticPr fontId="1" type="noConversion"/>
  </si>
  <si>
    <t>内蒙古新华联置业有限公司</t>
    <phoneticPr fontId="1" type="noConversion"/>
  </si>
  <si>
    <t>内蒙古</t>
    <phoneticPr fontId="1" type="noConversion"/>
  </si>
  <si>
    <t>金生文</t>
    <phoneticPr fontId="1" type="noConversion"/>
  </si>
  <si>
    <t>北京长风幕墙装饰有限公司</t>
    <phoneticPr fontId="1" type="noConversion"/>
  </si>
  <si>
    <t>李猛</t>
    <phoneticPr fontId="1" type="noConversion"/>
  </si>
  <si>
    <t>异地交税</t>
    <phoneticPr fontId="1" type="noConversion"/>
  </si>
  <si>
    <t>0027646</t>
    <phoneticPr fontId="1" type="noConversion"/>
  </si>
  <si>
    <t>亦庄</t>
    <phoneticPr fontId="1" type="noConversion"/>
  </si>
  <si>
    <t>北京国际文化贸易企业集散中心</t>
    <phoneticPr fontId="1" type="noConversion"/>
  </si>
  <si>
    <t>北京歌华美创空港置业有限公司</t>
    <phoneticPr fontId="1" type="noConversion"/>
  </si>
  <si>
    <t>北京市</t>
    <phoneticPr fontId="1" type="noConversion"/>
  </si>
  <si>
    <t>刘乃适</t>
    <phoneticPr fontId="1" type="noConversion"/>
  </si>
  <si>
    <t>北京中适广发智能门有限公司</t>
    <phoneticPr fontId="1" type="noConversion"/>
  </si>
  <si>
    <t>否</t>
    <phoneticPr fontId="1" type="noConversion"/>
  </si>
  <si>
    <t>0026991</t>
    <phoneticPr fontId="1" type="noConversion"/>
  </si>
  <si>
    <t>管庄</t>
    <phoneticPr fontId="1" type="noConversion"/>
  </si>
  <si>
    <t>京昌高科技信息产业园3#厂房</t>
    <phoneticPr fontId="1" type="noConversion"/>
  </si>
  <si>
    <t>北京市昌平一建建筑有限责任公司</t>
    <phoneticPr fontId="1" type="noConversion"/>
  </si>
  <si>
    <t>余斌</t>
    <phoneticPr fontId="1" type="noConversion"/>
  </si>
  <si>
    <t>0026999</t>
    <phoneticPr fontId="1" type="noConversion"/>
  </si>
  <si>
    <t>61599部队清河经济适用住房工程</t>
    <phoneticPr fontId="1" type="noConversion"/>
  </si>
  <si>
    <t>中建交通建设集团有限公司</t>
    <phoneticPr fontId="1" type="noConversion"/>
  </si>
  <si>
    <t>吴荣</t>
    <phoneticPr fontId="1" type="noConversion"/>
  </si>
  <si>
    <t>北京佳盛杰瑞商贸有限公司</t>
    <phoneticPr fontId="1" type="noConversion"/>
  </si>
  <si>
    <t>季福成</t>
    <phoneticPr fontId="1" type="noConversion"/>
  </si>
  <si>
    <t>0027658</t>
    <phoneticPr fontId="1" type="noConversion"/>
  </si>
  <si>
    <t>解放军总医院研究大楼改造</t>
    <phoneticPr fontId="1" type="noConversion"/>
  </si>
  <si>
    <t>中国人民解放军总医院第一附属医院</t>
    <phoneticPr fontId="1" type="noConversion"/>
  </si>
  <si>
    <t>付仁福</t>
    <phoneticPr fontId="1" type="noConversion"/>
  </si>
  <si>
    <t>北京富恒兴达装饰工程有限公司</t>
    <phoneticPr fontId="1" type="noConversion"/>
  </si>
  <si>
    <t>0027659</t>
    <phoneticPr fontId="1" type="noConversion"/>
  </si>
  <si>
    <t>XMF13-18</t>
  </si>
  <si>
    <t>华北运转中心项目仓储物流及附属设施</t>
    <phoneticPr fontId="1" type="noConversion"/>
  </si>
  <si>
    <t>北京京都圆通速递有限公司</t>
    <phoneticPr fontId="1" type="noConversion"/>
  </si>
  <si>
    <t>王治国</t>
    <phoneticPr fontId="1" type="noConversion"/>
  </si>
  <si>
    <t>北京和平银泰装饰有限公司</t>
    <phoneticPr fontId="1" type="noConversion"/>
  </si>
  <si>
    <t>王松琴</t>
    <phoneticPr fontId="1" type="noConversion"/>
  </si>
  <si>
    <t>0026984</t>
    <phoneticPr fontId="1" type="noConversion"/>
  </si>
  <si>
    <t>完工</t>
    <phoneticPr fontId="1" type="noConversion"/>
  </si>
  <si>
    <t>XMF13-19</t>
  </si>
  <si>
    <t>XMF13-20</t>
  </si>
  <si>
    <t>XMF13-21</t>
  </si>
  <si>
    <t>XMF13-22</t>
  </si>
  <si>
    <t>XMF13-23</t>
  </si>
  <si>
    <t>西郊机场西区12#住宅楼工程</t>
    <phoneticPr fontId="1" type="noConversion"/>
  </si>
  <si>
    <t>空军第一建筑安装工程总队</t>
    <phoneticPr fontId="1" type="noConversion"/>
  </si>
  <si>
    <t>赵长亮</t>
    <phoneticPr fontId="1" type="noConversion"/>
  </si>
  <si>
    <t>北京雄博兴业装饰设计有限公司</t>
    <phoneticPr fontId="1" type="noConversion"/>
  </si>
  <si>
    <t>李国兵</t>
    <phoneticPr fontId="1" type="noConversion"/>
  </si>
  <si>
    <t>0026982</t>
    <phoneticPr fontId="1" type="noConversion"/>
  </si>
  <si>
    <t>厦门高崎国际机场T4航站楼</t>
    <phoneticPr fontId="1" type="noConversion"/>
  </si>
  <si>
    <t>森特士兴集团股份有限公司</t>
    <phoneticPr fontId="1" type="noConversion"/>
  </si>
  <si>
    <t>福建厦门</t>
    <phoneticPr fontId="1" type="noConversion"/>
  </si>
  <si>
    <t>杨如林</t>
    <phoneticPr fontId="1" type="noConversion"/>
  </si>
  <si>
    <t>北京和平芙蓉商贸有限公司</t>
    <phoneticPr fontId="1" type="noConversion"/>
  </si>
  <si>
    <t>董宴春</t>
    <phoneticPr fontId="1" type="noConversion"/>
  </si>
  <si>
    <t>0007313</t>
    <phoneticPr fontId="1" type="noConversion"/>
  </si>
  <si>
    <t>西郊机场西区10#住宅楼工程</t>
    <phoneticPr fontId="1" type="noConversion"/>
  </si>
  <si>
    <t>95959部队</t>
    <phoneticPr fontId="1" type="noConversion"/>
  </si>
  <si>
    <t>0007303</t>
    <phoneticPr fontId="1" type="noConversion"/>
  </si>
  <si>
    <t>京顺</t>
    <phoneticPr fontId="1" type="noConversion"/>
  </si>
  <si>
    <t>红星国际广场3#地地块</t>
    <phoneticPr fontId="1" type="noConversion"/>
  </si>
  <si>
    <t>天津市</t>
    <phoneticPr fontId="1" type="noConversion"/>
  </si>
  <si>
    <t>衙门口居住公建A1地块</t>
    <phoneticPr fontId="1" type="noConversion"/>
  </si>
  <si>
    <t>北京天石基业房地产开发有限公司</t>
    <phoneticPr fontId="1" type="noConversion"/>
  </si>
  <si>
    <t>李智勇</t>
    <phoneticPr fontId="1" type="noConversion"/>
  </si>
  <si>
    <t>0026998</t>
    <phoneticPr fontId="1" type="noConversion"/>
  </si>
  <si>
    <t>XMF13-24</t>
  </si>
  <si>
    <t>XMF13-25</t>
  </si>
  <si>
    <t>朝阳区十八里店周庄三期</t>
    <phoneticPr fontId="1" type="noConversion"/>
  </si>
  <si>
    <t>北京市朝阳田华建筑集团公司/北京大洋房地产开发有限够告诉你</t>
    <phoneticPr fontId="1" type="noConversion"/>
  </si>
  <si>
    <t>北京市</t>
    <phoneticPr fontId="1" type="noConversion"/>
  </si>
  <si>
    <t>柯善波</t>
    <phoneticPr fontId="1" type="noConversion"/>
  </si>
  <si>
    <t>北京福宏杰幕墙门窗技术有限公司</t>
    <phoneticPr fontId="1" type="noConversion"/>
  </si>
  <si>
    <t>否</t>
    <phoneticPr fontId="1" type="noConversion"/>
  </si>
  <si>
    <t>0007305</t>
    <phoneticPr fontId="1" type="noConversion"/>
  </si>
  <si>
    <t>正常进行</t>
    <phoneticPr fontId="1" type="noConversion"/>
  </si>
  <si>
    <t>北京市平谷检察院办案和专业技术房</t>
    <phoneticPr fontId="1" type="noConversion"/>
  </si>
  <si>
    <t>北京诚通新新建设有限公司</t>
    <phoneticPr fontId="1" type="noConversion"/>
  </si>
  <si>
    <t>孙超</t>
    <phoneticPr fontId="1" type="noConversion"/>
  </si>
  <si>
    <t>0061064</t>
    <phoneticPr fontId="1" type="noConversion"/>
  </si>
  <si>
    <t>三河</t>
    <phoneticPr fontId="1" type="noConversion"/>
  </si>
  <si>
    <t>XMF13-26</t>
  </si>
  <si>
    <t>铁科院永丰基地扩建项目</t>
    <phoneticPr fontId="1" type="noConversion"/>
  </si>
  <si>
    <t>中铁电气化局集团北京建筑工程有限公司</t>
    <phoneticPr fontId="1" type="noConversion"/>
  </si>
  <si>
    <t>徐水县鸿飞橡塑制品有限公司</t>
    <phoneticPr fontId="1" type="noConversion"/>
  </si>
  <si>
    <t>何金才</t>
    <phoneticPr fontId="1" type="noConversion"/>
  </si>
  <si>
    <t>周俊才</t>
    <phoneticPr fontId="1" type="noConversion"/>
  </si>
  <si>
    <t>0007318</t>
    <phoneticPr fontId="1" type="noConversion"/>
  </si>
  <si>
    <t>XMF13-52</t>
    <phoneticPr fontId="1" type="noConversion"/>
  </si>
  <si>
    <t>橡树湾售楼样板间</t>
    <phoneticPr fontId="1" type="noConversion"/>
  </si>
  <si>
    <t>北京优高雅装饰工程有限公司</t>
    <phoneticPr fontId="1" type="noConversion"/>
  </si>
  <si>
    <t>0245339</t>
    <phoneticPr fontId="1" type="noConversion"/>
  </si>
  <si>
    <t>完工</t>
    <phoneticPr fontId="1" type="noConversion"/>
  </si>
  <si>
    <t>管庄</t>
    <phoneticPr fontId="1" type="noConversion"/>
  </si>
  <si>
    <t>XMF13-28</t>
  </si>
  <si>
    <t>XMF13-29</t>
  </si>
  <si>
    <t>XMF13-30</t>
  </si>
  <si>
    <t>利生大厦综合办公楼项目外立面</t>
    <phoneticPr fontId="1" type="noConversion"/>
  </si>
  <si>
    <t>0061074</t>
    <phoneticPr fontId="1" type="noConversion"/>
  </si>
  <si>
    <t>航天长征睿特科技天津生产基地</t>
    <phoneticPr fontId="1" type="noConversion"/>
  </si>
  <si>
    <t>北京航天万源建筑工程有限责任公司</t>
    <phoneticPr fontId="1" type="noConversion"/>
  </si>
  <si>
    <t>天津市</t>
    <phoneticPr fontId="1" type="noConversion"/>
  </si>
  <si>
    <t>李玉朝</t>
    <phoneticPr fontId="1" type="noConversion"/>
  </si>
  <si>
    <t>96819部队工程</t>
    <phoneticPr fontId="1" type="noConversion"/>
  </si>
  <si>
    <t>0061065</t>
    <phoneticPr fontId="1" type="noConversion"/>
  </si>
  <si>
    <t>XMF13-34</t>
  </si>
  <si>
    <t>XMF13-35</t>
  </si>
  <si>
    <t>XMF13-36</t>
  </si>
  <si>
    <t>XMF13-37</t>
  </si>
  <si>
    <t>XMF13-38</t>
  </si>
  <si>
    <t>项目部</t>
    <phoneticPr fontId="1" type="noConversion"/>
  </si>
  <si>
    <t>红星国际广场3#地A1楼铝合金门窗</t>
    <phoneticPr fontId="1" type="noConversion"/>
  </si>
  <si>
    <t>温泉公寓B型公寓一期外立面</t>
    <phoneticPr fontId="1" type="noConversion"/>
  </si>
  <si>
    <t>北京春晖园文化娱乐有限责任公司</t>
    <phoneticPr fontId="1" type="noConversion"/>
  </si>
  <si>
    <t>纪树军</t>
    <phoneticPr fontId="1" type="noConversion"/>
  </si>
  <si>
    <t xml:space="preserve">北京中建润泽建筑工程有限公司 </t>
    <phoneticPr fontId="1" type="noConversion"/>
  </si>
  <si>
    <t>李邦海</t>
    <phoneticPr fontId="1" type="noConversion"/>
  </si>
  <si>
    <t>密云县穆家岭希望一期3#地</t>
    <phoneticPr fontId="1" type="noConversion"/>
  </si>
  <si>
    <t>北京华润希望发展有限公司</t>
    <phoneticPr fontId="1" type="noConversion"/>
  </si>
  <si>
    <t>0064207</t>
    <phoneticPr fontId="1" type="noConversion"/>
  </si>
  <si>
    <t>0061067</t>
    <phoneticPr fontId="1" type="noConversion"/>
  </si>
  <si>
    <t>管庄</t>
    <phoneticPr fontId="1" type="noConversion"/>
  </si>
  <si>
    <t>XMF11-48</t>
    <phoneticPr fontId="1" type="noConversion"/>
  </si>
  <si>
    <t>生物技术研发中心二期</t>
    <phoneticPr fontId="1" type="noConversion"/>
  </si>
  <si>
    <t>北京中关村生命科学院发展有限责任公司</t>
    <phoneticPr fontId="1" type="noConversion"/>
  </si>
  <si>
    <t>北京市</t>
    <phoneticPr fontId="1" type="noConversion"/>
  </si>
  <si>
    <t>0139123</t>
    <phoneticPr fontId="1" type="noConversion"/>
  </si>
  <si>
    <t>完工</t>
    <phoneticPr fontId="1" type="noConversion"/>
  </si>
  <si>
    <t>XMF12-46</t>
    <phoneticPr fontId="1" type="noConversion"/>
  </si>
  <si>
    <t>空军装备研究院防控所</t>
    <phoneticPr fontId="1" type="noConversion"/>
  </si>
  <si>
    <t>北京朝林建设集团有限公司第四分公司</t>
    <phoneticPr fontId="1" type="noConversion"/>
  </si>
  <si>
    <t>钱金花</t>
    <phoneticPr fontId="1" type="noConversion"/>
  </si>
  <si>
    <t>北京笠融建筑工程有限公司</t>
    <phoneticPr fontId="1" type="noConversion"/>
  </si>
  <si>
    <t>否</t>
    <phoneticPr fontId="1" type="noConversion"/>
  </si>
  <si>
    <t>3088688</t>
    <phoneticPr fontId="1" type="noConversion"/>
  </si>
  <si>
    <t>管庄</t>
    <phoneticPr fontId="1" type="noConversion"/>
  </si>
  <si>
    <t>XMF12-47</t>
  </si>
  <si>
    <t>D型公寓D4一单元铝合金窗</t>
    <phoneticPr fontId="1" type="noConversion"/>
  </si>
  <si>
    <t>北京春晖园文化娱乐有限责任公司</t>
    <phoneticPr fontId="1" type="noConversion"/>
  </si>
  <si>
    <t>3166142</t>
    <phoneticPr fontId="1" type="noConversion"/>
  </si>
  <si>
    <t>XMF13-51</t>
    <phoneticPr fontId="1" type="noConversion"/>
  </si>
  <si>
    <t>大兴定向安置房（榆垡）</t>
    <phoneticPr fontId="1" type="noConversion"/>
  </si>
  <si>
    <t>北京万兴建筑集团有限公司</t>
    <phoneticPr fontId="1" type="noConversion"/>
  </si>
  <si>
    <t>孙磊</t>
    <phoneticPr fontId="1" type="noConversion"/>
  </si>
  <si>
    <t>北京红星日晟门窗厂</t>
    <phoneticPr fontId="1" type="noConversion"/>
  </si>
  <si>
    <t>李书玉</t>
    <phoneticPr fontId="1" type="noConversion"/>
  </si>
  <si>
    <t>0245328</t>
    <phoneticPr fontId="1" type="noConversion"/>
  </si>
  <si>
    <t>完工</t>
    <phoneticPr fontId="1" type="noConversion"/>
  </si>
  <si>
    <t>新宁波站改建工程</t>
    <phoneticPr fontId="1" type="noConversion"/>
  </si>
  <si>
    <t>中铁建设集团有限公司宁波铁路枢纽工程项目经理部</t>
    <phoneticPr fontId="1" type="noConversion"/>
  </si>
  <si>
    <t>浙江宁波</t>
    <phoneticPr fontId="1" type="noConversion"/>
  </si>
  <si>
    <t>0061070</t>
    <phoneticPr fontId="1" type="noConversion"/>
  </si>
  <si>
    <t>XMF12-05</t>
    <phoneticPr fontId="1" type="noConversion"/>
  </si>
  <si>
    <t>北京绿地密云国际花都项目</t>
    <phoneticPr fontId="1" type="noConversion"/>
  </si>
  <si>
    <t>北京绿地京宏置业有限公司</t>
    <phoneticPr fontId="1" type="noConversion"/>
  </si>
  <si>
    <t>北京市</t>
    <phoneticPr fontId="1" type="noConversion"/>
  </si>
  <si>
    <t>李金光</t>
    <phoneticPr fontId="1" type="noConversion"/>
  </si>
  <si>
    <t>否</t>
    <phoneticPr fontId="1" type="noConversion"/>
  </si>
  <si>
    <t>0091571</t>
    <phoneticPr fontId="1" type="noConversion"/>
  </si>
  <si>
    <t>完工</t>
    <phoneticPr fontId="1" type="noConversion"/>
  </si>
  <si>
    <t>管庄、昌平</t>
    <phoneticPr fontId="1" type="noConversion"/>
  </si>
  <si>
    <t>XMF10-11</t>
    <phoneticPr fontId="1" type="noConversion"/>
  </si>
  <si>
    <t>商品房A01楼等6项、商品房A04楼等5项</t>
    <phoneticPr fontId="1" type="noConversion"/>
  </si>
  <si>
    <t>北京日月房地产开发有限公司</t>
    <phoneticPr fontId="1" type="noConversion"/>
  </si>
  <si>
    <t>魏增坡</t>
    <phoneticPr fontId="1" type="noConversion"/>
  </si>
  <si>
    <t>北京和平泛华装饰有限公司</t>
    <phoneticPr fontId="1" type="noConversion"/>
  </si>
  <si>
    <t>亦庄</t>
    <phoneticPr fontId="1" type="noConversion"/>
  </si>
  <si>
    <t>国网智能电网研究院倒班宿舍楼</t>
    <phoneticPr fontId="1" type="noConversion"/>
  </si>
  <si>
    <t>中铁建设集团有限公司</t>
    <phoneticPr fontId="1" type="noConversion"/>
  </si>
  <si>
    <t>0061073</t>
    <phoneticPr fontId="1" type="noConversion"/>
  </si>
  <si>
    <t>XMF13-40</t>
  </si>
  <si>
    <t>望海楼南侧</t>
    <phoneticPr fontId="1" type="noConversion"/>
  </si>
  <si>
    <t>北京德海鸿业投资有限公司</t>
    <phoneticPr fontId="1" type="noConversion"/>
  </si>
  <si>
    <t>0061075</t>
    <phoneticPr fontId="1" type="noConversion"/>
  </si>
  <si>
    <t>XMF13-41</t>
  </si>
  <si>
    <t>XMF13-42</t>
  </si>
  <si>
    <t>XMF13-43</t>
  </si>
  <si>
    <t>欧逸丽庭二期北标段项目</t>
    <phoneticPr fontId="1" type="noConversion"/>
  </si>
  <si>
    <t>三河成功房地产开发有限公司/中建二局第一建筑工程有限公司</t>
    <phoneticPr fontId="1" type="noConversion"/>
  </si>
  <si>
    <t>河北燕郊</t>
    <phoneticPr fontId="1" type="noConversion"/>
  </si>
  <si>
    <t>王军</t>
    <phoneticPr fontId="1" type="noConversion"/>
  </si>
  <si>
    <t>异地交税</t>
    <phoneticPr fontId="1" type="noConversion"/>
  </si>
  <si>
    <t>北京军建凯达幕墙装饰有限公司</t>
    <phoneticPr fontId="1" type="noConversion"/>
  </si>
  <si>
    <t>9061373</t>
    <phoneticPr fontId="1" type="noConversion"/>
  </si>
  <si>
    <t>成功（中国）大广场休闲娱乐中心</t>
    <phoneticPr fontId="1" type="noConversion"/>
  </si>
  <si>
    <t>成功（中国）大广场有限公司/中国建筑第二工程局有限公司</t>
    <phoneticPr fontId="1" type="noConversion"/>
  </si>
  <si>
    <t>9061374</t>
    <phoneticPr fontId="1" type="noConversion"/>
  </si>
  <si>
    <t>管庄</t>
    <phoneticPr fontId="1" type="noConversion"/>
  </si>
  <si>
    <t>华远大厦维修项目</t>
    <phoneticPr fontId="1" type="noConversion"/>
  </si>
  <si>
    <t>北京市华远集团有限公司</t>
    <phoneticPr fontId="1" type="noConversion"/>
  </si>
  <si>
    <t>北京市</t>
    <phoneticPr fontId="1" type="noConversion"/>
  </si>
  <si>
    <t>金生文</t>
    <phoneticPr fontId="1" type="noConversion"/>
  </si>
  <si>
    <t>0061077</t>
    <phoneticPr fontId="1" type="noConversion"/>
  </si>
  <si>
    <t>XMF13-46</t>
  </si>
  <si>
    <t>A1厂房等8项-B1研发楼</t>
    <phoneticPr fontId="1" type="noConversion"/>
  </si>
  <si>
    <t>北京港荣食品有限公司</t>
    <phoneticPr fontId="1" type="noConversion"/>
  </si>
  <si>
    <t>孙超</t>
    <phoneticPr fontId="1" type="noConversion"/>
  </si>
  <si>
    <t>1251028</t>
    <phoneticPr fontId="1" type="noConversion"/>
  </si>
  <si>
    <t>三河</t>
    <phoneticPr fontId="1" type="noConversion"/>
  </si>
  <si>
    <t>XMF13-50</t>
  </si>
  <si>
    <t>金宝花园</t>
    <phoneticPr fontId="1" type="noConversion"/>
  </si>
  <si>
    <t>北京金宝房地产开发有限公司</t>
    <phoneticPr fontId="1" type="noConversion"/>
  </si>
  <si>
    <t>韩魁</t>
    <phoneticPr fontId="1" type="noConversion"/>
  </si>
  <si>
    <t>0245330</t>
    <phoneticPr fontId="1" type="noConversion"/>
  </si>
  <si>
    <t>大兴</t>
    <phoneticPr fontId="1" type="noConversion"/>
  </si>
  <si>
    <t>XMF13-53</t>
  </si>
  <si>
    <t>XMF13-54</t>
  </si>
  <si>
    <t>XMF13-55</t>
  </si>
  <si>
    <t>XMF13-56</t>
  </si>
  <si>
    <t>肽谷生命科学园1-2期</t>
    <phoneticPr fontId="1" type="noConversion"/>
  </si>
  <si>
    <t>固安肽谷药业科技有限公司</t>
    <phoneticPr fontId="1" type="noConversion"/>
  </si>
  <si>
    <t>河北固安</t>
    <phoneticPr fontId="1" type="noConversion"/>
  </si>
  <si>
    <t>9061371</t>
    <phoneticPr fontId="1" type="noConversion"/>
  </si>
  <si>
    <t>门头沟项目B区铝合金门窗及百叶</t>
    <phoneticPr fontId="1" type="noConversion"/>
  </si>
  <si>
    <t>华润置地发展（北京）有限公司/中天建设集团有限公司</t>
    <phoneticPr fontId="1" type="noConversion"/>
  </si>
  <si>
    <t>0446167</t>
    <phoneticPr fontId="1" type="noConversion"/>
  </si>
  <si>
    <t>正常进行</t>
    <phoneticPr fontId="1" type="noConversion"/>
  </si>
  <si>
    <t>大厂</t>
    <phoneticPr fontId="1" type="noConversion"/>
  </si>
  <si>
    <t>德州康博公馆一期一标段工程</t>
    <phoneticPr fontId="1" type="noConversion"/>
  </si>
  <si>
    <t>青建集团股份公司</t>
    <phoneticPr fontId="1" type="noConversion"/>
  </si>
  <si>
    <t>0245321</t>
    <phoneticPr fontId="1" type="noConversion"/>
  </si>
  <si>
    <t>昌平</t>
    <phoneticPr fontId="1" type="noConversion"/>
  </si>
  <si>
    <t>房山长沟镇改造一期</t>
    <phoneticPr fontId="1" type="noConversion"/>
  </si>
  <si>
    <t>0245327</t>
    <phoneticPr fontId="1" type="noConversion"/>
  </si>
  <si>
    <t>1251031</t>
    <phoneticPr fontId="1" type="noConversion"/>
  </si>
  <si>
    <t>亦庄</t>
    <phoneticPr fontId="1" type="noConversion"/>
  </si>
  <si>
    <t>XMF13-58</t>
  </si>
  <si>
    <t>XMF13-59</t>
  </si>
  <si>
    <t>XMF13-60</t>
  </si>
  <si>
    <t>华茂嘉园住宅小区隔热</t>
    <phoneticPr fontId="1" type="noConversion"/>
  </si>
  <si>
    <t>江苏金月房地产集团有限公司</t>
    <phoneticPr fontId="1" type="noConversion"/>
  </si>
  <si>
    <t>5#生物研发楼外幕墙工程</t>
    <phoneticPr fontId="1" type="noConversion"/>
  </si>
  <si>
    <t>北京中关村生命科学院园发展有限责任公司</t>
    <phoneticPr fontId="1" type="noConversion"/>
  </si>
  <si>
    <t>否</t>
    <phoneticPr fontId="1" type="noConversion"/>
  </si>
  <si>
    <t>0446161</t>
    <phoneticPr fontId="1" type="noConversion"/>
  </si>
  <si>
    <t>完工</t>
    <phoneticPr fontId="1" type="noConversion"/>
  </si>
  <si>
    <t>总政机关黄寺礼堂</t>
    <phoneticPr fontId="1" type="noConversion"/>
  </si>
  <si>
    <t>中国人民解放军总政治部机关营建办公室</t>
    <phoneticPr fontId="1" type="noConversion"/>
  </si>
  <si>
    <t>李玉朝</t>
    <phoneticPr fontId="1" type="noConversion"/>
  </si>
  <si>
    <t>0245332</t>
    <phoneticPr fontId="1" type="noConversion"/>
  </si>
  <si>
    <t>XMF12-01</t>
    <phoneticPr fontId="1" type="noConversion"/>
  </si>
  <si>
    <t>XMF12-02</t>
  </si>
  <si>
    <t>XMF12-03</t>
  </si>
  <si>
    <t>XMF12-04</t>
  </si>
  <si>
    <t>北京邮件综合处理中心</t>
    <phoneticPr fontId="1" type="noConversion"/>
  </si>
  <si>
    <t>中建二局第三建筑工程有限公司</t>
    <phoneticPr fontId="1" type="noConversion"/>
  </si>
  <si>
    <t>9110694</t>
    <phoneticPr fontId="1" type="noConversion"/>
  </si>
  <si>
    <t>门头沟新城冯村（一期）居住项目A西区</t>
    <phoneticPr fontId="1" type="noConversion"/>
  </si>
  <si>
    <t>华润置地发展（北京）有限公司</t>
    <phoneticPr fontId="1" type="noConversion"/>
  </si>
  <si>
    <t>0088619</t>
    <phoneticPr fontId="1" type="noConversion"/>
  </si>
  <si>
    <t>空军9011工程空地勤综合楼</t>
    <phoneticPr fontId="1" type="noConversion"/>
  </si>
  <si>
    <t>北京城建十六建筑工程有限责任公司</t>
    <phoneticPr fontId="1" type="noConversion"/>
  </si>
  <si>
    <t>0097964</t>
    <phoneticPr fontId="1" type="noConversion"/>
  </si>
  <si>
    <t>正和平</t>
    <phoneticPr fontId="1" type="noConversion"/>
  </si>
  <si>
    <t>春晖园1#综合楼一段等4项工程</t>
    <phoneticPr fontId="1" type="noConversion"/>
  </si>
  <si>
    <t>北京春晖园投资有限责任公司</t>
    <phoneticPr fontId="1" type="noConversion"/>
  </si>
  <si>
    <t>0097921</t>
    <phoneticPr fontId="1" type="noConversion"/>
  </si>
  <si>
    <t>XMF12-07</t>
  </si>
  <si>
    <t>XMF12-08</t>
  </si>
  <si>
    <t>XMF12-09</t>
  </si>
  <si>
    <t>XMF12-11</t>
  </si>
  <si>
    <t>XMF12-12</t>
  </si>
  <si>
    <t>XMF12-13</t>
  </si>
  <si>
    <t>中国原子能科学研究院3号楼</t>
    <phoneticPr fontId="1" type="noConversion"/>
  </si>
  <si>
    <t>北京城乡建设集团有限责任公司</t>
    <phoneticPr fontId="1" type="noConversion"/>
  </si>
  <si>
    <t>曲刚</t>
    <phoneticPr fontId="1" type="noConversion"/>
  </si>
  <si>
    <t>0097929</t>
    <phoneticPr fontId="1" type="noConversion"/>
  </si>
  <si>
    <t>六郎庄拆迁安置房一标段</t>
    <phoneticPr fontId="1" type="noConversion"/>
  </si>
  <si>
    <t>中国新兴建设开发总公司</t>
    <phoneticPr fontId="1" type="noConversion"/>
  </si>
  <si>
    <t>北京市</t>
    <phoneticPr fontId="1" type="noConversion"/>
  </si>
  <si>
    <t>付仁福</t>
    <phoneticPr fontId="1" type="noConversion"/>
  </si>
  <si>
    <t>5032993</t>
    <phoneticPr fontId="1" type="noConversion"/>
  </si>
  <si>
    <t>六郎庄拆迁安置房二标段</t>
    <phoneticPr fontId="1" type="noConversion"/>
  </si>
  <si>
    <t>中国中铁航空港建设集团有限公司北京第八分公司</t>
    <phoneticPr fontId="1" type="noConversion"/>
  </si>
  <si>
    <t>北京市</t>
    <phoneticPr fontId="1" type="noConversion"/>
  </si>
  <si>
    <t>5032982</t>
    <phoneticPr fontId="1" type="noConversion"/>
  </si>
  <si>
    <t>京西宾馆东楼群房改建工程</t>
    <phoneticPr fontId="1" type="noConversion"/>
  </si>
  <si>
    <t>上海建工七建集团有限公司</t>
    <phoneticPr fontId="1" type="noConversion"/>
  </si>
  <si>
    <t>马泽永</t>
    <phoneticPr fontId="1" type="noConversion"/>
  </si>
  <si>
    <t>0098166</t>
    <phoneticPr fontId="1" type="noConversion"/>
  </si>
  <si>
    <t>亦庄</t>
    <phoneticPr fontId="1" type="noConversion"/>
  </si>
  <si>
    <t>爱博精电生产楼等2项工程</t>
    <phoneticPr fontId="1" type="noConversion"/>
  </si>
  <si>
    <t>否</t>
    <phoneticPr fontId="1" type="noConversion"/>
  </si>
  <si>
    <t>三河</t>
    <phoneticPr fontId="1" type="noConversion"/>
  </si>
  <si>
    <t>环能院实验楼幕墙工程</t>
    <phoneticPr fontId="1" type="noConversion"/>
  </si>
  <si>
    <t>中国建筑技术集团有限公司</t>
    <phoneticPr fontId="1" type="noConversion"/>
  </si>
  <si>
    <t>0099400</t>
    <phoneticPr fontId="1" type="noConversion"/>
  </si>
  <si>
    <t>管庄</t>
    <phoneticPr fontId="1" type="noConversion"/>
  </si>
  <si>
    <t>XMF12-15</t>
  </si>
  <si>
    <t>XMF12-16</t>
  </si>
  <si>
    <t>XMF12-17</t>
  </si>
  <si>
    <t>XMF12-18</t>
  </si>
  <si>
    <t>XMF12-19</t>
  </si>
  <si>
    <t>XMF12-20</t>
  </si>
  <si>
    <t>XMF12-21</t>
  </si>
  <si>
    <t>XMF12-22</t>
  </si>
  <si>
    <t>XMF12-23</t>
  </si>
  <si>
    <t>XMF12-24</t>
  </si>
  <si>
    <t>XMF12-26</t>
  </si>
  <si>
    <t>XMF12-27</t>
  </si>
  <si>
    <t>XMF12-28</t>
  </si>
  <si>
    <t>XMF12-29</t>
  </si>
  <si>
    <t>XMF12-30</t>
  </si>
  <si>
    <t>XMF12-31</t>
  </si>
  <si>
    <t>XMF12-32</t>
  </si>
  <si>
    <t>XMF12-33</t>
  </si>
  <si>
    <t>XMF12-34</t>
  </si>
  <si>
    <t>XMF12-35</t>
  </si>
  <si>
    <t>XMF12-36</t>
  </si>
  <si>
    <t>大兴黄村地铁枣园路站居住项目</t>
    <phoneticPr fontId="1" type="noConversion"/>
  </si>
  <si>
    <t>北京城建建设工程有限公司</t>
    <phoneticPr fontId="1" type="noConversion"/>
  </si>
  <si>
    <t>季长友</t>
    <phoneticPr fontId="1" type="noConversion"/>
  </si>
  <si>
    <t>北京诚和信装饰装潢有限责任公司</t>
    <phoneticPr fontId="1" type="noConversion"/>
  </si>
  <si>
    <t>鲍云锋</t>
    <phoneticPr fontId="1" type="noConversion"/>
  </si>
  <si>
    <t>0099381</t>
    <phoneticPr fontId="1" type="noConversion"/>
  </si>
  <si>
    <t>完工</t>
    <phoneticPr fontId="1" type="noConversion"/>
  </si>
  <si>
    <t>大兴</t>
    <phoneticPr fontId="1" type="noConversion"/>
  </si>
  <si>
    <t>宇泰佳苑住宅楼</t>
    <phoneticPr fontId="1" type="noConversion"/>
  </si>
  <si>
    <t>河南益通置业有限公司</t>
    <phoneticPr fontId="1" type="noConversion"/>
  </si>
  <si>
    <t>河南郑州</t>
    <phoneticPr fontId="1" type="noConversion"/>
  </si>
  <si>
    <t>熊斌</t>
    <phoneticPr fontId="1" type="noConversion"/>
  </si>
  <si>
    <t>郭大龙</t>
    <phoneticPr fontId="1" type="noConversion"/>
  </si>
  <si>
    <t>0099396</t>
    <phoneticPr fontId="1" type="noConversion"/>
  </si>
  <si>
    <t>大兴黄村新城北区16号项目</t>
    <phoneticPr fontId="1" type="noConversion"/>
  </si>
  <si>
    <t>北京金地融侨房地产开发有限公司</t>
    <phoneticPr fontId="1" type="noConversion"/>
  </si>
  <si>
    <t>杨广</t>
    <phoneticPr fontId="1" type="noConversion"/>
  </si>
  <si>
    <t>北京龙辰塑钢门窗公司</t>
    <phoneticPr fontId="1" type="noConversion"/>
  </si>
  <si>
    <t>杨晓峰</t>
    <phoneticPr fontId="1" type="noConversion"/>
  </si>
  <si>
    <t>5032998</t>
    <phoneticPr fontId="1" type="noConversion"/>
  </si>
  <si>
    <t>密云县穆家岭镇华润希望小镇展示</t>
    <phoneticPr fontId="1" type="noConversion"/>
  </si>
  <si>
    <t>北京华润希望发展有限公司</t>
    <phoneticPr fontId="1" type="noConversion"/>
  </si>
  <si>
    <t>9110683</t>
    <phoneticPr fontId="1" type="noConversion"/>
  </si>
  <si>
    <t>京昌高科技信息产业园2#厂房</t>
    <phoneticPr fontId="1" type="noConversion"/>
  </si>
  <si>
    <t>北京市昌平一建建筑有限责任公司第二分公司</t>
    <phoneticPr fontId="1" type="noConversion"/>
  </si>
  <si>
    <t>9110684</t>
    <phoneticPr fontId="1" type="noConversion"/>
  </si>
  <si>
    <t>总参气象水文局经济适用住房工程</t>
    <phoneticPr fontId="1" type="noConversion"/>
  </si>
  <si>
    <t>吴荣</t>
    <phoneticPr fontId="1" type="noConversion"/>
  </si>
  <si>
    <t>0091576</t>
    <phoneticPr fontId="1" type="noConversion"/>
  </si>
  <si>
    <t>天津红星国际广场2#地酒店式公寓</t>
    <phoneticPr fontId="1" type="noConversion"/>
  </si>
  <si>
    <t>天津市</t>
    <phoneticPr fontId="1" type="noConversion"/>
  </si>
  <si>
    <t>闫禄章</t>
    <phoneticPr fontId="1" type="noConversion"/>
  </si>
  <si>
    <t>老城厢12号地块</t>
    <phoneticPr fontId="1" type="noConversion"/>
  </si>
  <si>
    <t>中建一局集团建设发展有限公司/天津中新名仕房地产开发有限公司</t>
    <phoneticPr fontId="1" type="noConversion"/>
  </si>
  <si>
    <t>丁有智</t>
    <phoneticPr fontId="1" type="noConversion"/>
  </si>
  <si>
    <t>沈阳市渤海保温门窗工程有限公司</t>
    <phoneticPr fontId="1" type="noConversion"/>
  </si>
  <si>
    <t>异地交税</t>
    <phoneticPr fontId="1" type="noConversion"/>
  </si>
  <si>
    <t>管庄</t>
    <phoneticPr fontId="1" type="noConversion"/>
  </si>
  <si>
    <t>现代农业生物研发平台工程</t>
    <phoneticPr fontId="1" type="noConversion"/>
  </si>
  <si>
    <t>中铁建设集团有限公司</t>
    <phoneticPr fontId="1" type="noConversion"/>
  </si>
  <si>
    <t>杨如林</t>
    <phoneticPr fontId="1" type="noConversion"/>
  </si>
  <si>
    <t>5032991</t>
    <phoneticPr fontId="1" type="noConversion"/>
  </si>
  <si>
    <t>厂房一等4项铝合金门窗工程</t>
    <phoneticPr fontId="1" type="noConversion"/>
  </si>
  <si>
    <t>格兰达投资管理（北京）有限公司</t>
    <phoneticPr fontId="1" type="noConversion"/>
  </si>
  <si>
    <t>孙超</t>
    <phoneticPr fontId="1" type="noConversion"/>
  </si>
  <si>
    <t>5033000</t>
    <phoneticPr fontId="1" type="noConversion"/>
  </si>
  <si>
    <t>XMF12-51</t>
  </si>
  <si>
    <t>XMF12-60</t>
  </si>
  <si>
    <t>岳各庄居住东区1#地128公建</t>
    <phoneticPr fontId="1" type="noConversion"/>
  </si>
  <si>
    <t>中铁建设集团有限公司</t>
    <phoneticPr fontId="1" type="noConversion"/>
  </si>
  <si>
    <t>北京市</t>
    <phoneticPr fontId="1" type="noConversion"/>
  </si>
  <si>
    <t>杨如林</t>
    <phoneticPr fontId="1" type="noConversion"/>
  </si>
  <si>
    <t>0019537</t>
    <phoneticPr fontId="1" type="noConversion"/>
  </si>
  <si>
    <t>完工</t>
    <phoneticPr fontId="1" type="noConversion"/>
  </si>
  <si>
    <t>总政318信息化业务楼</t>
    <phoneticPr fontId="1" type="noConversion"/>
  </si>
  <si>
    <t>李玉朝</t>
    <phoneticPr fontId="1" type="noConversion"/>
  </si>
  <si>
    <t>3088687</t>
    <phoneticPr fontId="1" type="noConversion"/>
  </si>
  <si>
    <t>昌平</t>
    <phoneticPr fontId="1" type="noConversion"/>
  </si>
  <si>
    <t>XMF10-51</t>
  </si>
  <si>
    <t>中国传媒大学图书馆工程</t>
    <phoneticPr fontId="1" type="noConversion"/>
  </si>
  <si>
    <t>北京市第三建筑工程有限公司</t>
    <phoneticPr fontId="1" type="noConversion"/>
  </si>
  <si>
    <t>李春光</t>
    <phoneticPr fontId="1" type="noConversion"/>
  </si>
  <si>
    <t>三河</t>
    <phoneticPr fontId="1" type="noConversion"/>
  </si>
  <si>
    <t>爱迪学校报告厅</t>
    <phoneticPr fontId="1" type="noConversion"/>
  </si>
  <si>
    <t>北京爱迪学校</t>
    <phoneticPr fontId="1" type="noConversion"/>
  </si>
  <si>
    <t>北京市</t>
    <phoneticPr fontId="1" type="noConversion"/>
  </si>
  <si>
    <t>5032989</t>
    <phoneticPr fontId="1" type="noConversion"/>
  </si>
  <si>
    <t>完工</t>
    <phoneticPr fontId="1" type="noConversion"/>
  </si>
  <si>
    <t>管庄</t>
    <phoneticPr fontId="1" type="noConversion"/>
  </si>
  <si>
    <t>中国劳动关系学院教学楼修缮工程</t>
    <phoneticPr fontId="1" type="noConversion"/>
  </si>
  <si>
    <t>中国劳动关系学院</t>
    <phoneticPr fontId="1" type="noConversion"/>
  </si>
  <si>
    <t>孙超</t>
    <phoneticPr fontId="1" type="noConversion"/>
  </si>
  <si>
    <t>0099942</t>
    <phoneticPr fontId="1" type="noConversion"/>
  </si>
  <si>
    <t>密云县穆家岭镇华润希望小镇乡村酒店</t>
    <phoneticPr fontId="1" type="noConversion"/>
  </si>
  <si>
    <t>0099956</t>
    <phoneticPr fontId="1" type="noConversion"/>
  </si>
  <si>
    <t>0097769</t>
    <phoneticPr fontId="1" type="noConversion"/>
  </si>
  <si>
    <t>天津国际城诗景颂苑二标段12#-16#</t>
    <phoneticPr fontId="1" type="noConversion"/>
  </si>
  <si>
    <t>中铁十三局集团有限公司</t>
    <phoneticPr fontId="1" type="noConversion"/>
  </si>
  <si>
    <t>天津市</t>
    <phoneticPr fontId="1" type="noConversion"/>
  </si>
  <si>
    <t>于洋</t>
    <phoneticPr fontId="1" type="noConversion"/>
  </si>
  <si>
    <t>北京城建长城伟达装饰公司</t>
    <phoneticPr fontId="1" type="noConversion"/>
  </si>
  <si>
    <t>孙国强</t>
    <phoneticPr fontId="1" type="noConversion"/>
  </si>
  <si>
    <t>否</t>
    <phoneticPr fontId="1" type="noConversion"/>
  </si>
  <si>
    <t>2011工程</t>
    <phoneticPr fontId="1" type="noConversion"/>
  </si>
  <si>
    <t>中建一局集团第二建筑有限公司</t>
    <phoneticPr fontId="1" type="noConversion"/>
  </si>
  <si>
    <t>0097761</t>
    <phoneticPr fontId="1" type="noConversion"/>
  </si>
  <si>
    <t>亦庄</t>
    <phoneticPr fontId="1" type="noConversion"/>
  </si>
  <si>
    <t>宝鼎商场</t>
    <phoneticPr fontId="1" type="noConversion"/>
  </si>
  <si>
    <t>华美财务（北京）科技有限公司</t>
    <phoneticPr fontId="1" type="noConversion"/>
  </si>
  <si>
    <t>王晨</t>
    <phoneticPr fontId="1" type="noConversion"/>
  </si>
  <si>
    <t>北京润勤洲际建材有限责任公司</t>
    <phoneticPr fontId="1" type="noConversion"/>
  </si>
  <si>
    <t xml:space="preserve">杨晓彬 </t>
    <phoneticPr fontId="1" type="noConversion"/>
  </si>
  <si>
    <t>0099952</t>
    <phoneticPr fontId="1" type="noConversion"/>
  </si>
  <si>
    <t>朝阳区东坝驹子房农民安置房</t>
    <phoneticPr fontId="1" type="noConversion"/>
  </si>
  <si>
    <t>0097768</t>
    <phoneticPr fontId="1" type="noConversion"/>
  </si>
  <si>
    <t>小屯新村B03、B06回迁楼及B04配套</t>
    <phoneticPr fontId="1" type="noConversion"/>
  </si>
  <si>
    <t>北京绿林双泉房地产开发有限公司天鸿美域项目分公司</t>
    <phoneticPr fontId="1" type="noConversion"/>
  </si>
  <si>
    <t>0097779</t>
    <phoneticPr fontId="1" type="noConversion"/>
  </si>
  <si>
    <t>衙门口居住及公建项目</t>
    <phoneticPr fontId="1" type="noConversion"/>
  </si>
  <si>
    <t>3166153</t>
    <phoneticPr fontId="1" type="noConversion"/>
  </si>
  <si>
    <t>西北旺六里屯农民定置点定向房</t>
    <phoneticPr fontId="1" type="noConversion"/>
  </si>
  <si>
    <t>中建一局集团第三建筑有限公司/中航天建设工程有限公司/北京昊海建设有限公司</t>
    <phoneticPr fontId="1" type="noConversion"/>
  </si>
  <si>
    <t>王军</t>
    <phoneticPr fontId="1" type="noConversion"/>
  </si>
  <si>
    <t>0097765</t>
    <phoneticPr fontId="1" type="noConversion"/>
  </si>
  <si>
    <t>XMF11-21</t>
    <phoneticPr fontId="1" type="noConversion"/>
  </si>
  <si>
    <t>永定华庭地下车库出入口外装饰幕墙</t>
    <phoneticPr fontId="1" type="noConversion"/>
  </si>
  <si>
    <t>trice</t>
    <phoneticPr fontId="1" type="noConversion"/>
  </si>
  <si>
    <t>description</t>
    <phoneticPr fontId="1" type="noConversion"/>
  </si>
  <si>
    <t>project_code</t>
    <phoneticPr fontId="1" type="noConversion"/>
  </si>
  <si>
    <t>project_name</t>
    <phoneticPr fontId="1" type="noConversion"/>
  </si>
  <si>
    <t>organization_name</t>
    <phoneticPr fontId="1" type="noConversion"/>
  </si>
  <si>
    <t>party_name</t>
    <phoneticPr fontId="1" type="noConversion"/>
  </si>
  <si>
    <t>party_address</t>
    <phoneticPr fontId="1" type="noConversion"/>
  </si>
  <si>
    <t>manager</t>
    <phoneticPr fontId="1" type="noConversion"/>
  </si>
  <si>
    <t>corperation</t>
    <phoneticPr fontId="1" type="noConversion"/>
  </si>
  <si>
    <t>legal_assignee</t>
    <phoneticPr fontId="1" type="noConversion"/>
  </si>
  <si>
    <t>is_withholding_offsite</t>
    <phoneticPr fontId="1" type="noConversion"/>
  </si>
  <si>
    <t>contract_code</t>
    <phoneticPr fontId="1" type="noConversion"/>
  </si>
  <si>
    <t>contract_amount</t>
    <phoneticPr fontId="1" type="noConversion"/>
  </si>
  <si>
    <t>change_amount</t>
    <phoneticPr fontId="1" type="noConversion"/>
  </si>
  <si>
    <t>change_total_amount</t>
    <phoneticPr fontId="1" type="noConversion"/>
  </si>
  <si>
    <t>settlement_amount</t>
    <phoneticPr fontId="1" type="noConversion"/>
  </si>
  <si>
    <t>duty_paid_code</t>
    <phoneticPr fontId="1" type="noConversion"/>
  </si>
  <si>
    <t>duty_paid_time</t>
    <phoneticPr fontId="1" type="noConversion"/>
  </si>
  <si>
    <t>duty_paid_amount</t>
  </si>
  <si>
    <t>capital_occupied</t>
    <phoneticPr fontId="1" type="noConversion"/>
  </si>
  <si>
    <t>project_status</t>
    <phoneticPr fontId="1" type="noConversion"/>
  </si>
  <si>
    <t>management_rate</t>
    <phoneticPr fontId="1" type="noConversion"/>
  </si>
  <si>
    <t>management_plan_amount</t>
    <phoneticPr fontId="1" type="noConversion"/>
  </si>
  <si>
    <t>management_real_amount</t>
    <phoneticPr fontId="1" type="noConversion"/>
  </si>
  <si>
    <t>management_total_amount</t>
    <phoneticPr fontId="1" type="noConversion"/>
  </si>
  <si>
    <t>management_owe_amount</t>
    <phoneticPr fontId="1" type="noConversion"/>
  </si>
  <si>
    <t>party_billing_amount</t>
    <phoneticPr fontId="1" type="noConversion"/>
  </si>
  <si>
    <t>party_billing_total_amount</t>
    <phoneticPr fontId="1" type="noConversion"/>
  </si>
  <si>
    <t>collections_amount</t>
    <phoneticPr fontId="1" type="noConversion"/>
  </si>
  <si>
    <t>collections_total_amount</t>
    <phoneticPr fontId="1" type="noConversion"/>
  </si>
  <si>
    <t>collections_rate</t>
    <phoneticPr fontId="1" type="noConversion"/>
  </si>
  <si>
    <t>customer_billing_amount</t>
    <phoneticPr fontId="1" type="noConversion"/>
  </si>
  <si>
    <t>customer_billing_total_amount</t>
  </si>
  <si>
    <t>payment_amount</t>
    <phoneticPr fontId="1" type="noConversion"/>
  </si>
  <si>
    <t>payment_amount_clv</t>
    <phoneticPr fontId="1" type="noConversion"/>
  </si>
  <si>
    <t>payment_amount_cliang</t>
    <phoneticPr fontId="1" type="noConversion"/>
  </si>
  <si>
    <t>payment_amount_zdai</t>
    <phoneticPr fontId="1" type="noConversion"/>
  </si>
  <si>
    <t>payment_total_amount</t>
    <phoneticPr fontId="1" type="noConversion"/>
  </si>
  <si>
    <t>tax_rate</t>
    <phoneticPr fontId="1" type="noConversion"/>
  </si>
  <si>
    <t>tax_plan_amount</t>
    <phoneticPr fontId="1" type="noConversion"/>
  </si>
  <si>
    <t>tax_real_amount</t>
    <phoneticPr fontId="1" type="noConversion"/>
  </si>
  <si>
    <t>tax_total_amount</t>
    <phoneticPr fontId="1" type="noConversion"/>
  </si>
  <si>
    <t>tax_owe_amount</t>
    <phoneticPr fontId="1" type="noConversion"/>
  </si>
  <si>
    <t>arrears_amount</t>
    <phoneticPr fontId="1" type="noConversion"/>
  </si>
  <si>
    <t>expected_value</t>
    <phoneticPr fontId="1" type="noConversion"/>
  </si>
  <si>
    <t>profile_point</t>
    <phoneticPr fontId="1" type="noConversion"/>
  </si>
  <si>
    <t>项目部表,第2行</t>
  </si>
  <si>
    <t>项目部表,第3行</t>
  </si>
  <si>
    <t>项目部表,第4行</t>
  </si>
  <si>
    <t>项目部表,第5行</t>
  </si>
  <si>
    <t>项目部表,第6行</t>
  </si>
  <si>
    <t>项目部表,第7行</t>
  </si>
  <si>
    <t>项目部表,第8行</t>
  </si>
  <si>
    <t>项目部表,第9行</t>
  </si>
  <si>
    <t>项目部表,第10行</t>
  </si>
  <si>
    <t>项目部表,第11行</t>
  </si>
  <si>
    <t>项目部表,第12行</t>
  </si>
  <si>
    <t>项目部表,第13行</t>
  </si>
  <si>
    <t>项目部表,第14行</t>
  </si>
  <si>
    <t>项目部表,第15行</t>
  </si>
  <si>
    <t>项目部表,第16行</t>
  </si>
  <si>
    <t>项目部表,第17行</t>
  </si>
  <si>
    <t>项目部表,第18行</t>
  </si>
  <si>
    <t>项目部表,第19行</t>
  </si>
  <si>
    <t>项目部表,第20行</t>
  </si>
  <si>
    <t>项目部表,第21行</t>
  </si>
  <si>
    <t>项目部表,第22行</t>
  </si>
  <si>
    <t>项目部表,第23行</t>
  </si>
  <si>
    <t>项目部表,第24行</t>
  </si>
  <si>
    <t>项目部表,第25行</t>
  </si>
  <si>
    <t>项目部表,第26行</t>
  </si>
  <si>
    <t>项目部表,第27行</t>
  </si>
  <si>
    <t>项目部表,第28行</t>
  </si>
  <si>
    <t>项目部表,第29行</t>
  </si>
  <si>
    <t>项目部表,第30行</t>
  </si>
  <si>
    <t>项目部表,第31行</t>
  </si>
  <si>
    <t>项目部表,第32行</t>
  </si>
  <si>
    <t>项目部表,第33行</t>
  </si>
  <si>
    <t>项目部表,第34行</t>
  </si>
  <si>
    <t>项目部表,第35行</t>
  </si>
  <si>
    <t>项目部表,第36行</t>
  </si>
  <si>
    <t>项目部表,第37行</t>
  </si>
  <si>
    <t>项目部表,第38行</t>
  </si>
  <si>
    <t>项目部表,第39行</t>
  </si>
  <si>
    <t>项目部表,第40行</t>
  </si>
  <si>
    <t>项目部表,第41行</t>
  </si>
  <si>
    <t>项目部表,第42行</t>
  </si>
  <si>
    <t>项目部表,第43行</t>
  </si>
  <si>
    <t>项目部表,第44行</t>
  </si>
  <si>
    <t>项目部表,第45行</t>
  </si>
  <si>
    <t>项目部表,第46行</t>
  </si>
  <si>
    <t>项目部表,第47行</t>
  </si>
  <si>
    <t>项目部表,第48行</t>
  </si>
  <si>
    <t>项目部表,第49行</t>
  </si>
  <si>
    <t>项目部表,第50行</t>
  </si>
  <si>
    <t>项目部表,第51行</t>
  </si>
  <si>
    <t>项目部表,第52行</t>
  </si>
  <si>
    <t>项目部表,第53行</t>
  </si>
  <si>
    <t>项目部表,第54行</t>
  </si>
  <si>
    <t>项目部表,第55行</t>
  </si>
  <si>
    <t>项目部表,第56行</t>
  </si>
  <si>
    <t>项目部表,第57行</t>
  </si>
  <si>
    <t>项目部表,第58行</t>
  </si>
  <si>
    <t>项目部表,第59行</t>
  </si>
  <si>
    <t>项目部表,第60行</t>
  </si>
  <si>
    <t>项目部表,第61行</t>
  </si>
  <si>
    <t>项目部表,第62行</t>
  </si>
  <si>
    <t>项目部表,第63行</t>
  </si>
  <si>
    <t>项目部表,第64行</t>
  </si>
  <si>
    <t>项目部表,第65行</t>
  </si>
  <si>
    <t>项目部表,第66行</t>
  </si>
  <si>
    <t>项目部表,第67行</t>
  </si>
  <si>
    <t>项目部表,第68行</t>
  </si>
  <si>
    <t>项目部表,第69行</t>
  </si>
  <si>
    <t>项目部表,第70行</t>
  </si>
  <si>
    <t>项目部表,第71行</t>
  </si>
  <si>
    <t>项目部表,第72行</t>
  </si>
  <si>
    <t>项目部表,第73行</t>
  </si>
  <si>
    <t>项目部表,第74行</t>
  </si>
  <si>
    <t>项目部表,第75行</t>
  </si>
  <si>
    <t>项目部表,第76行</t>
  </si>
  <si>
    <t>项目部表,第77行</t>
  </si>
  <si>
    <t>项目部表,第78行</t>
  </si>
  <si>
    <t>项目部表,第79行</t>
  </si>
  <si>
    <t>项目部表,第80行</t>
  </si>
  <si>
    <t>项目部表,第81行</t>
  </si>
  <si>
    <t>项目部表,第82行</t>
  </si>
  <si>
    <t>项目部表,第83行</t>
  </si>
  <si>
    <t>项目部表,第84行</t>
  </si>
  <si>
    <t>项目部表,第85行</t>
  </si>
  <si>
    <t>项目部表,第86行</t>
  </si>
  <si>
    <t>项目部表,第87行</t>
  </si>
  <si>
    <t>项目部表,第88行</t>
  </si>
  <si>
    <t>项目部表,第89行</t>
  </si>
  <si>
    <t>项目部表,第90行</t>
  </si>
  <si>
    <t>项目部表,第91行</t>
  </si>
  <si>
    <t>项目部表,第92行</t>
  </si>
  <si>
    <t>项目部表,第93行</t>
  </si>
  <si>
    <t>项目部表,第94行</t>
  </si>
  <si>
    <t>项目部表,第95行</t>
  </si>
  <si>
    <t>项目部表,第96行</t>
  </si>
  <si>
    <t>项目部表,第97行</t>
  </si>
  <si>
    <t>项目部表,第98行</t>
  </si>
  <si>
    <t>项目部表,第99行</t>
  </si>
  <si>
    <t>项目部表,第100行</t>
  </si>
  <si>
    <t>项目部表,第101行</t>
  </si>
  <si>
    <t>项目部表,第102行</t>
  </si>
  <si>
    <t>项目部表,第103行</t>
  </si>
  <si>
    <t>项目部表,第104行</t>
  </si>
  <si>
    <t>项目部表,第105行</t>
  </si>
  <si>
    <t>项目部表,第106行</t>
  </si>
  <si>
    <t>项目部表,第107行</t>
  </si>
  <si>
    <t>项目部表,第108行</t>
  </si>
  <si>
    <t>项目部表,第109行</t>
  </si>
  <si>
    <t>项目部表,第110行</t>
  </si>
  <si>
    <t>项目部表,第111行</t>
  </si>
  <si>
    <t>项目部表,第112行</t>
  </si>
  <si>
    <t>项目部表,第113行</t>
  </si>
  <si>
    <t>项目部表,第114行</t>
  </si>
  <si>
    <t>项目部表,第115行</t>
  </si>
  <si>
    <t>项目部表,第116行</t>
  </si>
  <si>
    <t>项目部表,第117行</t>
  </si>
  <si>
    <t>项目部表,第118行</t>
  </si>
  <si>
    <t>项目部表,第119行</t>
  </si>
  <si>
    <t>项目部表,第120行</t>
  </si>
  <si>
    <t>项目部表,第121行</t>
  </si>
  <si>
    <t>项目部表,第122行</t>
  </si>
  <si>
    <t>项目部表,第123行</t>
  </si>
  <si>
    <t>项目部表,第124行</t>
  </si>
  <si>
    <t>项目部表,第125行</t>
  </si>
  <si>
    <t>项目部表,第126行</t>
  </si>
  <si>
    <t>项目部表,第127行</t>
  </si>
  <si>
    <t>项目部表,第128行</t>
  </si>
  <si>
    <t>项目部表,第129行</t>
  </si>
  <si>
    <t>项目部表,第130行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</si>
</sst>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.0000"/>
    <numFmt numFmtId="177" formatCode="yyyy\-mm\-dd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176" fontId="3" fillId="2" borderId="0" xfId="0" applyNumberFormat="1" applyFont="1" applyFill="1" applyBorder="1" applyAlignment="1">
      <alignment vertical="center"/>
    </xf>
    <xf numFmtId="176" fontId="3" fillId="2" borderId="0" xfId="1" applyNumberFormat="1" applyFont="1" applyFill="1" applyBorder="1" applyAlignment="1">
      <alignment vertical="center"/>
    </xf>
    <xf numFmtId="176" fontId="0" fillId="0" borderId="0" xfId="0" applyNumberFormat="1" applyAlignment="1">
      <alignment vertical="center"/>
    </xf>
    <xf numFmtId="176" fontId="2" fillId="0" borderId="1" xfId="0" applyNumberFormat="1" applyFont="1" applyBorder="1" applyProtection="1">
      <alignment vertical="center"/>
      <protection locked="0"/>
    </xf>
    <xf numFmtId="176" fontId="2" fillId="0" borderId="1" xfId="0" applyNumberFormat="1" applyFont="1" applyBorder="1" applyAlignment="1" applyProtection="1">
      <alignment horizontal="right" vertical="center"/>
      <protection locked="0"/>
    </xf>
    <xf numFmtId="176" fontId="2" fillId="0" borderId="1" xfId="1" applyNumberFormat="1" applyFont="1" applyBorder="1" applyProtection="1">
      <alignment vertical="center"/>
      <protection locked="0"/>
    </xf>
    <xf numFmtId="176" fontId="2" fillId="0" borderId="0" xfId="0" applyNumberFormat="1" applyFont="1">
      <alignment vertical="center"/>
    </xf>
    <xf numFmtId="176" fontId="2" fillId="0" borderId="1" xfId="0" applyNumberFormat="1" applyFont="1" applyFill="1" applyBorder="1" applyProtection="1">
      <alignment vertical="center"/>
      <protection locked="0"/>
    </xf>
    <xf numFmtId="176" fontId="2" fillId="0" borderId="1" xfId="0" applyNumberFormat="1" applyFont="1" applyFill="1" applyBorder="1" applyAlignment="1" applyProtection="1">
      <alignment horizontal="right" vertical="center"/>
      <protection locked="0"/>
    </xf>
    <xf numFmtId="176" fontId="2" fillId="0" borderId="1" xfId="1" applyNumberFormat="1" applyFont="1" applyFill="1" applyBorder="1" applyProtection="1">
      <alignment vertical="center"/>
      <protection locked="0"/>
    </xf>
    <xf numFmtId="176" fontId="2" fillId="0" borderId="0" xfId="0" applyNumberFormat="1" applyFont="1" applyFill="1">
      <alignment vertical="center"/>
    </xf>
    <xf numFmtId="176" fontId="8" fillId="0" borderId="1" xfId="0" applyNumberFormat="1" applyFont="1" applyBorder="1" applyProtection="1">
      <alignment vertical="center"/>
      <protection locked="0"/>
    </xf>
    <xf numFmtId="176" fontId="2" fillId="3" borderId="1" xfId="0" applyNumberFormat="1" applyFont="1" applyFill="1" applyBorder="1" applyProtection="1">
      <alignment vertical="center"/>
      <protection locked="0"/>
    </xf>
    <xf numFmtId="176" fontId="8" fillId="3" borderId="1" xfId="0" applyNumberFormat="1" applyFont="1" applyFill="1" applyBorder="1" applyProtection="1">
      <alignment vertical="center"/>
      <protection locked="0"/>
    </xf>
    <xf numFmtId="176" fontId="2" fillId="3" borderId="1" xfId="0" applyNumberFormat="1" applyFont="1" applyFill="1" applyBorder="1" applyAlignment="1" applyProtection="1">
      <alignment horizontal="right" vertical="center"/>
      <protection locked="0"/>
    </xf>
    <xf numFmtId="176" fontId="2" fillId="3" borderId="1" xfId="1" applyNumberFormat="1" applyFont="1" applyFill="1" applyBorder="1" applyProtection="1">
      <alignment vertical="center"/>
      <protection locked="0"/>
    </xf>
    <xf numFmtId="176" fontId="2" fillId="3" borderId="0" xfId="0" applyNumberFormat="1" applyFont="1" applyFill="1">
      <alignment vertical="center"/>
    </xf>
    <xf numFmtId="176" fontId="5" fillId="0" borderId="1" xfId="0" applyNumberFormat="1" applyFont="1" applyBorder="1" applyProtection="1">
      <alignment vertical="center"/>
      <protection locked="0"/>
    </xf>
    <xf numFmtId="176" fontId="6" fillId="0" borderId="1" xfId="0" applyNumberFormat="1" applyFont="1" applyBorder="1" applyProtection="1">
      <alignment vertical="center"/>
      <protection locked="0"/>
    </xf>
    <xf numFmtId="176" fontId="6" fillId="0" borderId="1" xfId="0" applyNumberFormat="1" applyFont="1" applyBorder="1" applyAlignment="1" applyProtection="1">
      <alignment horizontal="right" vertical="center"/>
      <protection locked="0"/>
    </xf>
    <xf numFmtId="176" fontId="6" fillId="0" borderId="1" xfId="1" applyNumberFormat="1" applyFont="1" applyBorder="1" applyProtection="1">
      <alignment vertical="center"/>
      <protection locked="0"/>
    </xf>
    <xf numFmtId="176" fontId="5" fillId="0" borderId="1" xfId="1" applyNumberFormat="1" applyFont="1" applyBorder="1" applyProtection="1">
      <alignment vertical="center"/>
      <protection locked="0"/>
    </xf>
    <xf numFmtId="176" fontId="6" fillId="0" borderId="0" xfId="0" applyNumberFormat="1" applyFont="1">
      <alignment vertical="center"/>
    </xf>
    <xf numFmtId="176" fontId="8" fillId="0" borderId="1" xfId="1" applyNumberFormat="1" applyFont="1" applyBorder="1" applyProtection="1">
      <alignment vertical="center"/>
      <protection locked="0"/>
    </xf>
    <xf numFmtId="176" fontId="7" fillId="0" borderId="1" xfId="0" applyNumberFormat="1" applyFont="1" applyBorder="1" applyProtection="1">
      <alignment vertical="center"/>
      <protection locked="0"/>
    </xf>
    <xf numFmtId="176" fontId="8" fillId="0" borderId="1" xfId="0" applyNumberFormat="1" applyFont="1" applyBorder="1" applyAlignment="1" applyProtection="1">
      <alignment horizontal="right" vertical="center"/>
      <protection locked="0"/>
    </xf>
    <xf numFmtId="176" fontId="8" fillId="0" borderId="0" xfId="0" applyNumberFormat="1" applyFont="1">
      <alignment vertical="center"/>
    </xf>
    <xf numFmtId="176" fontId="8" fillId="0" borderId="1" xfId="0" applyNumberFormat="1" applyFont="1" applyFill="1" applyBorder="1" applyProtection="1">
      <alignment vertical="center"/>
      <protection locked="0"/>
    </xf>
    <xf numFmtId="176" fontId="8" fillId="0" borderId="1" xfId="0" applyNumberFormat="1" applyFont="1" applyFill="1" applyBorder="1" applyAlignment="1" applyProtection="1">
      <alignment horizontal="right" vertical="center"/>
      <protection locked="0"/>
    </xf>
    <xf numFmtId="176" fontId="8" fillId="0" borderId="1" xfId="1" applyNumberFormat="1" applyFont="1" applyFill="1" applyBorder="1" applyProtection="1">
      <alignment vertical="center"/>
      <protection locked="0"/>
    </xf>
    <xf numFmtId="176" fontId="8" fillId="0" borderId="0" xfId="0" applyNumberFormat="1" applyFont="1" applyFill="1">
      <alignment vertical="center"/>
    </xf>
    <xf numFmtId="176" fontId="7" fillId="0" borderId="1" xfId="0" applyNumberFormat="1" applyFont="1" applyFill="1" applyBorder="1" applyProtection="1">
      <alignment vertical="center"/>
      <protection locked="0"/>
    </xf>
    <xf numFmtId="176" fontId="2" fillId="0" borderId="0" xfId="0" applyNumberFormat="1" applyFont="1" applyAlignment="1">
      <alignment horizontal="right" vertical="center"/>
    </xf>
    <xf numFmtId="176" fontId="2" fillId="0" borderId="0" xfId="1" applyNumberFormat="1" applyFont="1">
      <alignment vertical="center"/>
    </xf>
    <xf numFmtId="177" fontId="3" fillId="2" borderId="0" xfId="0" applyNumberFormat="1" applyFont="1" applyFill="1" applyBorder="1" applyAlignment="1">
      <alignment vertical="center"/>
    </xf>
    <xf numFmtId="177" fontId="2" fillId="0" borderId="1" xfId="0" applyNumberFormat="1" applyFont="1" applyBorder="1" applyAlignment="1" applyProtection="1">
      <alignment vertical="center"/>
      <protection locked="0"/>
    </xf>
    <xf numFmtId="177" fontId="2" fillId="0" borderId="1" xfId="0" applyNumberFormat="1" applyFont="1" applyFill="1" applyBorder="1" applyAlignment="1" applyProtection="1">
      <alignment vertical="center"/>
      <protection locked="0"/>
    </xf>
    <xf numFmtId="177" fontId="2" fillId="3" borderId="1" xfId="0" applyNumberFormat="1" applyFont="1" applyFill="1" applyBorder="1" applyAlignment="1" applyProtection="1">
      <alignment vertical="center"/>
      <protection locked="0"/>
    </xf>
    <xf numFmtId="177" fontId="5" fillId="0" borderId="1" xfId="0" applyNumberFormat="1" applyFont="1" applyBorder="1" applyAlignment="1" applyProtection="1">
      <alignment vertical="center"/>
      <protection locked="0"/>
    </xf>
    <xf numFmtId="177" fontId="7" fillId="0" borderId="1" xfId="0" applyNumberFormat="1" applyFont="1" applyBorder="1" applyAlignment="1" applyProtection="1">
      <alignment vertical="center"/>
      <protection locked="0"/>
    </xf>
    <xf numFmtId="177" fontId="8" fillId="0" borderId="1" xfId="0" applyNumberFormat="1" applyFont="1" applyBorder="1" applyAlignment="1" applyProtection="1">
      <alignment vertical="center"/>
      <protection locked="0"/>
    </xf>
    <xf numFmtId="177" fontId="8" fillId="0" borderId="1" xfId="0" applyNumberFormat="1" applyFont="1" applyFill="1" applyBorder="1" applyAlignment="1" applyProtection="1">
      <alignment vertical="center"/>
      <protection locked="0"/>
    </xf>
    <xf numFmtId="177" fontId="7" fillId="0" borderId="1" xfId="0" applyNumberFormat="1" applyFont="1" applyFill="1" applyBorder="1" applyAlignment="1" applyProtection="1">
      <alignment vertical="center"/>
      <protection locked="0"/>
    </xf>
    <xf numFmtId="177" fontId="2" fillId="0" borderId="0" xfId="0" applyNumberFormat="1" applyFont="1" applyAlignment="1">
      <alignment vertical="center"/>
    </xf>
    <xf numFmtId="177" fontId="2" fillId="0" borderId="1" xfId="0" applyNumberFormat="1" applyFont="1" applyBorder="1" applyProtection="1">
      <alignment vertical="center"/>
      <protection locked="0"/>
    </xf>
    <xf numFmtId="177" fontId="2" fillId="0" borderId="1" xfId="0" applyNumberFormat="1" applyFont="1" applyFill="1" applyBorder="1" applyProtection="1">
      <alignment vertical="center"/>
      <protection locked="0"/>
    </xf>
    <xf numFmtId="177" fontId="2" fillId="3" borderId="1" xfId="0" applyNumberFormat="1" applyFont="1" applyFill="1" applyBorder="1" applyProtection="1">
      <alignment vertical="center"/>
      <protection locked="0"/>
    </xf>
    <xf numFmtId="177" fontId="6" fillId="0" borderId="1" xfId="0" applyNumberFormat="1" applyFont="1" applyBorder="1" applyProtection="1">
      <alignment vertical="center"/>
      <protection locked="0"/>
    </xf>
    <xf numFmtId="177" fontId="8" fillId="0" borderId="1" xfId="0" applyNumberFormat="1" applyFont="1" applyBorder="1" applyProtection="1">
      <alignment vertical="center"/>
      <protection locked="0"/>
    </xf>
    <xf numFmtId="177" fontId="8" fillId="0" borderId="1" xfId="0" applyNumberFormat="1" applyFont="1" applyFill="1" applyBorder="1" applyProtection="1">
      <alignment vertical="center"/>
      <protection locked="0"/>
    </xf>
    <xf numFmtId="177" fontId="2" fillId="0" borderId="0" xfId="0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0"/>
  <sheetViews>
    <sheetView tabSelected="1" topLeftCell="K1" workbookViewId="0">
      <selection activeCell="N19" sqref="N19"/>
    </sheetView>
  </sheetViews>
  <sheetFormatPr defaultColWidth="9" defaultRowHeight="12" x14ac:dyDescent="0.15"/>
  <cols>
    <col min="1" max="1" width="10.25" style="44" bestFit="1" customWidth="1"/>
    <col min="2" max="2" width="15.25" style="7" bestFit="1" customWidth="1"/>
    <col min="3" max="3" width="12.25" style="7" bestFit="1" customWidth="1"/>
    <col min="4" max="4" width="32.125" style="7" bestFit="1" customWidth="1"/>
    <col min="5" max="5" width="17.125" style="7" bestFit="1" customWidth="1"/>
    <col min="6" max="6" width="65.625" style="7" bestFit="1" customWidth="1"/>
    <col min="7" max="7" width="13.125" style="7" bestFit="1" customWidth="1"/>
    <col min="8" max="8" width="7.625" style="7" bestFit="1" customWidth="1"/>
    <col min="9" max="9" width="33" style="7" bestFit="1" customWidth="1"/>
    <col min="10" max="10" width="14.125" style="7" bestFit="1" customWidth="1"/>
    <col min="11" max="11" width="21.875" style="7" bestFit="1" customWidth="1"/>
    <col min="12" max="12" width="13.125" style="7" bestFit="1" customWidth="1"/>
    <col min="13" max="13" width="15.125" style="7" bestFit="1" customWidth="1"/>
    <col min="14" max="14" width="13.125" style="7" bestFit="1" customWidth="1"/>
    <col min="15" max="15" width="19" style="7" bestFit="1" customWidth="1"/>
    <col min="16" max="16" width="17.125" style="7" bestFit="1" customWidth="1"/>
    <col min="17" max="17" width="14.125" style="33" bestFit="1" customWidth="1"/>
    <col min="18" max="18" width="14.125" style="51" bestFit="1" customWidth="1"/>
    <col min="19" max="20" width="16.125" style="7" bestFit="1" customWidth="1"/>
    <col min="21" max="21" width="14.125" style="7" bestFit="1" customWidth="1"/>
    <col min="22" max="22" width="15.125" style="34" bestFit="1" customWidth="1"/>
    <col min="23" max="24" width="21.875" style="7" bestFit="1" customWidth="1"/>
    <col min="25" max="25" width="22.875" style="7" bestFit="1" customWidth="1"/>
    <col min="26" max="26" width="21" style="7" bestFit="1" customWidth="1"/>
    <col min="27" max="27" width="20" style="7" bestFit="1" customWidth="1"/>
    <col min="28" max="28" width="25.75" style="7" bestFit="1" customWidth="1"/>
    <col min="29" max="29" width="18" style="7" bestFit="1" customWidth="1"/>
    <col min="30" max="30" width="23.875" style="7" bestFit="1" customWidth="1"/>
    <col min="31" max="31" width="16.125" style="34" bestFit="1" customWidth="1"/>
    <col min="32" max="32" width="22.875" style="7" bestFit="1" customWidth="1"/>
    <col min="33" max="33" width="28.75" style="7" bestFit="1" customWidth="1"/>
    <col min="34" max="34" width="14.125" style="7" bestFit="1" customWidth="1"/>
    <col min="35" max="35" width="18" style="7" bestFit="1" customWidth="1"/>
    <col min="36" max="36" width="21" style="7" bestFit="1" customWidth="1"/>
    <col min="37" max="37" width="19" style="7" bestFit="1" customWidth="1"/>
    <col min="38" max="38" width="20" style="7" bestFit="1" customWidth="1"/>
    <col min="39" max="39" width="8.5" style="34" bestFit="1" customWidth="1"/>
    <col min="40" max="40" width="15.125" style="34" bestFit="1" customWidth="1"/>
    <col min="41" max="41" width="15.125" style="7" bestFit="1" customWidth="1"/>
    <col min="42" max="42" width="16.125" style="7" bestFit="1" customWidth="1"/>
    <col min="43" max="45" width="14.125" style="7" bestFit="1" customWidth="1"/>
    <col min="46" max="47" width="13.125" style="7" bestFit="1" customWidth="1"/>
    <col min="48" max="16384" width="9" style="7"/>
  </cols>
  <sheetData>
    <row r="1" spans="1:46" s="3" customFormat="1" ht="13.5" x14ac:dyDescent="0.15">
      <c r="A1" s="35" t="s">
        <v>717</v>
      </c>
      <c r="B1" s="1" t="s">
        <v>718</v>
      </c>
      <c r="C1" s="1" t="s">
        <v>719</v>
      </c>
      <c r="D1" s="1" t="s">
        <v>720</v>
      </c>
      <c r="E1" s="1" t="s">
        <v>721</v>
      </c>
      <c r="F1" s="1" t="s">
        <v>722</v>
      </c>
      <c r="G1" s="1" t="s">
        <v>723</v>
      </c>
      <c r="H1" s="1" t="s">
        <v>724</v>
      </c>
      <c r="I1" s="1" t="s">
        <v>725</v>
      </c>
      <c r="J1" s="1" t="s">
        <v>726</v>
      </c>
      <c r="K1" s="1" t="s">
        <v>727</v>
      </c>
      <c r="L1" s="1" t="s">
        <v>728</v>
      </c>
      <c r="M1" s="1" t="s">
        <v>729</v>
      </c>
      <c r="N1" s="1" t="s">
        <v>730</v>
      </c>
      <c r="O1" s="1" t="s">
        <v>731</v>
      </c>
      <c r="P1" s="1" t="s">
        <v>732</v>
      </c>
      <c r="Q1" s="1" t="s">
        <v>733</v>
      </c>
      <c r="R1" s="35" t="s">
        <v>734</v>
      </c>
      <c r="S1" s="1" t="s">
        <v>735</v>
      </c>
      <c r="T1" s="1" t="s">
        <v>736</v>
      </c>
      <c r="U1" s="1" t="s">
        <v>737</v>
      </c>
      <c r="V1" s="2" t="s">
        <v>738</v>
      </c>
      <c r="W1" s="1" t="s">
        <v>739</v>
      </c>
      <c r="X1" s="1" t="s">
        <v>740</v>
      </c>
      <c r="Y1" s="1" t="s">
        <v>741</v>
      </c>
      <c r="Z1" s="1" t="s">
        <v>742</v>
      </c>
      <c r="AA1" s="1" t="s">
        <v>743</v>
      </c>
      <c r="AB1" s="1" t="s">
        <v>744</v>
      </c>
      <c r="AC1" s="1" t="s">
        <v>745</v>
      </c>
      <c r="AD1" s="1" t="s">
        <v>746</v>
      </c>
      <c r="AE1" s="2" t="s">
        <v>747</v>
      </c>
      <c r="AF1" s="1" t="s">
        <v>748</v>
      </c>
      <c r="AG1" s="1" t="s">
        <v>749</v>
      </c>
      <c r="AH1" s="1" t="s">
        <v>750</v>
      </c>
      <c r="AI1" s="1" t="s">
        <v>751</v>
      </c>
      <c r="AJ1" s="1" t="s">
        <v>752</v>
      </c>
      <c r="AK1" s="1" t="s">
        <v>753</v>
      </c>
      <c r="AL1" s="1" t="s">
        <v>754</v>
      </c>
      <c r="AM1" s="2" t="s">
        <v>755</v>
      </c>
      <c r="AN1" s="2" t="s">
        <v>756</v>
      </c>
      <c r="AO1" s="1" t="s">
        <v>757</v>
      </c>
      <c r="AP1" s="1" t="s">
        <v>758</v>
      </c>
      <c r="AQ1" s="1" t="s">
        <v>759</v>
      </c>
      <c r="AR1" s="1" t="s">
        <v>760</v>
      </c>
      <c r="AS1" s="1" t="s">
        <v>761</v>
      </c>
      <c r="AT1" s="1" t="s">
        <v>762</v>
      </c>
    </row>
    <row r="2" spans="1:46" x14ac:dyDescent="0.15">
      <c r="A2" s="36">
        <v>39508</v>
      </c>
      <c r="B2" s="4" t="s">
        <v>763</v>
      </c>
      <c r="C2" s="4" t="s">
        <v>80</v>
      </c>
      <c r="D2" s="4" t="s">
        <v>81</v>
      </c>
      <c r="E2" s="4" t="s">
        <v>31</v>
      </c>
      <c r="F2" s="4" t="s">
        <v>83</v>
      </c>
      <c r="G2" s="4" t="s">
        <v>39</v>
      </c>
      <c r="H2" s="4" t="s">
        <v>70</v>
      </c>
      <c r="I2" s="4" t="s">
        <v>71</v>
      </c>
      <c r="J2" s="4" t="s">
        <v>70</v>
      </c>
      <c r="K2" s="4" t="s">
        <v>36</v>
      </c>
      <c r="L2" s="4"/>
      <c r="M2" s="4">
        <v>3950000</v>
      </c>
      <c r="N2" s="4">
        <f>140773+22870.2+451018.96+223732.46</f>
        <v>838394.62</v>
      </c>
      <c r="O2" s="4"/>
      <c r="P2" s="4">
        <f>4208332+388632</f>
        <v>4596964</v>
      </c>
      <c r="Q2" s="5"/>
      <c r="R2" s="45"/>
      <c r="S2" s="4"/>
      <c r="T2" s="4"/>
      <c r="U2" s="4" t="s">
        <v>14</v>
      </c>
      <c r="V2" s="6">
        <v>3.5999999999999997E-2</v>
      </c>
      <c r="W2" s="4">
        <f>(M2+N2)*V2</f>
        <v>172382.20632</v>
      </c>
      <c r="X2" s="4">
        <f>142200+10621+823+16237+9300</f>
        <v>179181</v>
      </c>
      <c r="Y2" s="4">
        <f>179181</f>
        <v>179181</v>
      </c>
      <c r="Z2" s="4"/>
      <c r="AA2" s="4">
        <f>88505+592500+88505+22873.5+86450+651866+473865+894158+419186+429386+366348.7+642694+210417+19432</f>
        <v>4986186.2</v>
      </c>
      <c r="AB2" s="4">
        <f>4986186.2</f>
        <v>4986186.2</v>
      </c>
      <c r="AC2" s="4">
        <f>88505+592500+88505+22873.5+86450+651866+473865+894158+226996+192190+795734.7+642694+210417+19432</f>
        <v>4986186.2</v>
      </c>
      <c r="AD2" s="4">
        <f>4986186.2</f>
        <v>4986186.2</v>
      </c>
      <c r="AE2" s="6">
        <f>AC2/(N2+P2)</f>
        <v>0.91736103330013574</v>
      </c>
      <c r="AF2" s="4">
        <f>88505+200000+200000+3787+300091.5+86450+472781.98+179084.02+393962.8+32825.62+23195.8+506882.01+218660+39215.22+14252+75417.35+54945+28213+31795.83+67200+2992.04+748273.77+7017+23457.17+221643+22730.9+21852+14400+540240.38+17374.14+69261+25016.14+199994.5</f>
        <v>4931516.17</v>
      </c>
      <c r="AG2" s="4">
        <f>4931516.17</f>
        <v>4931516.17</v>
      </c>
      <c r="AH2" s="4">
        <f>88505+200000+200000+3787+300091.5+86450+472781.98+179084.02+393962.8+32825.62+23195.8+506882.01+218660+39215.22+14252+75417.35+54945+28213+31795.83+67200+2992.04+748273.77+7017+23457.17+221643+22730.9+21852+14400+540240.38+17374.14+69261+25016.14+7154+199994.5+661+30000+10000</f>
        <v>4979331.17</v>
      </c>
      <c r="AI2" s="4"/>
      <c r="AJ2" s="4"/>
      <c r="AK2" s="4"/>
      <c r="AL2" s="4">
        <f>4969331.17+10000</f>
        <v>4979331.17</v>
      </c>
      <c r="AM2" s="6">
        <v>3.4000000000000002E-2</v>
      </c>
      <c r="AN2" s="6">
        <f>AB2*AM2</f>
        <v>169530.33080000003</v>
      </c>
      <c r="AO2" s="4">
        <f>3009+20145+3009+778+2939+22163+16111+30401+14252+14599+12456+21852+7154+661</f>
        <v>169529</v>
      </c>
      <c r="AP2" s="4">
        <f>169529</f>
        <v>169529</v>
      </c>
      <c r="AQ2" s="4">
        <v>0</v>
      </c>
      <c r="AR2" s="4"/>
      <c r="AS2" s="4"/>
      <c r="AT2" s="4"/>
    </row>
    <row r="3" spans="1:46" ht="13.5" customHeight="1" x14ac:dyDescent="0.15">
      <c r="A3" s="36">
        <v>40283</v>
      </c>
      <c r="B3" s="4" t="s">
        <v>764</v>
      </c>
      <c r="C3" s="4" t="s">
        <v>463</v>
      </c>
      <c r="D3" s="4" t="s">
        <v>464</v>
      </c>
      <c r="E3" s="4" t="s">
        <v>31</v>
      </c>
      <c r="F3" s="4" t="s">
        <v>465</v>
      </c>
      <c r="G3" s="4" t="s">
        <v>457</v>
      </c>
      <c r="H3" s="4" t="s">
        <v>466</v>
      </c>
      <c r="I3" s="4" t="s">
        <v>467</v>
      </c>
      <c r="J3" s="4" t="s">
        <v>466</v>
      </c>
      <c r="K3" s="4" t="s">
        <v>459</v>
      </c>
      <c r="L3" s="4"/>
      <c r="M3" s="4">
        <v>4300000</v>
      </c>
      <c r="N3" s="4"/>
      <c r="O3" s="4"/>
      <c r="P3" s="4"/>
      <c r="Q3" s="5"/>
      <c r="R3" s="45"/>
      <c r="S3" s="4"/>
      <c r="T3" s="4"/>
      <c r="U3" s="4" t="s">
        <v>461</v>
      </c>
      <c r="V3" s="6">
        <v>3.5999999999999997E-2</v>
      </c>
      <c r="W3" s="4">
        <f t="shared" ref="W3" si="0">(M3+N3)*V3</f>
        <v>154800</v>
      </c>
      <c r="X3" s="4">
        <f>154800</f>
        <v>154800</v>
      </c>
      <c r="Y3" s="4">
        <f>154800</f>
        <v>154800</v>
      </c>
      <c r="Z3" s="4">
        <v>0</v>
      </c>
      <c r="AA3" s="4">
        <f>860000+1290000+1290000+200000+200000+100000</f>
        <v>3940000</v>
      </c>
      <c r="AB3" s="4">
        <f>3940000</f>
        <v>3940000</v>
      </c>
      <c r="AC3" s="4">
        <f>860000+1290000+1290000+200000+150000+150000</f>
        <v>3940000</v>
      </c>
      <c r="AD3" s="4">
        <f>3940000</f>
        <v>3940000</v>
      </c>
      <c r="AE3" s="6">
        <f t="shared" ref="AE3" si="1">AC3/(N3+M3)</f>
        <v>0.91627906976744189</v>
      </c>
      <c r="AF3" s="4">
        <f>3354+450000+199568+207078+692057.4+200000+133102+204980+437720+100000+373359.5+350000+40000+123750+100000+200000</f>
        <v>3814968.9</v>
      </c>
      <c r="AG3" s="4">
        <f>3814968.9</f>
        <v>3814968.9</v>
      </c>
      <c r="AH3" s="4">
        <f>3354+450000+199568+207078+692057.4+200000+133102+204980+437720+100000+373359.5+350000+40000+200000+13600+100000+203400</f>
        <v>3908218.9</v>
      </c>
      <c r="AI3" s="4"/>
      <c r="AJ3" s="4"/>
      <c r="AK3" s="4"/>
      <c r="AL3" s="4">
        <f>3908218.9</f>
        <v>3908218.9</v>
      </c>
      <c r="AM3" s="6">
        <v>3.4000000000000002E-2</v>
      </c>
      <c r="AN3" s="6">
        <f>AB3*AM3</f>
        <v>133960</v>
      </c>
      <c r="AO3" s="4">
        <f>29240+43860+43860+6800+6800+3400</f>
        <v>133960</v>
      </c>
      <c r="AP3" s="4">
        <f>133960</f>
        <v>133960</v>
      </c>
      <c r="AQ3" s="4">
        <v>0</v>
      </c>
      <c r="AR3" s="4"/>
      <c r="AS3" s="4">
        <v>65</v>
      </c>
      <c r="AT3" s="4" t="s">
        <v>468</v>
      </c>
    </row>
    <row r="4" spans="1:46" ht="13.5" customHeight="1" x14ac:dyDescent="0.15">
      <c r="A4" s="36">
        <v>40491</v>
      </c>
      <c r="B4" s="4" t="s">
        <v>765</v>
      </c>
      <c r="C4" s="4" t="s">
        <v>44</v>
      </c>
      <c r="D4" s="4" t="s">
        <v>45</v>
      </c>
      <c r="E4" s="4" t="s">
        <v>0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11</v>
      </c>
      <c r="K4" s="4" t="s">
        <v>13</v>
      </c>
      <c r="L4" s="4"/>
      <c r="M4" s="4">
        <v>842038</v>
      </c>
      <c r="N4" s="4"/>
      <c r="O4" s="4"/>
      <c r="P4" s="4"/>
      <c r="Q4" s="5"/>
      <c r="R4" s="45"/>
      <c r="S4" s="4">
        <v>253</v>
      </c>
      <c r="T4" s="4"/>
      <c r="U4" s="4" t="s">
        <v>14</v>
      </c>
      <c r="V4" s="6">
        <v>3.5999999999999997E-2</v>
      </c>
      <c r="W4" s="4">
        <f>M4*V4</f>
        <v>30313.367999999999</v>
      </c>
      <c r="X4" s="4">
        <v>30313</v>
      </c>
      <c r="Y4" s="4">
        <v>30313</v>
      </c>
      <c r="Z4" s="4">
        <v>0</v>
      </c>
      <c r="AA4" s="4">
        <f>500000+200000</f>
        <v>700000</v>
      </c>
      <c r="AB4" s="4">
        <f>700000</f>
        <v>700000</v>
      </c>
      <c r="AC4" s="4">
        <f>500000+200000</f>
        <v>700000</v>
      </c>
      <c r="AD4" s="4">
        <f>700000</f>
        <v>700000</v>
      </c>
      <c r="AE4" s="6">
        <f>AC4/(M4+N4)</f>
        <v>0.83131640139756158</v>
      </c>
      <c r="AF4" s="4">
        <f>67000+400000+33000+193200</f>
        <v>693200</v>
      </c>
      <c r="AG4" s="4">
        <f>693200</f>
        <v>693200</v>
      </c>
      <c r="AH4" s="4">
        <f>67000+400000+33000+193200</f>
        <v>693200</v>
      </c>
      <c r="AI4" s="4"/>
      <c r="AJ4" s="4"/>
      <c r="AK4" s="4"/>
      <c r="AL4" s="4">
        <f>693200</f>
        <v>693200</v>
      </c>
      <c r="AM4" s="6">
        <v>3.4000000000000002E-2</v>
      </c>
      <c r="AN4" s="6">
        <f>AM4*AB4</f>
        <v>23800</v>
      </c>
      <c r="AO4" s="4">
        <f>17000</f>
        <v>17000</v>
      </c>
      <c r="AP4" s="4">
        <f>17000</f>
        <v>17000</v>
      </c>
      <c r="AQ4" s="4">
        <f>AN4-AP4</f>
        <v>6800</v>
      </c>
      <c r="AR4" s="4"/>
      <c r="AS4" s="4"/>
      <c r="AT4" s="4"/>
    </row>
    <row r="5" spans="1:46" s="11" customFormat="1" ht="13.5" customHeight="1" x14ac:dyDescent="0.15">
      <c r="A5" s="37">
        <v>40467</v>
      </c>
      <c r="B5" s="4" t="s">
        <v>766</v>
      </c>
      <c r="C5" s="8" t="s">
        <v>669</v>
      </c>
      <c r="D5" s="8" t="s">
        <v>670</v>
      </c>
      <c r="E5" s="8" t="s">
        <v>0</v>
      </c>
      <c r="F5" s="8" t="s">
        <v>671</v>
      </c>
      <c r="G5" s="8" t="s">
        <v>661</v>
      </c>
      <c r="H5" s="8" t="s">
        <v>672</v>
      </c>
      <c r="I5" s="8" t="s">
        <v>248</v>
      </c>
      <c r="J5" s="8" t="s">
        <v>258</v>
      </c>
      <c r="K5" s="8" t="s">
        <v>13</v>
      </c>
      <c r="L5" s="8"/>
      <c r="M5" s="8">
        <v>1787170</v>
      </c>
      <c r="N5" s="8">
        <f>847000+21000</f>
        <v>868000</v>
      </c>
      <c r="O5" s="8"/>
      <c r="P5" s="8">
        <f>2589000+21000</f>
        <v>2610000</v>
      </c>
      <c r="Q5" s="9"/>
      <c r="R5" s="46"/>
      <c r="S5" s="8"/>
      <c r="T5" s="8"/>
      <c r="U5" s="8" t="s">
        <v>664</v>
      </c>
      <c r="V5" s="10">
        <v>3.5999999999999997E-2</v>
      </c>
      <c r="W5" s="8">
        <f>P5*V5</f>
        <v>93960</v>
      </c>
      <c r="X5" s="8">
        <f>64338+30492</f>
        <v>94830</v>
      </c>
      <c r="Y5" s="8">
        <f>94830</f>
        <v>94830</v>
      </c>
      <c r="Z5" s="8">
        <v>0</v>
      </c>
      <c r="AA5" s="8">
        <f>150000+500000+210000+500000+200000+200000+350000+200000+100000+200000</f>
        <v>2610000</v>
      </c>
      <c r="AB5" s="8">
        <f>2610000</f>
        <v>2610000</v>
      </c>
      <c r="AC5" s="8">
        <f>150000+500000+210000+500000+200000+200000+350000+200000+100000</f>
        <v>2410000</v>
      </c>
      <c r="AD5" s="8">
        <f>2410000</f>
        <v>2410000</v>
      </c>
      <c r="AE5" s="10">
        <f>AC5/P5</f>
        <v>0.92337164750957856</v>
      </c>
      <c r="AF5" s="8">
        <f>150000+367100+100000+7140+102000+50000+200000+148800+100000+50000+50000+6800+150000+40000+6800+150000+397877+180000+100000</f>
        <v>2356517</v>
      </c>
      <c r="AG5" s="8">
        <f>2356517</f>
        <v>2356517</v>
      </c>
      <c r="AH5" s="8">
        <f>150000+367100+100000+7140+102000+50000+200000+148800+100000+50000+50000+6800+150000+40000+6800+150000+11900+397877+20000+186800+1810.08+3400+100000+6800</f>
        <v>2407227.08</v>
      </c>
      <c r="AI5" s="8"/>
      <c r="AJ5" s="8"/>
      <c r="AK5" s="8"/>
      <c r="AL5" s="8">
        <f>2407227.08</f>
        <v>2407227.08</v>
      </c>
      <c r="AM5" s="10">
        <v>3.4000000000000002E-2</v>
      </c>
      <c r="AN5" s="10">
        <f t="shared" ref="AN5" si="2">AM5*AB5</f>
        <v>88740</v>
      </c>
      <c r="AO5" s="8">
        <f>20000+2100+7140+17000+6800+6800+11900+6800+3400+6800</f>
        <v>88740</v>
      </c>
      <c r="AP5" s="8">
        <f>88740</f>
        <v>88740</v>
      </c>
      <c r="AQ5" s="8">
        <v>0</v>
      </c>
      <c r="AR5" s="8"/>
      <c r="AS5" s="8"/>
      <c r="AT5" s="8"/>
    </row>
    <row r="6" spans="1:46" s="11" customFormat="1" ht="13.5" customHeight="1" x14ac:dyDescent="0.15">
      <c r="A6" s="37">
        <v>40683</v>
      </c>
      <c r="B6" s="4" t="s">
        <v>767</v>
      </c>
      <c r="C6" s="8" t="s">
        <v>715</v>
      </c>
      <c r="D6" s="8" t="s">
        <v>716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  <c r="R6" s="46"/>
      <c r="S6" s="8"/>
      <c r="T6" s="8"/>
      <c r="U6" s="8"/>
      <c r="V6" s="10"/>
      <c r="W6" s="8"/>
      <c r="X6" s="8"/>
      <c r="Y6" s="8"/>
      <c r="Z6" s="8"/>
      <c r="AA6" s="8"/>
      <c r="AB6" s="8"/>
      <c r="AC6" s="8"/>
      <c r="AD6" s="8"/>
      <c r="AE6" s="10"/>
      <c r="AF6" s="8"/>
      <c r="AG6" s="8"/>
      <c r="AH6" s="8"/>
      <c r="AI6" s="8"/>
      <c r="AJ6" s="8"/>
      <c r="AK6" s="8"/>
      <c r="AL6" s="8"/>
      <c r="AM6" s="10"/>
      <c r="AN6" s="10"/>
      <c r="AO6" s="8"/>
      <c r="AP6" s="8"/>
      <c r="AQ6" s="8"/>
      <c r="AR6" s="8"/>
      <c r="AS6" s="8"/>
      <c r="AT6" s="8"/>
    </row>
    <row r="7" spans="1:46" ht="13.5" customHeight="1" x14ac:dyDescent="0.15">
      <c r="A7" s="36">
        <v>40828</v>
      </c>
      <c r="B7" s="4" t="s">
        <v>768</v>
      </c>
      <c r="C7" s="4" t="s">
        <v>424</v>
      </c>
      <c r="D7" s="4" t="s">
        <v>425</v>
      </c>
      <c r="E7" s="4" t="s">
        <v>0</v>
      </c>
      <c r="F7" s="4" t="s">
        <v>426</v>
      </c>
      <c r="G7" s="4" t="s">
        <v>427</v>
      </c>
      <c r="H7" s="4" t="s">
        <v>152</v>
      </c>
      <c r="I7" s="12" t="s">
        <v>150</v>
      </c>
      <c r="J7" s="12" t="s">
        <v>152</v>
      </c>
      <c r="K7" s="4" t="s">
        <v>13</v>
      </c>
      <c r="L7" s="4"/>
      <c r="M7" s="4">
        <v>21611588</v>
      </c>
      <c r="N7" s="4">
        <f>109800+675943.83+2016587</f>
        <v>2802330.83</v>
      </c>
      <c r="O7" s="4"/>
      <c r="P7" s="4"/>
      <c r="Q7" s="5" t="s">
        <v>428</v>
      </c>
      <c r="R7" s="45">
        <v>40833</v>
      </c>
      <c r="S7" s="4">
        <v>6484</v>
      </c>
      <c r="T7" s="4"/>
      <c r="U7" s="4" t="s">
        <v>429</v>
      </c>
      <c r="V7" s="6">
        <v>0.03</v>
      </c>
      <c r="W7" s="4">
        <f>(M7+N7)*V7</f>
        <v>732417.56489999988</v>
      </c>
      <c r="X7" s="4">
        <f>450000+198348+3294+3294+16984</f>
        <v>671920</v>
      </c>
      <c r="Y7" s="4">
        <f>671920</f>
        <v>671920</v>
      </c>
      <c r="Z7" s="4">
        <f>W7-X7</f>
        <v>60497.564899999881</v>
      </c>
      <c r="AA7" s="4">
        <f>4265197.5+4242950.9+3025859.91+4034479.9+1567850.44+97508+270377+1714098.95+3539736.87</f>
        <v>22758059.470000003</v>
      </c>
      <c r="AB7" s="4">
        <f>22758059.47</f>
        <v>22758059.469999999</v>
      </c>
      <c r="AC7" s="4">
        <f>4265197.5+4242950.9+3025859.91+4034479.9+1567850.44+97508+270377+1714098.95+3539736.87</f>
        <v>22758059.470000003</v>
      </c>
      <c r="AD7" s="4">
        <f>22758059.47</f>
        <v>22758059.469999999</v>
      </c>
      <c r="AE7" s="6">
        <f>AC7/(M7+N7)</f>
        <v>0.93217560148658873</v>
      </c>
      <c r="AF7" s="4">
        <f>1051455.75+1003000+218186+419369.93+78570.4+75000+150000+2156.25+1302898+19800+819594.71+492264.01+330000+879849.72+198912+744286.71+400000+514413.06+401257.7+420947.77+335610+1127625.6+485700+432992.8+510819.86+157004.28+3975+426384.54+832820+3975+108900+214068+759.5+607120+200000+704605.2+26899.6+13021.16+90000+100000+179500+1687.68+400000+425030+100000+203000+49750+200000+19600+196560+104902+12330+1461571.42+1099999.97</f>
        <v>20358173.619999997</v>
      </c>
      <c r="AG7" s="4">
        <f>19258173.65+1099999.97</f>
        <v>20358173.619999997</v>
      </c>
      <c r="AH7" s="4">
        <f>1646472.75+553000+18186+380000+419369.93+22422.65+394707.68+75000+294260+500504.25+1104550+19800+888743.06+489080.43+350795.94+879849.72+198912+102879+744286.71+400000+347844.4+367030.42+420947.77+137172+335610+1127625.6+485700+432992.8+510819.86+157004.28+11750+3975+426384.54+832820+3975+108900+214068+50000+759.5+53307+607120+200000+704605.2+26899.6+13021.16+102508+100000+179550+2049.1-50000+58279+1687.68+400000+425030+100000+203000+49750+50000+200000+19600+196560+104902-50000+33543+12330-1560+4300+1581922.42+1099999.97</f>
        <v>21886603.420000002</v>
      </c>
      <c r="AI7" s="4"/>
      <c r="AJ7" s="4"/>
      <c r="AK7" s="4"/>
      <c r="AL7" s="4">
        <f>20786603.45+1099999.97</f>
        <v>21886603.419999998</v>
      </c>
      <c r="AM7" s="6">
        <v>3.4000000000000002E-2</v>
      </c>
      <c r="AN7" s="6">
        <f>AM7*AB7</f>
        <v>773774.02197999996</v>
      </c>
      <c r="AO7" s="4">
        <f>145017+144260+102879+137172+53307+3315+9193+58279+120351</f>
        <v>773773</v>
      </c>
      <c r="AP7" s="4">
        <f>773773</f>
        <v>773773</v>
      </c>
      <c r="AQ7" s="4">
        <v>0</v>
      </c>
      <c r="AR7" s="4"/>
      <c r="AS7" s="4">
        <v>140</v>
      </c>
      <c r="AT7" s="4" t="s">
        <v>423</v>
      </c>
    </row>
    <row r="8" spans="1:46" ht="13.5" customHeight="1" x14ac:dyDescent="0.15">
      <c r="A8" s="36">
        <v>40909</v>
      </c>
      <c r="B8" s="4" t="s">
        <v>769</v>
      </c>
      <c r="C8" s="4" t="s">
        <v>542</v>
      </c>
      <c r="D8" s="4" t="s">
        <v>546</v>
      </c>
      <c r="E8" s="4" t="s">
        <v>0</v>
      </c>
      <c r="F8" s="4" t="s">
        <v>547</v>
      </c>
      <c r="G8" s="4" t="s">
        <v>492</v>
      </c>
      <c r="H8" s="4" t="s">
        <v>272</v>
      </c>
      <c r="I8" s="4" t="s">
        <v>181</v>
      </c>
      <c r="J8" s="4" t="s">
        <v>182</v>
      </c>
      <c r="K8" s="4" t="s">
        <v>176</v>
      </c>
      <c r="L8" s="4"/>
      <c r="M8" s="4">
        <v>1950000</v>
      </c>
      <c r="N8" s="4">
        <f>2700000+3000000+581535</f>
        <v>6281535</v>
      </c>
      <c r="O8" s="4"/>
      <c r="P8" s="4"/>
      <c r="Q8" s="5" t="s">
        <v>548</v>
      </c>
      <c r="R8" s="45">
        <v>41045</v>
      </c>
      <c r="S8" s="4">
        <v>585</v>
      </c>
      <c r="T8" s="4"/>
      <c r="U8" s="4" t="s">
        <v>429</v>
      </c>
      <c r="V8" s="6">
        <v>0.03</v>
      </c>
      <c r="W8" s="4">
        <f>(M8+N8)*V8</f>
        <v>246946.05</v>
      </c>
      <c r="X8" s="4">
        <f>70200+97200+62100</f>
        <v>229500</v>
      </c>
      <c r="Y8" s="4">
        <f>229500</f>
        <v>229500</v>
      </c>
      <c r="Z8" s="4">
        <f>W8-X8</f>
        <v>17446.049999999988</v>
      </c>
      <c r="AA8" s="4">
        <f>1600000+1000000+1300000+1470000+100000+1100000+1661535</f>
        <v>8231535</v>
      </c>
      <c r="AB8" s="4">
        <f>8231535</f>
        <v>8231535</v>
      </c>
      <c r="AC8" s="4">
        <f>1600000+1000000+1300000+1570000+1100000+1661535</f>
        <v>8231535</v>
      </c>
      <c r="AD8" s="4">
        <f>8231535</f>
        <v>8231535</v>
      </c>
      <c r="AE8" s="6">
        <f>AC8/(M8+N8)</f>
        <v>1</v>
      </c>
      <c r="AF8" s="4">
        <f>1000000+370200+100000+749600+40000+150000+643400+200000+700000+300000+120000+30000+80000+990000+1300000+100000+100000+170000</f>
        <v>7143200</v>
      </c>
      <c r="AG8" s="4">
        <f>7143200</f>
        <v>7143200</v>
      </c>
      <c r="AH8" s="4">
        <f>1054400+370200+100000+34000+949600+40000+44200+450000+643400+200000+1053380+300000+120000+30000+80000+1027400+56492+1300000+100000+100000+170000</f>
        <v>8223072</v>
      </c>
      <c r="AI8" s="4"/>
      <c r="AJ8" s="4"/>
      <c r="AK8" s="4"/>
      <c r="AL8" s="4">
        <f>8223072</f>
        <v>8223072</v>
      </c>
      <c r="AM8" s="6">
        <v>3.4000000000000002E-2</v>
      </c>
      <c r="AN8" s="6">
        <f t="shared" ref="AN8:AN11" si="3">AM8*AB8</f>
        <v>279872.19</v>
      </c>
      <c r="AO8" s="4">
        <f>54400+34000+44200+49980+3400+37400+56492</f>
        <v>279872</v>
      </c>
      <c r="AP8" s="4">
        <f>279872</f>
        <v>279872</v>
      </c>
      <c r="AQ8" s="4">
        <v>0</v>
      </c>
      <c r="AR8" s="4"/>
      <c r="AS8" s="4">
        <v>5</v>
      </c>
      <c r="AT8" s="4" t="s">
        <v>527</v>
      </c>
    </row>
    <row r="9" spans="1:46" ht="13.5" customHeight="1" x14ac:dyDescent="0.15">
      <c r="A9" s="36">
        <v>40909</v>
      </c>
      <c r="B9" s="4" t="s">
        <v>770</v>
      </c>
      <c r="C9" s="4" t="s">
        <v>543</v>
      </c>
      <c r="D9" s="4" t="s">
        <v>549</v>
      </c>
      <c r="E9" s="4" t="s">
        <v>0</v>
      </c>
      <c r="F9" s="4" t="s">
        <v>550</v>
      </c>
      <c r="G9" s="4" t="s">
        <v>492</v>
      </c>
      <c r="H9" s="4" t="s">
        <v>243</v>
      </c>
      <c r="I9" s="4" t="s">
        <v>89</v>
      </c>
      <c r="J9" s="4" t="s">
        <v>88</v>
      </c>
      <c r="K9" s="4" t="s">
        <v>36</v>
      </c>
      <c r="L9" s="4"/>
      <c r="M9" s="4">
        <v>3098310</v>
      </c>
      <c r="N9" s="4"/>
      <c r="O9" s="4"/>
      <c r="P9" s="4"/>
      <c r="Q9" s="5" t="s">
        <v>551</v>
      </c>
      <c r="R9" s="45">
        <v>40957</v>
      </c>
      <c r="S9" s="4">
        <v>930</v>
      </c>
      <c r="T9" s="4"/>
      <c r="U9" s="4" t="s">
        <v>429</v>
      </c>
      <c r="V9" s="6">
        <v>3.5999999999999997E-2</v>
      </c>
      <c r="W9" s="4">
        <f t="shared" ref="W9:W11" si="4">(M9+N9)*V9</f>
        <v>111539.15999999999</v>
      </c>
      <c r="X9" s="4">
        <f>111539</f>
        <v>111539</v>
      </c>
      <c r="Y9" s="4">
        <f>111539</f>
        <v>111539</v>
      </c>
      <c r="Z9" s="4">
        <v>0</v>
      </c>
      <c r="AA9" s="4">
        <f>991274+167881+1014408+290000</f>
        <v>2463563</v>
      </c>
      <c r="AB9" s="4">
        <f>2463563</f>
        <v>2463563</v>
      </c>
      <c r="AC9" s="4">
        <f>991274+167881+1014408+290000</f>
        <v>2463563</v>
      </c>
      <c r="AD9" s="4">
        <f>2463563</f>
        <v>2463563</v>
      </c>
      <c r="AE9" s="6">
        <f t="shared" ref="AE9:AE11" si="5">AC9/(M9+N9)</f>
        <v>0.79513121669555342</v>
      </c>
      <c r="AF9" s="4">
        <f>3717.98+370000+200000+50000+100000+125000+145000+200000+600000+50000+99994+32000+250000</f>
        <v>2225711.98</v>
      </c>
      <c r="AG9" s="4">
        <f>2225711.98</f>
        <v>2225711.98</v>
      </c>
      <c r="AH9" s="4">
        <f>3717.98+353703+200000+150000+150000+125000+5708+145000+15000+234490+600000+50000+99994+32000+9860+250000</f>
        <v>2424472.98</v>
      </c>
      <c r="AI9" s="4"/>
      <c r="AJ9" s="4"/>
      <c r="AK9" s="4"/>
      <c r="AL9" s="4">
        <f>2424472.98</f>
        <v>2424472.98</v>
      </c>
      <c r="AM9" s="6">
        <v>3.4000000000000002E-2</v>
      </c>
      <c r="AN9" s="6">
        <f t="shared" si="3"/>
        <v>83761.142000000007</v>
      </c>
      <c r="AO9" s="4">
        <f>33703+5708+34490+9860</f>
        <v>83761</v>
      </c>
      <c r="AP9" s="4">
        <f>83761</f>
        <v>83761</v>
      </c>
      <c r="AQ9" s="4">
        <v>0</v>
      </c>
      <c r="AR9" s="4"/>
      <c r="AS9" s="4"/>
      <c r="AT9" s="4"/>
    </row>
    <row r="10" spans="1:46" ht="13.5" customHeight="1" x14ac:dyDescent="0.15">
      <c r="A10" s="36">
        <v>40907</v>
      </c>
      <c r="B10" s="4" t="s">
        <v>771</v>
      </c>
      <c r="C10" s="4" t="s">
        <v>544</v>
      </c>
      <c r="D10" s="4" t="s">
        <v>552</v>
      </c>
      <c r="E10" s="4" t="s">
        <v>0</v>
      </c>
      <c r="F10" s="4" t="s">
        <v>553</v>
      </c>
      <c r="G10" s="4" t="s">
        <v>492</v>
      </c>
      <c r="H10" s="4" t="s">
        <v>347</v>
      </c>
      <c r="I10" s="4" t="s">
        <v>348</v>
      </c>
      <c r="J10" s="4" t="s">
        <v>349</v>
      </c>
      <c r="K10" s="4" t="s">
        <v>36</v>
      </c>
      <c r="L10" s="4"/>
      <c r="M10" s="4">
        <f>3405024</f>
        <v>3405024</v>
      </c>
      <c r="N10" s="4"/>
      <c r="O10" s="4"/>
      <c r="P10" s="4"/>
      <c r="Q10" s="5" t="s">
        <v>554</v>
      </c>
      <c r="R10" s="45">
        <v>40974</v>
      </c>
      <c r="S10" s="4">
        <v>1175</v>
      </c>
      <c r="T10" s="4"/>
      <c r="U10" s="4" t="s">
        <v>429</v>
      </c>
      <c r="V10" s="6">
        <v>3.5999999999999997E-2</v>
      </c>
      <c r="W10" s="4">
        <f t="shared" si="4"/>
        <v>122580.86399999999</v>
      </c>
      <c r="X10" s="4">
        <f>122581</f>
        <v>122581</v>
      </c>
      <c r="Y10" s="4">
        <f>122581</f>
        <v>122581</v>
      </c>
      <c r="Z10" s="4">
        <v>0</v>
      </c>
      <c r="AA10" s="4">
        <f>1000000+500000+800000+611296+200000</f>
        <v>3111296</v>
      </c>
      <c r="AB10" s="4">
        <f>3111296</f>
        <v>3111296</v>
      </c>
      <c r="AC10" s="4">
        <f>1000000+500000+800000+611296+200000</f>
        <v>3111296</v>
      </c>
      <c r="AD10" s="4">
        <f>3111296</f>
        <v>3111296</v>
      </c>
      <c r="AE10" s="6">
        <f t="shared" si="5"/>
        <v>0.91373687821289951</v>
      </c>
      <c r="AF10" s="4">
        <f>600000+4698.93+419958+80000+471644.68+50000+117500+35544.86+50000+276000+244492.3+146249</f>
        <v>2496087.77</v>
      </c>
      <c r="AG10" s="4">
        <f>2496087.77</f>
        <v>2496087.77</v>
      </c>
      <c r="AH10" s="4">
        <f>34000+450000+450000+17000+4698.93+419958+80000+27200+471644.68+50000+117500+35544.86+50000+20784+376000+244492.3+6800+194238-0.45</f>
        <v>3049860.32</v>
      </c>
      <c r="AI10" s="4"/>
      <c r="AJ10" s="4"/>
      <c r="AK10" s="4"/>
      <c r="AL10" s="4">
        <f>3049860.32</f>
        <v>3049860.32</v>
      </c>
      <c r="AM10" s="6">
        <v>3.4000000000000002E-2</v>
      </c>
      <c r="AN10" s="6">
        <f t="shared" si="3"/>
        <v>105784.06400000001</v>
      </c>
      <c r="AO10" s="4">
        <f>34000+17000+27200+20784+6800</f>
        <v>105784</v>
      </c>
      <c r="AP10" s="4">
        <f>105784</f>
        <v>105784</v>
      </c>
      <c r="AQ10" s="4">
        <v>0</v>
      </c>
      <c r="AR10" s="4"/>
      <c r="AS10" s="4">
        <v>36</v>
      </c>
      <c r="AT10" s="4" t="s">
        <v>555</v>
      </c>
    </row>
    <row r="11" spans="1:46" ht="13.5" customHeight="1" x14ac:dyDescent="0.15">
      <c r="A11" s="36">
        <v>40909</v>
      </c>
      <c r="B11" s="4" t="s">
        <v>772</v>
      </c>
      <c r="C11" s="4" t="s">
        <v>545</v>
      </c>
      <c r="D11" s="4" t="s">
        <v>556</v>
      </c>
      <c r="E11" s="4" t="s">
        <v>0</v>
      </c>
      <c r="F11" s="4" t="s">
        <v>557</v>
      </c>
      <c r="G11" s="4" t="s">
        <v>492</v>
      </c>
      <c r="H11" s="4" t="s">
        <v>416</v>
      </c>
      <c r="I11" s="12" t="s">
        <v>417</v>
      </c>
      <c r="J11" s="12" t="s">
        <v>418</v>
      </c>
      <c r="K11" s="12" t="s">
        <v>41</v>
      </c>
      <c r="L11" s="4"/>
      <c r="M11" s="4">
        <v>9708632.2599999998</v>
      </c>
      <c r="N11" s="4">
        <f>1657597.98+1188742.02</f>
        <v>2846340</v>
      </c>
      <c r="O11" s="4"/>
      <c r="P11" s="4"/>
      <c r="Q11" s="5" t="s">
        <v>558</v>
      </c>
      <c r="R11" s="45">
        <v>40975</v>
      </c>
      <c r="S11" s="4">
        <v>2913</v>
      </c>
      <c r="T11" s="4"/>
      <c r="U11" s="4" t="s">
        <v>429</v>
      </c>
      <c r="V11" s="6">
        <v>0.03</v>
      </c>
      <c r="W11" s="4">
        <f t="shared" si="4"/>
        <v>376649.1678</v>
      </c>
      <c r="X11" s="4">
        <f>190000+101259+49728+21793</f>
        <v>362780</v>
      </c>
      <c r="Y11" s="4">
        <f>362780</f>
        <v>362780</v>
      </c>
      <c r="Z11" s="4">
        <f t="shared" ref="Z11" si="6">W11-X11</f>
        <v>13869.167799999996</v>
      </c>
      <c r="AA11" s="4">
        <f>2424158.07+1200000+1227158.07+1941726.45+970863.22+414399.5+828798.99+1385557+1700000+3000+459310.96</f>
        <v>12554972.26</v>
      </c>
      <c r="AB11" s="4">
        <f>12554972.26</f>
        <v>12554972.26</v>
      </c>
      <c r="AC11" s="4">
        <f>1827158.07+1200000+1227158.07+1941726.45+970863.22+414399.5+828798.99+1385557+970863.23+600000+459310.96</f>
        <v>11825835.490000002</v>
      </c>
      <c r="AD11" s="4">
        <f>11825835.49</f>
        <v>11825835.49</v>
      </c>
      <c r="AE11" s="6">
        <f t="shared" si="5"/>
        <v>0.9419244618864655</v>
      </c>
      <c r="AF11" s="4">
        <f>299700+567859+200000+79800+30164+10748+50000+100000+41018+136049+586651.1+60000+251229.63+100000+418465.01+91354.89+251460.92+465568.9+1263196.8+100000+8820+250000+200000+80000+129506+199900+148703.7+198000+199900+200000+91574.7+462659+245224.84+216101.48+11775+300000+735165.2+1517.11+227818+536978+300000+297330+6330+199800+299994</f>
        <v>10650362.279999999</v>
      </c>
      <c r="AG11" s="4">
        <f>10650362.28</f>
        <v>10650362.279999999</v>
      </c>
      <c r="AH11" s="4">
        <f>82421+299700+11650.36+567859+200000+79800+130164+10748+50000+100000+41018+240800+136049+628374.1+60000+317248.63+100000+418465.01+91354.89+251460.92+465568.9+1263196.8+100000+8820+250000+200000+80000+162515+14090+199900+148703.7+198000+199900+28179+200000+91574.7+462659+245224.84+216101.48+47109+357800+735165.2+1517.11+227818+102+536978+300000+297330+199800+15617+299994</f>
        <v>11370776.639999999</v>
      </c>
      <c r="AI11" s="4"/>
      <c r="AJ11" s="4">
        <f>11500+6330</f>
        <v>17830</v>
      </c>
      <c r="AK11" s="4">
        <f>275</f>
        <v>275</v>
      </c>
      <c r="AL11" s="4">
        <f>11370776.64+17830+275</f>
        <v>11388881.640000001</v>
      </c>
      <c r="AM11" s="6">
        <v>3.4000000000000002E-2</v>
      </c>
      <c r="AN11" s="6">
        <f t="shared" si="3"/>
        <v>426869.05684000003</v>
      </c>
      <c r="AO11" s="4">
        <f>82421+40800+41723+66019+33009+14090+28179+47109+57800+102+15617</f>
        <v>426869</v>
      </c>
      <c r="AP11" s="4">
        <f>426869</f>
        <v>426869</v>
      </c>
      <c r="AQ11" s="4">
        <v>0</v>
      </c>
      <c r="AR11" s="4"/>
      <c r="AS11" s="4">
        <v>80</v>
      </c>
      <c r="AT11" s="4" t="s">
        <v>527</v>
      </c>
    </row>
    <row r="12" spans="1:46" ht="13.5" customHeight="1" x14ac:dyDescent="0.15">
      <c r="A12" s="36">
        <v>40940</v>
      </c>
      <c r="B12" s="4" t="s">
        <v>773</v>
      </c>
      <c r="C12" s="4" t="s">
        <v>454</v>
      </c>
      <c r="D12" s="4" t="s">
        <v>455</v>
      </c>
      <c r="E12" s="4" t="s">
        <v>0</v>
      </c>
      <c r="F12" s="4" t="s">
        <v>456</v>
      </c>
      <c r="G12" s="4" t="s">
        <v>457</v>
      </c>
      <c r="H12" s="4" t="s">
        <v>458</v>
      </c>
      <c r="I12" s="4" t="s">
        <v>168</v>
      </c>
      <c r="J12" s="4" t="s">
        <v>167</v>
      </c>
      <c r="K12" s="4" t="s">
        <v>459</v>
      </c>
      <c r="L12" s="4"/>
      <c r="M12" s="4">
        <v>14568703.880000001</v>
      </c>
      <c r="N12" s="4">
        <f>311411+339858</f>
        <v>651269</v>
      </c>
      <c r="O12" s="4"/>
      <c r="P12" s="4"/>
      <c r="Q12" s="5" t="s">
        <v>460</v>
      </c>
      <c r="R12" s="45">
        <v>41061</v>
      </c>
      <c r="S12" s="4">
        <v>4371</v>
      </c>
      <c r="T12" s="4"/>
      <c r="U12" s="4" t="s">
        <v>461</v>
      </c>
      <c r="V12" s="6">
        <v>0.03</v>
      </c>
      <c r="W12" s="4">
        <f>(M12+N12)*V12</f>
        <v>456599.18640000001</v>
      </c>
      <c r="X12" s="4">
        <f>437061</f>
        <v>437061</v>
      </c>
      <c r="Y12" s="4">
        <f>437061</f>
        <v>437061</v>
      </c>
      <c r="Z12" s="4">
        <f>W12-X12</f>
        <v>19538.186400000006</v>
      </c>
      <c r="AA12" s="4">
        <f>450000+200000+600000+4000000+650000+800000+350000+100000+250000+1000000+300000+300000+500000+500000+1775108+200000</f>
        <v>11975108</v>
      </c>
      <c r="AB12" s="4">
        <f>11975108</f>
        <v>11975108</v>
      </c>
      <c r="AC12" s="4">
        <f>450000+200000+600000+4000000+650000+800000+350000+100000+250000+1000000+300000+300000+500000+500000+200000+854072</f>
        <v>11054072</v>
      </c>
      <c r="AD12" s="4">
        <f>11054072</f>
        <v>11054072</v>
      </c>
      <c r="AE12" s="6">
        <f>AC12/(M12+N12)</f>
        <v>0.72628723369972259</v>
      </c>
      <c r="AF12" s="4">
        <f>400000+120000+200000+136000+3000000+500000+300000+100000+630000+750000+35000+350000+300000+1000000+100000+145000+35415.75+60000+400000+90000+413200+79200+904010</f>
        <v>10047825.75</v>
      </c>
      <c r="AG12" s="4">
        <f>9143815.75+904010</f>
        <v>10047825.75</v>
      </c>
      <c r="AH12" s="4">
        <f>15300+400000+6800+120000+20400+540000+136000+3000000+500000+300000+100000+22100+630000+27200+750000+46900+350000+3400+8500+300000+34000+1000000+110200+145000+35415.75+60000+10200+300000+17000+400000+107000+413200+79200+967154</f>
        <v>10954969.75</v>
      </c>
      <c r="AI12" s="4"/>
      <c r="AJ12" s="4">
        <v>4010</v>
      </c>
      <c r="AK12" s="4"/>
      <c r="AL12" s="4">
        <f>9987815.75+971164</f>
        <v>10958979.75</v>
      </c>
      <c r="AM12" s="6">
        <v>3.4000000000000002E-2</v>
      </c>
      <c r="AN12" s="6">
        <f>AM12*AB12</f>
        <v>407153.67200000002</v>
      </c>
      <c r="AO12" s="4">
        <f>15300+6800+20400+136000+22100+27200+11900+3400+8500+34000+10200+10200+17000+17000+67154</f>
        <v>407154</v>
      </c>
      <c r="AP12" s="4">
        <f>340000+67154</f>
        <v>407154</v>
      </c>
      <c r="AQ12" s="4">
        <v>0</v>
      </c>
      <c r="AR12" s="4"/>
      <c r="AS12" s="4">
        <v>220</v>
      </c>
      <c r="AT12" s="4" t="s">
        <v>462</v>
      </c>
    </row>
    <row r="13" spans="1:46" ht="13.5" customHeight="1" x14ac:dyDescent="0.15">
      <c r="A13" s="36">
        <v>40940</v>
      </c>
      <c r="B13" s="4" t="s">
        <v>774</v>
      </c>
      <c r="C13" s="4" t="s">
        <v>559</v>
      </c>
      <c r="D13" s="4" t="s">
        <v>565</v>
      </c>
      <c r="E13" s="4" t="s">
        <v>0</v>
      </c>
      <c r="F13" s="4" t="s">
        <v>566</v>
      </c>
      <c r="G13" s="4" t="s">
        <v>492</v>
      </c>
      <c r="H13" s="4" t="s">
        <v>567</v>
      </c>
      <c r="I13" s="4" t="s">
        <v>63</v>
      </c>
      <c r="J13" s="4" t="s">
        <v>64</v>
      </c>
      <c r="K13" s="4" t="s">
        <v>459</v>
      </c>
      <c r="L13" s="4"/>
      <c r="M13" s="4">
        <v>20000000</v>
      </c>
      <c r="N13" s="4">
        <v>5102771</v>
      </c>
      <c r="O13" s="4"/>
      <c r="P13" s="4">
        <v>25102771</v>
      </c>
      <c r="Q13" s="5" t="s">
        <v>568</v>
      </c>
      <c r="R13" s="45">
        <v>40981</v>
      </c>
      <c r="S13" s="4">
        <v>6000</v>
      </c>
      <c r="T13" s="4"/>
      <c r="U13" s="4" t="s">
        <v>14</v>
      </c>
      <c r="V13" s="6">
        <v>0.03</v>
      </c>
      <c r="W13" s="4">
        <f>P13*V13</f>
        <v>753083.13</v>
      </c>
      <c r="X13" s="4">
        <f>300000+300000+153083</f>
        <v>753083</v>
      </c>
      <c r="Y13" s="4">
        <f>753083</f>
        <v>753083</v>
      </c>
      <c r="Z13" s="4">
        <v>0</v>
      </c>
      <c r="AA13" s="4">
        <f>3000000+4000000+5000000+2000000+9000000+847632.45</f>
        <v>23847632.449999999</v>
      </c>
      <c r="AB13" s="4">
        <f>23847632.45</f>
        <v>23847632.449999999</v>
      </c>
      <c r="AC13" s="4">
        <f>3000000+4000000+3000000+2000000+2000000+9000000+847632.45</f>
        <v>23847632.449999999</v>
      </c>
      <c r="AD13" s="4">
        <f>23847632.45</f>
        <v>23847632.449999999</v>
      </c>
      <c r="AE13" s="6">
        <f t="shared" ref="AE13:AE18" si="7">AC13/(M13+N13)</f>
        <v>0.95</v>
      </c>
      <c r="AF13" s="4">
        <f>998508.51+1340269.41+100000+1621348.82+2825848+372325.86+200000+1233950+200000+600000+400000+1091065+242634+102567.74+1530500+110000+553675+174796.83+5973955+1075908+95508+1499083+699782+54000</f>
        <v>23095725.170000002</v>
      </c>
      <c r="AG13" s="4">
        <f>23095725.17</f>
        <v>23095725.170000002</v>
      </c>
      <c r="AH13" s="4">
        <f>1200508.51+1340269.41+100000+136000+1971348.82-180000+2825848+372325.86+200000+1233950+200000+600000+146370+1091065+196264+102567.74+1598500+110000+553675+174796.83+6308775+1075908+95508+1499083+699782+141087+54000</f>
        <v>23847632.170000002</v>
      </c>
      <c r="AI13" s="4"/>
      <c r="AJ13" s="4"/>
      <c r="AK13" s="4"/>
      <c r="AL13" s="4">
        <f>23847632.17</f>
        <v>23847632.170000002</v>
      </c>
      <c r="AM13" s="6">
        <v>3.4000000000000002E-2</v>
      </c>
      <c r="AN13" s="6">
        <f>AM13*AB13</f>
        <v>810819.50329999998</v>
      </c>
      <c r="AO13" s="4">
        <f>102000+136000+170000+68000+306000+28820</f>
        <v>810820</v>
      </c>
      <c r="AP13" s="4">
        <f>810820</f>
        <v>810820</v>
      </c>
      <c r="AQ13" s="4">
        <v>0</v>
      </c>
      <c r="AR13" s="4"/>
      <c r="AS13" s="4">
        <v>50</v>
      </c>
      <c r="AT13" s="4" t="s">
        <v>299</v>
      </c>
    </row>
    <row r="14" spans="1:46" ht="13.5" customHeight="1" x14ac:dyDescent="0.15">
      <c r="A14" s="36">
        <v>40940</v>
      </c>
      <c r="B14" s="4" t="s">
        <v>775</v>
      </c>
      <c r="C14" s="4" t="s">
        <v>560</v>
      </c>
      <c r="D14" s="4" t="s">
        <v>569</v>
      </c>
      <c r="E14" s="4" t="s">
        <v>0</v>
      </c>
      <c r="F14" s="4" t="s">
        <v>570</v>
      </c>
      <c r="G14" s="4" t="s">
        <v>571</v>
      </c>
      <c r="H14" s="4" t="s">
        <v>572</v>
      </c>
      <c r="I14" s="4" t="s">
        <v>330</v>
      </c>
      <c r="J14" s="4" t="s">
        <v>329</v>
      </c>
      <c r="K14" s="4" t="s">
        <v>36</v>
      </c>
      <c r="L14" s="4"/>
      <c r="M14" s="4">
        <v>33000000</v>
      </c>
      <c r="N14" s="4"/>
      <c r="O14" s="4"/>
      <c r="P14" s="4"/>
      <c r="Q14" s="5" t="s">
        <v>573</v>
      </c>
      <c r="R14" s="45">
        <v>41095</v>
      </c>
      <c r="S14" s="4">
        <v>10752</v>
      </c>
      <c r="T14" s="4"/>
      <c r="U14" s="4" t="s">
        <v>14</v>
      </c>
      <c r="V14" s="6">
        <v>3.5000000000000003E-2</v>
      </c>
      <c r="W14" s="4">
        <f t="shared" ref="W14:W18" si="8">(M14+N14)*V14</f>
        <v>1155000</v>
      </c>
      <c r="X14" s="4">
        <f>400000+400000+355000</f>
        <v>1155000</v>
      </c>
      <c r="Y14" s="4">
        <f>1155000</f>
        <v>1155000</v>
      </c>
      <c r="Z14" s="4">
        <f t="shared" ref="Z14:Z17" si="9">W14-X14</f>
        <v>0</v>
      </c>
      <c r="AA14" s="4">
        <f>3000000+3000000+10000000+1520000+520000+680000+2000000+2000000</f>
        <v>22720000</v>
      </c>
      <c r="AB14" s="4">
        <f>22720000</f>
        <v>22720000</v>
      </c>
      <c r="AC14" s="4">
        <f>3000000+3000000+10000000+1520000+1200000+2000000+1000000</f>
        <v>21720000</v>
      </c>
      <c r="AD14" s="4">
        <f>21720000</f>
        <v>21720000</v>
      </c>
      <c r="AE14" s="6">
        <f t="shared" si="7"/>
        <v>0.6581818181818182</v>
      </c>
      <c r="AF14" s="4">
        <f>1679990+1001295.36+130000+978000+1540174.58+300000+1052873.64+2261880+500000+600000+250000+600000+2207400+900000+300000+250000+2199508+300000+1583785+999997.89</f>
        <v>19634904.469999999</v>
      </c>
      <c r="AG14" s="4">
        <f>19634904.47</f>
        <v>19634904.469999999</v>
      </c>
      <c r="AH14" s="4">
        <f>1781990+1001295.36+130000+1080000+1540174.58+300000+1552873.64+2601880+1000000+500000+600000+250000+100000+2207400+900000+300000+51680+267680+23120+2199508+300000+1947192+68000+999997.89</f>
        <v>21702791.469999999</v>
      </c>
      <c r="AI14" s="4"/>
      <c r="AJ14" s="4"/>
      <c r="AK14" s="4"/>
      <c r="AL14" s="4">
        <f>21702791.47</f>
        <v>21702791.469999999</v>
      </c>
      <c r="AM14" s="6">
        <v>3.4000000000000002E-2</v>
      </c>
      <c r="AN14" s="6">
        <f>AM14*AB14</f>
        <v>772480</v>
      </c>
      <c r="AO14" s="4">
        <f>102000+102000+340000+51680+17680+23120+68000+68000</f>
        <v>772480</v>
      </c>
      <c r="AP14" s="4">
        <f>772480</f>
        <v>772480</v>
      </c>
      <c r="AQ14" s="4">
        <f t="shared" ref="AQ14:AQ17" si="10">AN14-AP14</f>
        <v>0</v>
      </c>
      <c r="AR14" s="4"/>
      <c r="AS14" s="4"/>
      <c r="AT14" s="4"/>
    </row>
    <row r="15" spans="1:46" ht="13.5" customHeight="1" x14ac:dyDescent="0.15">
      <c r="A15" s="36">
        <v>40940</v>
      </c>
      <c r="B15" s="4" t="s">
        <v>776</v>
      </c>
      <c r="C15" s="4" t="s">
        <v>561</v>
      </c>
      <c r="D15" s="4" t="s">
        <v>574</v>
      </c>
      <c r="E15" s="4" t="s">
        <v>0</v>
      </c>
      <c r="F15" s="4" t="s">
        <v>575</v>
      </c>
      <c r="G15" s="4" t="s">
        <v>576</v>
      </c>
      <c r="H15" s="4" t="s">
        <v>572</v>
      </c>
      <c r="I15" s="4" t="s">
        <v>330</v>
      </c>
      <c r="J15" s="4" t="s">
        <v>329</v>
      </c>
      <c r="K15" s="4" t="s">
        <v>36</v>
      </c>
      <c r="L15" s="4"/>
      <c r="M15" s="4">
        <v>20000000</v>
      </c>
      <c r="N15" s="4"/>
      <c r="O15" s="4"/>
      <c r="P15" s="4"/>
      <c r="Q15" s="5" t="s">
        <v>577</v>
      </c>
      <c r="R15" s="45">
        <v>41081</v>
      </c>
      <c r="S15" s="4">
        <v>6465</v>
      </c>
      <c r="T15" s="4"/>
      <c r="U15" s="4" t="s">
        <v>14</v>
      </c>
      <c r="V15" s="6">
        <v>3.5000000000000003E-2</v>
      </c>
      <c r="W15" s="4">
        <f t="shared" si="8"/>
        <v>700000.00000000012</v>
      </c>
      <c r="X15" s="4">
        <f>110000+100000+200000+290000</f>
        <v>700000</v>
      </c>
      <c r="Y15" s="4">
        <f>700000</f>
        <v>700000</v>
      </c>
      <c r="Z15" s="4">
        <f t="shared" si="9"/>
        <v>0</v>
      </c>
      <c r="AA15" s="4">
        <f>2000000+2000000+6000000+4000000+2000000+1000000+500000+1000000</f>
        <v>18500000</v>
      </c>
      <c r="AB15" s="4">
        <f>18500000</f>
        <v>18500000</v>
      </c>
      <c r="AC15" s="4">
        <f>2000000+2000000+6000000+4000000+2000000+500000+1000000</f>
        <v>17500000</v>
      </c>
      <c r="AD15" s="4">
        <f>17500000</f>
        <v>17500000</v>
      </c>
      <c r="AE15" s="6">
        <f t="shared" si="7"/>
        <v>0.875</v>
      </c>
      <c r="AF15" s="4">
        <f>1513509.72+300000+100000+1840000+5689588.88+500000+500000+1052873.64+1000000+616972.46+565225.4+500000+999620+400000+100000+100000+2200+203342.4+550000</f>
        <v>16533332.5</v>
      </c>
      <c r="AG15" s="4">
        <f>16533332.5</f>
        <v>16533332.5</v>
      </c>
      <c r="AH15" s="4">
        <f>1610203.63+300000+68000+100000+1840000+5893588.88+136000+1000000+1052873.64+1000000+616972.46+68000+681085.4+500000+999620+34000+17000+400000+100000+34000+50000+100000+203342.4-50000+550000</f>
        <v>17304686.41</v>
      </c>
      <c r="AI15" s="4"/>
      <c r="AJ15" s="4"/>
      <c r="AK15" s="4">
        <v>2200</v>
      </c>
      <c r="AL15" s="4">
        <f>17304686.41+2200</f>
        <v>17306886.41</v>
      </c>
      <c r="AM15" s="6">
        <v>3.4000000000000002E-2</v>
      </c>
      <c r="AN15" s="6">
        <f>AM15*AB15</f>
        <v>629000</v>
      </c>
      <c r="AO15" s="4">
        <f>68000+68000+204000+136000+68000+34000+17000+34000</f>
        <v>629000</v>
      </c>
      <c r="AP15" s="4">
        <f>629000</f>
        <v>629000</v>
      </c>
      <c r="AQ15" s="4">
        <f t="shared" si="10"/>
        <v>0</v>
      </c>
      <c r="AR15" s="4"/>
      <c r="AS15" s="4"/>
      <c r="AT15" s="4"/>
    </row>
    <row r="16" spans="1:46" ht="13.5" customHeight="1" x14ac:dyDescent="0.15">
      <c r="A16" s="36">
        <v>40969</v>
      </c>
      <c r="B16" s="4" t="s">
        <v>777</v>
      </c>
      <c r="C16" s="4" t="s">
        <v>562</v>
      </c>
      <c r="D16" s="4" t="s">
        <v>578</v>
      </c>
      <c r="E16" s="4" t="s">
        <v>0</v>
      </c>
      <c r="F16" s="4" t="s">
        <v>579</v>
      </c>
      <c r="G16" s="4" t="s">
        <v>576</v>
      </c>
      <c r="H16" s="4" t="s">
        <v>580</v>
      </c>
      <c r="I16" s="4" t="s">
        <v>181</v>
      </c>
      <c r="J16" s="4" t="s">
        <v>182</v>
      </c>
      <c r="K16" s="4" t="s">
        <v>176</v>
      </c>
      <c r="L16" s="4"/>
      <c r="M16" s="4">
        <v>15000000</v>
      </c>
      <c r="N16" s="4">
        <f>60000</f>
        <v>60000</v>
      </c>
      <c r="O16" s="4"/>
      <c r="P16" s="4"/>
      <c r="Q16" s="5" t="s">
        <v>581</v>
      </c>
      <c r="R16" s="45">
        <v>40989</v>
      </c>
      <c r="S16" s="4">
        <v>4500</v>
      </c>
      <c r="T16" s="4"/>
      <c r="U16" s="4" t="s">
        <v>14</v>
      </c>
      <c r="V16" s="6">
        <v>0.03</v>
      </c>
      <c r="W16" s="4">
        <f t="shared" si="8"/>
        <v>451800</v>
      </c>
      <c r="X16" s="4">
        <f>315000+135000</f>
        <v>450000</v>
      </c>
      <c r="Y16" s="4">
        <f>450000</f>
        <v>450000</v>
      </c>
      <c r="Z16" s="4">
        <f t="shared" si="9"/>
        <v>1800</v>
      </c>
      <c r="AA16" s="4">
        <f>3000000+3000000+4000000+500000+1400000+500000</f>
        <v>12400000</v>
      </c>
      <c r="AB16" s="4">
        <f>12400000</f>
        <v>12400000</v>
      </c>
      <c r="AC16" s="4">
        <f>3000000+3000000+4000000+500000+1400000+500000</f>
        <v>12400000</v>
      </c>
      <c r="AD16" s="4">
        <f>12400000</f>
        <v>12400000</v>
      </c>
      <c r="AE16" s="6">
        <f t="shared" si="7"/>
        <v>0.82337317397078358</v>
      </c>
      <c r="AF16" s="4">
        <f>1355000+452661.19+300000+100000+2340+145000+9375+294565.5+200000+450000+200000+142020+795868+172117+162900+900000+1835778.2+450000+446864.58+300000+200000+300000+150000+260000+30000+13500+400000+200000+1347334.09+499000</f>
        <v>12114323.559999999</v>
      </c>
      <c r="AG16" s="4">
        <f>12114323.56</f>
        <v>12114323.560000001</v>
      </c>
      <c r="AH16" s="4">
        <f>1469000+440661.19+300000+100000+2340+145000+9375+294565.5+200000+552000+200000+142020+795868+172117+162900+900000+1835778.2+450000+446864.58+250000+250000+300000+150000+260000+30000+13500+17000+400000+200000+1394934.09+516000</f>
        <v>12399923.559999999</v>
      </c>
      <c r="AI16" s="4"/>
      <c r="AJ16" s="4"/>
      <c r="AK16" s="4"/>
      <c r="AL16" s="4">
        <f>12399923.56</f>
        <v>12399923.560000001</v>
      </c>
      <c r="AM16" s="6">
        <v>3.4000000000000002E-2</v>
      </c>
      <c r="AN16" s="6">
        <f>AM16*AB16</f>
        <v>421600.00000000006</v>
      </c>
      <c r="AO16" s="4">
        <f>102000+102000+136000+17000+17000+47600</f>
        <v>421600</v>
      </c>
      <c r="AP16" s="4">
        <f>421600</f>
        <v>421600</v>
      </c>
      <c r="AQ16" s="4">
        <f t="shared" si="10"/>
        <v>0</v>
      </c>
      <c r="AR16" s="4"/>
      <c r="AS16" s="4">
        <v>25</v>
      </c>
      <c r="AT16" s="4" t="s">
        <v>582</v>
      </c>
    </row>
    <row r="17" spans="1:46" ht="13.5" customHeight="1" x14ac:dyDescent="0.15">
      <c r="A17" s="36">
        <v>41000</v>
      </c>
      <c r="B17" s="4" t="s">
        <v>778</v>
      </c>
      <c r="C17" s="4" t="s">
        <v>563</v>
      </c>
      <c r="D17" s="4" t="s">
        <v>583</v>
      </c>
      <c r="E17" s="4" t="s">
        <v>0</v>
      </c>
      <c r="F17" s="4"/>
      <c r="G17" s="4" t="s">
        <v>576</v>
      </c>
      <c r="H17" s="4" t="s">
        <v>40</v>
      </c>
      <c r="I17" s="4" t="s">
        <v>23</v>
      </c>
      <c r="J17" s="4" t="s">
        <v>40</v>
      </c>
      <c r="K17" s="4" t="s">
        <v>584</v>
      </c>
      <c r="L17" s="4"/>
      <c r="M17" s="4">
        <v>1315898</v>
      </c>
      <c r="N17" s="4"/>
      <c r="O17" s="4"/>
      <c r="P17" s="4"/>
      <c r="Q17" s="5"/>
      <c r="R17" s="45"/>
      <c r="S17" s="4"/>
      <c r="T17" s="4"/>
      <c r="U17" s="4" t="s">
        <v>14</v>
      </c>
      <c r="V17" s="6">
        <v>3.5999999999999997E-2</v>
      </c>
      <c r="W17" s="4">
        <f t="shared" si="8"/>
        <v>47372.327999999994</v>
      </c>
      <c r="X17" s="4"/>
      <c r="Y17" s="4"/>
      <c r="Z17" s="4">
        <f t="shared" si="9"/>
        <v>47372.327999999994</v>
      </c>
      <c r="AA17" s="4"/>
      <c r="AB17" s="4"/>
      <c r="AC17" s="4"/>
      <c r="AD17" s="4"/>
      <c r="AE17" s="6">
        <f t="shared" si="7"/>
        <v>0</v>
      </c>
      <c r="AF17" s="4"/>
      <c r="AG17" s="4"/>
      <c r="AH17" s="4"/>
      <c r="AI17" s="4"/>
      <c r="AJ17" s="4"/>
      <c r="AK17" s="4"/>
      <c r="AL17" s="4"/>
      <c r="AM17" s="6">
        <v>3.4000000000000002E-2</v>
      </c>
      <c r="AN17" s="6">
        <f t="shared" ref="AN17:AN18" si="11">AM17*AB17</f>
        <v>0</v>
      </c>
      <c r="AO17" s="4"/>
      <c r="AP17" s="4"/>
      <c r="AQ17" s="4">
        <f t="shared" si="10"/>
        <v>0</v>
      </c>
      <c r="AR17" s="4"/>
      <c r="AS17" s="4">
        <v>6</v>
      </c>
      <c r="AT17" s="4" t="s">
        <v>585</v>
      </c>
    </row>
    <row r="18" spans="1:46" ht="13.5" customHeight="1" x14ac:dyDescent="0.15">
      <c r="A18" s="36">
        <v>40988</v>
      </c>
      <c r="B18" s="4" t="s">
        <v>779</v>
      </c>
      <c r="C18" s="4" t="s">
        <v>564</v>
      </c>
      <c r="D18" s="4" t="s">
        <v>586</v>
      </c>
      <c r="E18" s="4" t="s">
        <v>0</v>
      </c>
      <c r="F18" s="4" t="s">
        <v>587</v>
      </c>
      <c r="G18" s="4" t="s">
        <v>576</v>
      </c>
      <c r="H18" s="4" t="s">
        <v>312</v>
      </c>
      <c r="I18" s="4" t="s">
        <v>313</v>
      </c>
      <c r="J18" s="4" t="s">
        <v>312</v>
      </c>
      <c r="K18" s="4" t="s">
        <v>36</v>
      </c>
      <c r="L18" s="4"/>
      <c r="M18" s="4">
        <v>1523208.31</v>
      </c>
      <c r="N18" s="4"/>
      <c r="O18" s="4"/>
      <c r="P18" s="4"/>
      <c r="Q18" s="5" t="s">
        <v>588</v>
      </c>
      <c r="R18" s="45">
        <v>41748</v>
      </c>
      <c r="S18" s="4">
        <v>538</v>
      </c>
      <c r="T18" s="4"/>
      <c r="U18" s="4" t="s">
        <v>14</v>
      </c>
      <c r="V18" s="6">
        <v>3.5999999999999997E-2</v>
      </c>
      <c r="W18" s="4">
        <f t="shared" si="8"/>
        <v>54835.499159999999</v>
      </c>
      <c r="X18" s="4">
        <f>54835.5</f>
        <v>54835.5</v>
      </c>
      <c r="Y18" s="4">
        <f>54835.5</f>
        <v>54835.5</v>
      </c>
      <c r="Z18" s="4">
        <v>0</v>
      </c>
      <c r="AA18" s="4">
        <f>358401.96+300000+500000+136325.1</f>
        <v>1294727.06</v>
      </c>
      <c r="AB18" s="4">
        <f>1294727.06</f>
        <v>1294727.06</v>
      </c>
      <c r="AC18" s="4">
        <f>358401.96+300000+500000+136325.1</f>
        <v>1294727.06</v>
      </c>
      <c r="AD18" s="4">
        <f>1294727.06</f>
        <v>1294727.06</v>
      </c>
      <c r="AE18" s="6">
        <f t="shared" si="7"/>
        <v>0.84999999770221846</v>
      </c>
      <c r="AF18" s="4">
        <f>89910+39984+105000+42000+161181.05+137145.99+20155+5376.03+20000+24300+100000+161500+50000+2600+90500</f>
        <v>1049652.07</v>
      </c>
      <c r="AG18" s="4">
        <f>1049652.07</f>
        <v>1049652.07</v>
      </c>
      <c r="AH18" s="4">
        <f>104246.41+39984+105000+42000+171381.05+137145.99+20155+5376.03+20000+124300+100000+178500+50000+2600+98800+95135</f>
        <v>1294623.48</v>
      </c>
      <c r="AI18" s="4"/>
      <c r="AJ18" s="4"/>
      <c r="AK18" s="4"/>
      <c r="AL18" s="4">
        <f>1294623.48</f>
        <v>1294623.48</v>
      </c>
      <c r="AM18" s="6">
        <v>3.4000000000000002E-2</v>
      </c>
      <c r="AN18" s="6">
        <f t="shared" si="11"/>
        <v>44020.720040000007</v>
      </c>
      <c r="AO18" s="4">
        <f>12186+10200+17000+4635</f>
        <v>44021</v>
      </c>
      <c r="AP18" s="4">
        <f>44021</f>
        <v>44021</v>
      </c>
      <c r="AQ18" s="4">
        <v>0</v>
      </c>
      <c r="AR18" s="4"/>
      <c r="AS18" s="4">
        <v>20</v>
      </c>
      <c r="AT18" s="4" t="s">
        <v>589</v>
      </c>
    </row>
    <row r="19" spans="1:46" ht="13.5" customHeight="1" x14ac:dyDescent="0.15">
      <c r="A19" s="36">
        <v>40988</v>
      </c>
      <c r="B19" s="4" t="s">
        <v>780</v>
      </c>
      <c r="C19" s="4" t="s">
        <v>37</v>
      </c>
      <c r="D19" s="4" t="s">
        <v>43</v>
      </c>
      <c r="E19" s="4" t="s">
        <v>0</v>
      </c>
      <c r="F19" s="4" t="s">
        <v>38</v>
      </c>
      <c r="G19" s="4" t="s">
        <v>39</v>
      </c>
      <c r="H19" s="4" t="s">
        <v>40</v>
      </c>
      <c r="I19" s="4" t="s">
        <v>23</v>
      </c>
      <c r="J19" s="4" t="s">
        <v>40</v>
      </c>
      <c r="K19" s="4" t="s">
        <v>41</v>
      </c>
      <c r="L19" s="4"/>
      <c r="M19" s="4">
        <v>3701841.55</v>
      </c>
      <c r="N19" s="4">
        <f>673798.57+367818.86+862170.99+396606.7+2270162.53</f>
        <v>4570557.6500000004</v>
      </c>
      <c r="O19" s="4"/>
      <c r="P19" s="4"/>
      <c r="Q19" s="5" t="s">
        <v>42</v>
      </c>
      <c r="R19" s="45">
        <v>41026</v>
      </c>
      <c r="S19" s="4">
        <v>1049</v>
      </c>
      <c r="T19" s="4"/>
      <c r="U19" s="4" t="s">
        <v>7</v>
      </c>
      <c r="V19" s="6">
        <v>0.03</v>
      </c>
      <c r="W19" s="4">
        <f>(M19+N19)*V19</f>
        <v>248171.976</v>
      </c>
      <c r="X19" s="4">
        <f>19778+100000+60289+38105+30000</f>
        <v>248172</v>
      </c>
      <c r="Y19" s="4">
        <f>248172</f>
        <v>248172</v>
      </c>
      <c r="Z19" s="4">
        <v>0</v>
      </c>
      <c r="AA19" s="4">
        <f>128736.6+220691.31+301760+1295644.55+301762+373430.79+2059943.23+1362097.5+200000+150000+336899.28+331048.78+29775.08+160990.72+30700.46+33331.43</f>
        <v>7316811.7300000004</v>
      </c>
      <c r="AB19" s="4">
        <f>7316811.73</f>
        <v>7316811.7300000004</v>
      </c>
      <c r="AC19" s="4">
        <f>128736.6+220691.31+301760+1295644.55+301762+373430.79+2059943.23+1362097.5+200000+150000+314489+331048.78+190765.8+64031.89</f>
        <v>7294401.4500000002</v>
      </c>
      <c r="AD19" s="4">
        <f>7230369.56+64031.89</f>
        <v>7294401.4499999993</v>
      </c>
      <c r="AE19" s="6">
        <f t="shared" ref="AE19:AE130" si="12">AC19/(M19+N19)</f>
        <v>0.88177580332438499</v>
      </c>
      <c r="AF19" s="4">
        <f>63729.19+29000+132091.41+99800+11240.8+155417.64+21419.52+264321+390323.02+199730.36+40000+15000+151962.19+80000+130570.34+200000+200000+209975+22789+34000+354741+548000+225058+9356+83580+182572+47000+333255.78+79000+1089794.61+154138+109569.6+10000+6000+10000+11000+8500+10000+16000+150000+49978+101600+22000+25000+36660+30000+318296.4+206225.76+43869.34+50000+60000</f>
        <v>6832563.96</v>
      </c>
      <c r="AG19" s="4">
        <f>6832563.96</f>
        <v>6832563.96</v>
      </c>
      <c r="AH19" s="4">
        <f>68106.19+7504+29000+132091.41+99800+11240.8+209729.64+21419.52+264321+390323.02+100000+40000+39912.56+251962.19+90260+130570.34+235336+12697+200000+209975+22789+34000+10614.3+424779+548000+225058+9356+83580+228883+47000+333255.78+79000+1089794.61+154138+3000+109569.6+10000+6000+10000+11000+8500+10000+6800+16000+5100+150000+49978+11455+101600+22000+25000+36660+30000+11256+318296.4+6486+206225.76+43869.34+50000+60000+2177</f>
        <v>7155469.46</v>
      </c>
      <c r="AI19" s="4"/>
      <c r="AJ19" s="4"/>
      <c r="AK19" s="4"/>
      <c r="AL19" s="4">
        <f>7153292.46+2177</f>
        <v>7155469.46</v>
      </c>
      <c r="AM19" s="6">
        <v>3.4000000000000002E-2</v>
      </c>
      <c r="AN19" s="6">
        <f t="shared" ref="AN19:AN83" si="13">AM19*AB19</f>
        <v>248771.59882000004</v>
      </c>
      <c r="AO19" s="4">
        <f>4377+7504+10260+44052+10260+12697+70038+46311+6800+5100+11455+11256+1012+5474+2177</f>
        <v>248773</v>
      </c>
      <c r="AP19" s="4">
        <f>246596+2177</f>
        <v>248773</v>
      </c>
      <c r="AQ19" s="4">
        <v>0</v>
      </c>
      <c r="AR19" s="4"/>
      <c r="AS19" s="4">
        <v>57</v>
      </c>
      <c r="AT19" s="4" t="s">
        <v>30</v>
      </c>
    </row>
    <row r="20" spans="1:46" ht="13.5" customHeight="1" x14ac:dyDescent="0.15">
      <c r="A20" s="36">
        <v>40989</v>
      </c>
      <c r="B20" s="4" t="s">
        <v>781</v>
      </c>
      <c r="C20" s="4" t="s">
        <v>590</v>
      </c>
      <c r="D20" s="4" t="s">
        <v>611</v>
      </c>
      <c r="E20" s="4" t="s">
        <v>0</v>
      </c>
      <c r="F20" s="4" t="s">
        <v>612</v>
      </c>
      <c r="G20" s="4" t="s">
        <v>576</v>
      </c>
      <c r="H20" s="4" t="s">
        <v>613</v>
      </c>
      <c r="I20" s="4" t="s">
        <v>614</v>
      </c>
      <c r="J20" s="4" t="s">
        <v>615</v>
      </c>
      <c r="K20" s="4" t="s">
        <v>13</v>
      </c>
      <c r="L20" s="4"/>
      <c r="M20" s="4">
        <v>5578834.2999999998</v>
      </c>
      <c r="N20" s="4"/>
      <c r="O20" s="4"/>
      <c r="P20" s="4"/>
      <c r="Q20" s="5" t="s">
        <v>616</v>
      </c>
      <c r="R20" s="45">
        <v>40992</v>
      </c>
      <c r="S20" s="4">
        <v>1674</v>
      </c>
      <c r="T20" s="4"/>
      <c r="U20" s="4" t="s">
        <v>617</v>
      </c>
      <c r="V20" s="6">
        <v>3.5999999999999997E-2</v>
      </c>
      <c r="W20" s="4">
        <f t="shared" ref="W20:W40" si="14">(M20+N20)*V20</f>
        <v>200838.03479999996</v>
      </c>
      <c r="X20" s="4">
        <f>200838</f>
        <v>200838</v>
      </c>
      <c r="Y20" s="4">
        <f>200838</f>
        <v>200838</v>
      </c>
      <c r="Z20" s="4">
        <v>0</v>
      </c>
      <c r="AA20" s="4">
        <f>1613000+400000+1153000+250000</f>
        <v>3416000</v>
      </c>
      <c r="AB20" s="4">
        <f>3416000</f>
        <v>3416000</v>
      </c>
      <c r="AC20" s="4">
        <f>1613000+400000+1153000+250000</f>
        <v>3416000</v>
      </c>
      <c r="AD20" s="4">
        <f>3416000</f>
        <v>3416000</v>
      </c>
      <c r="AE20" s="6">
        <f t="shared" si="12"/>
        <v>0.61231429655474801</v>
      </c>
      <c r="AF20" s="4">
        <f>400000+6694.6+102870+30000.01+103028.7+68540.8+87722.4+510309.2-2448.6+123200+100000+8734.34+110468.4+194000+780189.4+379253.2+250000</f>
        <v>3252562.45</v>
      </c>
      <c r="AG20" s="4">
        <f>3252562.45</f>
        <v>3252562.45</v>
      </c>
      <c r="AH20" s="4">
        <f>400000+6694.6+102870+30000.01+190751.1+87609.99+565151.2-2448.6+123200+100000+11000+22334.34+110468.4+205000+39202+780189.4+379253.2+258500</f>
        <v>3409775.64</v>
      </c>
      <c r="AI20" s="4"/>
      <c r="AJ20" s="4"/>
      <c r="AK20" s="4"/>
      <c r="AL20" s="4">
        <f>3409775.64</f>
        <v>3409775.64</v>
      </c>
      <c r="AM20" s="6">
        <v>3.4000000000000002E-2</v>
      </c>
      <c r="AN20" s="6">
        <f t="shared" si="13"/>
        <v>116144.00000000001</v>
      </c>
      <c r="AO20" s="4">
        <f>54842+13600+39202+8500</f>
        <v>116144</v>
      </c>
      <c r="AP20" s="4">
        <f>116144</f>
        <v>116144</v>
      </c>
      <c r="AQ20" s="4">
        <f>AN20-AP20</f>
        <v>0</v>
      </c>
      <c r="AR20" s="4"/>
      <c r="AS20" s="4">
        <v>64</v>
      </c>
      <c r="AT20" s="4" t="s">
        <v>618</v>
      </c>
    </row>
    <row r="21" spans="1:46" ht="13.5" customHeight="1" x14ac:dyDescent="0.15">
      <c r="A21" s="36">
        <v>40998</v>
      </c>
      <c r="B21" s="4" t="s">
        <v>782</v>
      </c>
      <c r="C21" s="4" t="s">
        <v>591</v>
      </c>
      <c r="D21" s="4" t="s">
        <v>619</v>
      </c>
      <c r="E21" s="4" t="s">
        <v>0</v>
      </c>
      <c r="F21" s="4" t="s">
        <v>620</v>
      </c>
      <c r="G21" s="4" t="s">
        <v>621</v>
      </c>
      <c r="H21" s="4" t="s">
        <v>622</v>
      </c>
      <c r="I21" s="4" t="s">
        <v>623</v>
      </c>
      <c r="J21" s="4"/>
      <c r="K21" s="4" t="s">
        <v>97</v>
      </c>
      <c r="L21" s="4"/>
      <c r="M21" s="4">
        <v>5045600</v>
      </c>
      <c r="N21" s="4">
        <f>118800</f>
        <v>118800</v>
      </c>
      <c r="O21" s="4"/>
      <c r="P21" s="4"/>
      <c r="Q21" s="5" t="s">
        <v>624</v>
      </c>
      <c r="R21" s="45">
        <v>41012</v>
      </c>
      <c r="S21" s="4">
        <v>1514</v>
      </c>
      <c r="T21" s="4"/>
      <c r="U21" s="4" t="s">
        <v>617</v>
      </c>
      <c r="V21" s="6">
        <v>3.5999999999999997E-2</v>
      </c>
      <c r="W21" s="4">
        <f t="shared" si="14"/>
        <v>185918.4</v>
      </c>
      <c r="X21" s="4">
        <f>100000+81642.85+4277</f>
        <v>185919.85</v>
      </c>
      <c r="Y21" s="4">
        <f>185919.85</f>
        <v>185919.85</v>
      </c>
      <c r="Z21" s="4">
        <v>0</v>
      </c>
      <c r="AA21" s="4">
        <f>1513680+1513680+1009120+504560+83160</f>
        <v>4624200</v>
      </c>
      <c r="AB21" s="4">
        <f>4624200</f>
        <v>4624200</v>
      </c>
      <c r="AC21" s="4">
        <f>1513680+1000000+513680+1009120+504560+83160+113214.86</f>
        <v>4737414.8600000003</v>
      </c>
      <c r="AD21" s="4">
        <f>4737414.86</f>
        <v>4737414.8600000003</v>
      </c>
      <c r="AE21" s="6">
        <f t="shared" si="12"/>
        <v>0.91732144295561935</v>
      </c>
      <c r="AF21" s="4">
        <f>1200000+100000+50000+97257.25+420200+225903.68+50000+140000+100000+308774.17+30000+620000+125498.57+350000+100000+25350+70000+52896.65+97117.61+40000+73214.86</f>
        <v>4276212.79</v>
      </c>
      <c r="AG21" s="4">
        <f>4276212.79</f>
        <v>4276212.79</v>
      </c>
      <c r="AH21" s="4">
        <f>1306054.72+50859.65+100000+20000+97257.25+100000+474843.85+225903.68+50000+140000+100000+308774.17+209643.85+620000+125498.57+280000+70000+100000+25350+70000+52896.65+97117.61+40000+73214.86</f>
        <v>4737414.8600000013</v>
      </c>
      <c r="AI21" s="4"/>
      <c r="AJ21" s="4"/>
      <c r="AK21" s="4"/>
      <c r="AL21" s="4">
        <f>4737414.86</f>
        <v>4737414.8600000003</v>
      </c>
      <c r="AM21" s="6"/>
      <c r="AN21" s="6">
        <f t="shared" si="13"/>
        <v>0</v>
      </c>
      <c r="AO21" s="4"/>
      <c r="AP21" s="4"/>
      <c r="AQ21" s="4">
        <f t="shared" ref="AQ21:AQ40" si="15">AN21-AP21</f>
        <v>0</v>
      </c>
      <c r="AR21" s="4"/>
      <c r="AS21" s="4">
        <v>54</v>
      </c>
      <c r="AT21" s="4" t="s">
        <v>623</v>
      </c>
    </row>
    <row r="22" spans="1:46" ht="13.5" customHeight="1" x14ac:dyDescent="0.15">
      <c r="A22" s="36">
        <v>41006</v>
      </c>
      <c r="B22" s="4" t="s">
        <v>783</v>
      </c>
      <c r="C22" s="4" t="s">
        <v>592</v>
      </c>
      <c r="D22" s="4" t="s">
        <v>625</v>
      </c>
      <c r="E22" s="4" t="s">
        <v>0</v>
      </c>
      <c r="F22" s="4" t="s">
        <v>626</v>
      </c>
      <c r="G22" s="4" t="s">
        <v>576</v>
      </c>
      <c r="H22" s="4" t="s">
        <v>627</v>
      </c>
      <c r="I22" s="4" t="s">
        <v>628</v>
      </c>
      <c r="J22" s="4" t="s">
        <v>629</v>
      </c>
      <c r="K22" s="4" t="s">
        <v>584</v>
      </c>
      <c r="L22" s="4"/>
      <c r="M22" s="4">
        <v>4328546</v>
      </c>
      <c r="N22" s="4"/>
      <c r="O22" s="4"/>
      <c r="P22" s="4"/>
      <c r="Q22" s="5" t="s">
        <v>630</v>
      </c>
      <c r="R22" s="45">
        <v>41100</v>
      </c>
      <c r="S22" s="4">
        <v>1299</v>
      </c>
      <c r="T22" s="4"/>
      <c r="U22" s="4" t="s">
        <v>617</v>
      </c>
      <c r="V22" s="6">
        <v>4.5999999999999999E-2</v>
      </c>
      <c r="W22" s="4">
        <f t="shared" si="14"/>
        <v>199113.11600000001</v>
      </c>
      <c r="X22" s="4">
        <f>60000+100000+39113</f>
        <v>199113</v>
      </c>
      <c r="Y22" s="4">
        <f>199113</f>
        <v>199113</v>
      </c>
      <c r="Z22" s="4">
        <v>0</v>
      </c>
      <c r="AA22" s="4">
        <f>346284+1038851+1731418+346284</f>
        <v>3462837</v>
      </c>
      <c r="AB22" s="4">
        <f>3462837</f>
        <v>3462837</v>
      </c>
      <c r="AC22" s="4">
        <f>346284+1038851+1731418+346284</f>
        <v>3462837</v>
      </c>
      <c r="AD22" s="4">
        <f>3462837</f>
        <v>3462837</v>
      </c>
      <c r="AE22" s="6">
        <f t="shared" si="12"/>
        <v>0.80000004620489185</v>
      </c>
      <c r="AF22" s="4">
        <f>5194.26+292000+27000+586600+191000+232400+438050+50000+499820+310000+250000+60000+11000+70000+35385+200000+14500+6000</f>
        <v>3278949.26</v>
      </c>
      <c r="AG22" s="4">
        <f>3278949.26</f>
        <v>3278949.26</v>
      </c>
      <c r="AH22" s="4">
        <f>308968.26+27000+35321+586600+191000+232400+496918+50000+499820+310000+250000+107612.5+13183.7+2000+81774+35385+200000+14500+15753.4-15753.4+14153.4+6000</f>
        <v>3462635.86</v>
      </c>
      <c r="AI22" s="4"/>
      <c r="AJ22" s="4"/>
      <c r="AK22" s="4"/>
      <c r="AL22" s="4">
        <f>3462635.86</f>
        <v>3462635.86</v>
      </c>
      <c r="AM22" s="6">
        <v>3.4000000000000002E-2</v>
      </c>
      <c r="AN22" s="6">
        <f t="shared" si="13"/>
        <v>117736.45800000001</v>
      </c>
      <c r="AO22" s="4">
        <f>11774+35321+58868+11774</f>
        <v>117737</v>
      </c>
      <c r="AP22" s="4">
        <f>117737</f>
        <v>117737</v>
      </c>
      <c r="AQ22" s="4">
        <v>0</v>
      </c>
      <c r="AR22" s="4"/>
      <c r="AS22" s="4">
        <v>55</v>
      </c>
      <c r="AT22" s="4" t="s">
        <v>589</v>
      </c>
    </row>
    <row r="23" spans="1:46" ht="13.5" customHeight="1" x14ac:dyDescent="0.15">
      <c r="A23" s="36">
        <v>41000</v>
      </c>
      <c r="B23" s="4" t="s">
        <v>784</v>
      </c>
      <c r="C23" s="4" t="s">
        <v>593</v>
      </c>
      <c r="D23" s="4" t="s">
        <v>631</v>
      </c>
      <c r="E23" s="4" t="s">
        <v>0</v>
      </c>
      <c r="F23" s="4" t="s">
        <v>632</v>
      </c>
      <c r="G23" s="4" t="s">
        <v>576</v>
      </c>
      <c r="H23" s="4" t="s">
        <v>88</v>
      </c>
      <c r="I23" s="4" t="s">
        <v>89</v>
      </c>
      <c r="J23" s="4" t="s">
        <v>88</v>
      </c>
      <c r="K23" s="4" t="s">
        <v>13</v>
      </c>
      <c r="L23" s="4"/>
      <c r="M23" s="4">
        <v>416950</v>
      </c>
      <c r="N23" s="4">
        <v>36973.599999999999</v>
      </c>
      <c r="O23" s="4"/>
      <c r="P23" s="4">
        <v>453923.6</v>
      </c>
      <c r="Q23" s="5" t="s">
        <v>633</v>
      </c>
      <c r="R23" s="45">
        <v>41032</v>
      </c>
      <c r="S23" s="4">
        <v>126</v>
      </c>
      <c r="T23" s="4"/>
      <c r="U23" s="4" t="s">
        <v>617</v>
      </c>
      <c r="V23" s="6">
        <v>3.5999999999999997E-2</v>
      </c>
      <c r="W23" s="4">
        <f>P23*V23</f>
        <v>16341.249599999997</v>
      </c>
      <c r="X23" s="4">
        <f>15010</f>
        <v>15010</v>
      </c>
      <c r="Y23" s="4">
        <f>15010</f>
        <v>15010</v>
      </c>
      <c r="Z23" s="4">
        <f t="shared" ref="Z23:Z36" si="16">W23-Y23</f>
        <v>1331.2495999999974</v>
      </c>
      <c r="AA23" s="4">
        <f>304434+49974+76820</f>
        <v>431228</v>
      </c>
      <c r="AB23" s="4">
        <f>431228</f>
        <v>431228</v>
      </c>
      <c r="AC23" s="4">
        <f>304434+49974+76820</f>
        <v>431228</v>
      </c>
      <c r="AD23" s="4">
        <f>431228</f>
        <v>431228</v>
      </c>
      <c r="AE23" s="6">
        <f t="shared" si="12"/>
        <v>0.95000127774806165</v>
      </c>
      <c r="AF23" s="4">
        <f>60500+50000+75000+70000</f>
        <v>255500</v>
      </c>
      <c r="AG23" s="4">
        <f>255500</f>
        <v>255500</v>
      </c>
      <c r="AH23" s="4">
        <f>10351+160500+50000+75000+58557+72612</f>
        <v>427020</v>
      </c>
      <c r="AI23" s="4"/>
      <c r="AJ23" s="4"/>
      <c r="AK23" s="4"/>
      <c r="AL23" s="4">
        <f>427020</f>
        <v>427020</v>
      </c>
      <c r="AM23" s="6">
        <v>3.4000000000000002E-2</v>
      </c>
      <c r="AN23" s="6">
        <f t="shared" si="13"/>
        <v>14661.752</v>
      </c>
      <c r="AO23" s="4">
        <f>10351+2612+1699</f>
        <v>14662</v>
      </c>
      <c r="AP23" s="4">
        <f>14662</f>
        <v>14662</v>
      </c>
      <c r="AQ23" s="4">
        <v>0</v>
      </c>
      <c r="AR23" s="4"/>
      <c r="AS23" s="4"/>
      <c r="AT23" s="4"/>
    </row>
    <row r="24" spans="1:46" ht="13.5" customHeight="1" x14ac:dyDescent="0.15">
      <c r="A24" s="36">
        <v>41031</v>
      </c>
      <c r="B24" s="4" t="s">
        <v>785</v>
      </c>
      <c r="C24" s="4" t="s">
        <v>594</v>
      </c>
      <c r="D24" s="4" t="s">
        <v>634</v>
      </c>
      <c r="E24" s="4" t="s">
        <v>0</v>
      </c>
      <c r="F24" s="4" t="s">
        <v>635</v>
      </c>
      <c r="G24" s="4" t="s">
        <v>576</v>
      </c>
      <c r="H24" s="4" t="s">
        <v>88</v>
      </c>
      <c r="I24" s="4" t="s">
        <v>89</v>
      </c>
      <c r="J24" s="4" t="s">
        <v>88</v>
      </c>
      <c r="K24" s="4" t="s">
        <v>13</v>
      </c>
      <c r="L24" s="4"/>
      <c r="M24" s="4">
        <v>1785000</v>
      </c>
      <c r="N24" s="4"/>
      <c r="O24" s="4"/>
      <c r="P24" s="4"/>
      <c r="Q24" s="5" t="s">
        <v>636</v>
      </c>
      <c r="R24" s="45">
        <v>41032</v>
      </c>
      <c r="S24" s="4">
        <v>536</v>
      </c>
      <c r="T24" s="4"/>
      <c r="U24" s="4" t="s">
        <v>617</v>
      </c>
      <c r="V24" s="6">
        <v>3.5999999999999997E-2</v>
      </c>
      <c r="W24" s="4">
        <f t="shared" si="14"/>
        <v>64259.999999999993</v>
      </c>
      <c r="X24" s="4">
        <f>64260</f>
        <v>64260</v>
      </c>
      <c r="Y24" s="4">
        <f>64260</f>
        <v>64260</v>
      </c>
      <c r="Z24" s="4">
        <f t="shared" si="16"/>
        <v>0</v>
      </c>
      <c r="AA24" s="4">
        <f>500000</f>
        <v>500000</v>
      </c>
      <c r="AB24" s="4">
        <f>500000</f>
        <v>500000</v>
      </c>
      <c r="AC24" s="4">
        <f>200000+300000</f>
        <v>500000</v>
      </c>
      <c r="AD24" s="4">
        <f>500000</f>
        <v>500000</v>
      </c>
      <c r="AE24" s="6">
        <f t="shared" si="12"/>
        <v>0.28011204481792717</v>
      </c>
      <c r="AF24" s="4">
        <f>2142+301400+19699+50000+5355+2400+15000</f>
        <v>395996</v>
      </c>
      <c r="AG24" s="4">
        <f>395996</f>
        <v>395996</v>
      </c>
      <c r="AH24" s="4">
        <f>2142+103045.97+301400+19699+50000+5355+2400+15000</f>
        <v>499041.97</v>
      </c>
      <c r="AI24" s="4"/>
      <c r="AJ24" s="4"/>
      <c r="AK24" s="4"/>
      <c r="AL24" s="4">
        <f>499041.97</f>
        <v>499041.97</v>
      </c>
      <c r="AM24" s="6">
        <v>3.4000000000000002E-2</v>
      </c>
      <c r="AN24" s="6">
        <f t="shared" si="13"/>
        <v>17000</v>
      </c>
      <c r="AO24" s="4">
        <f>17000</f>
        <v>17000</v>
      </c>
      <c r="AP24" s="4">
        <f>17000</f>
        <v>17000</v>
      </c>
      <c r="AQ24" s="4">
        <f t="shared" si="15"/>
        <v>0</v>
      </c>
      <c r="AR24" s="4"/>
      <c r="AS24" s="4">
        <v>20</v>
      </c>
      <c r="AT24" s="4" t="s">
        <v>589</v>
      </c>
    </row>
    <row r="25" spans="1:46" ht="13.5" customHeight="1" x14ac:dyDescent="0.15">
      <c r="A25" s="36">
        <v>41039</v>
      </c>
      <c r="B25" s="4" t="s">
        <v>786</v>
      </c>
      <c r="C25" s="4" t="s">
        <v>595</v>
      </c>
      <c r="D25" s="4" t="s">
        <v>637</v>
      </c>
      <c r="E25" s="4" t="s">
        <v>0</v>
      </c>
      <c r="F25" s="4" t="s">
        <v>147</v>
      </c>
      <c r="G25" s="4" t="s">
        <v>576</v>
      </c>
      <c r="H25" s="4" t="s">
        <v>638</v>
      </c>
      <c r="I25" s="4" t="s">
        <v>324</v>
      </c>
      <c r="J25" s="4" t="s">
        <v>325</v>
      </c>
      <c r="K25" s="4" t="s">
        <v>36</v>
      </c>
      <c r="L25" s="4"/>
      <c r="M25" s="4">
        <v>2220000</v>
      </c>
      <c r="N25" s="4">
        <v>351000</v>
      </c>
      <c r="O25" s="4"/>
      <c r="P25" s="4">
        <v>2571000</v>
      </c>
      <c r="Q25" s="5" t="s">
        <v>639</v>
      </c>
      <c r="R25" s="45">
        <v>41075</v>
      </c>
      <c r="S25" s="4">
        <v>666</v>
      </c>
      <c r="T25" s="4"/>
      <c r="U25" s="4" t="s">
        <v>617</v>
      </c>
      <c r="V25" s="6">
        <v>3.5999999999999997E-2</v>
      </c>
      <c r="W25" s="4">
        <f>P25*V25</f>
        <v>92556</v>
      </c>
      <c r="X25" s="4">
        <f>79920+12636</f>
        <v>92556</v>
      </c>
      <c r="Y25" s="4">
        <f>92556</f>
        <v>92556</v>
      </c>
      <c r="Z25" s="4">
        <f t="shared" si="16"/>
        <v>0</v>
      </c>
      <c r="AA25" s="4">
        <f>300000+500000+300000+150000+150000+80000+70000</f>
        <v>1550000</v>
      </c>
      <c r="AB25" s="4">
        <f>1550000</f>
        <v>1550000</v>
      </c>
      <c r="AC25" s="4">
        <f>300000+500000+300000+150000+50000+80000+150000</f>
        <v>1530000</v>
      </c>
      <c r="AD25" s="4">
        <f>1530000</f>
        <v>1530000</v>
      </c>
      <c r="AE25" s="6">
        <f t="shared" si="12"/>
        <v>0.59509918319719957</v>
      </c>
      <c r="AF25" s="4">
        <f>200000+57888.89+29370+93077.11+200000+100000+50000+79600+144900</f>
        <v>954836</v>
      </c>
      <c r="AG25" s="4">
        <f>954836</f>
        <v>954836</v>
      </c>
      <c r="AH25" s="4">
        <f>200000+2664+57888.89+29370+417000+93077.11+200000+10200+100000+50000+50000+10200+79600+80000+150000</f>
        <v>1530000</v>
      </c>
      <c r="AI25" s="4"/>
      <c r="AJ25" s="4"/>
      <c r="AK25" s="4"/>
      <c r="AL25" s="4">
        <f>1530000</f>
        <v>1530000</v>
      </c>
      <c r="AM25" s="6">
        <v>3.4000000000000002E-2</v>
      </c>
      <c r="AN25" s="6">
        <f t="shared" si="13"/>
        <v>52700.000000000007</v>
      </c>
      <c r="AO25" s="4">
        <f>10200+17000+10200+5100+5100+2720+2380</f>
        <v>52700</v>
      </c>
      <c r="AP25" s="4">
        <f>52700</f>
        <v>52700</v>
      </c>
      <c r="AQ25" s="4">
        <f t="shared" si="15"/>
        <v>0</v>
      </c>
      <c r="AR25" s="4"/>
      <c r="AS25" s="4">
        <v>26</v>
      </c>
      <c r="AT25" s="4" t="s">
        <v>589</v>
      </c>
    </row>
    <row r="26" spans="1:46" ht="13.5" customHeight="1" x14ac:dyDescent="0.15">
      <c r="A26" s="36">
        <v>41030</v>
      </c>
      <c r="B26" s="4" t="s">
        <v>787</v>
      </c>
      <c r="C26" s="4" t="s">
        <v>596</v>
      </c>
      <c r="D26" s="4" t="s">
        <v>640</v>
      </c>
      <c r="E26" s="4" t="s">
        <v>0</v>
      </c>
      <c r="F26" s="4" t="s">
        <v>108</v>
      </c>
      <c r="G26" s="4" t="s">
        <v>641</v>
      </c>
      <c r="H26" s="4" t="s">
        <v>642</v>
      </c>
      <c r="I26" s="4" t="s">
        <v>111</v>
      </c>
      <c r="J26" s="4" t="s">
        <v>110</v>
      </c>
      <c r="K26" s="4" t="s">
        <v>5</v>
      </c>
      <c r="L26" s="4"/>
      <c r="M26" s="4">
        <v>5473241</v>
      </c>
      <c r="N26" s="4">
        <v>47753</v>
      </c>
      <c r="O26" s="4"/>
      <c r="P26" s="4">
        <v>5520994</v>
      </c>
      <c r="Q26" s="5"/>
      <c r="R26" s="45"/>
      <c r="S26" s="4"/>
      <c r="T26" s="4"/>
      <c r="U26" s="4" t="s">
        <v>617</v>
      </c>
      <c r="V26" s="6">
        <v>0.03</v>
      </c>
      <c r="W26" s="4">
        <f t="shared" si="14"/>
        <v>165629.82</v>
      </c>
      <c r="X26" s="4">
        <f>90000+74197</f>
        <v>164197</v>
      </c>
      <c r="Y26" s="4">
        <f>164197</f>
        <v>164197</v>
      </c>
      <c r="Z26" s="4">
        <f t="shared" si="16"/>
        <v>1432.820000000007</v>
      </c>
      <c r="AA26" s="4">
        <f>1322945+1000000+2055647.8+1142401.2</f>
        <v>5520994</v>
      </c>
      <c r="AB26" s="4">
        <f>5520994</f>
        <v>5520994</v>
      </c>
      <c r="AC26" s="4">
        <f>1162945+909653+1927065+218929.8+866351.5+160000</f>
        <v>5244944.3</v>
      </c>
      <c r="AD26" s="4">
        <f>5244944.3</f>
        <v>5244944.3</v>
      </c>
      <c r="AE26" s="6">
        <f t="shared" si="12"/>
        <v>0.95</v>
      </c>
      <c r="AF26" s="4">
        <f>50000+23200+555000+300368.12+100000+100000+30000+200500+100000+200000+10124+999840+142554.07+99900+499500+190000+154571+258000+30000+200000+200000+139896</f>
        <v>4583453.1899999995</v>
      </c>
      <c r="AG26" s="4">
        <f>4583453.19</f>
        <v>4583453.1900000004</v>
      </c>
      <c r="AH26" s="4">
        <f>144847.83+73200+555000+300368.12+200000+33900+172286.6+30000+200500+100000-4000+200000+10124+69686.45+999840+142554.07+99900+200000+499500+190000+154571+258000+30000+200000+200000+178623.4</f>
        <v>5238901.4700000007</v>
      </c>
      <c r="AI26" s="4"/>
      <c r="AJ26" s="4"/>
      <c r="AK26" s="4"/>
      <c r="AL26" s="4">
        <f>5238901.47</f>
        <v>5238901.47</v>
      </c>
      <c r="AM26" s="6">
        <v>3.7400000000000003E-2</v>
      </c>
      <c r="AN26" s="6">
        <f t="shared" si="13"/>
        <v>206485.17560000002</v>
      </c>
      <c r="AO26" s="4"/>
      <c r="AP26" s="4"/>
      <c r="AQ26" s="4">
        <v>0</v>
      </c>
      <c r="AR26" s="4"/>
      <c r="AS26" s="4"/>
      <c r="AT26" s="4"/>
    </row>
    <row r="27" spans="1:46" ht="13.5" customHeight="1" x14ac:dyDescent="0.15">
      <c r="A27" s="36">
        <v>41050</v>
      </c>
      <c r="B27" s="4" t="s">
        <v>788</v>
      </c>
      <c r="C27" s="4" t="s">
        <v>597</v>
      </c>
      <c r="D27" s="4" t="s">
        <v>643</v>
      </c>
      <c r="E27" s="4" t="s">
        <v>0</v>
      </c>
      <c r="F27" s="4" t="s">
        <v>644</v>
      </c>
      <c r="G27" s="4" t="s">
        <v>641</v>
      </c>
      <c r="H27" s="4" t="s">
        <v>645</v>
      </c>
      <c r="I27" s="4" t="s">
        <v>646</v>
      </c>
      <c r="J27" s="4" t="s">
        <v>645</v>
      </c>
      <c r="K27" s="4" t="s">
        <v>647</v>
      </c>
      <c r="L27" s="4"/>
      <c r="M27" s="4">
        <v>36296483</v>
      </c>
      <c r="N27" s="4">
        <f>1253588+40000</f>
        <v>1293588</v>
      </c>
      <c r="O27" s="4"/>
      <c r="P27" s="4"/>
      <c r="Q27" s="5"/>
      <c r="R27" s="45"/>
      <c r="S27" s="4"/>
      <c r="T27" s="4"/>
      <c r="U27" s="4" t="s">
        <v>617</v>
      </c>
      <c r="V27" s="6">
        <v>0.03</v>
      </c>
      <c r="W27" s="4">
        <f t="shared" si="14"/>
        <v>1127702.1299999999</v>
      </c>
      <c r="X27" s="4">
        <f>490000+600000+37608</f>
        <v>1127608</v>
      </c>
      <c r="Y27" s="4">
        <f>1127608</f>
        <v>1127608</v>
      </c>
      <c r="Z27" s="4">
        <f t="shared" si="16"/>
        <v>94.129999999888241</v>
      </c>
      <c r="AA27" s="4">
        <f>5444472+2164382+4345789+2851726+6739403+4216458+2939846+3657865+947453</f>
        <v>33307394</v>
      </c>
      <c r="AB27" s="4">
        <f>33307394</f>
        <v>33307394</v>
      </c>
      <c r="AC27" s="4">
        <f>5444472+2164382+4345789+2851726+6739403+4216458+2939846+3657865+947453</f>
        <v>33307394</v>
      </c>
      <c r="AD27" s="4">
        <f>33307394</f>
        <v>33307394</v>
      </c>
      <c r="AE27" s="6">
        <f t="shared" si="12"/>
        <v>0.88606893027682765</v>
      </c>
      <c r="AF27" s="4">
        <f>2023245.24+1809287.26+1259200+298474.2+686250+73710+2736836.36+1403852.66+1000000+300000+641649+4915194.1+186000+481000+200000+486000+1396224.28+150060+43540.3+986000+835180.6+1260950+490000+2063376.56+1432695.84+496000+976500</f>
        <v>28631226.400000002</v>
      </c>
      <c r="AG27" s="4">
        <f>28631226.4</f>
        <v>28631226.399999999</v>
      </c>
      <c r="AH27" s="4">
        <f>3402860.63+1809287.26+1259200+298474.2+686250+147082.54+2736836.36+1581174.91+1000000+300000+96673.51+1041649+5000+200000+150000+5515194.1+557403.69+494477.32+200000+486000+1696224.28+150060+800000+5000+43540.3+986000+835180.6+1260950+490000+2063376.56-155000+1432695.84+496000+223662.41+1008618.66-800000+800000-5000+135833</f>
        <v>33434705.170000002</v>
      </c>
      <c r="AI27" s="4"/>
      <c r="AJ27" s="4"/>
      <c r="AK27" s="4"/>
      <c r="AL27" s="4">
        <f>33434705.17</f>
        <v>33434705.170000002</v>
      </c>
      <c r="AM27" s="6">
        <v>3.7400000000000003E-2</v>
      </c>
      <c r="AN27" s="6">
        <f t="shared" si="13"/>
        <v>1245696.5356000001</v>
      </c>
      <c r="AO27" s="4"/>
      <c r="AP27" s="4"/>
      <c r="AQ27" s="4">
        <v>0</v>
      </c>
      <c r="AR27" s="4"/>
      <c r="AS27" s="4">
        <v>320</v>
      </c>
      <c r="AT27" s="4" t="s">
        <v>648</v>
      </c>
    </row>
    <row r="28" spans="1:46" ht="13.5" customHeight="1" x14ac:dyDescent="0.15">
      <c r="A28" s="36">
        <v>41030</v>
      </c>
      <c r="B28" s="4" t="s">
        <v>789</v>
      </c>
      <c r="C28" s="4" t="s">
        <v>598</v>
      </c>
      <c r="D28" s="4" t="s">
        <v>649</v>
      </c>
      <c r="E28" s="4" t="s">
        <v>0</v>
      </c>
      <c r="F28" s="4" t="s">
        <v>650</v>
      </c>
      <c r="G28" s="4" t="s">
        <v>571</v>
      </c>
      <c r="H28" s="4" t="s">
        <v>651</v>
      </c>
      <c r="I28" s="4" t="s">
        <v>355</v>
      </c>
      <c r="J28" s="4" t="s">
        <v>356</v>
      </c>
      <c r="K28" s="4" t="s">
        <v>36</v>
      </c>
      <c r="L28" s="4"/>
      <c r="M28" s="4">
        <v>3831227.57</v>
      </c>
      <c r="N28" s="4"/>
      <c r="O28" s="4"/>
      <c r="P28" s="4"/>
      <c r="Q28" s="5" t="s">
        <v>652</v>
      </c>
      <c r="R28" s="45">
        <v>41094</v>
      </c>
      <c r="S28" s="4">
        <v>1150</v>
      </c>
      <c r="T28" s="4"/>
      <c r="U28" s="4" t="s">
        <v>617</v>
      </c>
      <c r="V28" s="6">
        <v>3.5999999999999997E-2</v>
      </c>
      <c r="W28" s="4">
        <f t="shared" si="14"/>
        <v>137924.19251999998</v>
      </c>
      <c r="X28" s="4">
        <f>137924</f>
        <v>137924</v>
      </c>
      <c r="Y28" s="4">
        <f>137924</f>
        <v>137924</v>
      </c>
      <c r="Z28" s="4">
        <v>0</v>
      </c>
      <c r="AA28" s="4">
        <f>2272947+1500000+58233</f>
        <v>3831180</v>
      </c>
      <c r="AB28" s="4">
        <f>3831180</f>
        <v>3831180</v>
      </c>
      <c r="AC28" s="4">
        <f>500000+500000+300000+300000+300000+330000+200000+600000</f>
        <v>3030000</v>
      </c>
      <c r="AD28" s="4">
        <f>3030000</f>
        <v>3030000</v>
      </c>
      <c r="AE28" s="6">
        <f t="shared" si="12"/>
        <v>0.79086923045920765</v>
      </c>
      <c r="AF28" s="4">
        <f>241200+90000+305345.5+278208.63+150000+63612.2+100000+334800+375200+187500+600000</f>
        <v>2725866.33</v>
      </c>
      <c r="AG28" s="4">
        <f>2725866.33</f>
        <v>2725866.33</v>
      </c>
      <c r="AH28" s="4">
        <f>128280+241200+90000+365345.5+328208.63+80000+21147.8+150000+63612.2+100000-60000+334800+375200+1980+187500+600000</f>
        <v>3007274.13</v>
      </c>
      <c r="AI28" s="4"/>
      <c r="AJ28" s="4"/>
      <c r="AK28" s="4"/>
      <c r="AL28" s="4">
        <f>3007274.13</f>
        <v>3007274.13</v>
      </c>
      <c r="AM28" s="6">
        <v>3.4000000000000002E-2</v>
      </c>
      <c r="AN28" s="6">
        <f t="shared" si="13"/>
        <v>130260.12000000001</v>
      </c>
      <c r="AO28" s="4">
        <f>77280+51000+1980</f>
        <v>130260</v>
      </c>
      <c r="AP28" s="4">
        <f>130260</f>
        <v>130260</v>
      </c>
      <c r="AQ28" s="4">
        <v>0</v>
      </c>
      <c r="AR28" s="4"/>
      <c r="AS28" s="4">
        <v>31</v>
      </c>
      <c r="AT28" s="4" t="s">
        <v>582</v>
      </c>
    </row>
    <row r="29" spans="1:46" ht="13.5" customHeight="1" x14ac:dyDescent="0.15">
      <c r="A29" s="36">
        <v>41073</v>
      </c>
      <c r="B29" s="4" t="s">
        <v>790</v>
      </c>
      <c r="C29" s="4" t="s">
        <v>599</v>
      </c>
      <c r="D29" s="4" t="s">
        <v>653</v>
      </c>
      <c r="E29" s="4" t="s">
        <v>0</v>
      </c>
      <c r="F29" s="4" t="s">
        <v>654</v>
      </c>
      <c r="G29" s="4" t="s">
        <v>576</v>
      </c>
      <c r="H29" s="4" t="s">
        <v>655</v>
      </c>
      <c r="I29" s="4" t="s">
        <v>23</v>
      </c>
      <c r="J29" s="4" t="s">
        <v>22</v>
      </c>
      <c r="K29" s="4" t="s">
        <v>13</v>
      </c>
      <c r="L29" s="4"/>
      <c r="M29" s="4">
        <v>1444588.7</v>
      </c>
      <c r="N29" s="4">
        <f>848584.4+921636.07</f>
        <v>1770220.47</v>
      </c>
      <c r="O29" s="4"/>
      <c r="P29" s="4"/>
      <c r="Q29" s="5" t="s">
        <v>656</v>
      </c>
      <c r="R29" s="45">
        <v>41101</v>
      </c>
      <c r="S29" s="4">
        <f>434+255+277</f>
        <v>966</v>
      </c>
      <c r="T29" s="4"/>
      <c r="U29" s="4" t="s">
        <v>617</v>
      </c>
      <c r="V29" s="6">
        <v>3.5999999999999997E-2</v>
      </c>
      <c r="W29" s="4">
        <f t="shared" si="14"/>
        <v>115733.13011999999</v>
      </c>
      <c r="X29" s="4">
        <f>50000+65733</f>
        <v>115733</v>
      </c>
      <c r="Y29" s="4">
        <f>115733</f>
        <v>115733</v>
      </c>
      <c r="Z29" s="4">
        <v>0</v>
      </c>
      <c r="AA29" s="4">
        <f>92163.61+144458.87+84858.44+212146.1+803702.3+374867.89+216688.31+92163.61+84858.44+144458.87+100000+150000</f>
        <v>2500366.4400000004</v>
      </c>
      <c r="AB29" s="4">
        <f>2500366.44</f>
        <v>2500366.44</v>
      </c>
      <c r="AC29" s="4">
        <f>236622.48+84858.44+212146.1+803702.3+374867.89+216688.31+321480.92+100000+150000</f>
        <v>2500366.44</v>
      </c>
      <c r="AD29" s="4">
        <f>2500366.44</f>
        <v>2500366.44</v>
      </c>
      <c r="AE29" s="6">
        <f t="shared" si="12"/>
        <v>0.77776512003665832</v>
      </c>
      <c r="AF29" s="4">
        <f>195915.13+35000+40276.22+35000+166000+30000+288750+23900+300000+200000+269290.75+100000+300000+99600+143900+2700</f>
        <v>2230332.1</v>
      </c>
      <c r="AG29" s="4">
        <f>2230332.1</f>
        <v>2230332.1</v>
      </c>
      <c r="AH29" s="4">
        <f>206846.13+35000+40276.22+35000+173213+57326+288750+36025+300000+12746+200000+276657.75+164790+100000+310931+3400+100000+5100-100000+99600+143790+2700</f>
        <v>2492151.1</v>
      </c>
      <c r="AI29" s="4"/>
      <c r="AJ29" s="4"/>
      <c r="AK29" s="4"/>
      <c r="AL29" s="4">
        <f>2492151.1</f>
        <v>2492151.1</v>
      </c>
      <c r="AM29" s="6">
        <v>3.4000000000000002E-2</v>
      </c>
      <c r="AN29" s="6">
        <f t="shared" si="13"/>
        <v>85012.458960000004</v>
      </c>
      <c r="AO29" s="4">
        <f>3134+4912+2885+7213+27326+12746+7367+3134+2885+4912+3400+5100</f>
        <v>85014</v>
      </c>
      <c r="AP29" s="4">
        <f>85014</f>
        <v>85014</v>
      </c>
      <c r="AQ29" s="4">
        <v>0</v>
      </c>
      <c r="AR29" s="4"/>
      <c r="AS29" s="4">
        <v>31</v>
      </c>
      <c r="AT29" s="4" t="s">
        <v>673</v>
      </c>
    </row>
    <row r="30" spans="1:46" ht="13.5" customHeight="1" x14ac:dyDescent="0.15">
      <c r="A30" s="36">
        <v>41092</v>
      </c>
      <c r="B30" s="4" t="s">
        <v>791</v>
      </c>
      <c r="C30" s="4" t="s">
        <v>600</v>
      </c>
      <c r="D30" s="4" t="s">
        <v>674</v>
      </c>
      <c r="E30" s="4" t="s">
        <v>0</v>
      </c>
      <c r="F30" s="4" t="s">
        <v>675</v>
      </c>
      <c r="G30" s="4" t="s">
        <v>676</v>
      </c>
      <c r="H30" s="4" t="s">
        <v>247</v>
      </c>
      <c r="I30" s="8" t="s">
        <v>248</v>
      </c>
      <c r="J30" s="8" t="s">
        <v>258</v>
      </c>
      <c r="K30" s="8" t="s">
        <v>13</v>
      </c>
      <c r="L30" s="4"/>
      <c r="M30" s="4">
        <v>1508400</v>
      </c>
      <c r="N30" s="4"/>
      <c r="O30" s="4"/>
      <c r="P30" s="4"/>
      <c r="Q30" s="5" t="s">
        <v>677</v>
      </c>
      <c r="R30" s="45">
        <v>41092</v>
      </c>
      <c r="S30" s="4">
        <v>453</v>
      </c>
      <c r="T30" s="4"/>
      <c r="U30" s="4" t="s">
        <v>678</v>
      </c>
      <c r="V30" s="6">
        <v>3.5999999999999997E-2</v>
      </c>
      <c r="W30" s="4">
        <f t="shared" si="14"/>
        <v>54302.399999999994</v>
      </c>
      <c r="X30" s="4">
        <f>54302</f>
        <v>54302</v>
      </c>
      <c r="Y30" s="4">
        <f>54302</f>
        <v>54302</v>
      </c>
      <c r="Z30" s="4">
        <v>0</v>
      </c>
      <c r="AA30" s="4">
        <f>1050000+140000</f>
        <v>1190000</v>
      </c>
      <c r="AB30" s="4">
        <f>1190000</f>
        <v>1190000</v>
      </c>
      <c r="AC30" s="4">
        <f>1059905+140000</f>
        <v>1199905</v>
      </c>
      <c r="AD30" s="4">
        <f>1199905</f>
        <v>1199905</v>
      </c>
      <c r="AE30" s="6">
        <f t="shared" si="12"/>
        <v>0.79548196764783874</v>
      </c>
      <c r="AF30" s="4">
        <f>50000+156000+50000+60000+281156.93+52145+50000+100000+76530+50000+87360+139040</f>
        <v>1152231.93</v>
      </c>
      <c r="AG30" s="4">
        <f>1152231.93</f>
        <v>1152231.93</v>
      </c>
      <c r="AH30" s="4">
        <f>85700+156000+50000+60000+281156.93+52145+50000+100000+76530+50000+87360+4760+139040</f>
        <v>1192691.93</v>
      </c>
      <c r="AI30" s="4"/>
      <c r="AJ30" s="4"/>
      <c r="AK30" s="4"/>
      <c r="AL30" s="4">
        <f>1192691.93</f>
        <v>1192691.93</v>
      </c>
      <c r="AM30" s="6">
        <v>3.4000000000000002E-2</v>
      </c>
      <c r="AN30" s="6">
        <f t="shared" si="13"/>
        <v>40460</v>
      </c>
      <c r="AO30" s="4">
        <f>35700+4760</f>
        <v>40460</v>
      </c>
      <c r="AP30" s="4">
        <f>40460</f>
        <v>40460</v>
      </c>
      <c r="AQ30" s="4">
        <f t="shared" si="15"/>
        <v>0</v>
      </c>
      <c r="AR30" s="4"/>
      <c r="AS30" s="4">
        <v>7</v>
      </c>
      <c r="AT30" s="4" t="s">
        <v>679</v>
      </c>
    </row>
    <row r="31" spans="1:46" ht="13.5" customHeight="1" x14ac:dyDescent="0.15">
      <c r="A31" s="36">
        <v>41091</v>
      </c>
      <c r="B31" s="4" t="s">
        <v>792</v>
      </c>
      <c r="C31" s="4" t="s">
        <v>601</v>
      </c>
      <c r="D31" s="4" t="s">
        <v>680</v>
      </c>
      <c r="E31" s="4" t="s">
        <v>0</v>
      </c>
      <c r="F31" s="4" t="s">
        <v>681</v>
      </c>
      <c r="G31" s="4" t="s">
        <v>676</v>
      </c>
      <c r="H31" s="4" t="s">
        <v>682</v>
      </c>
      <c r="I31" s="4" t="s">
        <v>23</v>
      </c>
      <c r="J31" s="4" t="s">
        <v>22</v>
      </c>
      <c r="K31" s="4" t="s">
        <v>13</v>
      </c>
      <c r="L31" s="4"/>
      <c r="M31" s="4">
        <v>742782.79</v>
      </c>
      <c r="N31" s="4">
        <f>144141.78+5000</f>
        <v>149141.78</v>
      </c>
      <c r="O31" s="4"/>
      <c r="P31" s="4"/>
      <c r="Q31" s="5" t="s">
        <v>683</v>
      </c>
      <c r="R31" s="45">
        <v>41109</v>
      </c>
      <c r="S31" s="4">
        <v>223</v>
      </c>
      <c r="T31" s="4"/>
      <c r="U31" s="4" t="s">
        <v>678</v>
      </c>
      <c r="V31" s="6">
        <v>3.5999999999999997E-2</v>
      </c>
      <c r="W31" s="4">
        <f t="shared" si="14"/>
        <v>32109.284520000001</v>
      </c>
      <c r="X31" s="4">
        <f>26740+180</f>
        <v>26920</v>
      </c>
      <c r="Y31" s="4">
        <f>26920</f>
        <v>26920</v>
      </c>
      <c r="Z31" s="4">
        <f t="shared" si="16"/>
        <v>5189.2845200000011</v>
      </c>
      <c r="AA31" s="4">
        <f>222834.84+148556.56+259973.98+255559.19+5000</f>
        <v>891924.57000000007</v>
      </c>
      <c r="AB31" s="4">
        <f>891924.57</f>
        <v>891924.57</v>
      </c>
      <c r="AC31" s="4">
        <f>222834.84+619743.44+44346.29+5000</f>
        <v>891924.57</v>
      </c>
      <c r="AD31" s="4">
        <f>891924.57</f>
        <v>891924.57</v>
      </c>
      <c r="AE31" s="6">
        <f t="shared" si="12"/>
        <v>0.99999999999999989</v>
      </c>
      <c r="AF31" s="4">
        <f>50829.4+50000+57415+207721+12932.58+48095.59</f>
        <v>426993.57000000007</v>
      </c>
      <c r="AG31" s="4">
        <f>426993.57</f>
        <v>426993.57</v>
      </c>
      <c r="AH31" s="4">
        <f>21200.54+13890+66995.56+50000+10000+57415+566410+39735.3+12932.58+250+48095.59</f>
        <v>886924.57</v>
      </c>
      <c r="AI31" s="4"/>
      <c r="AJ31" s="4"/>
      <c r="AK31" s="4"/>
      <c r="AL31" s="4">
        <f>886924.57</f>
        <v>886924.57</v>
      </c>
      <c r="AM31" s="6">
        <v>3.4000000000000002E-2</v>
      </c>
      <c r="AN31" s="6">
        <f t="shared" si="13"/>
        <v>30325.435379999999</v>
      </c>
      <c r="AO31" s="4">
        <f>7576+5051+8839+8689+250</f>
        <v>30405</v>
      </c>
      <c r="AP31" s="4">
        <f>30405</f>
        <v>30405</v>
      </c>
      <c r="AQ31" s="4">
        <f t="shared" si="15"/>
        <v>-79.564620000001014</v>
      </c>
      <c r="AR31" s="4"/>
      <c r="AS31" s="4">
        <v>8</v>
      </c>
      <c r="AT31" s="4" t="s">
        <v>673</v>
      </c>
    </row>
    <row r="32" spans="1:46" ht="13.5" customHeight="1" x14ac:dyDescent="0.15">
      <c r="A32" s="36">
        <v>41117</v>
      </c>
      <c r="B32" s="4" t="s">
        <v>793</v>
      </c>
      <c r="C32" s="4" t="s">
        <v>602</v>
      </c>
      <c r="D32" s="4" t="s">
        <v>684</v>
      </c>
      <c r="E32" s="4" t="s">
        <v>0</v>
      </c>
      <c r="F32" s="4" t="s">
        <v>420</v>
      </c>
      <c r="G32" s="4" t="s">
        <v>676</v>
      </c>
      <c r="H32" s="4" t="s">
        <v>88</v>
      </c>
      <c r="I32" s="4" t="s">
        <v>89</v>
      </c>
      <c r="J32" s="4" t="s">
        <v>88</v>
      </c>
      <c r="K32" s="4" t="s">
        <v>13</v>
      </c>
      <c r="L32" s="4"/>
      <c r="M32" s="4">
        <v>328000</v>
      </c>
      <c r="N32" s="4">
        <v>34031</v>
      </c>
      <c r="O32" s="4"/>
      <c r="P32" s="4"/>
      <c r="Q32" s="5" t="s">
        <v>685</v>
      </c>
      <c r="R32" s="45">
        <v>41117</v>
      </c>
      <c r="S32" s="4">
        <v>99</v>
      </c>
      <c r="T32" s="4"/>
      <c r="U32" s="4" t="s">
        <v>678</v>
      </c>
      <c r="V32" s="6">
        <v>3.5999999999999997E-2</v>
      </c>
      <c r="W32" s="4">
        <f t="shared" si="14"/>
        <v>13033.115999999998</v>
      </c>
      <c r="X32" s="4">
        <f>11808+1225</f>
        <v>13033</v>
      </c>
      <c r="Y32" s="4">
        <f>13033</f>
        <v>13033</v>
      </c>
      <c r="Z32" s="4">
        <v>0</v>
      </c>
      <c r="AA32" s="4">
        <f>240168+38632+65130</f>
        <v>343930</v>
      </c>
      <c r="AB32" s="4">
        <f>343930</f>
        <v>343930</v>
      </c>
      <c r="AC32" s="4">
        <f>240168+38632+65130</f>
        <v>343930</v>
      </c>
      <c r="AD32" s="4">
        <f>343930</f>
        <v>343930</v>
      </c>
      <c r="AE32" s="6">
        <f t="shared" si="12"/>
        <v>0.95000151920691878</v>
      </c>
      <c r="AF32" s="4">
        <f>55635.82+12300+31500+15000</f>
        <v>114435.82</v>
      </c>
      <c r="AG32" s="4">
        <f>114435.82</f>
        <v>114435.82</v>
      </c>
      <c r="AH32" s="4">
        <f>158166+55635.82+64998.18+14514+31500+15000</f>
        <v>339814</v>
      </c>
      <c r="AI32" s="4"/>
      <c r="AJ32" s="4"/>
      <c r="AK32" s="4"/>
      <c r="AL32" s="4">
        <v>339814</v>
      </c>
      <c r="AM32" s="6">
        <v>3.4000000000000002E-2</v>
      </c>
      <c r="AN32" s="6">
        <f t="shared" si="13"/>
        <v>11693.62</v>
      </c>
      <c r="AO32" s="4">
        <f>8166+1313+2214</f>
        <v>11693</v>
      </c>
      <c r="AP32" s="4">
        <f>11693</f>
        <v>11693</v>
      </c>
      <c r="AQ32" s="4">
        <v>0</v>
      </c>
      <c r="AR32" s="4"/>
      <c r="AS32" s="4">
        <v>4</v>
      </c>
      <c r="AT32" s="4" t="s">
        <v>679</v>
      </c>
    </row>
    <row r="33" spans="1:46" ht="13.5" customHeight="1" x14ac:dyDescent="0.15">
      <c r="A33" s="36">
        <v>41091</v>
      </c>
      <c r="B33" s="4" t="s">
        <v>794</v>
      </c>
      <c r="C33" s="4" t="s">
        <v>603</v>
      </c>
      <c r="D33" s="4" t="s">
        <v>556</v>
      </c>
      <c r="E33" s="4" t="s">
        <v>0</v>
      </c>
      <c r="F33" s="4" t="s">
        <v>557</v>
      </c>
      <c r="G33" s="4" t="s">
        <v>676</v>
      </c>
      <c r="H33" s="4" t="s">
        <v>416</v>
      </c>
      <c r="I33" s="12" t="s">
        <v>417</v>
      </c>
      <c r="J33" s="12" t="s">
        <v>418</v>
      </c>
      <c r="K33" s="12" t="s">
        <v>13</v>
      </c>
      <c r="L33" s="4"/>
      <c r="M33" s="4">
        <v>4400000</v>
      </c>
      <c r="N33" s="4"/>
      <c r="O33" s="4"/>
      <c r="P33" s="4"/>
      <c r="Q33" s="5" t="s">
        <v>686</v>
      </c>
      <c r="R33" s="45">
        <v>41137</v>
      </c>
      <c r="S33" s="4">
        <v>1320</v>
      </c>
      <c r="T33" s="4"/>
      <c r="U33" s="4" t="s">
        <v>678</v>
      </c>
      <c r="V33" s="6">
        <v>0.03</v>
      </c>
      <c r="W33" s="4">
        <f t="shared" si="14"/>
        <v>132000</v>
      </c>
      <c r="X33" s="4">
        <f>76787+55213</f>
        <v>132000</v>
      </c>
      <c r="Y33" s="4">
        <f>132000</f>
        <v>132000</v>
      </c>
      <c r="Z33" s="4">
        <f t="shared" si="16"/>
        <v>0</v>
      </c>
      <c r="AA33" s="4">
        <f>1100000+880000+880000+440000+800000</f>
        <v>4100000</v>
      </c>
      <c r="AB33" s="4">
        <f>4100000</f>
        <v>4100000</v>
      </c>
      <c r="AC33" s="4">
        <f>550000+550000+880000+880000+440000</f>
        <v>3300000</v>
      </c>
      <c r="AD33" s="4">
        <f>3300000</f>
        <v>3300000</v>
      </c>
      <c r="AE33" s="6">
        <f t="shared" si="12"/>
        <v>0.75</v>
      </c>
      <c r="AF33" s="4">
        <f>1048292.6+628563.8+223019.31+45126+435642+299980+199680+299800</f>
        <v>3180103.71</v>
      </c>
      <c r="AG33" s="4">
        <f>3180103.71</f>
        <v>3180103.71</v>
      </c>
      <c r="AH33" s="4">
        <f>37400+1048292.6+628563.8+252939.31+75046+435642+314940+199680+299800</f>
        <v>3292303.71</v>
      </c>
      <c r="AI33" s="4"/>
      <c r="AJ33" s="4"/>
      <c r="AK33" s="4"/>
      <c r="AL33" s="4">
        <f>3292303.71</f>
        <v>3292303.71</v>
      </c>
      <c r="AM33" s="6">
        <v>3.4000000000000002E-2</v>
      </c>
      <c r="AN33" s="6">
        <f t="shared" si="13"/>
        <v>139400</v>
      </c>
      <c r="AO33" s="4">
        <f>37400+29920+29920+14960</f>
        <v>112200</v>
      </c>
      <c r="AP33" s="4">
        <f>112200</f>
        <v>112200</v>
      </c>
      <c r="AQ33" s="4">
        <f t="shared" si="15"/>
        <v>27200</v>
      </c>
      <c r="AR33" s="4"/>
      <c r="AS33" s="4"/>
      <c r="AT33" s="4"/>
    </row>
    <row r="34" spans="1:46" ht="13.5" customHeight="1" x14ac:dyDescent="0.15">
      <c r="A34" s="36">
        <v>41091</v>
      </c>
      <c r="B34" s="4" t="s">
        <v>795</v>
      </c>
      <c r="C34" s="4" t="s">
        <v>604</v>
      </c>
      <c r="D34" s="4" t="s">
        <v>687</v>
      </c>
      <c r="E34" s="4" t="s">
        <v>0</v>
      </c>
      <c r="F34" s="4" t="s">
        <v>688</v>
      </c>
      <c r="G34" s="4" t="s">
        <v>689</v>
      </c>
      <c r="H34" s="4" t="s">
        <v>690</v>
      </c>
      <c r="I34" s="4" t="s">
        <v>691</v>
      </c>
      <c r="J34" s="4" t="s">
        <v>692</v>
      </c>
      <c r="K34" s="4" t="s">
        <v>5</v>
      </c>
      <c r="L34" s="4"/>
      <c r="M34" s="4">
        <v>5538662</v>
      </c>
      <c r="N34" s="4">
        <f>2667147+725824</f>
        <v>3392971</v>
      </c>
      <c r="O34" s="4"/>
      <c r="P34" s="4"/>
      <c r="Q34" s="5"/>
      <c r="R34" s="45"/>
      <c r="S34" s="4"/>
      <c r="T34" s="4"/>
      <c r="U34" s="4" t="s">
        <v>678</v>
      </c>
      <c r="V34" s="6">
        <v>0.03</v>
      </c>
      <c r="W34" s="4">
        <f t="shared" si="14"/>
        <v>267948.99</v>
      </c>
      <c r="X34" s="4">
        <f>166160+80014+21775</f>
        <v>267949</v>
      </c>
      <c r="Y34" s="4">
        <f>267949</f>
        <v>267949</v>
      </c>
      <c r="Z34" s="4">
        <v>0</v>
      </c>
      <c r="AA34" s="4">
        <f>200000+300000+1000000+1000000+200000+800000+1000000+470000+1150000+1260000+190000</f>
        <v>7570000</v>
      </c>
      <c r="AB34" s="4">
        <f>7570000</f>
        <v>7570000</v>
      </c>
      <c r="AC34" s="4">
        <f>200000+300000+1000000+1000000+200000+300000+500000+400000+300000+300000+470000+1600000+1000000</f>
        <v>7570000</v>
      </c>
      <c r="AD34" s="4">
        <f>7570000</f>
        <v>7570000</v>
      </c>
      <c r="AE34" s="6">
        <f t="shared" si="12"/>
        <v>0.84754937870823843</v>
      </c>
      <c r="AF34" s="4">
        <f>317048.37+206600+428739.2+220922+300000+796906.04+81600+82951.62+84000+74081+157532.8+200000+400000+300000+61020+300000+88553.68+14400+174500+50000+387086.71+1600000+30000+1000000</f>
        <v>7355941.4200000009</v>
      </c>
      <c r="AG34" s="4">
        <f>7355941.42</f>
        <v>7355941.4199999999</v>
      </c>
      <c r="AH34" s="4">
        <f>200000+223550+33900+428739.2+220922+300000+33900+796906.04+81600+100000+107979.99+84000+74081+245890.27+500000+400000+300000+61020+300000-300000+88553.68+14400+174500+50000+403019.71+1600000+30000+1000000</f>
        <v>7552961.8899999997</v>
      </c>
      <c r="AI34" s="4"/>
      <c r="AJ34" s="4"/>
      <c r="AK34" s="4"/>
      <c r="AL34" s="4">
        <f>7552961.89</f>
        <v>7552961.8899999997</v>
      </c>
      <c r="AM34" s="6">
        <v>3.7400000000000003E-2</v>
      </c>
      <c r="AN34" s="6">
        <f t="shared" si="13"/>
        <v>283118</v>
      </c>
      <c r="AO34" s="4">
        <f>283118</f>
        <v>283118</v>
      </c>
      <c r="AP34" s="4">
        <f>283118</f>
        <v>283118</v>
      </c>
      <c r="AQ34" s="4">
        <f t="shared" si="15"/>
        <v>0</v>
      </c>
      <c r="AR34" s="4"/>
      <c r="AS34" s="4"/>
      <c r="AT34" s="4"/>
    </row>
    <row r="35" spans="1:46" ht="13.5" customHeight="1" x14ac:dyDescent="0.15">
      <c r="A35" s="36">
        <v>41108</v>
      </c>
      <c r="B35" s="4" t="s">
        <v>796</v>
      </c>
      <c r="C35" s="4" t="s">
        <v>605</v>
      </c>
      <c r="D35" s="4" t="s">
        <v>694</v>
      </c>
      <c r="E35" s="4" t="s">
        <v>0</v>
      </c>
      <c r="F35" s="4" t="s">
        <v>695</v>
      </c>
      <c r="G35" s="4" t="s">
        <v>676</v>
      </c>
      <c r="H35" s="4" t="s">
        <v>232</v>
      </c>
      <c r="I35" s="4" t="s">
        <v>122</v>
      </c>
      <c r="J35" s="4" t="s">
        <v>121</v>
      </c>
      <c r="K35" s="4" t="s">
        <v>13</v>
      </c>
      <c r="L35" s="4"/>
      <c r="M35" s="4">
        <v>8443771</v>
      </c>
      <c r="N35" s="4">
        <f>1126543.36</f>
        <v>1126543.3600000001</v>
      </c>
      <c r="O35" s="4"/>
      <c r="P35" s="4"/>
      <c r="Q35" s="5" t="s">
        <v>696</v>
      </c>
      <c r="R35" s="45">
        <v>41127</v>
      </c>
      <c r="S35" s="4">
        <v>2534</v>
      </c>
      <c r="T35" s="4"/>
      <c r="U35" s="4" t="s">
        <v>678</v>
      </c>
      <c r="V35" s="6">
        <v>0.03</v>
      </c>
      <c r="W35" s="4">
        <f t="shared" si="14"/>
        <v>287109.43079999997</v>
      </c>
      <c r="X35" s="4">
        <f>253313+33796</f>
        <v>287109</v>
      </c>
      <c r="Y35" s="4">
        <f>287109</f>
        <v>287109</v>
      </c>
      <c r="Z35" s="4">
        <v>0</v>
      </c>
      <c r="AA35" s="4">
        <f>4000000+1000000+800000+899000+1400000+500000</f>
        <v>8599000</v>
      </c>
      <c r="AB35" s="4">
        <f>8599000</f>
        <v>8599000</v>
      </c>
      <c r="AC35" s="4">
        <f>4000000+1000000+800000+899000+1400000+500000</f>
        <v>8599000</v>
      </c>
      <c r="AD35" s="4">
        <f>8599000</f>
        <v>8599000</v>
      </c>
      <c r="AE35" s="6">
        <f t="shared" si="12"/>
        <v>0.89850758047617574</v>
      </c>
      <c r="AF35" s="4">
        <f>10132.53+2000000+7943.73+294964+150000+181500+300000+163490+350000+700000+100000+1100000+600000</f>
        <v>5958030.2599999998</v>
      </c>
      <c r="AG35" s="4">
        <f>5958030.26</f>
        <v>5958030.2599999998</v>
      </c>
      <c r="AH35" s="4">
        <f>10132.53+2864800+294964+200000+150000+150000+50000+250000+918578+19695+27200+300000+163490+350000+30566+700000+100000-50000+47600+1100000+300000+17000+600000</f>
        <v>8594025.5299999993</v>
      </c>
      <c r="AI35" s="4"/>
      <c r="AJ35" s="4"/>
      <c r="AK35" s="4"/>
      <c r="AL35" s="4">
        <f>8594025.53</f>
        <v>8594025.5299999993</v>
      </c>
      <c r="AM35" s="6">
        <v>3.4000000000000002E-2</v>
      </c>
      <c r="AN35" s="6">
        <f t="shared" si="13"/>
        <v>292366</v>
      </c>
      <c r="AO35" s="4">
        <f>136000+34000+27200+30566+47600+17000</f>
        <v>292366</v>
      </c>
      <c r="AP35" s="4">
        <f>292366</f>
        <v>292366</v>
      </c>
      <c r="AQ35" s="4">
        <f t="shared" si="15"/>
        <v>0</v>
      </c>
      <c r="AR35" s="4"/>
      <c r="AS35" s="4">
        <v>72</v>
      </c>
      <c r="AT35" s="4" t="s">
        <v>697</v>
      </c>
    </row>
    <row r="36" spans="1:46" ht="13.5" customHeight="1" x14ac:dyDescent="0.15">
      <c r="A36" s="36">
        <v>41113</v>
      </c>
      <c r="B36" s="4" t="s">
        <v>797</v>
      </c>
      <c r="C36" s="4" t="s">
        <v>606</v>
      </c>
      <c r="D36" s="4" t="s">
        <v>698</v>
      </c>
      <c r="E36" s="4" t="s">
        <v>0</v>
      </c>
      <c r="F36" s="4" t="s">
        <v>699</v>
      </c>
      <c r="G36" s="4" t="s">
        <v>676</v>
      </c>
      <c r="H36" s="4" t="s">
        <v>700</v>
      </c>
      <c r="I36" s="4" t="s">
        <v>701</v>
      </c>
      <c r="J36" s="4" t="s">
        <v>702</v>
      </c>
      <c r="K36" s="4" t="s">
        <v>693</v>
      </c>
      <c r="L36" s="4"/>
      <c r="M36" s="4">
        <v>4520000</v>
      </c>
      <c r="N36" s="4"/>
      <c r="O36" s="4"/>
      <c r="P36" s="4"/>
      <c r="Q36" s="5" t="s">
        <v>703</v>
      </c>
      <c r="R36" s="45">
        <v>41114</v>
      </c>
      <c r="S36" s="4">
        <v>1356</v>
      </c>
      <c r="T36" s="4"/>
      <c r="U36" s="4" t="s">
        <v>678</v>
      </c>
      <c r="V36" s="6">
        <v>3.5999999999999997E-2</v>
      </c>
      <c r="W36" s="4">
        <f t="shared" si="14"/>
        <v>162720</v>
      </c>
      <c r="X36" s="4">
        <f>100000+62720</f>
        <v>162720</v>
      </c>
      <c r="Y36" s="4">
        <f>162720</f>
        <v>162720</v>
      </c>
      <c r="Z36" s="4">
        <f t="shared" si="16"/>
        <v>0</v>
      </c>
      <c r="AA36" s="4">
        <f>1356000+1356000+904000+779540.75</f>
        <v>4395540.75</v>
      </c>
      <c r="AB36" s="4">
        <f>4395540.75</f>
        <v>4395540.75</v>
      </c>
      <c r="AC36" s="4">
        <f>1356000+1356000+904000</f>
        <v>3616000</v>
      </c>
      <c r="AD36" s="4">
        <f>3616000</f>
        <v>3616000</v>
      </c>
      <c r="AE36" s="6">
        <f t="shared" si="12"/>
        <v>0.8</v>
      </c>
      <c r="AF36" s="4">
        <f>882756+320000+100000+1357716+824000+49264</f>
        <v>3533736</v>
      </c>
      <c r="AG36" s="4">
        <f>3533736</f>
        <v>3533736</v>
      </c>
      <c r="AH36" s="4">
        <f>934284+320000+100000+1357716+854736+49264</f>
        <v>3616000</v>
      </c>
      <c r="AI36" s="4"/>
      <c r="AJ36" s="4"/>
      <c r="AK36" s="4"/>
      <c r="AL36" s="4">
        <f>3616000</f>
        <v>3616000</v>
      </c>
      <c r="AM36" s="6">
        <v>3.4000000000000002E-2</v>
      </c>
      <c r="AN36" s="6">
        <f t="shared" si="13"/>
        <v>149448.3855</v>
      </c>
      <c r="AO36" s="4">
        <f>46104+46104+30736+26504</f>
        <v>149448</v>
      </c>
      <c r="AP36" s="4">
        <f>149448</f>
        <v>149448</v>
      </c>
      <c r="AQ36" s="4">
        <v>0</v>
      </c>
      <c r="AR36" s="4"/>
      <c r="AS36" s="4"/>
      <c r="AT36" s="4"/>
    </row>
    <row r="37" spans="1:46" ht="13.5" customHeight="1" x14ac:dyDescent="0.15">
      <c r="A37" s="36">
        <v>41113</v>
      </c>
      <c r="B37" s="4" t="s">
        <v>798</v>
      </c>
      <c r="C37" s="4" t="s">
        <v>607</v>
      </c>
      <c r="D37" s="4" t="s">
        <v>704</v>
      </c>
      <c r="E37" s="4" t="s">
        <v>0</v>
      </c>
      <c r="F37" s="4" t="s">
        <v>87</v>
      </c>
      <c r="G37" s="4" t="s">
        <v>676</v>
      </c>
      <c r="H37" s="4" t="s">
        <v>88</v>
      </c>
      <c r="I37" s="4" t="s">
        <v>89</v>
      </c>
      <c r="J37" s="4" t="s">
        <v>88</v>
      </c>
      <c r="K37" s="4" t="s">
        <v>13</v>
      </c>
      <c r="L37" s="4"/>
      <c r="M37" s="4">
        <v>8171765</v>
      </c>
      <c r="N37" s="4"/>
      <c r="O37" s="4"/>
      <c r="P37" s="4"/>
      <c r="Q37" s="5" t="s">
        <v>705</v>
      </c>
      <c r="R37" s="45">
        <v>41135</v>
      </c>
      <c r="S37" s="4">
        <v>2452</v>
      </c>
      <c r="T37" s="4"/>
      <c r="U37" s="4" t="s">
        <v>678</v>
      </c>
      <c r="V37" s="6">
        <v>0.03</v>
      </c>
      <c r="W37" s="4">
        <f t="shared" si="14"/>
        <v>245152.94999999998</v>
      </c>
      <c r="X37" s="4">
        <f>245153</f>
        <v>245153</v>
      </c>
      <c r="Y37" s="4">
        <f>245153</f>
        <v>245153</v>
      </c>
      <c r="Z37" s="4">
        <v>0</v>
      </c>
      <c r="AA37" s="4">
        <f>3000000+2000000+1000000</f>
        <v>6000000</v>
      </c>
      <c r="AB37" s="4">
        <f>6000000</f>
        <v>6000000</v>
      </c>
      <c r="AC37" s="4">
        <f>3000000+2000000+1000000</f>
        <v>6000000</v>
      </c>
      <c r="AD37" s="4">
        <f>6000000</f>
        <v>6000000</v>
      </c>
      <c r="AE37" s="6">
        <f t="shared" si="12"/>
        <v>0.73423550481444344</v>
      </c>
      <c r="AF37" s="4">
        <f>800000+549940+599995+19064.7+499995+100000+16327+7778.75+73078+63360+62496+99999+999990+119033+99000+10112+299987+50000+499970+593488.9+50000</f>
        <v>5613614.3500000006</v>
      </c>
      <c r="AG37" s="4">
        <f>5613614.35</f>
        <v>5613614.3499999996</v>
      </c>
      <c r="AH37" s="4">
        <f>902000+558112+599995+63219.7+499995+100000+100000-100000+7778.75+73078+63360+62496+60000+1191342.25+159032+99000+41000+10112+299987+84000+499970+593488.9-41000+50000+2394+12400</f>
        <v>5991760.6000000006</v>
      </c>
      <c r="AI37" s="4"/>
      <c r="AJ37" s="4"/>
      <c r="AK37" s="4"/>
      <c r="AL37" s="4">
        <f>5991760.6</f>
        <v>5991760.5999999996</v>
      </c>
      <c r="AM37" s="6">
        <v>3.4000000000000002E-2</v>
      </c>
      <c r="AN37" s="6">
        <f t="shared" si="13"/>
        <v>204000.00000000003</v>
      </c>
      <c r="AO37" s="4">
        <f>102000+68000+34000</f>
        <v>204000</v>
      </c>
      <c r="AP37" s="4">
        <f>204000</f>
        <v>204000</v>
      </c>
      <c r="AQ37" s="4">
        <f t="shared" si="15"/>
        <v>0</v>
      </c>
      <c r="AR37" s="4"/>
      <c r="AS37" s="4">
        <v>100</v>
      </c>
      <c r="AT37" s="4" t="s">
        <v>679</v>
      </c>
    </row>
    <row r="38" spans="1:46" ht="13.5" customHeight="1" x14ac:dyDescent="0.15">
      <c r="A38" s="36">
        <v>41128</v>
      </c>
      <c r="B38" s="4" t="s">
        <v>799</v>
      </c>
      <c r="C38" s="4" t="s">
        <v>608</v>
      </c>
      <c r="D38" s="4" t="s">
        <v>706</v>
      </c>
      <c r="E38" s="4" t="s">
        <v>0</v>
      </c>
      <c r="F38" s="4" t="s">
        <v>707</v>
      </c>
      <c r="G38" s="4" t="s">
        <v>676</v>
      </c>
      <c r="H38" s="4" t="s">
        <v>11</v>
      </c>
      <c r="I38" s="4" t="s">
        <v>12</v>
      </c>
      <c r="J38" s="4" t="s">
        <v>11</v>
      </c>
      <c r="K38" s="4" t="s">
        <v>13</v>
      </c>
      <c r="L38" s="4"/>
      <c r="M38" s="4">
        <v>5170956.9400000004</v>
      </c>
      <c r="N38" s="4"/>
      <c r="O38" s="4"/>
      <c r="P38" s="4"/>
      <c r="Q38" s="5" t="s">
        <v>708</v>
      </c>
      <c r="R38" s="45">
        <v>41150</v>
      </c>
      <c r="S38" s="4">
        <v>1552</v>
      </c>
      <c r="T38" s="4"/>
      <c r="U38" s="4" t="s">
        <v>678</v>
      </c>
      <c r="V38" s="6">
        <v>0.03</v>
      </c>
      <c r="W38" s="4">
        <f t="shared" si="14"/>
        <v>155128.70819999999</v>
      </c>
      <c r="X38" s="4">
        <f>80000+75129</f>
        <v>155129</v>
      </c>
      <c r="Y38" s="4">
        <f>155129</f>
        <v>155129</v>
      </c>
      <c r="Z38" s="4">
        <v>0</v>
      </c>
      <c r="AA38" s="4">
        <f>500000+500000+1000000+2136765.55+775643.54</f>
        <v>4912409.09</v>
      </c>
      <c r="AB38" s="4">
        <f>4912409.09</f>
        <v>4912409.09</v>
      </c>
      <c r="AC38" s="4">
        <f>500000+500000+1000000+2136765.55+775643.54</f>
        <v>4912409.09</v>
      </c>
      <c r="AD38" s="4">
        <f>4912409.09</f>
        <v>4912409.09</v>
      </c>
      <c r="AE38" s="6">
        <f t="shared" si="12"/>
        <v>0.94999999941983648</v>
      </c>
      <c r="AF38" s="4">
        <f>88900+390795+432480+746378.45+170000+41200+2038329+18200+750000</f>
        <v>4676282.45</v>
      </c>
      <c r="AG38" s="4">
        <f>4676282.45</f>
        <v>4676282.45</v>
      </c>
      <c r="AH38" s="4">
        <f>105900+390795+449480+50000+780378.45+178800+41200+2110979+18200+776372</f>
        <v>4902104.45</v>
      </c>
      <c r="AI38" s="4"/>
      <c r="AJ38" s="4"/>
      <c r="AK38" s="4"/>
      <c r="AL38" s="4">
        <f>4902104.45</f>
        <v>4902104.45</v>
      </c>
      <c r="AM38" s="6">
        <v>3.4000000000000002E-2</v>
      </c>
      <c r="AN38" s="6">
        <f t="shared" si="13"/>
        <v>167021.90906000001</v>
      </c>
      <c r="AO38" s="4">
        <f>17000+17000+34000+72650+26372</f>
        <v>167022</v>
      </c>
      <c r="AP38" s="4">
        <f>167022</f>
        <v>167022</v>
      </c>
      <c r="AQ38" s="4">
        <v>0</v>
      </c>
      <c r="AR38" s="4"/>
      <c r="AS38" s="4">
        <v>16</v>
      </c>
      <c r="AT38" s="4" t="s">
        <v>697</v>
      </c>
    </row>
    <row r="39" spans="1:46" ht="13.5" customHeight="1" x14ac:dyDescent="0.15">
      <c r="A39" s="36">
        <v>41130</v>
      </c>
      <c r="B39" s="4" t="s">
        <v>800</v>
      </c>
      <c r="C39" s="4" t="s">
        <v>609</v>
      </c>
      <c r="D39" s="4" t="s">
        <v>709</v>
      </c>
      <c r="E39" s="4" t="s">
        <v>0</v>
      </c>
      <c r="F39" s="4" t="s">
        <v>365</v>
      </c>
      <c r="G39" s="4" t="s">
        <v>676</v>
      </c>
      <c r="H39" s="4" t="s">
        <v>366</v>
      </c>
      <c r="I39" s="4" t="s">
        <v>55</v>
      </c>
      <c r="J39" s="4" t="s">
        <v>58</v>
      </c>
      <c r="K39" s="4" t="s">
        <v>13</v>
      </c>
      <c r="L39" s="4"/>
      <c r="M39" s="4">
        <v>7737463.3499999996</v>
      </c>
      <c r="N39" s="4"/>
      <c r="O39" s="4"/>
      <c r="P39" s="4"/>
      <c r="Q39" s="5" t="s">
        <v>710</v>
      </c>
      <c r="R39" s="45">
        <v>41171</v>
      </c>
      <c r="S39" s="4">
        <v>2321</v>
      </c>
      <c r="T39" s="4"/>
      <c r="U39" s="4" t="s">
        <v>678</v>
      </c>
      <c r="V39" s="6">
        <v>0.03</v>
      </c>
      <c r="W39" s="4">
        <f t="shared" si="14"/>
        <v>232123.90049999999</v>
      </c>
      <c r="X39" s="4">
        <f>70000+162124</f>
        <v>232124</v>
      </c>
      <c r="Y39" s="4">
        <f>232124</f>
        <v>232124</v>
      </c>
      <c r="Z39" s="4">
        <v>0</v>
      </c>
      <c r="AA39" s="4">
        <f>1547492.67+2321239.01+2321239.01+386873.17+773746.34+386873.16</f>
        <v>7737463.3599999994</v>
      </c>
      <c r="AB39" s="4">
        <f>7737463.36</f>
        <v>7737463.3600000003</v>
      </c>
      <c r="AC39" s="4">
        <f>1547492.67+2321239.01+2321239.01+386873.17+773746.34+386873.16</f>
        <v>7737463.3599999994</v>
      </c>
      <c r="AD39" s="4">
        <f>7737463.36</f>
        <v>7737463.3600000003</v>
      </c>
      <c r="AE39" s="6">
        <f t="shared" si="12"/>
        <v>1.0000000012924133</v>
      </c>
      <c r="AF39" s="4">
        <f>323212.39+756000+250001.5+70000+1859895.5+200000+2198228.61+100000+181610+199980+300000+94863+142753.11+231000+1183</f>
        <v>6908727.1100000003</v>
      </c>
      <c r="AG39" s="4">
        <f>6908727.11</f>
        <v>6908727.1100000003</v>
      </c>
      <c r="AH39" s="4">
        <f>441254.49+756000+250001.5+148922+1859895.5+278922+2198228.61+200000+13154+400000+26307+181610+199980+300000+94863+155907.11+231000</f>
        <v>7736045.21</v>
      </c>
      <c r="AI39" s="4">
        <v>38</v>
      </c>
      <c r="AJ39" s="4">
        <v>402</v>
      </c>
      <c r="AK39" s="4">
        <v>743</v>
      </c>
      <c r="AL39" s="4">
        <f>7736045.21+38+402+743</f>
        <v>7737228.21</v>
      </c>
      <c r="AM39" s="6">
        <v>3.4000000000000002E-2</v>
      </c>
      <c r="AN39" s="6">
        <f t="shared" si="13"/>
        <v>263073.75424000004</v>
      </c>
      <c r="AO39" s="4">
        <f>52615+78922+78922+13154+26307+13154</f>
        <v>263074</v>
      </c>
      <c r="AP39" s="4">
        <f>263074</f>
        <v>263074</v>
      </c>
      <c r="AQ39" s="4">
        <v>0</v>
      </c>
      <c r="AR39" s="4"/>
      <c r="AS39" s="4">
        <v>10</v>
      </c>
      <c r="AT39" s="4" t="s">
        <v>679</v>
      </c>
    </row>
    <row r="40" spans="1:46" s="17" customFormat="1" ht="13.5" customHeight="1" x14ac:dyDescent="0.15">
      <c r="A40" s="38">
        <v>41130</v>
      </c>
      <c r="B40" s="4" t="s">
        <v>801</v>
      </c>
      <c r="C40" s="13" t="s">
        <v>610</v>
      </c>
      <c r="D40" s="13" t="s">
        <v>711</v>
      </c>
      <c r="E40" s="13" t="s">
        <v>0</v>
      </c>
      <c r="F40" s="13" t="s">
        <v>712</v>
      </c>
      <c r="G40" s="13" t="s">
        <v>676</v>
      </c>
      <c r="H40" s="13" t="s">
        <v>713</v>
      </c>
      <c r="I40" s="14" t="s">
        <v>251</v>
      </c>
      <c r="J40" s="14" t="s">
        <v>252</v>
      </c>
      <c r="K40" s="14" t="s">
        <v>13</v>
      </c>
      <c r="L40" s="13"/>
      <c r="M40" s="13">
        <v>1615034.9</v>
      </c>
      <c r="N40" s="13">
        <f>1527323.5+1503973.3+5590963.1+1918613.4+8500000+1929960.1</f>
        <v>20970833.399999999</v>
      </c>
      <c r="O40" s="13"/>
      <c r="P40" s="13"/>
      <c r="Q40" s="15" t="s">
        <v>714</v>
      </c>
      <c r="R40" s="47">
        <v>41134</v>
      </c>
      <c r="S40" s="13">
        <v>485</v>
      </c>
      <c r="T40" s="13"/>
      <c r="U40" s="13" t="s">
        <v>678</v>
      </c>
      <c r="V40" s="16">
        <v>0.03</v>
      </c>
      <c r="W40" s="13">
        <f t="shared" si="14"/>
        <v>677576.04899999988</v>
      </c>
      <c r="X40" s="13">
        <f>58141+100000+100000+419435</f>
        <v>677576</v>
      </c>
      <c r="Y40" s="13">
        <f>677576</f>
        <v>677576</v>
      </c>
      <c r="Z40" s="13">
        <v>0</v>
      </c>
      <c r="AA40" s="13">
        <f>500000+300000+850000+1000000+200000+2000000+2000000+1500000+1500000+500000+2000000+2000000+500000+1500000+500000+1500000+700000+700000</f>
        <v>19750000</v>
      </c>
      <c r="AB40" s="13">
        <f>19750000</f>
        <v>19750000</v>
      </c>
      <c r="AC40" s="13">
        <f>500000+300000+850000+1000000+200000+1400000+2000000+1500000+400000+1500000+500000+2000000+2000000+500000+1500000+500000+1500000+700000</f>
        <v>18850000</v>
      </c>
      <c r="AD40" s="13">
        <f>18850000</f>
        <v>18850000</v>
      </c>
      <c r="AE40" s="16">
        <f t="shared" si="12"/>
        <v>0.83459266429885282</v>
      </c>
      <c r="AF40" s="13">
        <f>1938+290649+99880+85000+896486.95+154000+1027843.48+85000+44152+600000+2186476.11+1420000+161298+241600+100000+150000+100000+340000+18227+1950481.81+1646000+150000+108000+150000+100000+858285.83+600000+484598+100000+76725.77+115086.95+97917+1731357.66+30000+12500+49641+200476.34+60000+13000+8724.5+23000</f>
        <v>16568345.399999999</v>
      </c>
      <c r="AG40" s="13">
        <f>16568345.4</f>
        <v>16568345.4</v>
      </c>
      <c r="AH40" s="13">
        <f>1938+17000+290640+99880+85000+39100+900000+188000+6800+1027843.48+85000+30000+44152+1036000+2186476.11+51000+1420000+161298+241600+100000+50000+51000+1442548.16-50000+100000+17000+340000+18227+136000+1950481.81+1646000+150000+108000+150000+51000+100000+858285.83+600000+17000+484598+100000+50000+76725.77-30000+115086.95+97917-50000+1829957.66+30000+12500+49641+200476.34+60000+13000+8724.5+23000</f>
        <v>18818897.609999999</v>
      </c>
      <c r="AI40" s="13"/>
      <c r="AJ40" s="13"/>
      <c r="AK40" s="13"/>
      <c r="AL40" s="13">
        <f>18818897.61</f>
        <v>18818897.609999999</v>
      </c>
      <c r="AM40" s="16">
        <v>3.4000000000000002E-2</v>
      </c>
      <c r="AN40" s="16">
        <f t="shared" si="13"/>
        <v>671500</v>
      </c>
      <c r="AO40" s="13">
        <f>17000+10200+28900+34000+6800+68000+68000+51000+51000+17000+68000+68000+17000+51000+17000+51000+23800+23800</f>
        <v>671500</v>
      </c>
      <c r="AP40" s="13">
        <f>671500</f>
        <v>671500</v>
      </c>
      <c r="AQ40" s="13">
        <f t="shared" si="15"/>
        <v>0</v>
      </c>
      <c r="AR40" s="13"/>
      <c r="AS40" s="13"/>
      <c r="AT40" s="13"/>
    </row>
    <row r="41" spans="1:46" ht="13.5" customHeight="1" x14ac:dyDescent="0.15">
      <c r="A41" s="36">
        <v>41155</v>
      </c>
      <c r="B41" s="4" t="s">
        <v>802</v>
      </c>
      <c r="C41" s="4" t="s">
        <v>430</v>
      </c>
      <c r="D41" s="4" t="s">
        <v>431</v>
      </c>
      <c r="E41" s="4" t="s">
        <v>0</v>
      </c>
      <c r="F41" s="4" t="s">
        <v>432</v>
      </c>
      <c r="G41" s="4" t="s">
        <v>427</v>
      </c>
      <c r="H41" s="4" t="s">
        <v>433</v>
      </c>
      <c r="I41" s="4" t="s">
        <v>434</v>
      </c>
      <c r="J41" s="4" t="s">
        <v>433</v>
      </c>
      <c r="K41" s="4" t="s">
        <v>435</v>
      </c>
      <c r="L41" s="4"/>
      <c r="M41" s="4">
        <v>20572132.07</v>
      </c>
      <c r="N41" s="4"/>
      <c r="O41" s="4"/>
      <c r="P41" s="4"/>
      <c r="Q41" s="5" t="s">
        <v>436</v>
      </c>
      <c r="R41" s="45">
        <v>41199</v>
      </c>
      <c r="S41" s="4">
        <v>6981</v>
      </c>
      <c r="T41" s="4"/>
      <c r="U41" s="4" t="s">
        <v>429</v>
      </c>
      <c r="V41" s="6">
        <v>0.03</v>
      </c>
      <c r="W41" s="4">
        <f>(M41+N41)*V41</f>
        <v>617163.9621</v>
      </c>
      <c r="X41" s="4">
        <f>160000+200000+200000+57164</f>
        <v>617164</v>
      </c>
      <c r="Y41" s="4">
        <f>617164</f>
        <v>617164</v>
      </c>
      <c r="Z41" s="4">
        <v>0</v>
      </c>
      <c r="AA41" s="4">
        <f>1500000+1000000+2000000+1000000+1350000+500000+500000+200000+300000+100000</f>
        <v>8450000</v>
      </c>
      <c r="AB41" s="4">
        <f>8450000</f>
        <v>8450000</v>
      </c>
      <c r="AC41" s="4">
        <f>1500000+500000+500000+1000000+500000+500000+1000000+1350000+852300+1550000+550000+500000+500000+200000+300000+100000</f>
        <v>11402300</v>
      </c>
      <c r="AD41" s="4">
        <f>11402300</f>
        <v>11402300</v>
      </c>
      <c r="AE41" s="6">
        <f t="shared" si="12"/>
        <v>0.55425951773991311</v>
      </c>
      <c r="AF41" s="4">
        <f>1060000+100000+320000+500000+905000+365000+135000+891724+107450+158455.45+945898+200000+282568+250000+100000+340000+539036+549000+432800+100000+200000+110000+606576+98000+170000+9621</f>
        <v>9476128.4499999993</v>
      </c>
      <c r="AG41" s="4">
        <f>9476128.45</f>
        <v>9476128.4499999993</v>
      </c>
      <c r="AH41" s="4">
        <f>1111000+120942+250000+172000+500000+1305000+365000+135000+523429.22+925724-34000+107450+158455.45+1195898+200000+282568+250000+100000+340000+38200+539036+549000+432800+100000+34000+6800+200000+110000+616776+98000+120000+20000+30000+3400+9621</f>
        <v>10916099.67</v>
      </c>
      <c r="AI41" s="4"/>
      <c r="AJ41" s="4"/>
      <c r="AK41" s="4"/>
      <c r="AL41" s="4">
        <f>10916099.67</f>
        <v>10916099.67</v>
      </c>
      <c r="AM41" s="6">
        <v>3.4000000000000002E-2</v>
      </c>
      <c r="AN41" s="6">
        <f t="shared" si="13"/>
        <v>287300</v>
      </c>
      <c r="AO41" s="4">
        <f>51000+34000+68000+34000+45900+17000+17000+6800+10200+3400</f>
        <v>287300</v>
      </c>
      <c r="AP41" s="4">
        <f>287300</f>
        <v>287300</v>
      </c>
      <c r="AQ41" s="4">
        <v>0</v>
      </c>
      <c r="AR41" s="4"/>
      <c r="AS41" s="4">
        <v>55</v>
      </c>
      <c r="AT41" s="4" t="s">
        <v>437</v>
      </c>
    </row>
    <row r="42" spans="1:46" ht="13.5" customHeight="1" x14ac:dyDescent="0.15">
      <c r="A42" s="36">
        <v>41155</v>
      </c>
      <c r="B42" s="4" t="s">
        <v>803</v>
      </c>
      <c r="C42" s="4" t="s">
        <v>438</v>
      </c>
      <c r="D42" s="4" t="s">
        <v>439</v>
      </c>
      <c r="E42" s="4" t="s">
        <v>0</v>
      </c>
      <c r="F42" s="4" t="s">
        <v>440</v>
      </c>
      <c r="G42" s="4" t="s">
        <v>427</v>
      </c>
      <c r="H42" s="12" t="s">
        <v>416</v>
      </c>
      <c r="I42" s="12" t="s">
        <v>417</v>
      </c>
      <c r="J42" s="12" t="s">
        <v>418</v>
      </c>
      <c r="K42" s="12" t="s">
        <v>13</v>
      </c>
      <c r="L42" s="4"/>
      <c r="M42" s="4">
        <v>500000</v>
      </c>
      <c r="N42" s="4">
        <f>1448352.21+231798.88</f>
        <v>1680151.0899999999</v>
      </c>
      <c r="O42" s="4"/>
      <c r="P42" s="4"/>
      <c r="Q42" s="5" t="s">
        <v>441</v>
      </c>
      <c r="R42" s="45">
        <v>41155</v>
      </c>
      <c r="S42" s="4">
        <f>150+70</f>
        <v>220</v>
      </c>
      <c r="T42" s="4"/>
      <c r="U42" s="4" t="s">
        <v>429</v>
      </c>
      <c r="V42" s="6">
        <v>0.03</v>
      </c>
      <c r="W42" s="4">
        <f>(M42+N42)*V42</f>
        <v>65404.532699999996</v>
      </c>
      <c r="X42" s="4">
        <f>15000+43451+6954</f>
        <v>65405</v>
      </c>
      <c r="Y42" s="4">
        <f>65405</f>
        <v>65405</v>
      </c>
      <c r="Z42" s="4">
        <v>0</v>
      </c>
      <c r="AA42" s="4">
        <f>200000+57949.72+362088.05+231736.35+75000+34769.83+200000+10000+292439.76+54407.22+92719.55+125000</f>
        <v>1736110.48</v>
      </c>
      <c r="AB42" s="4">
        <f>1736110.48</f>
        <v>1736110.48</v>
      </c>
      <c r="AC42" s="4">
        <f>200000+362088.05+57949.72+231736.35+109769.83+200000+10000+292439.76+92719.55+125000</f>
        <v>1681703.26</v>
      </c>
      <c r="AD42" s="4">
        <f>1681703.26</f>
        <v>1681703.26</v>
      </c>
      <c r="AE42" s="6">
        <f t="shared" si="12"/>
        <v>0.77137005215542198</v>
      </c>
      <c r="AF42" s="4">
        <f>47000+98000+193158.45+212580+200000+101457.16+27500+9900+100000+90000+210317.55</f>
        <v>1289913.1599999999</v>
      </c>
      <c r="AG42" s="4">
        <f>1289913.16</f>
        <v>1289913.1599999999</v>
      </c>
      <c r="AH42" s="4">
        <f>53800+1970+12311+98000+193158.45+7879+3732+212580+200000+101457.16+27500+9900+6800+100000+90000+340+9943+1850+3152+4250+210317.55</f>
        <v>1348940.16</v>
      </c>
      <c r="AI42" s="4"/>
      <c r="AJ42" s="4"/>
      <c r="AK42" s="4"/>
      <c r="AL42" s="4">
        <f>1348940.16</f>
        <v>1348940.16</v>
      </c>
      <c r="AM42" s="6">
        <v>3.4000000000000002E-2</v>
      </c>
      <c r="AN42" s="6">
        <f t="shared" si="13"/>
        <v>59027.75632</v>
      </c>
      <c r="AO42" s="4">
        <f>6800+1970+12311+7879+2550+1182+6800+340+9943+1850+4250+3152</f>
        <v>59027</v>
      </c>
      <c r="AP42" s="4">
        <f>59027</f>
        <v>59027</v>
      </c>
      <c r="AQ42" s="4">
        <v>0</v>
      </c>
      <c r="AR42" s="4"/>
      <c r="AS42" s="4">
        <v>63</v>
      </c>
      <c r="AT42" s="4" t="s">
        <v>423</v>
      </c>
    </row>
    <row r="43" spans="1:46" ht="13.5" customHeight="1" x14ac:dyDescent="0.15">
      <c r="A43" s="36">
        <v>41172</v>
      </c>
      <c r="B43" s="4" t="s">
        <v>804</v>
      </c>
      <c r="C43" s="4" t="s">
        <v>657</v>
      </c>
      <c r="D43" s="4" t="s">
        <v>665</v>
      </c>
      <c r="E43" s="4" t="s">
        <v>0</v>
      </c>
      <c r="F43" s="4" t="s">
        <v>539</v>
      </c>
      <c r="G43" s="4" t="s">
        <v>661</v>
      </c>
      <c r="H43" s="12" t="s">
        <v>666</v>
      </c>
      <c r="I43" s="4" t="s">
        <v>256</v>
      </c>
      <c r="J43" s="4" t="s">
        <v>257</v>
      </c>
      <c r="K43" s="4" t="s">
        <v>13</v>
      </c>
      <c r="L43" s="4"/>
      <c r="M43" s="4">
        <v>7729248</v>
      </c>
      <c r="N43" s="4">
        <f>364302</f>
        <v>364302</v>
      </c>
      <c r="O43" s="4"/>
      <c r="P43" s="4"/>
      <c r="Q43" s="5" t="s">
        <v>667</v>
      </c>
      <c r="R43" s="45">
        <v>41199</v>
      </c>
      <c r="S43" s="4">
        <v>2319</v>
      </c>
      <c r="T43" s="4"/>
      <c r="U43" s="4" t="s">
        <v>664</v>
      </c>
      <c r="V43" s="6">
        <v>0.03</v>
      </c>
      <c r="W43" s="4">
        <f t="shared" ref="W43:W45" si="17">(M43+N43)*V43</f>
        <v>242806.5</v>
      </c>
      <c r="X43" s="4">
        <f>100000+75400+56477+10929</f>
        <v>242806</v>
      </c>
      <c r="Y43" s="4">
        <f>242806</f>
        <v>242806</v>
      </c>
      <c r="Z43" s="4">
        <v>0</v>
      </c>
      <c r="AA43" s="4">
        <f>1000000+1000000+1000000+1000000+1000000+100000+270000</f>
        <v>5370000</v>
      </c>
      <c r="AB43" s="4">
        <f>5370000</f>
        <v>5370000</v>
      </c>
      <c r="AC43" s="4">
        <f>1000000+500000+500000+1000000+1000000+1000000+100000+270000</f>
        <v>5370000</v>
      </c>
      <c r="AD43" s="4">
        <f>5370000</f>
        <v>5370000</v>
      </c>
      <c r="AE43" s="6">
        <f t="shared" si="12"/>
        <v>0.66349129862668421</v>
      </c>
      <c r="AF43" s="4">
        <f>868357.38+31500+200000+85896+232143.7+239750.01+205800+948440+720000+55382+105000+60390+26000+372628.15+200000+312625.2+50000+60000+2440.06+100789.5+687+28562</f>
        <v>4906391</v>
      </c>
      <c r="AG43" s="4">
        <f>4906391</f>
        <v>4906391</v>
      </c>
      <c r="AH43" s="4">
        <f>916357.38+165500+100000+85896+232143.7+239750.01+239800+982440+720000+55382+105000+65090+84000+348628.15+200000+312625.2+50000+60000+2440.06+3400+100000+28560</f>
        <v>5097012.5</v>
      </c>
      <c r="AI43" s="4"/>
      <c r="AJ43" s="4">
        <f>111.5+400</f>
        <v>511.5</v>
      </c>
      <c r="AK43" s="4">
        <f>687+287</f>
        <v>974</v>
      </c>
      <c r="AL43" s="4">
        <f>5097012.5+511.5+974</f>
        <v>5098498</v>
      </c>
      <c r="AM43" s="6">
        <v>3.4000000000000002E-2</v>
      </c>
      <c r="AN43" s="6">
        <f t="shared" si="13"/>
        <v>182580</v>
      </c>
      <c r="AO43" s="4">
        <f>34000+34000+34000+34000+34000+3400</f>
        <v>173400</v>
      </c>
      <c r="AP43" s="4">
        <f>173400</f>
        <v>173400</v>
      </c>
      <c r="AQ43" s="4">
        <f>AN43-AP43</f>
        <v>9180</v>
      </c>
      <c r="AR43" s="4"/>
      <c r="AS43" s="4">
        <v>50</v>
      </c>
      <c r="AT43" s="4" t="s">
        <v>668</v>
      </c>
    </row>
    <row r="44" spans="1:46" ht="13.5" customHeight="1" x14ac:dyDescent="0.15">
      <c r="A44" s="36">
        <v>41242</v>
      </c>
      <c r="B44" s="4" t="s">
        <v>805</v>
      </c>
      <c r="C44" s="4" t="s">
        <v>658</v>
      </c>
      <c r="D44" s="4" t="s">
        <v>659</v>
      </c>
      <c r="E44" s="4" t="s">
        <v>0</v>
      </c>
      <c r="F44" s="4" t="s">
        <v>660</v>
      </c>
      <c r="G44" s="4" t="s">
        <v>661</v>
      </c>
      <c r="H44" s="12" t="s">
        <v>662</v>
      </c>
      <c r="I44" s="4" t="s">
        <v>355</v>
      </c>
      <c r="J44" s="4" t="s">
        <v>356</v>
      </c>
      <c r="K44" s="4" t="s">
        <v>13</v>
      </c>
      <c r="L44" s="4"/>
      <c r="M44" s="4">
        <v>1947790</v>
      </c>
      <c r="N44" s="4">
        <f>1962080+1996240</f>
        <v>3958320</v>
      </c>
      <c r="O44" s="4"/>
      <c r="P44" s="4"/>
      <c r="Q44" s="5" t="s">
        <v>663</v>
      </c>
      <c r="R44" s="45">
        <v>41247</v>
      </c>
      <c r="S44" s="4">
        <f>585+589+599</f>
        <v>1773</v>
      </c>
      <c r="T44" s="4"/>
      <c r="U44" s="4" t="s">
        <v>664</v>
      </c>
      <c r="V44" s="6">
        <v>0.03</v>
      </c>
      <c r="W44" s="4">
        <f t="shared" si="17"/>
        <v>177183.3</v>
      </c>
      <c r="X44" s="4">
        <f>100000+77183</f>
        <v>177183</v>
      </c>
      <c r="Y44" s="4">
        <f>177183</f>
        <v>177183</v>
      </c>
      <c r="Z44" s="4">
        <v>0</v>
      </c>
      <c r="AA44" s="4">
        <f>1180000+1256010+1282920+1210178.8</f>
        <v>4929108.8</v>
      </c>
      <c r="AB44" s="4">
        <f>4929108.8</f>
        <v>4929108.8</v>
      </c>
      <c r="AC44" s="4">
        <f>1180000+400000+800000+1500000+29800+770000</f>
        <v>4679800</v>
      </c>
      <c r="AD44" s="4">
        <f>4679800</f>
        <v>4679800</v>
      </c>
      <c r="AE44" s="6">
        <f t="shared" si="12"/>
        <v>0.79236587195294361</v>
      </c>
      <c r="AF44" s="4">
        <f>633623.41+390548+400000+150000+290500+205649.3+1500000</f>
        <v>3570320.71</v>
      </c>
      <c r="AG44" s="4">
        <f>3570320.71</f>
        <v>3570320.71</v>
      </c>
      <c r="AH44" s="4">
        <f>673743.41+390548+42704+400000+193619+378500+205649.3+80000+1500000+41146</f>
        <v>3905909.71</v>
      </c>
      <c r="AI44" s="4"/>
      <c r="AJ44" s="4"/>
      <c r="AK44" s="4"/>
      <c r="AL44" s="4">
        <f>3905909.71</f>
        <v>3905909.71</v>
      </c>
      <c r="AM44" s="6">
        <v>3.4000000000000002E-2</v>
      </c>
      <c r="AN44" s="6">
        <f t="shared" si="13"/>
        <v>167589.6992</v>
      </c>
      <c r="AO44" s="4">
        <f>40120+42704+43619+41146</f>
        <v>167589</v>
      </c>
      <c r="AP44" s="4">
        <f>167589</f>
        <v>167589</v>
      </c>
      <c r="AQ44" s="4">
        <v>0</v>
      </c>
      <c r="AR44" s="4"/>
      <c r="AS44" s="4"/>
      <c r="AT44" s="4"/>
    </row>
    <row r="45" spans="1:46" ht="13.5" customHeight="1" x14ac:dyDescent="0.15">
      <c r="A45" s="36">
        <v>41284</v>
      </c>
      <c r="B45" s="4" t="s">
        <v>806</v>
      </c>
      <c r="C45" s="4" t="s">
        <v>123</v>
      </c>
      <c r="D45" s="4" t="s">
        <v>124</v>
      </c>
      <c r="E45" s="4" t="s">
        <v>0</v>
      </c>
      <c r="F45" s="4" t="s">
        <v>125</v>
      </c>
      <c r="G45" s="4" t="s">
        <v>53</v>
      </c>
      <c r="H45" s="4" t="s">
        <v>121</v>
      </c>
      <c r="I45" s="4" t="s">
        <v>122</v>
      </c>
      <c r="J45" s="4" t="s">
        <v>121</v>
      </c>
      <c r="K45" s="4" t="s">
        <v>41</v>
      </c>
      <c r="L45" s="4"/>
      <c r="M45" s="4">
        <v>1973264</v>
      </c>
      <c r="N45" s="4">
        <v>1837947</v>
      </c>
      <c r="O45" s="4"/>
      <c r="P45" s="4"/>
      <c r="Q45" s="5" t="s">
        <v>126</v>
      </c>
      <c r="R45" s="45">
        <v>41461</v>
      </c>
      <c r="S45" s="4">
        <f>592+552</f>
        <v>1144</v>
      </c>
      <c r="T45" s="4"/>
      <c r="U45" s="4" t="s">
        <v>84</v>
      </c>
      <c r="V45" s="6">
        <v>3.5999999999999997E-2</v>
      </c>
      <c r="W45" s="4">
        <f t="shared" si="17"/>
        <v>137203.59599999999</v>
      </c>
      <c r="X45" s="4">
        <f>30310+106894</f>
        <v>137204</v>
      </c>
      <c r="Y45" s="4">
        <f>137204</f>
        <v>137204</v>
      </c>
      <c r="Z45" s="4">
        <v>0</v>
      </c>
      <c r="AA45" s="4">
        <v>1500000</v>
      </c>
      <c r="AB45" s="4">
        <v>1500000</v>
      </c>
      <c r="AC45" s="4">
        <v>1500000</v>
      </c>
      <c r="AD45" s="4">
        <v>1500000</v>
      </c>
      <c r="AE45" s="6">
        <f t="shared" si="12"/>
        <v>0.39357569024648598</v>
      </c>
      <c r="AF45" s="4">
        <f>523403.7+200000+500000+150000</f>
        <v>1373403.7</v>
      </c>
      <c r="AG45" s="4">
        <f>1373403.7</f>
        <v>1373403.7</v>
      </c>
      <c r="AH45" s="4">
        <f>51000+523403.7+200000+500000+150000</f>
        <v>1424403.7</v>
      </c>
      <c r="AI45" s="4"/>
      <c r="AJ45" s="4"/>
      <c r="AK45" s="4"/>
      <c r="AL45" s="4">
        <f>1424403.7</f>
        <v>1424403.7</v>
      </c>
      <c r="AM45" s="6">
        <v>3.4000000000000002E-2</v>
      </c>
      <c r="AN45" s="6">
        <f t="shared" si="13"/>
        <v>51000.000000000007</v>
      </c>
      <c r="AO45" s="4">
        <f>51000</f>
        <v>51000</v>
      </c>
      <c r="AP45" s="4">
        <f>51000</f>
        <v>51000</v>
      </c>
      <c r="AQ45" s="4">
        <f t="shared" ref="AQ45:AQ130" si="18">AN45-AP45</f>
        <v>0</v>
      </c>
      <c r="AR45" s="4"/>
      <c r="AS45" s="4">
        <v>20</v>
      </c>
      <c r="AT45" s="4" t="s">
        <v>127</v>
      </c>
    </row>
    <row r="46" spans="1:46" ht="13.5" customHeight="1" x14ac:dyDescent="0.15">
      <c r="A46" s="36">
        <v>41297</v>
      </c>
      <c r="B46" s="4" t="s">
        <v>807</v>
      </c>
      <c r="C46" s="4" t="s">
        <v>259</v>
      </c>
      <c r="D46" s="4" t="s">
        <v>260</v>
      </c>
      <c r="E46" s="4" t="s">
        <v>0</v>
      </c>
      <c r="F46" s="4" t="s">
        <v>261</v>
      </c>
      <c r="G46" s="4" t="s">
        <v>148</v>
      </c>
      <c r="H46" s="4" t="s">
        <v>262</v>
      </c>
      <c r="I46" s="4" t="s">
        <v>263</v>
      </c>
      <c r="J46" s="4" t="s">
        <v>262</v>
      </c>
      <c r="K46" s="4" t="s">
        <v>151</v>
      </c>
      <c r="L46" s="4"/>
      <c r="M46" s="4">
        <v>478942</v>
      </c>
      <c r="N46" s="4">
        <f>19643</f>
        <v>19643</v>
      </c>
      <c r="O46" s="4"/>
      <c r="P46" s="4"/>
      <c r="Q46" s="5" t="s">
        <v>264</v>
      </c>
      <c r="R46" s="45">
        <v>41471</v>
      </c>
      <c r="S46" s="4">
        <v>144</v>
      </c>
      <c r="T46" s="4"/>
      <c r="U46" s="4" t="s">
        <v>265</v>
      </c>
      <c r="V46" s="6">
        <v>3.5999999999999997E-2</v>
      </c>
      <c r="W46" s="4">
        <f t="shared" ref="W46:W58" si="19">(M46+N46)*V46</f>
        <v>17949.059999999998</v>
      </c>
      <c r="X46" s="4">
        <f>17242+589</f>
        <v>17831</v>
      </c>
      <c r="Y46" s="4">
        <f>17831</f>
        <v>17831</v>
      </c>
      <c r="Z46" s="4">
        <f>W46-Y46</f>
        <v>118.05999999999767</v>
      </c>
      <c r="AA46" s="4">
        <f>143000+143000+212585</f>
        <v>498585</v>
      </c>
      <c r="AB46" s="4">
        <f>498585</f>
        <v>498585</v>
      </c>
      <c r="AC46" s="4">
        <f>143000+143000+187655</f>
        <v>473655</v>
      </c>
      <c r="AD46" s="4">
        <f>473655</f>
        <v>473655</v>
      </c>
      <c r="AE46" s="6">
        <f t="shared" si="12"/>
        <v>0.94999849574295259</v>
      </c>
      <c r="AF46" s="4">
        <f>450000</f>
        <v>450000</v>
      </c>
      <c r="AG46" s="4">
        <f>450000</f>
        <v>450000</v>
      </c>
      <c r="AH46" s="4">
        <f>4862+12090+450000</f>
        <v>466952</v>
      </c>
      <c r="AI46" s="4"/>
      <c r="AJ46" s="4"/>
      <c r="AK46" s="4"/>
      <c r="AL46" s="4">
        <f>466952</f>
        <v>466952</v>
      </c>
      <c r="AM46" s="6">
        <v>3.4000000000000002E-2</v>
      </c>
      <c r="AN46" s="6">
        <f t="shared" si="13"/>
        <v>16951.89</v>
      </c>
      <c r="AO46" s="4">
        <f>4862+4862+7228</f>
        <v>16952</v>
      </c>
      <c r="AP46" s="4">
        <f>16952</f>
        <v>16952</v>
      </c>
      <c r="AQ46" s="4">
        <v>0</v>
      </c>
      <c r="AR46" s="4"/>
      <c r="AS46" s="4">
        <v>6</v>
      </c>
      <c r="AT46" s="4" t="s">
        <v>223</v>
      </c>
    </row>
    <row r="47" spans="1:46" ht="13.5" customHeight="1" x14ac:dyDescent="0.15">
      <c r="A47" s="36">
        <v>41294</v>
      </c>
      <c r="B47" s="4" t="s">
        <v>808</v>
      </c>
      <c r="C47" s="4" t="s">
        <v>128</v>
      </c>
      <c r="D47" s="4" t="s">
        <v>266</v>
      </c>
      <c r="E47" s="4" t="s">
        <v>0</v>
      </c>
      <c r="F47" s="4" t="s">
        <v>267</v>
      </c>
      <c r="G47" s="4" t="s">
        <v>148</v>
      </c>
      <c r="H47" s="4" t="s">
        <v>268</v>
      </c>
      <c r="I47" s="12" t="s">
        <v>103</v>
      </c>
      <c r="J47" s="12" t="s">
        <v>104</v>
      </c>
      <c r="K47" s="12" t="s">
        <v>13</v>
      </c>
      <c r="L47" s="4"/>
      <c r="M47" s="4">
        <v>5145173.21</v>
      </c>
      <c r="N47" s="4"/>
      <c r="O47" s="4"/>
      <c r="P47" s="4"/>
      <c r="Q47" s="5" t="s">
        <v>269</v>
      </c>
      <c r="R47" s="45">
        <v>41453</v>
      </c>
      <c r="S47" s="4">
        <v>1544</v>
      </c>
      <c r="T47" s="4"/>
      <c r="U47" s="4" t="s">
        <v>265</v>
      </c>
      <c r="V47" s="6">
        <v>0.03</v>
      </c>
      <c r="W47" s="4">
        <f t="shared" si="19"/>
        <v>154355.19629999998</v>
      </c>
      <c r="X47" s="4">
        <f>50000+50000+54355</f>
        <v>154355</v>
      </c>
      <c r="Y47" s="4">
        <v>154355</v>
      </c>
      <c r="Z47" s="4">
        <v>0</v>
      </c>
      <c r="AA47" s="4">
        <f>300000+583000+1011000+700000+1300000+218000</f>
        <v>4112000</v>
      </c>
      <c r="AB47" s="4">
        <f>4112000</f>
        <v>4112000</v>
      </c>
      <c r="AC47" s="4">
        <f>300000+583000+1011000+700000+1300000+218000</f>
        <v>4112000</v>
      </c>
      <c r="AD47" s="4">
        <f>4112000</f>
        <v>4112000</v>
      </c>
      <c r="AE47" s="6">
        <f t="shared" si="12"/>
        <v>0.79919564068475746</v>
      </c>
      <c r="AF47" s="4">
        <f>210000+25350+50000+540000+25000+797999+149982+30000+240000+384000+881524.81+100000+100000+73230+4000+80000+20000+20000+52427+180000</f>
        <v>3963512.81</v>
      </c>
      <c r="AG47" s="4">
        <f>3963512.81</f>
        <v>3963512.81</v>
      </c>
      <c r="AH47" s="4">
        <f>220200+45172+50000+540000+25000+832373+149982+30000+263800+384000+44200+881524.81+100000+100000+73230+4000+80000+20000+20000+7412+52427+180000</f>
        <v>4103320.81</v>
      </c>
      <c r="AI47" s="4"/>
      <c r="AJ47" s="4"/>
      <c r="AK47" s="4"/>
      <c r="AL47" s="4">
        <f>4103320.81</f>
        <v>4103320.81</v>
      </c>
      <c r="AM47" s="6">
        <v>3.4000000000000002E-2</v>
      </c>
      <c r="AN47" s="6">
        <f t="shared" si="13"/>
        <v>139808</v>
      </c>
      <c r="AO47" s="4">
        <f>10200+19820+34374+23800+44200+7412</f>
        <v>139806</v>
      </c>
      <c r="AP47" s="4">
        <f>139806</f>
        <v>139806</v>
      </c>
      <c r="AQ47" s="4">
        <v>0</v>
      </c>
      <c r="AR47" s="4"/>
      <c r="AS47" s="4">
        <v>75</v>
      </c>
      <c r="AT47" s="4" t="s">
        <v>213</v>
      </c>
    </row>
    <row r="48" spans="1:46" ht="13.5" customHeight="1" x14ac:dyDescent="0.15">
      <c r="A48" s="36">
        <v>41299</v>
      </c>
      <c r="B48" s="4" t="s">
        <v>809</v>
      </c>
      <c r="C48" s="4" t="s">
        <v>129</v>
      </c>
      <c r="D48" s="4" t="s">
        <v>270</v>
      </c>
      <c r="E48" s="4" t="s">
        <v>0</v>
      </c>
      <c r="F48" s="4" t="s">
        <v>271</v>
      </c>
      <c r="G48" s="4" t="s">
        <v>173</v>
      </c>
      <c r="H48" s="4" t="s">
        <v>272</v>
      </c>
      <c r="I48" s="4" t="s">
        <v>181</v>
      </c>
      <c r="J48" s="4" t="s">
        <v>182</v>
      </c>
      <c r="K48" s="4" t="s">
        <v>176</v>
      </c>
      <c r="L48" s="4"/>
      <c r="M48" s="4">
        <v>5903500</v>
      </c>
      <c r="N48" s="4"/>
      <c r="O48" s="4"/>
      <c r="P48" s="4"/>
      <c r="Q48" s="5" t="s">
        <v>273</v>
      </c>
      <c r="R48" s="45">
        <v>41361</v>
      </c>
      <c r="S48" s="4">
        <v>1772</v>
      </c>
      <c r="T48" s="4"/>
      <c r="U48" s="4" t="s">
        <v>265</v>
      </c>
      <c r="V48" s="6">
        <v>0.04</v>
      </c>
      <c r="W48" s="4">
        <f t="shared" si="19"/>
        <v>236140</v>
      </c>
      <c r="X48" s="4">
        <f>236140</f>
        <v>236140</v>
      </c>
      <c r="Y48" s="4">
        <f>236140</f>
        <v>236140</v>
      </c>
      <c r="Z48" s="4">
        <f t="shared" ref="Z48:Z58" si="20">W48-Y48</f>
        <v>0</v>
      </c>
      <c r="AA48" s="4">
        <f>300000+800000+300000+1500000+1000000+1500000</f>
        <v>5400000</v>
      </c>
      <c r="AB48" s="4">
        <f>5400000</f>
        <v>5400000</v>
      </c>
      <c r="AC48" s="4">
        <f>1100000+300000+1000000+500000+500000+600000</f>
        <v>4000000</v>
      </c>
      <c r="AD48" s="4">
        <f>4000000</f>
        <v>4000000</v>
      </c>
      <c r="AE48" s="6">
        <f t="shared" si="12"/>
        <v>0.67756415685610227</v>
      </c>
      <c r="AF48" s="4">
        <f>28800+200155.74+300000+609077.08+500000+471466.5+597000</f>
        <v>2706499.32</v>
      </c>
      <c r="AG48" s="4">
        <f>2706499.32</f>
        <v>2706499.32</v>
      </c>
      <c r="AH48" s="4">
        <f>1066200+10200+310000+351000+609077.08+500000+34000+471466.5+648000</f>
        <v>3999943.58</v>
      </c>
      <c r="AI48" s="4"/>
      <c r="AJ48" s="4"/>
      <c r="AK48" s="4"/>
      <c r="AL48" s="4">
        <f>3999943.58</f>
        <v>3999943.58</v>
      </c>
      <c r="AM48" s="6">
        <v>3.4000000000000002E-2</v>
      </c>
      <c r="AN48" s="6">
        <f t="shared" si="13"/>
        <v>183600</v>
      </c>
      <c r="AO48" s="4">
        <f>10200+27200+10200+51000+34000+51000</f>
        <v>183600</v>
      </c>
      <c r="AP48" s="4">
        <f>183600</f>
        <v>183600</v>
      </c>
      <c r="AQ48" s="4">
        <f t="shared" si="18"/>
        <v>0</v>
      </c>
      <c r="AR48" s="4"/>
      <c r="AS48" s="4">
        <v>74</v>
      </c>
      <c r="AT48" s="4" t="s">
        <v>223</v>
      </c>
    </row>
    <row r="49" spans="1:46" ht="13.5" customHeight="1" x14ac:dyDescent="0.15">
      <c r="A49" s="36">
        <v>41294</v>
      </c>
      <c r="B49" s="4" t="s">
        <v>810</v>
      </c>
      <c r="C49" s="4" t="s">
        <v>130</v>
      </c>
      <c r="D49" s="4" t="s">
        <v>274</v>
      </c>
      <c r="E49" s="4" t="s">
        <v>0</v>
      </c>
      <c r="F49" s="4" t="s">
        <v>275</v>
      </c>
      <c r="G49" s="4" t="s">
        <v>276</v>
      </c>
      <c r="H49" s="4" t="s">
        <v>277</v>
      </c>
      <c r="I49" s="4" t="s">
        <v>278</v>
      </c>
      <c r="J49" s="4" t="s">
        <v>277</v>
      </c>
      <c r="K49" s="4" t="s">
        <v>279</v>
      </c>
      <c r="L49" s="4"/>
      <c r="M49" s="4">
        <v>8338455</v>
      </c>
      <c r="N49" s="4">
        <f>1516000</f>
        <v>1516000</v>
      </c>
      <c r="O49" s="4"/>
      <c r="P49" s="4"/>
      <c r="Q49" s="5" t="s">
        <v>280</v>
      </c>
      <c r="R49" s="45">
        <v>41569</v>
      </c>
      <c r="S49" s="4">
        <v>2502</v>
      </c>
      <c r="T49" s="4"/>
      <c r="U49" s="4" t="s">
        <v>265</v>
      </c>
      <c r="V49" s="6">
        <v>0.03</v>
      </c>
      <c r="W49" s="4">
        <f t="shared" si="19"/>
        <v>295633.64999999997</v>
      </c>
      <c r="X49" s="4">
        <f>295634</f>
        <v>295634</v>
      </c>
      <c r="Y49" s="4">
        <f>295634</f>
        <v>295634</v>
      </c>
      <c r="Z49" s="4">
        <v>0</v>
      </c>
      <c r="AA49" s="4">
        <f>4000000</f>
        <v>4000000</v>
      </c>
      <c r="AB49" s="4">
        <f>4000000</f>
        <v>4000000</v>
      </c>
      <c r="AC49" s="4">
        <f>4000000+2000000</f>
        <v>6000000</v>
      </c>
      <c r="AD49" s="4">
        <f>4000000+2000000</f>
        <v>6000000</v>
      </c>
      <c r="AE49" s="6">
        <f t="shared" si="12"/>
        <v>0.60886167728200091</v>
      </c>
      <c r="AF49" s="4">
        <f>2302710+620+620+2865+2000+11342+30000+284389</f>
        <v>2634546</v>
      </c>
      <c r="AG49" s="4">
        <f>2350157+284389</f>
        <v>2634546</v>
      </c>
      <c r="AH49" s="4">
        <f>1500000+2302710-620+620+2865+132000+2000+11342+30000+284389</f>
        <v>4265306</v>
      </c>
      <c r="AI49" s="4"/>
      <c r="AJ49" s="4"/>
      <c r="AK49" s="4"/>
      <c r="AL49" s="4">
        <f>3980917+284389</f>
        <v>4265306</v>
      </c>
      <c r="AM49" s="6"/>
      <c r="AN49" s="6">
        <f t="shared" si="13"/>
        <v>0</v>
      </c>
      <c r="AO49" s="4"/>
      <c r="AP49" s="4"/>
      <c r="AQ49" s="4">
        <f t="shared" si="18"/>
        <v>0</v>
      </c>
      <c r="AR49" s="4"/>
      <c r="AS49" s="4">
        <v>75</v>
      </c>
      <c r="AT49" s="4" t="s">
        <v>223</v>
      </c>
    </row>
    <row r="50" spans="1:46" ht="13.5" customHeight="1" x14ac:dyDescent="0.15">
      <c r="A50" s="36">
        <v>41299</v>
      </c>
      <c r="B50" s="4" t="s">
        <v>811</v>
      </c>
      <c r="C50" s="4" t="s">
        <v>131</v>
      </c>
      <c r="D50" s="4" t="s">
        <v>281</v>
      </c>
      <c r="E50" s="4" t="s">
        <v>0</v>
      </c>
      <c r="F50" s="4" t="s">
        <v>282</v>
      </c>
      <c r="G50" s="4" t="s">
        <v>173</v>
      </c>
      <c r="H50" s="4" t="s">
        <v>152</v>
      </c>
      <c r="I50" s="12" t="s">
        <v>150</v>
      </c>
      <c r="J50" s="12" t="s">
        <v>152</v>
      </c>
      <c r="K50" s="4" t="s">
        <v>151</v>
      </c>
      <c r="L50" s="4"/>
      <c r="M50" s="4">
        <v>1707600</v>
      </c>
      <c r="N50" s="4"/>
      <c r="O50" s="4"/>
      <c r="P50" s="4"/>
      <c r="Q50" s="5" t="s">
        <v>283</v>
      </c>
      <c r="R50" s="45">
        <v>41366</v>
      </c>
      <c r="S50" s="4">
        <v>513</v>
      </c>
      <c r="T50" s="4"/>
      <c r="U50" s="4" t="s">
        <v>265</v>
      </c>
      <c r="V50" s="6">
        <v>0.03</v>
      </c>
      <c r="W50" s="4">
        <f t="shared" si="19"/>
        <v>51228</v>
      </c>
      <c r="X50" s="4">
        <f>51228</f>
        <v>51228</v>
      </c>
      <c r="Y50" s="4">
        <f>51228</f>
        <v>51228</v>
      </c>
      <c r="Z50" s="4">
        <f t="shared" si="20"/>
        <v>0</v>
      </c>
      <c r="AA50" s="4">
        <f>683040+512280+341520</f>
        <v>1536840</v>
      </c>
      <c r="AB50" s="4">
        <v>1536840</v>
      </c>
      <c r="AC50" s="4">
        <f>683040+853800</f>
        <v>1536840</v>
      </c>
      <c r="AD50" s="4">
        <f>1536840</f>
        <v>1536840</v>
      </c>
      <c r="AE50" s="6">
        <f t="shared" si="12"/>
        <v>0.9</v>
      </c>
      <c r="AF50" s="4">
        <f>182000+448651.7+511960+88520+99008+41790+2160+50000+60000</f>
        <v>1484089.7</v>
      </c>
      <c r="AG50" s="4">
        <f>1484089.7</f>
        <v>1484089.7</v>
      </c>
      <c r="AH50" s="4">
        <f>205223+448651.7+17418+11612+511960+88520+99008+41790+2160+50000+60000</f>
        <v>1536342.7</v>
      </c>
      <c r="AI50" s="4"/>
      <c r="AJ50" s="4"/>
      <c r="AK50" s="4"/>
      <c r="AL50" s="4">
        <f>1536342.7</f>
        <v>1536342.7</v>
      </c>
      <c r="AM50" s="6">
        <v>3.4000000000000002E-2</v>
      </c>
      <c r="AN50" s="6">
        <f t="shared" si="13"/>
        <v>52252.560000000005</v>
      </c>
      <c r="AO50" s="4">
        <f>23223+17418+11612</f>
        <v>52253</v>
      </c>
      <c r="AP50" s="4">
        <f>52253</f>
        <v>52253</v>
      </c>
      <c r="AQ50" s="4">
        <v>0</v>
      </c>
      <c r="AR50" s="4"/>
      <c r="AS50" s="4"/>
      <c r="AT50" s="4"/>
    </row>
    <row r="51" spans="1:46" ht="13.5" customHeight="1" x14ac:dyDescent="0.15">
      <c r="A51" s="36">
        <v>41303</v>
      </c>
      <c r="B51" s="4" t="s">
        <v>812</v>
      </c>
      <c r="C51" s="4" t="s">
        <v>132</v>
      </c>
      <c r="D51" s="4" t="s">
        <v>284</v>
      </c>
      <c r="E51" s="4" t="s">
        <v>0</v>
      </c>
      <c r="F51" s="4" t="s">
        <v>285</v>
      </c>
      <c r="G51" s="4" t="s">
        <v>148</v>
      </c>
      <c r="H51" s="4" t="s">
        <v>272</v>
      </c>
      <c r="I51" s="4" t="s">
        <v>181</v>
      </c>
      <c r="J51" s="4" t="s">
        <v>182</v>
      </c>
      <c r="K51" s="4" t="s">
        <v>176</v>
      </c>
      <c r="L51" s="4"/>
      <c r="M51" s="4">
        <v>3171737</v>
      </c>
      <c r="N51" s="4"/>
      <c r="O51" s="4"/>
      <c r="P51" s="4"/>
      <c r="Q51" s="5" t="s">
        <v>286</v>
      </c>
      <c r="R51" s="45">
        <v>41361</v>
      </c>
      <c r="S51" s="4">
        <v>952</v>
      </c>
      <c r="T51" s="4"/>
      <c r="U51" s="4" t="s">
        <v>265</v>
      </c>
      <c r="V51" s="6">
        <v>0.04</v>
      </c>
      <c r="W51" s="4">
        <f t="shared" si="19"/>
        <v>126869.48</v>
      </c>
      <c r="X51" s="4">
        <f>126870</f>
        <v>126870</v>
      </c>
      <c r="Y51" s="4">
        <f>126870</f>
        <v>126870</v>
      </c>
      <c r="Z51" s="4">
        <v>0</v>
      </c>
      <c r="AA51" s="4">
        <f>1200000+500000+1300000</f>
        <v>3000000</v>
      </c>
      <c r="AB51" s="4">
        <f>3000000</f>
        <v>3000000</v>
      </c>
      <c r="AC51" s="4">
        <f>1200000+500000+1300000</f>
        <v>3000000</v>
      </c>
      <c r="AD51" s="4">
        <f>3000000</f>
        <v>3000000</v>
      </c>
      <c r="AE51" s="6">
        <f t="shared" si="12"/>
        <v>0.94585395951808116</v>
      </c>
      <c r="AF51" s="4">
        <f>950000+200000+9075.2+150000+900000</f>
        <v>2209075.2000000002</v>
      </c>
      <c r="AG51" s="4">
        <f>2209075.2</f>
        <v>2209075.2000000002</v>
      </c>
      <c r="AH51" s="4">
        <f>1110800+80000+9075.2+467000+1260337.34+20000</f>
        <v>2947212.54</v>
      </c>
      <c r="AI51" s="4"/>
      <c r="AJ51" s="4"/>
      <c r="AK51" s="4"/>
      <c r="AL51" s="4">
        <f>2947212.54</f>
        <v>2947212.54</v>
      </c>
      <c r="AM51" s="6">
        <v>3.4000000000000002E-2</v>
      </c>
      <c r="AN51" s="6">
        <f t="shared" si="13"/>
        <v>102000.00000000001</v>
      </c>
      <c r="AO51" s="4">
        <f>40800+17000+44200</f>
        <v>102000</v>
      </c>
      <c r="AP51" s="4">
        <f>102000</f>
        <v>102000</v>
      </c>
      <c r="AQ51" s="4">
        <f t="shared" si="18"/>
        <v>0</v>
      </c>
      <c r="AR51" s="4"/>
      <c r="AS51" s="4">
        <v>40</v>
      </c>
      <c r="AT51" s="4" t="s">
        <v>223</v>
      </c>
    </row>
    <row r="52" spans="1:46" ht="13.5" customHeight="1" x14ac:dyDescent="0.15">
      <c r="A52" s="36">
        <v>41304</v>
      </c>
      <c r="B52" s="4" t="s">
        <v>813</v>
      </c>
      <c r="C52" s="4" t="s">
        <v>133</v>
      </c>
      <c r="D52" s="4" t="s">
        <v>287</v>
      </c>
      <c r="E52" s="4" t="s">
        <v>0</v>
      </c>
      <c r="F52" s="4" t="s">
        <v>288</v>
      </c>
      <c r="G52" s="4" t="s">
        <v>173</v>
      </c>
      <c r="H52" s="4" t="s">
        <v>272</v>
      </c>
      <c r="I52" s="4" t="s">
        <v>181</v>
      </c>
      <c r="J52" s="4" t="s">
        <v>182</v>
      </c>
      <c r="K52" s="4" t="s">
        <v>176</v>
      </c>
      <c r="L52" s="4"/>
      <c r="M52" s="4">
        <v>3688900</v>
      </c>
      <c r="N52" s="4">
        <f>2437951.61</f>
        <v>2437951.61</v>
      </c>
      <c r="O52" s="4"/>
      <c r="P52" s="4"/>
      <c r="Q52" s="5" t="s">
        <v>289</v>
      </c>
      <c r="R52" s="45">
        <v>41361</v>
      </c>
      <c r="S52" s="4">
        <v>1107</v>
      </c>
      <c r="T52" s="4"/>
      <c r="U52" s="4" t="s">
        <v>265</v>
      </c>
      <c r="V52" s="6">
        <v>0.04</v>
      </c>
      <c r="W52" s="4">
        <f t="shared" si="19"/>
        <v>245074.06439999997</v>
      </c>
      <c r="X52" s="4">
        <f>147556+73139+24379</f>
        <v>245074</v>
      </c>
      <c r="Y52" s="4">
        <f>245074</f>
        <v>245074</v>
      </c>
      <c r="Z52" s="4">
        <v>0</v>
      </c>
      <c r="AA52" s="4">
        <f>500000+500000+500000+500000+100000+300000+1500000+500000</f>
        <v>4400000</v>
      </c>
      <c r="AB52" s="4">
        <f>4400000</f>
        <v>4400000</v>
      </c>
      <c r="AC52" s="4">
        <f>500000+500000+500000+600000+300000+1500000+500000</f>
        <v>4400000</v>
      </c>
      <c r="AD52" s="4">
        <f>4400000</f>
        <v>4400000</v>
      </c>
      <c r="AE52" s="6">
        <f t="shared" si="12"/>
        <v>0.71815024748085921</v>
      </c>
      <c r="AF52" s="4">
        <f>100000+400000+100000+300000+150000+150000+100000+600000+1165632.87+330236.2+104500+100000+210000+100000</f>
        <v>3910369.0700000003</v>
      </c>
      <c r="AG52" s="4">
        <f>3910369.07</f>
        <v>3910369.07</v>
      </c>
      <c r="AH52" s="4">
        <f>117000+317000+3118+400000+100000+17000+300000+150000+17000-150000+150000+3400+150000+10200+100000+600000+51000+1165632.87+330236.2+17000+104500+100000+210000+100000</f>
        <v>4363087.07</v>
      </c>
      <c r="AI52" s="4"/>
      <c r="AJ52" s="4"/>
      <c r="AK52" s="4"/>
      <c r="AL52" s="4">
        <f>4363087.07</f>
        <v>4363087.07</v>
      </c>
      <c r="AM52" s="6">
        <v>3.4000000000000002E-2</v>
      </c>
      <c r="AN52" s="6">
        <f t="shared" si="13"/>
        <v>149600</v>
      </c>
      <c r="AO52" s="4">
        <f>17000+17000+17000+17000+3400+10200+51000+17000</f>
        <v>149600</v>
      </c>
      <c r="AP52" s="4">
        <f>149600</f>
        <v>149600</v>
      </c>
      <c r="AQ52" s="4">
        <f t="shared" si="18"/>
        <v>0</v>
      </c>
      <c r="AR52" s="4"/>
      <c r="AS52" s="4">
        <v>78</v>
      </c>
      <c r="AT52" s="4" t="s">
        <v>290</v>
      </c>
    </row>
    <row r="53" spans="1:46" ht="13.5" customHeight="1" x14ac:dyDescent="0.15">
      <c r="A53" s="36">
        <v>41330</v>
      </c>
      <c r="B53" s="4" t="s">
        <v>814</v>
      </c>
      <c r="C53" s="4" t="s">
        <v>134</v>
      </c>
      <c r="D53" s="4" t="s">
        <v>291</v>
      </c>
      <c r="E53" s="4" t="s">
        <v>0</v>
      </c>
      <c r="F53" s="4" t="s">
        <v>292</v>
      </c>
      <c r="G53" s="4" t="s">
        <v>293</v>
      </c>
      <c r="H53" s="4" t="s">
        <v>294</v>
      </c>
      <c r="I53" s="4" t="s">
        <v>295</v>
      </c>
      <c r="J53" s="4" t="s">
        <v>297</v>
      </c>
      <c r="K53" s="4" t="s">
        <v>296</v>
      </c>
      <c r="L53" s="4"/>
      <c r="M53" s="4">
        <v>10242431.93</v>
      </c>
      <c r="N53" s="4"/>
      <c r="O53" s="4"/>
      <c r="P53" s="4"/>
      <c r="Q53" s="5" t="s">
        <v>298</v>
      </c>
      <c r="R53" s="45">
        <v>41342</v>
      </c>
      <c r="S53" s="4">
        <v>3073</v>
      </c>
      <c r="T53" s="4"/>
      <c r="U53" s="4" t="s">
        <v>265</v>
      </c>
      <c r="V53" s="6">
        <v>0.03</v>
      </c>
      <c r="W53" s="4">
        <f t="shared" si="19"/>
        <v>307272.95789999998</v>
      </c>
      <c r="X53" s="4">
        <f>200000+107273</f>
        <v>307273</v>
      </c>
      <c r="Y53" s="4">
        <f>307273</f>
        <v>307273</v>
      </c>
      <c r="Z53" s="4">
        <v>0</v>
      </c>
      <c r="AA53" s="4">
        <f>2048486.39+1259000+1397513.61+650000</f>
        <v>5355000</v>
      </c>
      <c r="AB53" s="4">
        <f>5355000</f>
        <v>5355000</v>
      </c>
      <c r="AC53" s="4">
        <f>2040000+1259000+1406000+650000</f>
        <v>5355000</v>
      </c>
      <c r="AD53" s="4">
        <f>5355000</f>
        <v>5355000</v>
      </c>
      <c r="AE53" s="6">
        <f t="shared" si="12"/>
        <v>0.52282505137429802</v>
      </c>
      <c r="AF53" s="4">
        <f>1113238.75+95564.8+282990.85+250000+100000+38784.85+1007350+138980+802000+300000+598000+19500</f>
        <v>4746409.25</v>
      </c>
      <c r="AG53" s="4">
        <f>4746409.25</f>
        <v>4746409.25</v>
      </c>
      <c r="AH53" s="4">
        <f>69649+1113238.75+95564.8+282990.85+250000+100000+38784.85+42806+1007350+138980+47515+802000+300000+620100+19500+77895.7</f>
        <v>5006374.95</v>
      </c>
      <c r="AI53" s="4"/>
      <c r="AJ53" s="4"/>
      <c r="AK53" s="4"/>
      <c r="AL53" s="4">
        <f>5006374.95</f>
        <v>5006374.95</v>
      </c>
      <c r="AM53" s="6">
        <v>3.4000000000000002E-2</v>
      </c>
      <c r="AN53" s="6">
        <f t="shared" si="13"/>
        <v>182070</v>
      </c>
      <c r="AO53" s="4">
        <f>69649+42806+47515+22100</f>
        <v>182070</v>
      </c>
      <c r="AP53" s="4">
        <f>182070</f>
        <v>182070</v>
      </c>
      <c r="AQ53" s="4">
        <f t="shared" si="18"/>
        <v>0</v>
      </c>
      <c r="AR53" s="4"/>
      <c r="AS53" s="4">
        <v>150</v>
      </c>
      <c r="AT53" s="4" t="s">
        <v>299</v>
      </c>
    </row>
    <row r="54" spans="1:46" ht="13.5" customHeight="1" x14ac:dyDescent="0.15">
      <c r="A54" s="36">
        <v>41334</v>
      </c>
      <c r="B54" s="4" t="s">
        <v>815</v>
      </c>
      <c r="C54" s="4" t="s">
        <v>135</v>
      </c>
      <c r="D54" s="4" t="s">
        <v>300</v>
      </c>
      <c r="E54" s="4" t="s">
        <v>0</v>
      </c>
      <c r="F54" s="4" t="s">
        <v>301</v>
      </c>
      <c r="G54" s="4" t="s">
        <v>302</v>
      </c>
      <c r="H54" s="4" t="s">
        <v>303</v>
      </c>
      <c r="I54" s="4" t="s">
        <v>304</v>
      </c>
      <c r="J54" s="4" t="s">
        <v>305</v>
      </c>
      <c r="K54" s="4" t="s">
        <v>306</v>
      </c>
      <c r="L54" s="4"/>
      <c r="M54" s="4">
        <v>10182154.199999999</v>
      </c>
      <c r="N54" s="4"/>
      <c r="O54" s="4"/>
      <c r="P54" s="4"/>
      <c r="Q54" s="5" t="s">
        <v>307</v>
      </c>
      <c r="R54" s="45">
        <v>41351</v>
      </c>
      <c r="S54" s="4">
        <v>3055</v>
      </c>
      <c r="T54" s="4"/>
      <c r="U54" s="4" t="s">
        <v>265</v>
      </c>
      <c r="V54" s="6">
        <v>0.03</v>
      </c>
      <c r="W54" s="4">
        <f t="shared" si="19"/>
        <v>305464.62599999999</v>
      </c>
      <c r="X54" s="4">
        <f>100000+205465</f>
        <v>305465</v>
      </c>
      <c r="Y54" s="4">
        <f>305465</f>
        <v>305465</v>
      </c>
      <c r="Z54" s="4">
        <v>0</v>
      </c>
      <c r="AA54" s="4">
        <f>1018215+1527323.13+2545538.55+1567304.64</f>
        <v>6658381.3199999994</v>
      </c>
      <c r="AB54" s="4">
        <f>6658381.32</f>
        <v>6658381.3200000003</v>
      </c>
      <c r="AC54" s="4">
        <f>1018215+1527323.13+2545538.55+967304.64+150000+150000+300000</f>
        <v>6658381.3199999994</v>
      </c>
      <c r="AD54" s="4">
        <f>6658381.32</f>
        <v>6658381.3200000003</v>
      </c>
      <c r="AE54" s="6">
        <f t="shared" si="12"/>
        <v>0.65392658461212461</v>
      </c>
      <c r="AF54" s="4">
        <f>10350+319999+149999+159072+45000+50000+18000+70000+318528+988079+99999+950000+1020000+250000+179447.5+37845+55000+41712.9+60000+230000+44953+200000+220000+33000</f>
        <v>5550984.4000000004</v>
      </c>
      <c r="AG54" s="4">
        <f>5550984.4</f>
        <v>5550984.4000000004</v>
      </c>
      <c r="AH54" s="4">
        <f>10350+355229.24+149999+25455.39+159072+45000+50000+18000+70000+318528+988079+152844.37+950000+1020000+338075.63+179447.5+37845+800000+55000+41712.9+60000+230000+94953+200000+273131.63+33000+1097.1</f>
        <v>6656819.7599999998</v>
      </c>
      <c r="AI54" s="4"/>
      <c r="AJ54" s="4"/>
      <c r="AK54" s="4"/>
      <c r="AL54" s="4">
        <f>66566819.76</f>
        <v>66566819.759999998</v>
      </c>
      <c r="AM54" s="6"/>
      <c r="AN54" s="6">
        <f t="shared" si="13"/>
        <v>0</v>
      </c>
      <c r="AO54" s="4"/>
      <c r="AP54" s="4"/>
      <c r="AQ54" s="4">
        <f t="shared" si="18"/>
        <v>0</v>
      </c>
      <c r="AR54" s="4"/>
      <c r="AS54" s="4">
        <v>123</v>
      </c>
      <c r="AT54" s="4" t="s">
        <v>308</v>
      </c>
    </row>
    <row r="55" spans="1:46" ht="13.5" customHeight="1" x14ac:dyDescent="0.15">
      <c r="A55" s="36">
        <v>41361</v>
      </c>
      <c r="B55" s="4" t="s">
        <v>816</v>
      </c>
      <c r="C55" s="4" t="s">
        <v>136</v>
      </c>
      <c r="D55" s="4" t="s">
        <v>309</v>
      </c>
      <c r="E55" s="4" t="s">
        <v>0</v>
      </c>
      <c r="F55" s="4" t="s">
        <v>310</v>
      </c>
      <c r="G55" s="4" t="s">
        <v>311</v>
      </c>
      <c r="H55" s="4" t="s">
        <v>312</v>
      </c>
      <c r="I55" s="4" t="s">
        <v>313</v>
      </c>
      <c r="J55" s="4" t="s">
        <v>312</v>
      </c>
      <c r="K55" s="4" t="s">
        <v>314</v>
      </c>
      <c r="L55" s="4"/>
      <c r="M55" s="4">
        <v>35281540.549999997</v>
      </c>
      <c r="N55" s="4">
        <f>214700+873089.19</f>
        <v>1087789.19</v>
      </c>
      <c r="O55" s="4"/>
      <c r="P55" s="4"/>
      <c r="Q55" s="5" t="s">
        <v>315</v>
      </c>
      <c r="R55" s="45">
        <v>41410</v>
      </c>
      <c r="S55" s="4">
        <v>10585</v>
      </c>
      <c r="T55" s="4"/>
      <c r="U55" s="4" t="s">
        <v>265</v>
      </c>
      <c r="V55" s="6">
        <v>0.03</v>
      </c>
      <c r="W55" s="4">
        <f t="shared" si="19"/>
        <v>1091079.8921999999</v>
      </c>
      <c r="X55" s="4">
        <f>300000+400000+6441+358446</f>
        <v>1064887</v>
      </c>
      <c r="Y55" s="4">
        <f>1064887</f>
        <v>1064887</v>
      </c>
      <c r="Z55" s="4">
        <f t="shared" si="20"/>
        <v>26192.892199999886</v>
      </c>
      <c r="AA55" s="4">
        <f>3061870+3977905+7558668+214700+6514145+3722817</f>
        <v>25050105</v>
      </c>
      <c r="AB55" s="4">
        <f>25050105</f>
        <v>25050105</v>
      </c>
      <c r="AC55" s="4">
        <f>3061870+3977905+3000000+4558668+214700+6514145+3722817</f>
        <v>25050105</v>
      </c>
      <c r="AD55" s="4">
        <f>25050105</f>
        <v>25050105</v>
      </c>
      <c r="AE55" s="6">
        <f t="shared" si="12"/>
        <v>0.68877004825440047</v>
      </c>
      <c r="AF55" s="4">
        <f>1044647+757241.28+499950+1260000+1809096.82+754561.9+1359970+504860+600000+40000+100000+50000+1628000+30000+1823150+100000+200000+1799920+950000+500000+1384935.73+3950.51+1099920+20068.57+100000+199800+499970+605403+158700+3647573.83-50000-399000+400000+57996</f>
        <v>23540714.640000001</v>
      </c>
      <c r="AG55" s="4">
        <f>23540714.64</f>
        <v>23540714.640000001</v>
      </c>
      <c r="AH55" s="4">
        <f>1148751+757241.28+635199+1260000+1809096.82+754561.9+650000+1616965+504860+600000+40000+100000+50000+1628000+30000+1823150+100000+200000+1028701+1950000+500000+1384935.73+3950.51+1099920+20068.57+100000+199800+499970+605403+158700+3774149.83-50000-399000+400000+57996</f>
        <v>25042419.640000001</v>
      </c>
      <c r="AI55" s="4"/>
      <c r="AJ55" s="4"/>
      <c r="AK55" s="4"/>
      <c r="AL55" s="4">
        <f>25042419.64</f>
        <v>25042419.640000001</v>
      </c>
      <c r="AM55" s="6">
        <v>3.4000000000000002E-2</v>
      </c>
      <c r="AN55" s="6">
        <f t="shared" si="13"/>
        <v>851703.57000000007</v>
      </c>
      <c r="AO55" s="4">
        <f>104104+135249+256995+7300+221481+126576</f>
        <v>851705</v>
      </c>
      <c r="AP55" s="4">
        <f>851705</f>
        <v>851705</v>
      </c>
      <c r="AQ55" s="4">
        <v>0</v>
      </c>
      <c r="AR55" s="4"/>
      <c r="AS55" s="4">
        <v>180</v>
      </c>
      <c r="AT55" s="4" t="s">
        <v>316</v>
      </c>
    </row>
    <row r="56" spans="1:46" ht="13.5" customHeight="1" x14ac:dyDescent="0.15">
      <c r="A56" s="36">
        <v>41361</v>
      </c>
      <c r="B56" s="4" t="s">
        <v>817</v>
      </c>
      <c r="C56" s="4" t="s">
        <v>137</v>
      </c>
      <c r="D56" s="4" t="s">
        <v>317</v>
      </c>
      <c r="E56" s="4" t="s">
        <v>0</v>
      </c>
      <c r="F56" s="4" t="s">
        <v>318</v>
      </c>
      <c r="G56" s="4" t="s">
        <v>311</v>
      </c>
      <c r="H56" s="4" t="s">
        <v>319</v>
      </c>
      <c r="I56" s="4" t="s">
        <v>89</v>
      </c>
      <c r="J56" s="4" t="s">
        <v>88</v>
      </c>
      <c r="K56" s="4" t="s">
        <v>314</v>
      </c>
      <c r="L56" s="4"/>
      <c r="M56" s="4">
        <v>1995000</v>
      </c>
      <c r="N56" s="4"/>
      <c r="O56" s="4"/>
      <c r="P56" s="4"/>
      <c r="Q56" s="5" t="s">
        <v>320</v>
      </c>
      <c r="R56" s="45">
        <v>41429</v>
      </c>
      <c r="S56" s="4">
        <v>599</v>
      </c>
      <c r="T56" s="4"/>
      <c r="U56" s="4"/>
      <c r="V56" s="6">
        <v>3.5999999999999997E-2</v>
      </c>
      <c r="W56" s="4">
        <f t="shared" si="19"/>
        <v>71820</v>
      </c>
      <c r="X56" s="4"/>
      <c r="Y56" s="4"/>
      <c r="Z56" s="4">
        <f t="shared" si="20"/>
        <v>71820</v>
      </c>
      <c r="AA56" s="4"/>
      <c r="AB56" s="4"/>
      <c r="AC56" s="4"/>
      <c r="AD56" s="4"/>
      <c r="AE56" s="6">
        <f t="shared" si="12"/>
        <v>0</v>
      </c>
      <c r="AF56" s="4"/>
      <c r="AG56" s="4"/>
      <c r="AH56" s="4"/>
      <c r="AI56" s="4"/>
      <c r="AJ56" s="4"/>
      <c r="AK56" s="4"/>
      <c r="AL56" s="4"/>
      <c r="AM56" s="6">
        <v>3.4000000000000002E-2</v>
      </c>
      <c r="AN56" s="6">
        <f t="shared" si="13"/>
        <v>0</v>
      </c>
      <c r="AO56" s="4"/>
      <c r="AP56" s="4"/>
      <c r="AQ56" s="4">
        <f t="shared" si="18"/>
        <v>0</v>
      </c>
      <c r="AR56" s="4"/>
      <c r="AS56" s="4">
        <v>26</v>
      </c>
      <c r="AT56" s="4" t="s">
        <v>316</v>
      </c>
    </row>
    <row r="57" spans="1:46" ht="13.5" customHeight="1" x14ac:dyDescent="0.15">
      <c r="A57" s="36">
        <v>41361</v>
      </c>
      <c r="B57" s="4" t="s">
        <v>818</v>
      </c>
      <c r="C57" s="4" t="s">
        <v>138</v>
      </c>
      <c r="D57" s="4" t="s">
        <v>321</v>
      </c>
      <c r="E57" s="4" t="s">
        <v>0</v>
      </c>
      <c r="F57" s="4" t="s">
        <v>322</v>
      </c>
      <c r="G57" s="4" t="s">
        <v>311</v>
      </c>
      <c r="H57" s="4" t="s">
        <v>323</v>
      </c>
      <c r="I57" s="4" t="s">
        <v>324</v>
      </c>
      <c r="J57" s="4" t="s">
        <v>325</v>
      </c>
      <c r="K57" s="4" t="s">
        <v>314</v>
      </c>
      <c r="L57" s="4"/>
      <c r="M57" s="4">
        <v>9000000</v>
      </c>
      <c r="N57" s="4"/>
      <c r="O57" s="4"/>
      <c r="P57" s="4"/>
      <c r="Q57" s="5" t="s">
        <v>326</v>
      </c>
      <c r="R57" s="45">
        <v>41384</v>
      </c>
      <c r="S57" s="4">
        <v>2700</v>
      </c>
      <c r="T57" s="4"/>
      <c r="U57" s="4" t="s">
        <v>265</v>
      </c>
      <c r="V57" s="6">
        <v>0.03</v>
      </c>
      <c r="W57" s="4">
        <f t="shared" si="19"/>
        <v>270000</v>
      </c>
      <c r="X57" s="4">
        <f>50000+50000+100000+10000</f>
        <v>210000</v>
      </c>
      <c r="Y57" s="4">
        <f>210000</f>
        <v>210000</v>
      </c>
      <c r="Z57" s="4">
        <f t="shared" si="20"/>
        <v>60000</v>
      </c>
      <c r="AA57" s="4">
        <f>1000000+1000000+2000000+5000000</f>
        <v>9000000</v>
      </c>
      <c r="AB57" s="4">
        <f>9000000</f>
        <v>9000000</v>
      </c>
      <c r="AC57" s="4">
        <f>1000000+1000000+2000000+800000</f>
        <v>4800000</v>
      </c>
      <c r="AD57" s="4">
        <f>4800000</f>
        <v>4800000</v>
      </c>
      <c r="AE57" s="6">
        <f t="shared" si="12"/>
        <v>0.53333333333333333</v>
      </c>
      <c r="AF57" s="4">
        <f>367213.64+288736.55+1098080+803000+14000</f>
        <v>2571030.19</v>
      </c>
      <c r="AG57" s="4">
        <f>2571030.19</f>
        <v>2571030.19</v>
      </c>
      <c r="AH57" s="4">
        <f>966000+963844.72+27454+2008701.28+820000+14000</f>
        <v>4800000</v>
      </c>
      <c r="AI57" s="4"/>
      <c r="AJ57" s="4"/>
      <c r="AK57" s="4"/>
      <c r="AL57" s="4">
        <f>4800000</f>
        <v>4800000</v>
      </c>
      <c r="AM57" s="6">
        <v>3.4000000000000002E-2</v>
      </c>
      <c r="AN57" s="6">
        <f t="shared" si="13"/>
        <v>306000</v>
      </c>
      <c r="AO57" s="4">
        <f>34000+34000+68000+170000</f>
        <v>306000</v>
      </c>
      <c r="AP57" s="4">
        <f>306000</f>
        <v>306000</v>
      </c>
      <c r="AQ57" s="4">
        <f t="shared" si="18"/>
        <v>0</v>
      </c>
      <c r="AR57" s="4"/>
      <c r="AS57" s="4">
        <v>10</v>
      </c>
      <c r="AT57" s="4" t="s">
        <v>316</v>
      </c>
    </row>
    <row r="58" spans="1:46" ht="13.5" customHeight="1" x14ac:dyDescent="0.15">
      <c r="A58" s="36">
        <v>41377</v>
      </c>
      <c r="B58" s="4" t="s">
        <v>819</v>
      </c>
      <c r="C58" s="4" t="s">
        <v>139</v>
      </c>
      <c r="D58" s="4" t="s">
        <v>327</v>
      </c>
      <c r="E58" s="4" t="s">
        <v>0</v>
      </c>
      <c r="F58" s="4" t="s">
        <v>328</v>
      </c>
      <c r="G58" s="4" t="s">
        <v>311</v>
      </c>
      <c r="H58" s="4" t="s">
        <v>329</v>
      </c>
      <c r="I58" s="4" t="s">
        <v>330</v>
      </c>
      <c r="J58" s="4" t="s">
        <v>329</v>
      </c>
      <c r="K58" s="4" t="s">
        <v>314</v>
      </c>
      <c r="L58" s="4"/>
      <c r="M58" s="4">
        <v>2600000</v>
      </c>
      <c r="N58" s="4"/>
      <c r="O58" s="4"/>
      <c r="P58" s="4"/>
      <c r="Q58" s="5" t="s">
        <v>331</v>
      </c>
      <c r="R58" s="45">
        <v>41389</v>
      </c>
      <c r="S58" s="4">
        <v>780</v>
      </c>
      <c r="T58" s="4"/>
      <c r="U58" s="4" t="s">
        <v>265</v>
      </c>
      <c r="V58" s="6">
        <v>3.5999999999999997E-2</v>
      </c>
      <c r="W58" s="4">
        <f t="shared" si="19"/>
        <v>93600</v>
      </c>
      <c r="X58" s="4">
        <f>93600</f>
        <v>93600</v>
      </c>
      <c r="Y58" s="4">
        <f>93600</f>
        <v>93600</v>
      </c>
      <c r="Z58" s="4">
        <f t="shared" si="20"/>
        <v>0</v>
      </c>
      <c r="AA58" s="4">
        <f>780000+780000+650000+684471</f>
        <v>2894471</v>
      </c>
      <c r="AB58" s="4">
        <f>2894471</f>
        <v>2894471</v>
      </c>
      <c r="AC58" s="4">
        <f>780000+780000+650000+684471</f>
        <v>2894471</v>
      </c>
      <c r="AD58" s="4">
        <f>2894471</f>
        <v>2894471</v>
      </c>
      <c r="AE58" s="6">
        <f t="shared" si="12"/>
        <v>1.1132580769230769</v>
      </c>
      <c r="AF58" s="4">
        <f>100000+200000+899909.1+200000+700023.58+200000+200000+5681+200000</f>
        <v>2705613.68</v>
      </c>
      <c r="AG58" s="4">
        <f>2705613.68</f>
        <v>2705613.68</v>
      </c>
      <c r="AH58" s="4">
        <f>126520+100000+226520+899909.1+200000-100000+22100+700023.58+23272+200000+200000+5681+200000</f>
        <v>2804025.68</v>
      </c>
      <c r="AI58" s="4"/>
      <c r="AJ58" s="4"/>
      <c r="AK58" s="4"/>
      <c r="AL58" s="4">
        <f>2804025.68</f>
        <v>2804025.68</v>
      </c>
      <c r="AM58" s="6">
        <v>3.4000000000000002E-2</v>
      </c>
      <c r="AN58" s="6">
        <f t="shared" si="13"/>
        <v>98412.01400000001</v>
      </c>
      <c r="AO58" s="4">
        <f>26520+26520+22100+23272</f>
        <v>98412</v>
      </c>
      <c r="AP58" s="4">
        <f>98412</f>
        <v>98412</v>
      </c>
      <c r="AQ58" s="4">
        <v>0</v>
      </c>
      <c r="AR58" s="4"/>
      <c r="AS58" s="4"/>
      <c r="AT58" s="4"/>
    </row>
    <row r="59" spans="1:46" ht="13.5" customHeight="1" x14ac:dyDescent="0.15">
      <c r="A59" s="36">
        <v>41365</v>
      </c>
      <c r="B59" s="4" t="s">
        <v>820</v>
      </c>
      <c r="C59" s="4" t="s">
        <v>85</v>
      </c>
      <c r="D59" s="4" t="s">
        <v>86</v>
      </c>
      <c r="E59" s="4" t="s">
        <v>0</v>
      </c>
      <c r="F59" s="4" t="s">
        <v>87</v>
      </c>
      <c r="G59" s="4" t="s">
        <v>53</v>
      </c>
      <c r="H59" s="4" t="s">
        <v>88</v>
      </c>
      <c r="I59" s="4" t="s">
        <v>89</v>
      </c>
      <c r="J59" s="4" t="s">
        <v>88</v>
      </c>
      <c r="K59" s="4" t="s">
        <v>41</v>
      </c>
      <c r="L59" s="4"/>
      <c r="M59" s="4">
        <v>12491680</v>
      </c>
      <c r="N59" s="4"/>
      <c r="O59" s="4"/>
      <c r="P59" s="4"/>
      <c r="Q59" s="5" t="s">
        <v>90</v>
      </c>
      <c r="R59" s="45">
        <v>41429</v>
      </c>
      <c r="S59" s="4">
        <v>3748</v>
      </c>
      <c r="T59" s="4"/>
      <c r="U59" s="4" t="s">
        <v>7</v>
      </c>
      <c r="V59" s="6">
        <v>0.03</v>
      </c>
      <c r="W59" s="4">
        <f>(M59+N59)*V59</f>
        <v>374750.39999999997</v>
      </c>
      <c r="X59" s="4">
        <f>250000+124750</f>
        <v>374750</v>
      </c>
      <c r="Y59" s="4">
        <f>374750</f>
        <v>374750</v>
      </c>
      <c r="Z59" s="4">
        <v>0</v>
      </c>
      <c r="AA59" s="4">
        <f>3000000+2500000+2000000+1000000+1000000+1000000+700000</f>
        <v>11200000</v>
      </c>
      <c r="AB59" s="4">
        <f>11200000</f>
        <v>11200000</v>
      </c>
      <c r="AC59" s="4">
        <f>3000000+2500000+2000000+1000000+1000000+1000000+700000</f>
        <v>11200000</v>
      </c>
      <c r="AD59" s="4">
        <f>11200000</f>
        <v>11200000</v>
      </c>
      <c r="AE59" s="6">
        <f t="shared" si="12"/>
        <v>0.89659677481331579</v>
      </c>
      <c r="AF59" s="4">
        <f>1965118.15+144967.59+649995+2926492+299997+157039.77+26088+850006+590000+299997+50000+500000+350000+150000+960000+300000+72000+288000</f>
        <v>10579700.51</v>
      </c>
      <c r="AG59" s="4">
        <f>10291700.51+288000</f>
        <v>10579700.51</v>
      </c>
      <c r="AH59" s="4">
        <f>2067118.15+194967.59+649995+1934992+299997+157039.77+26088+918006+250000+590000+299997+50000+34000+500000+350000+150000+994000+1000000+23800+334000+72000+288000</f>
        <v>11184000.51</v>
      </c>
      <c r="AI59" s="4"/>
      <c r="AJ59" s="4"/>
      <c r="AK59" s="4"/>
      <c r="AL59" s="4">
        <f>10896000.51+288000</f>
        <v>11184000.51</v>
      </c>
      <c r="AM59" s="6">
        <v>3.4000000000000002E-2</v>
      </c>
      <c r="AN59" s="6">
        <f t="shared" si="13"/>
        <v>380800</v>
      </c>
      <c r="AO59" s="4">
        <f>102000+85000+68000+34000+34000+34000+23800</f>
        <v>380800</v>
      </c>
      <c r="AP59" s="4">
        <f>380800</f>
        <v>380800</v>
      </c>
      <c r="AQ59" s="4">
        <v>0</v>
      </c>
      <c r="AR59" s="4"/>
      <c r="AS59" s="4">
        <v>145</v>
      </c>
      <c r="AT59" s="4" t="s">
        <v>30</v>
      </c>
    </row>
    <row r="60" spans="1:46" ht="13.5" customHeight="1" x14ac:dyDescent="0.15">
      <c r="A60" s="36">
        <v>41365</v>
      </c>
      <c r="B60" s="4" t="s">
        <v>821</v>
      </c>
      <c r="C60" s="4" t="s">
        <v>332</v>
      </c>
      <c r="D60" s="4" t="s">
        <v>333</v>
      </c>
      <c r="E60" s="4" t="s">
        <v>0</v>
      </c>
      <c r="F60" s="4" t="s">
        <v>334</v>
      </c>
      <c r="G60" s="4" t="s">
        <v>311</v>
      </c>
      <c r="H60" s="4" t="s">
        <v>335</v>
      </c>
      <c r="I60" s="4" t="s">
        <v>336</v>
      </c>
      <c r="J60" s="4" t="s">
        <v>337</v>
      </c>
      <c r="K60" s="4" t="s">
        <v>314</v>
      </c>
      <c r="L60" s="4"/>
      <c r="M60" s="4">
        <v>1195559</v>
      </c>
      <c r="N60" s="4">
        <f>934441</f>
        <v>934441</v>
      </c>
      <c r="O60" s="4"/>
      <c r="P60" s="4"/>
      <c r="Q60" s="5" t="s">
        <v>338</v>
      </c>
      <c r="R60" s="45">
        <v>41410</v>
      </c>
      <c r="S60" s="4">
        <v>359</v>
      </c>
      <c r="T60" s="4"/>
      <c r="U60" s="4" t="s">
        <v>339</v>
      </c>
      <c r="V60" s="6">
        <v>3.5999999999999997E-2</v>
      </c>
      <c r="W60" s="4">
        <f>(M60+N60)*V60</f>
        <v>76680</v>
      </c>
      <c r="X60" s="4">
        <f>76680</f>
        <v>76680</v>
      </c>
      <c r="Y60" s="4">
        <f>76680</f>
        <v>76680</v>
      </c>
      <c r="Z60" s="4">
        <v>0</v>
      </c>
      <c r="AA60" s="4">
        <f>1065000+426000+532500+106500</f>
        <v>2130000</v>
      </c>
      <c r="AB60" s="4">
        <f>2130000</f>
        <v>2130000</v>
      </c>
      <c r="AC60" s="4">
        <f>1065000+239112+186888+532500</f>
        <v>2023500</v>
      </c>
      <c r="AD60" s="4">
        <f>2023500</f>
        <v>2023500</v>
      </c>
      <c r="AE60" s="6">
        <f t="shared" si="12"/>
        <v>0.95</v>
      </c>
      <c r="AF60" s="4">
        <f>250000+50000+200000+200000+500000</f>
        <v>1200000</v>
      </c>
      <c r="AG60" s="4">
        <f>1200000</f>
        <v>1200000</v>
      </c>
      <c r="AH60" s="4">
        <f>999648.8+50000+200000+200000+18105+3621+500000</f>
        <v>1971374.8</v>
      </c>
      <c r="AI60" s="4"/>
      <c r="AJ60" s="4"/>
      <c r="AK60" s="4"/>
      <c r="AL60" s="4">
        <f>1971374.8</f>
        <v>1971374.8</v>
      </c>
      <c r="AM60" s="6">
        <v>3.4000000000000002E-2</v>
      </c>
      <c r="AN60" s="6">
        <f t="shared" si="13"/>
        <v>72420</v>
      </c>
      <c r="AO60" s="4">
        <f>36210+14484+18105+3621</f>
        <v>72420</v>
      </c>
      <c r="AP60" s="4">
        <f>72420</f>
        <v>72420</v>
      </c>
      <c r="AQ60" s="4">
        <v>0</v>
      </c>
      <c r="AR60" s="4"/>
      <c r="AS60" s="4">
        <v>16</v>
      </c>
      <c r="AT60" s="4" t="s">
        <v>308</v>
      </c>
    </row>
    <row r="61" spans="1:46" ht="13.5" customHeight="1" x14ac:dyDescent="0.15">
      <c r="A61" s="36">
        <v>41396</v>
      </c>
      <c r="B61" s="4" t="s">
        <v>822</v>
      </c>
      <c r="C61" s="4" t="s">
        <v>340</v>
      </c>
      <c r="D61" s="4" t="s">
        <v>345</v>
      </c>
      <c r="E61" s="4" t="s">
        <v>0</v>
      </c>
      <c r="F61" s="4" t="s">
        <v>346</v>
      </c>
      <c r="G61" s="4" t="s">
        <v>311</v>
      </c>
      <c r="H61" s="4" t="s">
        <v>347</v>
      </c>
      <c r="I61" s="4" t="s">
        <v>348</v>
      </c>
      <c r="J61" s="4" t="s">
        <v>349</v>
      </c>
      <c r="K61" s="4" t="s">
        <v>314</v>
      </c>
      <c r="L61" s="4"/>
      <c r="M61" s="4">
        <v>1258749</v>
      </c>
      <c r="N61" s="4"/>
      <c r="O61" s="4"/>
      <c r="P61" s="4"/>
      <c r="Q61" s="5" t="s">
        <v>350</v>
      </c>
      <c r="R61" s="45">
        <v>41410</v>
      </c>
      <c r="S61" s="4">
        <v>378</v>
      </c>
      <c r="T61" s="4"/>
      <c r="U61" s="4" t="s">
        <v>339</v>
      </c>
      <c r="V61" s="6">
        <v>3.5999999999999997E-2</v>
      </c>
      <c r="W61" s="4">
        <f t="shared" ref="W61:W68" si="21">(M61+N61)*V61</f>
        <v>45314.964</v>
      </c>
      <c r="X61" s="4">
        <f>45315</f>
        <v>45315</v>
      </c>
      <c r="Y61" s="4">
        <f>45315</f>
        <v>45315</v>
      </c>
      <c r="Z61" s="4">
        <v>0</v>
      </c>
      <c r="AA61" s="4">
        <f>125000+250000+377000+200000+100000</f>
        <v>1052000</v>
      </c>
      <c r="AB61" s="4">
        <f>1052000</f>
        <v>1052000</v>
      </c>
      <c r="AC61" s="4">
        <f>125000+250000+377000+200000+100000</f>
        <v>1052000</v>
      </c>
      <c r="AD61" s="4">
        <f>1052000</f>
        <v>1052000</v>
      </c>
      <c r="AE61" s="6">
        <f t="shared" si="12"/>
        <v>0.83575041569049902</v>
      </c>
      <c r="AF61" s="4">
        <f>150000+14831+309969+139986+194500+80000+120000</f>
        <v>1009286</v>
      </c>
      <c r="AG61" s="4">
        <f>1009286</f>
        <v>1009286</v>
      </c>
      <c r="AH61" s="4">
        <f>12750+150000+12818+14831+309969+139986+6800+194500+80000+3400+120000</f>
        <v>1045054</v>
      </c>
      <c r="AI61" s="4"/>
      <c r="AJ61" s="4"/>
      <c r="AK61" s="4"/>
      <c r="AL61" s="4">
        <f>1045054</f>
        <v>1045054</v>
      </c>
      <c r="AM61" s="6">
        <v>3.4000000000000002E-2</v>
      </c>
      <c r="AN61" s="6">
        <f t="shared" si="13"/>
        <v>35768</v>
      </c>
      <c r="AO61" s="4">
        <f>4250+8500+12818+6800+3400</f>
        <v>35768</v>
      </c>
      <c r="AP61" s="4">
        <f>35768</f>
        <v>35768</v>
      </c>
      <c r="AQ61" s="4">
        <f>AN61-AP61</f>
        <v>0</v>
      </c>
      <c r="AR61" s="4"/>
      <c r="AS61" s="4"/>
      <c r="AT61" s="4"/>
    </row>
    <row r="62" spans="1:46" ht="13.5" customHeight="1" x14ac:dyDescent="0.15">
      <c r="A62" s="36">
        <v>41395</v>
      </c>
      <c r="B62" s="4" t="s">
        <v>823</v>
      </c>
      <c r="C62" s="4" t="s">
        <v>341</v>
      </c>
      <c r="D62" s="4" t="s">
        <v>351</v>
      </c>
      <c r="E62" s="4" t="s">
        <v>0</v>
      </c>
      <c r="F62" s="4" t="s">
        <v>352</v>
      </c>
      <c r="G62" s="4" t="s">
        <v>353</v>
      </c>
      <c r="H62" s="4" t="s">
        <v>354</v>
      </c>
      <c r="I62" s="4" t="s">
        <v>355</v>
      </c>
      <c r="J62" s="4" t="s">
        <v>356</v>
      </c>
      <c r="K62" s="4" t="s">
        <v>314</v>
      </c>
      <c r="L62" s="4"/>
      <c r="M62" s="4">
        <v>2894611</v>
      </c>
      <c r="N62" s="4"/>
      <c r="O62" s="4"/>
      <c r="P62" s="4"/>
      <c r="Q62" s="5" t="s">
        <v>357</v>
      </c>
      <c r="R62" s="45">
        <v>41463</v>
      </c>
      <c r="S62" s="4">
        <v>869</v>
      </c>
      <c r="T62" s="4"/>
      <c r="U62" s="4" t="s">
        <v>339</v>
      </c>
      <c r="V62" s="6">
        <v>3.5999999999999997E-2</v>
      </c>
      <c r="W62" s="4">
        <f t="shared" si="21"/>
        <v>104205.996</v>
      </c>
      <c r="X62" s="4">
        <f>104206</f>
        <v>104206</v>
      </c>
      <c r="Y62" s="4">
        <f>104206</f>
        <v>104206</v>
      </c>
      <c r="Z62" s="4">
        <v>0</v>
      </c>
      <c r="AA62" s="4">
        <f>868383.3+330000+330000</f>
        <v>1528383.3</v>
      </c>
      <c r="AB62" s="4">
        <v>1528383.3</v>
      </c>
      <c r="AC62" s="4">
        <f>868383.3+330000+330000</f>
        <v>1528383.3</v>
      </c>
      <c r="AD62" s="4">
        <f>1528383.3</f>
        <v>1528383.3</v>
      </c>
      <c r="AE62" s="6">
        <f t="shared" si="12"/>
        <v>0.52800991221272908</v>
      </c>
      <c r="AF62" s="4">
        <f>756000+400000+320000</f>
        <v>1476000</v>
      </c>
      <c r="AG62" s="4">
        <f>1476000</f>
        <v>1476000</v>
      </c>
      <c r="AH62" s="4">
        <f>756000+400000+51965+320000</f>
        <v>1527965</v>
      </c>
      <c r="AI62" s="4"/>
      <c r="AJ62" s="4"/>
      <c r="AK62" s="4"/>
      <c r="AL62" s="4">
        <f>1527965</f>
        <v>1527965</v>
      </c>
      <c r="AM62" s="6">
        <v>3.4000000000000002E-2</v>
      </c>
      <c r="AN62" s="6">
        <f t="shared" si="13"/>
        <v>51965.032200000009</v>
      </c>
      <c r="AO62" s="4">
        <f>29525+11220+11220</f>
        <v>51965</v>
      </c>
      <c r="AP62" s="4">
        <f>51965</f>
        <v>51965</v>
      </c>
      <c r="AQ62" s="4">
        <v>0</v>
      </c>
      <c r="AR62" s="4"/>
      <c r="AS62" s="4"/>
      <c r="AT62" s="4"/>
    </row>
    <row r="63" spans="1:46" ht="13.5" customHeight="1" x14ac:dyDescent="0.15">
      <c r="A63" s="36">
        <v>41395</v>
      </c>
      <c r="B63" s="4" t="s">
        <v>824</v>
      </c>
      <c r="C63" s="4" t="s">
        <v>342</v>
      </c>
      <c r="D63" s="4" t="s">
        <v>358</v>
      </c>
      <c r="E63" s="4" t="s">
        <v>0</v>
      </c>
      <c r="F63" s="4" t="s">
        <v>359</v>
      </c>
      <c r="G63" s="4" t="s">
        <v>311</v>
      </c>
      <c r="H63" s="4" t="s">
        <v>347</v>
      </c>
      <c r="I63" s="4" t="s">
        <v>348</v>
      </c>
      <c r="J63" s="4" t="s">
        <v>349</v>
      </c>
      <c r="K63" s="4" t="s">
        <v>314</v>
      </c>
      <c r="L63" s="4"/>
      <c r="M63" s="4">
        <v>1691837.01</v>
      </c>
      <c r="N63" s="4"/>
      <c r="O63" s="4"/>
      <c r="P63" s="4"/>
      <c r="Q63" s="5" t="s">
        <v>360</v>
      </c>
      <c r="R63" s="45">
        <v>41431</v>
      </c>
      <c r="S63" s="4">
        <v>508</v>
      </c>
      <c r="T63" s="4"/>
      <c r="U63" s="4" t="s">
        <v>339</v>
      </c>
      <c r="V63" s="6">
        <v>3.5999999999999997E-2</v>
      </c>
      <c r="W63" s="4">
        <f t="shared" si="21"/>
        <v>60906.132359999996</v>
      </c>
      <c r="X63" s="4">
        <f>60906</f>
        <v>60906</v>
      </c>
      <c r="Y63" s="4">
        <f>60906</f>
        <v>60906</v>
      </c>
      <c r="Z63" s="4">
        <v>0</v>
      </c>
      <c r="AA63" s="4">
        <f>761326+507551+338367+285000</f>
        <v>1892244</v>
      </c>
      <c r="AB63" s="4">
        <f>1892244</f>
        <v>1892244</v>
      </c>
      <c r="AC63" s="4">
        <f>761326+507551+338367+285000</f>
        <v>1892244</v>
      </c>
      <c r="AD63" s="4">
        <f>1892244</f>
        <v>1892244</v>
      </c>
      <c r="AE63" s="6">
        <f>AD63/(M63+N63)</f>
        <v>1.118455258287558</v>
      </c>
      <c r="AF63" s="4">
        <f>300000+354500+160401.7+290841.6+109989+309969+43938.7+100000+60000</f>
        <v>1729639.9999999998</v>
      </c>
      <c r="AG63" s="4">
        <f>1729640</f>
        <v>1729640</v>
      </c>
      <c r="AH63" s="4">
        <f>327915+354500+17257+160401.7+290841.6+109989+321473+9690+43938.7+100000+60000</f>
        <v>1796005.9999999998</v>
      </c>
      <c r="AI63" s="4"/>
      <c r="AJ63" s="4"/>
      <c r="AK63" s="4"/>
      <c r="AL63" s="4">
        <f>1796006</f>
        <v>1796006</v>
      </c>
      <c r="AM63" s="6">
        <v>3.4000000000000002E-2</v>
      </c>
      <c r="AN63" s="6">
        <f t="shared" si="13"/>
        <v>64336.296000000002</v>
      </c>
      <c r="AO63" s="4">
        <f>25885+17257+11504+9690</f>
        <v>64336</v>
      </c>
      <c r="AP63" s="4">
        <f>64336</f>
        <v>64336</v>
      </c>
      <c r="AQ63" s="4">
        <v>0</v>
      </c>
      <c r="AR63" s="4"/>
      <c r="AS63" s="4">
        <v>15</v>
      </c>
      <c r="AT63" s="4" t="s">
        <v>361</v>
      </c>
    </row>
    <row r="64" spans="1:46" ht="13.5" customHeight="1" x14ac:dyDescent="0.15">
      <c r="A64" s="36">
        <v>41412</v>
      </c>
      <c r="B64" s="4" t="s">
        <v>825</v>
      </c>
      <c r="C64" s="4" t="s">
        <v>343</v>
      </c>
      <c r="D64" s="4" t="s">
        <v>362</v>
      </c>
      <c r="E64" s="4" t="s">
        <v>0</v>
      </c>
      <c r="F64" s="4" t="s">
        <v>108</v>
      </c>
      <c r="G64" s="4" t="s">
        <v>363</v>
      </c>
      <c r="H64" s="4" t="s">
        <v>110</v>
      </c>
      <c r="I64" s="4" t="s">
        <v>111</v>
      </c>
      <c r="J64" s="4" t="s">
        <v>110</v>
      </c>
      <c r="K64" s="4" t="s">
        <v>5</v>
      </c>
      <c r="L64" s="4"/>
      <c r="M64" s="4">
        <v>6498959</v>
      </c>
      <c r="N64" s="4"/>
      <c r="O64" s="4"/>
      <c r="P64" s="4"/>
      <c r="Q64" s="5"/>
      <c r="R64" s="45"/>
      <c r="S64" s="4"/>
      <c r="T64" s="4"/>
      <c r="U64" s="4" t="s">
        <v>339</v>
      </c>
      <c r="V64" s="6">
        <v>0.03</v>
      </c>
      <c r="W64" s="4">
        <f t="shared" si="21"/>
        <v>194968.77</v>
      </c>
      <c r="X64" s="4">
        <f>70000+124969</f>
        <v>194969</v>
      </c>
      <c r="Y64" s="4">
        <f>194969</f>
        <v>194969</v>
      </c>
      <c r="Z64" s="4">
        <v>0</v>
      </c>
      <c r="AA64" s="4">
        <f>3335989.4+769844.1+1059365.7</f>
        <v>5165199.2</v>
      </c>
      <c r="AB64" s="4">
        <f>5165199.2</f>
        <v>5165199.2</v>
      </c>
      <c r="AC64" s="4">
        <f>490000+76924.4+2769065+576844.1+1028712</f>
        <v>4941545.5</v>
      </c>
      <c r="AD64" s="4">
        <f>4941545.5</f>
        <v>4941545.5</v>
      </c>
      <c r="AE64" s="6">
        <f t="shared" ref="AE64:AE74" si="22">AD64/(M64+N64)</f>
        <v>0.76035954373615833</v>
      </c>
      <c r="AF64" s="4">
        <f>199998+250000+1726769.35+399200+299400+100000+245998+100000+99990+200000+100000+584950+109993.85+196120</f>
        <v>4612419.1999999993</v>
      </c>
      <c r="AG64" s="4">
        <f>4612419.2</f>
        <v>4612419.2</v>
      </c>
      <c r="AH64" s="4">
        <f>206496+350000+1839859.39+399200+325497.71+100000+245998+100000+99990+200000+40000+100000+584950+109993.85+232032.5</f>
        <v>4934017.4499999993</v>
      </c>
      <c r="AI64" s="4"/>
      <c r="AJ64" s="4"/>
      <c r="AK64" s="4"/>
      <c r="AL64" s="4">
        <f>4934017.45</f>
        <v>4934017.45</v>
      </c>
      <c r="AM64" s="6">
        <v>3.7400000000000003E-2</v>
      </c>
      <c r="AN64" s="6">
        <f t="shared" si="13"/>
        <v>193178.45008000001</v>
      </c>
      <c r="AO64" s="4">
        <v>193178.45</v>
      </c>
      <c r="AP64" s="4">
        <f>193178.45</f>
        <v>193178.45</v>
      </c>
      <c r="AQ64" s="4">
        <f t="shared" ref="AQ64" si="23">AN64-AP64</f>
        <v>7.9999997979030013E-5</v>
      </c>
      <c r="AR64" s="4"/>
      <c r="AS64" s="4">
        <v>80</v>
      </c>
      <c r="AT64" s="4" t="s">
        <v>316</v>
      </c>
    </row>
    <row r="65" spans="1:46" ht="13.5" customHeight="1" x14ac:dyDescent="0.15">
      <c r="A65" s="36">
        <v>41417</v>
      </c>
      <c r="B65" s="4" t="s">
        <v>826</v>
      </c>
      <c r="C65" s="4" t="s">
        <v>344</v>
      </c>
      <c r="D65" s="4" t="s">
        <v>364</v>
      </c>
      <c r="E65" s="4" t="s">
        <v>0</v>
      </c>
      <c r="F65" s="4" t="s">
        <v>365</v>
      </c>
      <c r="G65" s="4" t="s">
        <v>311</v>
      </c>
      <c r="H65" s="4" t="s">
        <v>366</v>
      </c>
      <c r="I65" s="4" t="s">
        <v>55</v>
      </c>
      <c r="J65" s="4" t="s">
        <v>58</v>
      </c>
      <c r="K65" s="4" t="s">
        <v>13</v>
      </c>
      <c r="L65" s="4"/>
      <c r="M65" s="4">
        <v>6000000</v>
      </c>
      <c r="N65" s="4">
        <v>2023835.04</v>
      </c>
      <c r="O65" s="4"/>
      <c r="P65" s="4"/>
      <c r="Q65" s="5" t="s">
        <v>367</v>
      </c>
      <c r="R65" s="45">
        <v>41424</v>
      </c>
      <c r="S65" s="4">
        <v>1800</v>
      </c>
      <c r="T65" s="4"/>
      <c r="U65" s="4" t="s">
        <v>339</v>
      </c>
      <c r="V65" s="6">
        <v>0.03</v>
      </c>
      <c r="W65" s="4">
        <f t="shared" si="21"/>
        <v>240715.05119999999</v>
      </c>
      <c r="X65" s="4">
        <f>180000+20715+40000</f>
        <v>240715</v>
      </c>
      <c r="Y65" s="4">
        <f>240715</f>
        <v>240715</v>
      </c>
      <c r="Z65" s="4">
        <v>0</v>
      </c>
      <c r="AA65" s="4">
        <f>3600000+600000+600000+600000+2623835.04</f>
        <v>8023835.04</v>
      </c>
      <c r="AB65" s="4">
        <f>8023835.04</f>
        <v>8023835.04</v>
      </c>
      <c r="AC65" s="4">
        <f>3600000+600000+600000+600000+2623835.04</f>
        <v>8023835.04</v>
      </c>
      <c r="AD65" s="4">
        <f>8023835.04</f>
        <v>8023835.04</v>
      </c>
      <c r="AE65" s="6">
        <f t="shared" si="22"/>
        <v>1</v>
      </c>
      <c r="AF65" s="4">
        <f>1805292+320140.05+398998+799938+50000+567998+100000+302649+299990+499950+56400+9900+1000000+389990+218559.7+160000+500000</f>
        <v>7479804.75</v>
      </c>
      <c r="AG65" s="4">
        <f>7479804.75</f>
        <v>7479804.75</v>
      </c>
      <c r="AH65" s="4">
        <f>1927692+510140.05+398998-190000+799938+20400+567998+20400+20400+150000+302649+299990-2650+499950+56400+9900+1089210+389990+218559.7+160000+500000</f>
        <v>7749964.75</v>
      </c>
      <c r="AI65" s="4"/>
      <c r="AJ65" s="4"/>
      <c r="AK65" s="4"/>
      <c r="AL65" s="4">
        <f>7749964.75</f>
        <v>7749964.75</v>
      </c>
      <c r="AM65" s="6">
        <v>3.4000000000000002E-2</v>
      </c>
      <c r="AN65" s="6">
        <f t="shared" si="13"/>
        <v>272810.39136000001</v>
      </c>
      <c r="AO65" s="4">
        <f>122400+20400+20400+20400+89210</f>
        <v>272810</v>
      </c>
      <c r="AP65" s="4">
        <f>272810</f>
        <v>272810</v>
      </c>
      <c r="AQ65" s="4">
        <v>0</v>
      </c>
      <c r="AR65" s="4"/>
      <c r="AS65" s="4"/>
      <c r="AT65" s="4"/>
    </row>
    <row r="66" spans="1:46" s="23" customFormat="1" ht="13.5" customHeight="1" x14ac:dyDescent="0.15">
      <c r="A66" s="39">
        <v>41438</v>
      </c>
      <c r="B66" s="4" t="s">
        <v>827</v>
      </c>
      <c r="C66" s="18" t="s">
        <v>368</v>
      </c>
      <c r="D66" s="19" t="s">
        <v>370</v>
      </c>
      <c r="E66" s="19" t="s">
        <v>0</v>
      </c>
      <c r="F66" s="19" t="s">
        <v>371</v>
      </c>
      <c r="G66" s="19" t="s">
        <v>372</v>
      </c>
      <c r="H66" s="19" t="s">
        <v>373</v>
      </c>
      <c r="I66" s="19" t="s">
        <v>374</v>
      </c>
      <c r="J66" s="19" t="s">
        <v>373</v>
      </c>
      <c r="K66" s="19" t="s">
        <v>375</v>
      </c>
      <c r="L66" s="19"/>
      <c r="M66" s="19">
        <v>15283442.58</v>
      </c>
      <c r="N66" s="19">
        <f>1303649.56</f>
        <v>1303649.56</v>
      </c>
      <c r="O66" s="19"/>
      <c r="P66" s="19"/>
      <c r="Q66" s="20" t="s">
        <v>376</v>
      </c>
      <c r="R66" s="48">
        <v>41439</v>
      </c>
      <c r="S66" s="19">
        <v>4586</v>
      </c>
      <c r="T66" s="19"/>
      <c r="U66" s="19" t="s">
        <v>377</v>
      </c>
      <c r="V66" s="21">
        <v>0.04</v>
      </c>
      <c r="W66" s="18">
        <f>M66*0.04+N66*0.036</f>
        <v>658269.08736</v>
      </c>
      <c r="X66" s="19">
        <f>611338+46931</f>
        <v>658269</v>
      </c>
      <c r="Y66" s="19">
        <f>658269</f>
        <v>658269</v>
      </c>
      <c r="Z66" s="19">
        <v>0</v>
      </c>
      <c r="AA66" s="19">
        <f>3056688.52+130000+100000+6544953.88+1342643.66+230000+1678809.38+350000+902359.64</f>
        <v>14335455.080000002</v>
      </c>
      <c r="AB66" s="19">
        <f>13433095.44+902359.64</f>
        <v>14335455.08</v>
      </c>
      <c r="AC66" s="19">
        <f>3056688.52+230000+6544953.88+1342643.66+150000+80000+1678809.38+250000+100000</f>
        <v>13433095.440000001</v>
      </c>
      <c r="AD66" s="19">
        <f>13433095.44</f>
        <v>13433095.439999999</v>
      </c>
      <c r="AE66" s="22">
        <f t="shared" si="22"/>
        <v>0.80985234341382273</v>
      </c>
      <c r="AF66" s="19">
        <f>2400000+12226+466357.36+5698233.68+611830+120000+500000+956787.5+1600000+147425+200000+922082.75+105074</f>
        <v>13740016.289999999</v>
      </c>
      <c r="AG66" s="19">
        <f>12712859.54+922082.75+105074</f>
        <v>13740016.289999999</v>
      </c>
      <c r="AH66" s="19">
        <f>2503927+12226+466357.36+230348+5698233.68+611830+120000+45650+7820+500000+956787.5+57080+11900+1600000+147425+200000+30680+922082.75+105074</f>
        <v>14227421.289999999</v>
      </c>
      <c r="AI66" s="19"/>
      <c r="AJ66" s="19"/>
      <c r="AK66" s="19"/>
      <c r="AL66" s="19">
        <f>13169584.54+30680+922082.75+105074</f>
        <v>14227421.289999999</v>
      </c>
      <c r="AM66" s="21">
        <v>3.4000000000000002E-2</v>
      </c>
      <c r="AN66" s="21">
        <f t="shared" si="13"/>
        <v>487405.47272000002</v>
      </c>
      <c r="AO66" s="19">
        <f>103927+4420+3400+222528+45650+7820+57080+11900+30680</f>
        <v>487405</v>
      </c>
      <c r="AP66" s="19">
        <f>456725+30680</f>
        <v>487405</v>
      </c>
      <c r="AQ66" s="19">
        <f>AN66-AP66</f>
        <v>0.47272000001976267</v>
      </c>
      <c r="AR66" s="19"/>
      <c r="AS66" s="19"/>
      <c r="AT66" s="19"/>
    </row>
    <row r="67" spans="1:46" ht="13.5" customHeight="1" x14ac:dyDescent="0.15">
      <c r="A67" s="36">
        <v>41439</v>
      </c>
      <c r="B67" s="4" t="s">
        <v>828</v>
      </c>
      <c r="C67" s="4" t="s">
        <v>369</v>
      </c>
      <c r="D67" s="4" t="s">
        <v>378</v>
      </c>
      <c r="E67" s="4" t="s">
        <v>0</v>
      </c>
      <c r="F67" s="4" t="s">
        <v>379</v>
      </c>
      <c r="G67" s="4" t="s">
        <v>372</v>
      </c>
      <c r="H67" s="4" t="s">
        <v>380</v>
      </c>
      <c r="I67" s="4" t="s">
        <v>23</v>
      </c>
      <c r="J67" s="4" t="s">
        <v>22</v>
      </c>
      <c r="K67" s="4" t="s">
        <v>13</v>
      </c>
      <c r="L67" s="4"/>
      <c r="M67" s="4">
        <v>1712229.71</v>
      </c>
      <c r="N67" s="4"/>
      <c r="O67" s="4"/>
      <c r="P67" s="4"/>
      <c r="Q67" s="5" t="s">
        <v>381</v>
      </c>
      <c r="R67" s="45">
        <v>41495</v>
      </c>
      <c r="S67" s="4">
        <v>514</v>
      </c>
      <c r="T67" s="4"/>
      <c r="U67" s="4" t="s">
        <v>7</v>
      </c>
      <c r="V67" s="6">
        <v>3.5999999999999997E-2</v>
      </c>
      <c r="W67" s="4">
        <f t="shared" si="21"/>
        <v>61640.269559999993</v>
      </c>
      <c r="X67" s="4">
        <f>61640</f>
        <v>61640</v>
      </c>
      <c r="Y67" s="4">
        <f>61640</f>
        <v>61640</v>
      </c>
      <c r="Z67" s="4">
        <v>0</v>
      </c>
      <c r="AA67" s="4"/>
      <c r="AB67" s="4"/>
      <c r="AC67" s="4"/>
      <c r="AD67" s="4"/>
      <c r="AE67" s="6">
        <f t="shared" si="22"/>
        <v>0</v>
      </c>
      <c r="AF67" s="4"/>
      <c r="AG67" s="4"/>
      <c r="AH67" s="4"/>
      <c r="AI67" s="4"/>
      <c r="AJ67" s="4"/>
      <c r="AK67" s="4"/>
      <c r="AL67" s="4"/>
      <c r="AM67" s="6">
        <v>3.4000000000000002E-2</v>
      </c>
      <c r="AN67" s="24">
        <f t="shared" si="13"/>
        <v>0</v>
      </c>
      <c r="AO67" s="4"/>
      <c r="AP67" s="4"/>
      <c r="AQ67" s="4"/>
      <c r="AR67" s="4"/>
      <c r="AS67" s="4">
        <v>19</v>
      </c>
      <c r="AT67" s="4" t="s">
        <v>382</v>
      </c>
    </row>
    <row r="68" spans="1:46" ht="13.5" customHeight="1" x14ac:dyDescent="0.15">
      <c r="A68" s="36">
        <v>41443</v>
      </c>
      <c r="B68" s="4" t="s">
        <v>829</v>
      </c>
      <c r="C68" s="4" t="s">
        <v>383</v>
      </c>
      <c r="D68" s="4" t="s">
        <v>384</v>
      </c>
      <c r="E68" s="4" t="s">
        <v>0</v>
      </c>
      <c r="F68" s="4" t="s">
        <v>385</v>
      </c>
      <c r="G68" s="4" t="s">
        <v>372</v>
      </c>
      <c r="H68" s="4" t="s">
        <v>387</v>
      </c>
      <c r="I68" s="4" t="s">
        <v>386</v>
      </c>
      <c r="J68" s="4" t="s">
        <v>388</v>
      </c>
      <c r="K68" s="4" t="s">
        <v>13</v>
      </c>
      <c r="L68" s="4"/>
      <c r="M68" s="4">
        <v>7389748</v>
      </c>
      <c r="N68" s="4">
        <v>1116572</v>
      </c>
      <c r="O68" s="4"/>
      <c r="P68" s="4"/>
      <c r="Q68" s="5" t="s">
        <v>389</v>
      </c>
      <c r="R68" s="45">
        <v>41484</v>
      </c>
      <c r="S68" s="4">
        <v>2217</v>
      </c>
      <c r="T68" s="4"/>
      <c r="U68" s="4" t="s">
        <v>7</v>
      </c>
      <c r="V68" s="6">
        <v>0.03</v>
      </c>
      <c r="W68" s="4">
        <f t="shared" si="21"/>
        <v>255189.59999999998</v>
      </c>
      <c r="X68" s="4">
        <f>92150+129542+15515.27+17985</f>
        <v>255192.27</v>
      </c>
      <c r="Y68" s="4">
        <f>255191.27</f>
        <v>255191.27</v>
      </c>
      <c r="Z68" s="4">
        <v>0</v>
      </c>
      <c r="AA68" s="4">
        <f>1477950+1451600+2106770+470000+3000000</f>
        <v>8506320</v>
      </c>
      <c r="AB68" s="4">
        <f>8506320</f>
        <v>8506320</v>
      </c>
      <c r="AC68" s="4">
        <f>1477950+1451600+2106770+470000+1600000+1400000</f>
        <v>8506320</v>
      </c>
      <c r="AD68" s="4">
        <f>8506320</f>
        <v>8506320</v>
      </c>
      <c r="AE68" s="6">
        <f t="shared" si="22"/>
        <v>1</v>
      </c>
      <c r="AF68" s="4">
        <f>638356+174850+13545+235692.62+52176+280000+523292.84+267480+28578+558852.86+1095779.12+383558.81+219300+150000+60000+206342+4520+80995.27+591911+369130.63+347696.17+144623+101501.63+105200+1400000+3150</f>
        <v>8036530.9499999993</v>
      </c>
      <c r="AG68" s="4">
        <f>8036530.95</f>
        <v>8036530.9500000002</v>
      </c>
      <c r="AH68" s="4">
        <f>8867+938787.13+174850+13545+235692.62+52176+280000+523292.84+339110+28578+558852.86+1095779.12+383558.81+219300+150000+30000+222322+102000+4520+80995.27+591911+369130.63+347696.16+144623+101501.63+105200+1400000+3150</f>
        <v>8505439.0700000003</v>
      </c>
      <c r="AI68" s="4"/>
      <c r="AJ68" s="4"/>
      <c r="AK68" s="4"/>
      <c r="AL68" s="4">
        <f>8505439.07</f>
        <v>8505439.0700000003</v>
      </c>
      <c r="AM68" s="6">
        <v>3.4000000000000002E-2</v>
      </c>
      <c r="AN68" s="24">
        <f t="shared" si="13"/>
        <v>289214.88</v>
      </c>
      <c r="AO68" s="4">
        <f>50250+49354+71630+15980+102000</f>
        <v>289214</v>
      </c>
      <c r="AP68" s="4">
        <f>289214</f>
        <v>289214</v>
      </c>
      <c r="AQ68" s="4">
        <v>0</v>
      </c>
      <c r="AR68" s="4"/>
      <c r="AS68" s="4">
        <v>50</v>
      </c>
      <c r="AT68" s="4" t="s">
        <v>395</v>
      </c>
    </row>
    <row r="69" spans="1:46" ht="13.5" customHeight="1" x14ac:dyDescent="0.15">
      <c r="A69" s="36">
        <v>41456</v>
      </c>
      <c r="B69" s="4" t="s">
        <v>830</v>
      </c>
      <c r="C69" s="4" t="s">
        <v>77</v>
      </c>
      <c r="D69" s="4" t="s">
        <v>78</v>
      </c>
      <c r="E69" s="4" t="s">
        <v>0</v>
      </c>
      <c r="F69" s="4" t="s">
        <v>79</v>
      </c>
      <c r="G69" s="4" t="s">
        <v>53</v>
      </c>
      <c r="H69" s="4" t="s">
        <v>70</v>
      </c>
      <c r="I69" s="4" t="s">
        <v>71</v>
      </c>
      <c r="J69" s="4" t="s">
        <v>70</v>
      </c>
      <c r="K69" s="4" t="s">
        <v>41</v>
      </c>
      <c r="L69" s="4"/>
      <c r="M69" s="4">
        <v>205000</v>
      </c>
      <c r="N69" s="4"/>
      <c r="O69" s="4"/>
      <c r="P69" s="4"/>
      <c r="Q69" s="5"/>
      <c r="R69" s="45"/>
      <c r="S69" s="4"/>
      <c r="T69" s="4"/>
      <c r="U69" s="4" t="s">
        <v>7</v>
      </c>
      <c r="V69" s="6">
        <v>3.5999999999999997E-2</v>
      </c>
      <c r="W69" s="4">
        <f>(M69+N69)*V69</f>
        <v>7379.9999999999991</v>
      </c>
      <c r="X69" s="4">
        <v>7380</v>
      </c>
      <c r="Y69" s="4">
        <f>7380</f>
        <v>7380</v>
      </c>
      <c r="Z69" s="4">
        <v>0</v>
      </c>
      <c r="AA69" s="4">
        <v>194750</v>
      </c>
      <c r="AB69" s="4">
        <f>194750</f>
        <v>194750</v>
      </c>
      <c r="AC69" s="4">
        <v>194750</v>
      </c>
      <c r="AD69" s="4">
        <f>194750</f>
        <v>194750</v>
      </c>
      <c r="AE69" s="6">
        <f t="shared" si="22"/>
        <v>0.95</v>
      </c>
      <c r="AF69" s="4">
        <f>99990+4832.2+50625</f>
        <v>155447.20000000001</v>
      </c>
      <c r="AG69" s="4">
        <f>155447.2</f>
        <v>155447.20000000001</v>
      </c>
      <c r="AH69" s="4">
        <f>106612+4832.2+20000+50625+10000</f>
        <v>192069.2</v>
      </c>
      <c r="AI69" s="4"/>
      <c r="AJ69" s="4"/>
      <c r="AK69" s="4"/>
      <c r="AL69" s="4">
        <f>182069.2+10000</f>
        <v>192069.2</v>
      </c>
      <c r="AM69" s="6">
        <v>3.4000000000000002E-2</v>
      </c>
      <c r="AN69" s="6">
        <f t="shared" si="13"/>
        <v>6621.5000000000009</v>
      </c>
      <c r="AO69" s="4">
        <v>6622</v>
      </c>
      <c r="AP69" s="4">
        <f>6622</f>
        <v>6622</v>
      </c>
      <c r="AQ69" s="4">
        <v>0</v>
      </c>
      <c r="AR69" s="4"/>
      <c r="AS69" s="4"/>
      <c r="AT69" s="4"/>
    </row>
    <row r="70" spans="1:46" ht="13.5" customHeight="1" x14ac:dyDescent="0.15">
      <c r="A70" s="36">
        <v>41457</v>
      </c>
      <c r="B70" s="4" t="s">
        <v>831</v>
      </c>
      <c r="C70" s="4" t="s">
        <v>396</v>
      </c>
      <c r="D70" s="4" t="s">
        <v>399</v>
      </c>
      <c r="E70" s="4" t="s">
        <v>0</v>
      </c>
      <c r="F70" s="4"/>
      <c r="G70" s="4" t="s">
        <v>372</v>
      </c>
      <c r="H70" s="4" t="s">
        <v>152</v>
      </c>
      <c r="I70" s="12" t="s">
        <v>150</v>
      </c>
      <c r="J70" s="12" t="s">
        <v>152</v>
      </c>
      <c r="K70" s="12" t="s">
        <v>13</v>
      </c>
      <c r="L70" s="4"/>
      <c r="M70" s="4">
        <v>5287718</v>
      </c>
      <c r="N70" s="4"/>
      <c r="O70" s="4"/>
      <c r="P70" s="4"/>
      <c r="Q70" s="5" t="s">
        <v>400</v>
      </c>
      <c r="R70" s="45">
        <v>41531</v>
      </c>
      <c r="S70" s="4">
        <v>1587</v>
      </c>
      <c r="T70" s="4"/>
      <c r="U70" s="4" t="s">
        <v>7</v>
      </c>
      <c r="V70" s="6">
        <v>0.03</v>
      </c>
      <c r="W70" s="4">
        <f>(M70+N70)*V70</f>
        <v>158631.54</v>
      </c>
      <c r="X70" s="4"/>
      <c r="Y70" s="4"/>
      <c r="Z70" s="4">
        <f>W70-Y70</f>
        <v>158631.54</v>
      </c>
      <c r="AA70" s="4"/>
      <c r="AB70" s="4"/>
      <c r="AC70" s="4"/>
      <c r="AD70" s="4"/>
      <c r="AE70" s="6">
        <f t="shared" si="22"/>
        <v>0</v>
      </c>
      <c r="AF70" s="4"/>
      <c r="AG70" s="4"/>
      <c r="AH70" s="4"/>
      <c r="AI70" s="4"/>
      <c r="AJ70" s="4"/>
      <c r="AK70" s="4"/>
      <c r="AL70" s="4"/>
      <c r="AM70" s="6">
        <v>3.4000000000000002E-2</v>
      </c>
      <c r="AN70" s="6">
        <f t="shared" si="13"/>
        <v>0</v>
      </c>
      <c r="AO70" s="4"/>
      <c r="AP70" s="4"/>
      <c r="AQ70" s="4"/>
      <c r="AR70" s="4"/>
      <c r="AS70" s="4">
        <v>15</v>
      </c>
      <c r="AT70" s="4" t="s">
        <v>395</v>
      </c>
    </row>
    <row r="71" spans="1:46" ht="13.5" customHeight="1" x14ac:dyDescent="0.15">
      <c r="A71" s="36">
        <v>41459</v>
      </c>
      <c r="B71" s="4" t="s">
        <v>832</v>
      </c>
      <c r="C71" s="4" t="s">
        <v>397</v>
      </c>
      <c r="D71" s="4" t="s">
        <v>401</v>
      </c>
      <c r="E71" s="4" t="s">
        <v>0</v>
      </c>
      <c r="F71" s="4" t="s">
        <v>402</v>
      </c>
      <c r="G71" s="4" t="s">
        <v>403</v>
      </c>
      <c r="H71" s="4" t="s">
        <v>404</v>
      </c>
      <c r="I71" s="4" t="s">
        <v>256</v>
      </c>
      <c r="J71" s="4" t="s">
        <v>257</v>
      </c>
      <c r="K71" s="4" t="s">
        <v>5</v>
      </c>
      <c r="L71" s="4"/>
      <c r="M71" s="4">
        <v>2440063.9</v>
      </c>
      <c r="N71" s="4"/>
      <c r="O71" s="4"/>
      <c r="P71" s="4"/>
      <c r="Q71" s="5"/>
      <c r="R71" s="45"/>
      <c r="S71" s="4"/>
      <c r="T71" s="4"/>
      <c r="U71" s="4" t="s">
        <v>7</v>
      </c>
      <c r="V71" s="6">
        <v>4.5999999999999999E-2</v>
      </c>
      <c r="W71" s="4">
        <f>(M71+N71)*V71</f>
        <v>112242.93939999999</v>
      </c>
      <c r="X71" s="4">
        <f>112243.75</f>
        <v>112243.75</v>
      </c>
      <c r="Y71" s="4">
        <f>112243.75</f>
        <v>112243.75</v>
      </c>
      <c r="Z71" s="4">
        <v>0</v>
      </c>
      <c r="AA71" s="4">
        <f>1952051.12+400705.2</f>
        <v>2352756.3200000003</v>
      </c>
      <c r="AB71" s="4">
        <f>2352756.32</f>
        <v>2352756.3199999998</v>
      </c>
      <c r="AC71" s="4">
        <f>1708044.73+244006.39</f>
        <v>1952051.12</v>
      </c>
      <c r="AD71" s="4">
        <f>1952051.12</f>
        <v>1952051.12</v>
      </c>
      <c r="AE71" s="6">
        <f t="shared" si="22"/>
        <v>0.8</v>
      </c>
      <c r="AF71" s="4">
        <f>655732+200000+101200+150000+48797.75+175016+30500+29394+70000+17268+43710+32640</f>
        <v>1554257.75</v>
      </c>
      <c r="AG71" s="4">
        <f>1554257.75</f>
        <v>1554257.75</v>
      </c>
      <c r="AH71" s="4">
        <f>655732+200000+170334.26+150000+48797.75+175016+30500+329394+70000+17268+13583.92+43710+32640</f>
        <v>1936975.93</v>
      </c>
      <c r="AI71" s="4"/>
      <c r="AJ71" s="4"/>
      <c r="AK71" s="4"/>
      <c r="AL71" s="4">
        <f>1936975.93</f>
        <v>1936975.93</v>
      </c>
      <c r="AM71" s="6">
        <v>3.7400000000000003E-2</v>
      </c>
      <c r="AN71" s="6">
        <f t="shared" si="13"/>
        <v>87993.086368000004</v>
      </c>
      <c r="AO71" s="4">
        <f>87993.09</f>
        <v>87993.09</v>
      </c>
      <c r="AP71" s="4">
        <f>87993.09</f>
        <v>87993.09</v>
      </c>
      <c r="AQ71" s="4">
        <v>0</v>
      </c>
      <c r="AR71" s="4"/>
      <c r="AS71" s="4"/>
      <c r="AT71" s="4"/>
    </row>
    <row r="72" spans="1:46" ht="13.5" customHeight="1" x14ac:dyDescent="0.15">
      <c r="A72" s="36">
        <v>41470</v>
      </c>
      <c r="B72" s="4" t="s">
        <v>833</v>
      </c>
      <c r="C72" s="4" t="s">
        <v>398</v>
      </c>
      <c r="D72" s="4" t="s">
        <v>405</v>
      </c>
      <c r="E72" s="4" t="s">
        <v>0</v>
      </c>
      <c r="F72" s="4" t="s">
        <v>61</v>
      </c>
      <c r="G72" s="4" t="s">
        <v>372</v>
      </c>
      <c r="H72" s="4" t="s">
        <v>180</v>
      </c>
      <c r="I72" s="4" t="s">
        <v>181</v>
      </c>
      <c r="J72" s="4" t="s">
        <v>182</v>
      </c>
      <c r="K72" s="4" t="s">
        <v>13</v>
      </c>
      <c r="L72" s="4"/>
      <c r="M72" s="4">
        <v>1457017.94</v>
      </c>
      <c r="N72" s="4"/>
      <c r="O72" s="4"/>
      <c r="P72" s="4"/>
      <c r="Q72" s="5" t="s">
        <v>406</v>
      </c>
      <c r="R72" s="45">
        <v>41499</v>
      </c>
      <c r="S72" s="4">
        <v>438</v>
      </c>
      <c r="T72" s="4"/>
      <c r="U72" s="4" t="s">
        <v>7</v>
      </c>
      <c r="V72" s="6">
        <v>3.5999999999999997E-2</v>
      </c>
      <c r="W72" s="4">
        <f>(M72+N72)*V72</f>
        <v>52452.645839999997</v>
      </c>
      <c r="X72" s="4">
        <f>52453</f>
        <v>52453</v>
      </c>
      <c r="Y72" s="4">
        <f>52453</f>
        <v>52453</v>
      </c>
      <c r="Z72" s="4">
        <v>0</v>
      </c>
      <c r="AA72" s="4">
        <f>300000+400000+700000</f>
        <v>1400000</v>
      </c>
      <c r="AB72" s="4">
        <f>1400000</f>
        <v>1400000</v>
      </c>
      <c r="AC72" s="4">
        <f>300000+400000+700000</f>
        <v>1400000</v>
      </c>
      <c r="AD72" s="4">
        <f>1400000</f>
        <v>1400000</v>
      </c>
      <c r="AE72" s="6">
        <f t="shared" si="22"/>
        <v>0.96086668637724537</v>
      </c>
      <c r="AF72" s="4">
        <f>285000+350000+700000</f>
        <v>1335000</v>
      </c>
      <c r="AG72" s="4">
        <f>1335000</f>
        <v>1335000</v>
      </c>
      <c r="AH72" s="4">
        <f>296948+363600+23800+700000</f>
        <v>1384348</v>
      </c>
      <c r="AI72" s="4"/>
      <c r="AJ72" s="4"/>
      <c r="AK72" s="4"/>
      <c r="AL72" s="4">
        <f>1384348</f>
        <v>1384348</v>
      </c>
      <c r="AM72" s="6">
        <v>3.4000000000000002E-2</v>
      </c>
      <c r="AN72" s="6">
        <f t="shared" si="13"/>
        <v>47600</v>
      </c>
      <c r="AO72" s="4">
        <f>10200+13600+23800</f>
        <v>47600</v>
      </c>
      <c r="AP72" s="4">
        <f>47600</f>
        <v>47600</v>
      </c>
      <c r="AQ72" s="4">
        <v>0</v>
      </c>
      <c r="AR72" s="4"/>
      <c r="AS72" s="4"/>
      <c r="AT72" s="4"/>
    </row>
    <row r="73" spans="1:46" ht="13.5" customHeight="1" x14ac:dyDescent="0.15">
      <c r="A73" s="36">
        <v>41472</v>
      </c>
      <c r="B73" s="4" t="s">
        <v>834</v>
      </c>
      <c r="C73" s="4" t="s">
        <v>73</v>
      </c>
      <c r="D73" s="4" t="s">
        <v>74</v>
      </c>
      <c r="E73" s="4" t="s">
        <v>0</v>
      </c>
      <c r="F73" s="4" t="s">
        <v>75</v>
      </c>
      <c r="G73" s="4" t="s">
        <v>53</v>
      </c>
      <c r="H73" s="4" t="s">
        <v>70</v>
      </c>
      <c r="I73" s="4" t="s">
        <v>71</v>
      </c>
      <c r="J73" s="4" t="s">
        <v>70</v>
      </c>
      <c r="K73" s="4" t="s">
        <v>41</v>
      </c>
      <c r="L73" s="4"/>
      <c r="M73" s="4">
        <v>190000</v>
      </c>
      <c r="N73" s="4"/>
      <c r="O73" s="4"/>
      <c r="P73" s="4"/>
      <c r="Q73" s="5" t="s">
        <v>76</v>
      </c>
      <c r="R73" s="45">
        <v>41515</v>
      </c>
      <c r="S73" s="4">
        <v>57</v>
      </c>
      <c r="T73" s="4"/>
      <c r="U73" s="4" t="s">
        <v>7</v>
      </c>
      <c r="V73" s="6">
        <v>3.5999999999999997E-2</v>
      </c>
      <c r="W73" s="4">
        <f>(M73+N73)*V73</f>
        <v>6839.9999999999991</v>
      </c>
      <c r="X73" s="4"/>
      <c r="Y73" s="4"/>
      <c r="Z73" s="4">
        <f>W73-Y73</f>
        <v>6839.9999999999991</v>
      </c>
      <c r="AA73" s="4">
        <f>57000+123500</f>
        <v>180500</v>
      </c>
      <c r="AB73" s="4">
        <f>180500</f>
        <v>180500</v>
      </c>
      <c r="AC73" s="4">
        <f>57000</f>
        <v>57000</v>
      </c>
      <c r="AD73" s="4">
        <f>57000</f>
        <v>57000</v>
      </c>
      <c r="AE73" s="6">
        <f t="shared" si="22"/>
        <v>0.3</v>
      </c>
      <c r="AF73" s="4"/>
      <c r="AG73" s="4"/>
      <c r="AH73" s="4">
        <f>50000</f>
        <v>50000</v>
      </c>
      <c r="AI73" s="4"/>
      <c r="AJ73" s="4"/>
      <c r="AK73" s="4"/>
      <c r="AL73" s="4">
        <f>50000</f>
        <v>50000</v>
      </c>
      <c r="AM73" s="6">
        <v>3.4000000000000002E-2</v>
      </c>
      <c r="AN73" s="6">
        <f t="shared" si="13"/>
        <v>6137</v>
      </c>
      <c r="AO73" s="4"/>
      <c r="AP73" s="4"/>
      <c r="AQ73" s="4">
        <f t="shared" si="18"/>
        <v>6137</v>
      </c>
      <c r="AR73" s="4"/>
      <c r="AS73" s="4"/>
      <c r="AT73" s="4"/>
    </row>
    <row r="74" spans="1:46" s="11" customFormat="1" ht="13.5" customHeight="1" x14ac:dyDescent="0.15">
      <c r="A74" s="37">
        <v>41484</v>
      </c>
      <c r="B74" s="4" t="s">
        <v>835</v>
      </c>
      <c r="C74" s="8" t="s">
        <v>91</v>
      </c>
      <c r="D74" s="8" t="s">
        <v>419</v>
      </c>
      <c r="E74" s="8" t="s">
        <v>0</v>
      </c>
      <c r="F74" s="8" t="s">
        <v>420</v>
      </c>
      <c r="G74" s="8" t="s">
        <v>372</v>
      </c>
      <c r="H74" s="8" t="s">
        <v>243</v>
      </c>
      <c r="I74" s="8" t="s">
        <v>89</v>
      </c>
      <c r="J74" s="8" t="s">
        <v>88</v>
      </c>
      <c r="K74" s="8" t="s">
        <v>13</v>
      </c>
      <c r="L74" s="8"/>
      <c r="M74" s="8">
        <v>2768475</v>
      </c>
      <c r="N74" s="8"/>
      <c r="O74" s="8"/>
      <c r="P74" s="8"/>
      <c r="Q74" s="9" t="s">
        <v>421</v>
      </c>
      <c r="R74" s="46">
        <v>41521</v>
      </c>
      <c r="S74" s="8">
        <v>831</v>
      </c>
      <c r="T74" s="8"/>
      <c r="U74" s="8" t="s">
        <v>394</v>
      </c>
      <c r="V74" s="10">
        <v>3.5999999999999997E-2</v>
      </c>
      <c r="W74" s="8">
        <f t="shared" ref="W74:W85" si="24">(M74+N74)*V74</f>
        <v>99665.099999999991</v>
      </c>
      <c r="X74" s="8">
        <f>96813+2852</f>
        <v>99665</v>
      </c>
      <c r="Y74" s="8">
        <f>99665</f>
        <v>99665</v>
      </c>
      <c r="Z74" s="8">
        <v>0</v>
      </c>
      <c r="AA74" s="8">
        <f>225439+352389+443844+584005+630726+116801</f>
        <v>2353204</v>
      </c>
      <c r="AB74" s="8">
        <f>2353204</f>
        <v>2353204</v>
      </c>
      <c r="AC74" s="8">
        <f>225439+352389+443844+584005+630726+116801</f>
        <v>2353204</v>
      </c>
      <c r="AD74" s="8">
        <f>2353204</f>
        <v>2353204</v>
      </c>
      <c r="AE74" s="10">
        <f t="shared" si="22"/>
        <v>0.85000009030242285</v>
      </c>
      <c r="AF74" s="8">
        <f>46131+3322+300000+9031.34+409787+284553.25+253404.4+55000+420000+200000+40000</f>
        <v>2021228.99</v>
      </c>
      <c r="AG74" s="8">
        <f>2021228.99</f>
        <v>2021228.99</v>
      </c>
      <c r="AH74" s="8">
        <f>183796+3322+311981+15091+9031.34+409787+304409.25+253404.4+12067+50000+21445+420000+200000+40000+3971+100000</f>
        <v>2338304.9900000002</v>
      </c>
      <c r="AI74" s="8"/>
      <c r="AJ74" s="8"/>
      <c r="AK74" s="8"/>
      <c r="AL74" s="8">
        <f>2338304.99</f>
        <v>2338304.9900000002</v>
      </c>
      <c r="AM74" s="10">
        <v>3.4000000000000002E-2</v>
      </c>
      <c r="AN74" s="10">
        <f t="shared" si="13"/>
        <v>80008.936000000002</v>
      </c>
      <c r="AO74" s="8">
        <f>7665+11981+15091+19856+21445+3971</f>
        <v>80009</v>
      </c>
      <c r="AP74" s="8">
        <f>80009</f>
        <v>80009</v>
      </c>
      <c r="AQ74" s="8">
        <v>0</v>
      </c>
      <c r="AR74" s="8"/>
      <c r="AS74" s="8"/>
      <c r="AT74" s="8"/>
    </row>
    <row r="75" spans="1:46" s="23" customFormat="1" ht="13.5" customHeight="1" x14ac:dyDescent="0.15">
      <c r="A75" s="39">
        <v>41484</v>
      </c>
      <c r="B75" s="4" t="s">
        <v>836</v>
      </c>
      <c r="C75" s="18" t="s">
        <v>92</v>
      </c>
      <c r="D75" s="19" t="s">
        <v>93</v>
      </c>
      <c r="E75" s="19" t="s">
        <v>31</v>
      </c>
      <c r="F75" s="19" t="s">
        <v>94</v>
      </c>
      <c r="G75" s="19" t="s">
        <v>53</v>
      </c>
      <c r="H75" s="19" t="s">
        <v>95</v>
      </c>
      <c r="I75" s="19" t="s">
        <v>96</v>
      </c>
      <c r="J75" s="19" t="s">
        <v>95</v>
      </c>
      <c r="K75" s="19" t="s">
        <v>97</v>
      </c>
      <c r="L75" s="19"/>
      <c r="M75" s="19">
        <v>19543207.129999999</v>
      </c>
      <c r="N75" s="19"/>
      <c r="O75" s="19"/>
      <c r="P75" s="19"/>
      <c r="Q75" s="20" t="s">
        <v>98</v>
      </c>
      <c r="R75" s="48">
        <v>41522</v>
      </c>
      <c r="S75" s="19">
        <v>5863</v>
      </c>
      <c r="T75" s="19"/>
      <c r="U75" s="19" t="s">
        <v>7</v>
      </c>
      <c r="V75" s="21">
        <v>0.03</v>
      </c>
      <c r="W75" s="19">
        <f t="shared" si="24"/>
        <v>586296.21389999997</v>
      </c>
      <c r="X75" s="19">
        <f>294137+48467+243693</f>
        <v>586297</v>
      </c>
      <c r="Y75" s="19">
        <f>586297</f>
        <v>586297</v>
      </c>
      <c r="Z75" s="19">
        <v>0</v>
      </c>
      <c r="AA75" s="19">
        <f>2900000+940000+1450000+1500000+1000000+5030000</f>
        <v>12820000</v>
      </c>
      <c r="AB75" s="19">
        <f>12820000</f>
        <v>12820000</v>
      </c>
      <c r="AC75" s="19">
        <f>2900000+940000+1450000+1500000+500000+500000</f>
        <v>7790000</v>
      </c>
      <c r="AD75" s="19">
        <f>7790000</f>
        <v>7790000</v>
      </c>
      <c r="AE75" s="21">
        <f t="shared" si="12"/>
        <v>0.39860397263261266</v>
      </c>
      <c r="AF75" s="19">
        <f>5000+42500+558500+11689.02+35406.47+101406.73+462741+683215.46+101172.29+17554.39+50000+70380+677467.99+6435.8+581885.85+316032+443506.69+63500+741521.85+5702+20000+520000+31943+158955.3+120000+201400+200000+109367.4+46877+408088.55+110000+51000+363362.82+20511+56588+2118539.91+7000+598000</f>
        <v>10117250.52</v>
      </c>
      <c r="AG75" s="19">
        <f>7393710.61+2118539.91+7000+598000</f>
        <v>10117250.52</v>
      </c>
      <c r="AH75" s="19">
        <f>119234+42500+558500+11689.02+35406.47+101406.73+462741+717250.76+101172.29+17554.39+50000+648+70380+677467.99+6435.8+49300+632885.85+316032+443506.69+63500+741521.85+5702+20000+520000+31943+158955.3+120000+201400+200000+143367.4+46877+408088.55+110000+51000+363362.82+20511+8150+56588+2118539.91+169008+7000+598000</f>
        <v>10577625.82</v>
      </c>
      <c r="AI75" s="19"/>
      <c r="AJ75" s="19"/>
      <c r="AK75" s="19"/>
      <c r="AL75" s="19">
        <f>7685077.91+2118539.91+169008+7000+598000</f>
        <v>10577625.82</v>
      </c>
      <c r="AM75" s="21">
        <v>3.4000000000000002E-2</v>
      </c>
      <c r="AN75" s="21">
        <f t="shared" si="13"/>
        <v>435880.00000000006</v>
      </c>
      <c r="AO75" s="19">
        <f>98600+49300+51000+34000</f>
        <v>232900</v>
      </c>
      <c r="AP75" s="19">
        <f>232900</f>
        <v>232900</v>
      </c>
      <c r="AQ75" s="19"/>
      <c r="AR75" s="19"/>
      <c r="AS75" s="19">
        <v>96</v>
      </c>
      <c r="AT75" s="19" t="s">
        <v>57</v>
      </c>
    </row>
    <row r="76" spans="1:46" s="27" customFormat="1" ht="13.5" customHeight="1" x14ac:dyDescent="0.15">
      <c r="A76" s="40">
        <v>41494</v>
      </c>
      <c r="B76" s="4" t="s">
        <v>837</v>
      </c>
      <c r="C76" s="25" t="s">
        <v>407</v>
      </c>
      <c r="D76" s="12" t="s">
        <v>202</v>
      </c>
      <c r="E76" s="12" t="s">
        <v>412</v>
      </c>
      <c r="F76" s="12"/>
      <c r="G76" s="12" t="s">
        <v>403</v>
      </c>
      <c r="H76" s="12" t="s">
        <v>205</v>
      </c>
      <c r="I76" s="4" t="s">
        <v>206</v>
      </c>
      <c r="J76" s="4" t="s">
        <v>205</v>
      </c>
      <c r="K76" s="4" t="s">
        <v>5</v>
      </c>
      <c r="L76" s="12"/>
      <c r="M76" s="12">
        <v>8061172</v>
      </c>
      <c r="N76" s="12"/>
      <c r="O76" s="12"/>
      <c r="P76" s="12"/>
      <c r="Q76" s="26"/>
      <c r="R76" s="49"/>
      <c r="S76" s="12"/>
      <c r="T76" s="12"/>
      <c r="U76" s="12" t="s">
        <v>7</v>
      </c>
      <c r="V76" s="24">
        <v>0.03</v>
      </c>
      <c r="W76" s="12">
        <f t="shared" si="24"/>
        <v>241835.16</v>
      </c>
      <c r="X76" s="12">
        <f>240000</f>
        <v>240000</v>
      </c>
      <c r="Y76" s="12">
        <f>240000</f>
        <v>240000</v>
      </c>
      <c r="Z76" s="12">
        <f>W76-Y76</f>
        <v>1835.1600000000035</v>
      </c>
      <c r="AA76" s="12">
        <f>1100000+500000</f>
        <v>1600000</v>
      </c>
      <c r="AB76" s="12">
        <f>1100000+500000</f>
        <v>1600000</v>
      </c>
      <c r="AC76" s="12">
        <f>1040000</f>
        <v>1040000</v>
      </c>
      <c r="AD76" s="12">
        <f>1040000</f>
        <v>1040000</v>
      </c>
      <c r="AE76" s="24">
        <f t="shared" si="12"/>
        <v>0.12901349828536099</v>
      </c>
      <c r="AF76" s="12">
        <f>744809+257450</f>
        <v>1002259</v>
      </c>
      <c r="AG76" s="12">
        <f>1002259</f>
        <v>1002259</v>
      </c>
      <c r="AH76" s="12">
        <f>782099+257450</f>
        <v>1039549</v>
      </c>
      <c r="AI76" s="12"/>
      <c r="AJ76" s="12"/>
      <c r="AK76" s="12"/>
      <c r="AL76" s="12">
        <f>1039549</f>
        <v>1039549</v>
      </c>
      <c r="AM76" s="24">
        <v>3.7400000000000003E-2</v>
      </c>
      <c r="AN76" s="24">
        <f t="shared" si="13"/>
        <v>59840.000000000007</v>
      </c>
      <c r="AO76" s="12">
        <f>41140+18700</f>
        <v>59840</v>
      </c>
      <c r="AP76" s="12">
        <f>41140+18700</f>
        <v>59840</v>
      </c>
      <c r="AQ76" s="12">
        <v>0</v>
      </c>
      <c r="AR76" s="12"/>
      <c r="AS76" s="12">
        <v>105</v>
      </c>
      <c r="AT76" s="12" t="s">
        <v>395</v>
      </c>
    </row>
    <row r="77" spans="1:46" s="27" customFormat="1" ht="13.5" customHeight="1" x14ac:dyDescent="0.15">
      <c r="A77" s="41">
        <v>41487</v>
      </c>
      <c r="B77" s="4" t="s">
        <v>838</v>
      </c>
      <c r="C77" s="12" t="s">
        <v>408</v>
      </c>
      <c r="D77" s="12" t="s">
        <v>413</v>
      </c>
      <c r="E77" s="12" t="s">
        <v>412</v>
      </c>
      <c r="F77" s="12" t="s">
        <v>108</v>
      </c>
      <c r="G77" s="12" t="s">
        <v>109</v>
      </c>
      <c r="H77" s="4" t="s">
        <v>110</v>
      </c>
      <c r="I77" s="4" t="s">
        <v>111</v>
      </c>
      <c r="J77" s="4" t="s">
        <v>110</v>
      </c>
      <c r="K77" s="4" t="s">
        <v>5</v>
      </c>
      <c r="L77" s="12"/>
      <c r="M77" s="12">
        <v>3427568</v>
      </c>
      <c r="N77" s="12"/>
      <c r="O77" s="12"/>
      <c r="P77" s="12"/>
      <c r="Q77" s="26"/>
      <c r="R77" s="49"/>
      <c r="S77" s="12"/>
      <c r="T77" s="12"/>
      <c r="U77" s="12" t="s">
        <v>7</v>
      </c>
      <c r="V77" s="24">
        <v>0.03</v>
      </c>
      <c r="W77" s="12">
        <f t="shared" si="24"/>
        <v>102827.04</v>
      </c>
      <c r="X77" s="12">
        <f>50000+52827</f>
        <v>102827</v>
      </c>
      <c r="Y77" s="12">
        <f>102827</f>
        <v>102827</v>
      </c>
      <c r="Z77" s="12">
        <v>0</v>
      </c>
      <c r="AA77" s="12">
        <f>342756.8+1199648.8+1199648.8</f>
        <v>2742054.4000000004</v>
      </c>
      <c r="AB77" s="12">
        <f>2742054.4</f>
        <v>2742054.4</v>
      </c>
      <c r="AC77" s="12">
        <f>342756.8+1063906+1170256.88</f>
        <v>2576919.6799999997</v>
      </c>
      <c r="AD77" s="12">
        <f>2576919.68</f>
        <v>2576919.6800000002</v>
      </c>
      <c r="AE77" s="24">
        <f t="shared" si="12"/>
        <v>0.75182160645682294</v>
      </c>
      <c r="AF77" s="12">
        <f>41130+99990+20000+741940+70492+118190+255024.25+514360+100000+355370</f>
        <v>2316496.25</v>
      </c>
      <c r="AG77" s="12">
        <f>2316496.25</f>
        <v>2316496.25</v>
      </c>
      <c r="AH77" s="12">
        <f>204113+99990+20000+741940+70492+170477.53+295692.33+514360+100000+355370</f>
        <v>2572434.8600000003</v>
      </c>
      <c r="AI77" s="12"/>
      <c r="AJ77" s="12"/>
      <c r="AK77" s="12"/>
      <c r="AL77" s="12">
        <f>2572434.86</f>
        <v>2572434.86</v>
      </c>
      <c r="AM77" s="24">
        <v>3.7400000000000003E-2</v>
      </c>
      <c r="AN77" s="24">
        <f t="shared" si="13"/>
        <v>102552.83456</v>
      </c>
      <c r="AO77" s="12">
        <f>102552.83</f>
        <v>102552.83</v>
      </c>
      <c r="AP77" s="12">
        <v>102552.83</v>
      </c>
      <c r="AQ77" s="12">
        <f>AN77-AP77</f>
        <v>4.5600000012200326E-3</v>
      </c>
      <c r="AR77" s="12"/>
      <c r="AS77" s="12">
        <v>42</v>
      </c>
      <c r="AT77" s="12" t="s">
        <v>395</v>
      </c>
    </row>
    <row r="78" spans="1:46" s="27" customFormat="1" ht="13.5" customHeight="1" x14ac:dyDescent="0.15">
      <c r="A78" s="41">
        <v>41496</v>
      </c>
      <c r="B78" s="4" t="s">
        <v>839</v>
      </c>
      <c r="C78" s="12" t="s">
        <v>409</v>
      </c>
      <c r="D78" s="12" t="s">
        <v>414</v>
      </c>
      <c r="E78" s="12" t="s">
        <v>412</v>
      </c>
      <c r="F78" s="12" t="s">
        <v>415</v>
      </c>
      <c r="G78" s="12" t="s">
        <v>372</v>
      </c>
      <c r="H78" s="12" t="s">
        <v>416</v>
      </c>
      <c r="I78" s="12" t="s">
        <v>417</v>
      </c>
      <c r="J78" s="12" t="s">
        <v>418</v>
      </c>
      <c r="K78" s="12" t="s">
        <v>375</v>
      </c>
      <c r="L78" s="12"/>
      <c r="M78" s="12">
        <v>2823828.2</v>
      </c>
      <c r="N78" s="12"/>
      <c r="O78" s="12"/>
      <c r="P78" s="12"/>
      <c r="Q78" s="26" t="s">
        <v>422</v>
      </c>
      <c r="R78" s="49">
        <v>41512</v>
      </c>
      <c r="S78" s="12">
        <v>848</v>
      </c>
      <c r="T78" s="12"/>
      <c r="U78" s="12" t="s">
        <v>7</v>
      </c>
      <c r="V78" s="24">
        <v>0.03</v>
      </c>
      <c r="W78" s="12">
        <f t="shared" si="24"/>
        <v>84714.846000000005</v>
      </c>
      <c r="X78" s="12">
        <f>42358+42357</f>
        <v>84715</v>
      </c>
      <c r="Y78" s="12">
        <f>84715</f>
        <v>84715</v>
      </c>
      <c r="Z78" s="12">
        <v>0</v>
      </c>
      <c r="AA78" s="12">
        <f>564765.64+564765.64+282382.82+16984.89+40432+564765.64</f>
        <v>2034096.63</v>
      </c>
      <c r="AB78" s="12">
        <f>2034096.63</f>
        <v>2034096.63</v>
      </c>
      <c r="AC78" s="12">
        <f>564765.64+564765.64+282382.82+16984.89+40432+564765.64</f>
        <v>2034096.63</v>
      </c>
      <c r="AD78" s="12">
        <f>2034096.63</f>
        <v>2034096.63</v>
      </c>
      <c r="AE78" s="24">
        <f t="shared" si="12"/>
        <v>0.72033299688699182</v>
      </c>
      <c r="AF78" s="12">
        <f>3388+219780+108026.24+100000+350000+51000+15160+32026.7+2125+200000+1510+152999.17+3057+89600+407250</f>
        <v>1735922.1099999999</v>
      </c>
      <c r="AG78" s="12">
        <f>1735922.11</f>
        <v>1735922.11</v>
      </c>
      <c r="AH78" s="12">
        <f>3388+238982+108026.24+100000+19202+350000+51000+15160+32026.7+2125+200000+1510+10179+152999.17+3057+89600+20577+407250</f>
        <v>1805082.1099999999</v>
      </c>
      <c r="AI78" s="12"/>
      <c r="AJ78" s="12"/>
      <c r="AK78" s="12"/>
      <c r="AL78" s="12">
        <f>1805082.11</f>
        <v>1805082.11</v>
      </c>
      <c r="AM78" s="24">
        <v>3.4000000000000002E-2</v>
      </c>
      <c r="AN78" s="24">
        <f t="shared" si="13"/>
        <v>69159.28542</v>
      </c>
      <c r="AO78" s="12">
        <f>19202+19202+9601+578+1375+19202</f>
        <v>69160</v>
      </c>
      <c r="AP78" s="12">
        <f>69160</f>
        <v>69160</v>
      </c>
      <c r="AQ78" s="12">
        <v>0</v>
      </c>
      <c r="AR78" s="12"/>
      <c r="AS78" s="12">
        <v>6</v>
      </c>
      <c r="AT78" s="12" t="s">
        <v>423</v>
      </c>
    </row>
    <row r="79" spans="1:46" s="31" customFormat="1" ht="13.5" customHeight="1" x14ac:dyDescent="0.15">
      <c r="A79" s="42">
        <v>41506</v>
      </c>
      <c r="B79" s="4" t="s">
        <v>840</v>
      </c>
      <c r="C79" s="28" t="s">
        <v>410</v>
      </c>
      <c r="D79" s="28" t="s">
        <v>450</v>
      </c>
      <c r="E79" s="28" t="s">
        <v>412</v>
      </c>
      <c r="F79" s="28" t="s">
        <v>451</v>
      </c>
      <c r="G79" s="28" t="s">
        <v>452</v>
      </c>
      <c r="H79" s="8" t="s">
        <v>354</v>
      </c>
      <c r="I79" s="8" t="s">
        <v>355</v>
      </c>
      <c r="J79" s="8" t="s">
        <v>356</v>
      </c>
      <c r="K79" s="8" t="s">
        <v>97</v>
      </c>
      <c r="L79" s="28"/>
      <c r="M79" s="28">
        <v>17411600</v>
      </c>
      <c r="N79" s="28">
        <f>14846</f>
        <v>14846</v>
      </c>
      <c r="O79" s="28"/>
      <c r="P79" s="28"/>
      <c r="Q79" s="29" t="s">
        <v>453</v>
      </c>
      <c r="R79" s="50">
        <v>41521</v>
      </c>
      <c r="S79" s="28">
        <v>5224</v>
      </c>
      <c r="T79" s="28"/>
      <c r="U79" s="28" t="s">
        <v>7</v>
      </c>
      <c r="V79" s="30">
        <v>0.03</v>
      </c>
      <c r="W79" s="28">
        <f t="shared" si="24"/>
        <v>522793.38</v>
      </c>
      <c r="X79" s="28">
        <f>300000+222348</f>
        <v>522348</v>
      </c>
      <c r="Y79" s="28">
        <f>522348</f>
        <v>522348</v>
      </c>
      <c r="Z79" s="28">
        <f t="shared" ref="Z79" si="25">W79-Y79</f>
        <v>445.38000000000466</v>
      </c>
      <c r="AA79" s="28">
        <f>7235029+4001023+3455157+2041627+693610</f>
        <v>17426446</v>
      </c>
      <c r="AB79" s="28">
        <f>17426446</f>
        <v>17426446</v>
      </c>
      <c r="AC79" s="28">
        <f>4000000+2100000+2000000+3780000</f>
        <v>11880000</v>
      </c>
      <c r="AD79" s="28">
        <f>11880000</f>
        <v>11880000</v>
      </c>
      <c r="AE79" s="30">
        <f t="shared" si="12"/>
        <v>0.68172248087762699</v>
      </c>
      <c r="AF79" s="28">
        <f>1495000+600000+1237500+520106.7+1500000+100000+1500000+300000+3199470+780000</f>
        <v>11232076.699999999</v>
      </c>
      <c r="AG79" s="28">
        <f>11232076.7</f>
        <v>11232076.699999999</v>
      </c>
      <c r="AH79" s="28">
        <f>1495000+600000+1237500+520106.7+1500000+100000+508315.83+1500000+300000+3294109.21+780000-100000</f>
        <v>11735031.74</v>
      </c>
      <c r="AI79" s="28"/>
      <c r="AJ79" s="28"/>
      <c r="AK79" s="28"/>
      <c r="AL79" s="28">
        <f>11735031.74</f>
        <v>11735031.74</v>
      </c>
      <c r="AM79" s="30"/>
      <c r="AN79" s="30">
        <f t="shared" si="13"/>
        <v>0</v>
      </c>
      <c r="AO79" s="28"/>
      <c r="AP79" s="28"/>
      <c r="AQ79" s="28">
        <f t="shared" ref="AQ79" si="26">AN79-AP79</f>
        <v>0</v>
      </c>
      <c r="AR79" s="28"/>
      <c r="AS79" s="28"/>
      <c r="AT79" s="28"/>
    </row>
    <row r="80" spans="1:46" s="27" customFormat="1" x14ac:dyDescent="0.15">
      <c r="A80" s="41">
        <v>41511</v>
      </c>
      <c r="B80" s="4" t="s">
        <v>841</v>
      </c>
      <c r="C80" s="12" t="s">
        <v>411</v>
      </c>
      <c r="D80" s="12" t="s">
        <v>469</v>
      </c>
      <c r="E80" s="12" t="s">
        <v>412</v>
      </c>
      <c r="F80" s="12" t="s">
        <v>470</v>
      </c>
      <c r="G80" s="12" t="s">
        <v>457</v>
      </c>
      <c r="H80" s="8" t="s">
        <v>354</v>
      </c>
      <c r="I80" s="8" t="s">
        <v>355</v>
      </c>
      <c r="J80" s="8" t="s">
        <v>356</v>
      </c>
      <c r="K80" s="12" t="s">
        <v>459</v>
      </c>
      <c r="L80" s="12"/>
      <c r="M80" s="12">
        <v>407310.98</v>
      </c>
      <c r="N80" s="12"/>
      <c r="O80" s="12"/>
      <c r="P80" s="12"/>
      <c r="Q80" s="26" t="s">
        <v>471</v>
      </c>
      <c r="R80" s="49">
        <v>41523</v>
      </c>
      <c r="S80" s="12">
        <v>123</v>
      </c>
      <c r="T80" s="12"/>
      <c r="U80" s="12" t="s">
        <v>7</v>
      </c>
      <c r="V80" s="24">
        <v>3.5999999999999997E-2</v>
      </c>
      <c r="W80" s="12">
        <f t="shared" si="24"/>
        <v>14663.195279999998</v>
      </c>
      <c r="X80" s="12">
        <f>14663</f>
        <v>14663</v>
      </c>
      <c r="Y80" s="12">
        <f>14663</f>
        <v>14663</v>
      </c>
      <c r="Z80" s="12">
        <v>0</v>
      </c>
      <c r="AA80" s="12">
        <f>407310.98</f>
        <v>407310.98</v>
      </c>
      <c r="AB80" s="12">
        <f>407310.98</f>
        <v>407310.98</v>
      </c>
      <c r="AC80" s="12">
        <f>250000+100000</f>
        <v>350000</v>
      </c>
      <c r="AD80" s="12">
        <f>350000</f>
        <v>350000</v>
      </c>
      <c r="AE80" s="24">
        <f t="shared" si="12"/>
        <v>0.85929429155089321</v>
      </c>
      <c r="AF80" s="12">
        <f>300000</f>
        <v>300000</v>
      </c>
      <c r="AG80" s="12">
        <f>300000</f>
        <v>300000</v>
      </c>
      <c r="AH80" s="12">
        <f>13849+300000</f>
        <v>313849</v>
      </c>
      <c r="AI80" s="12"/>
      <c r="AJ80" s="12"/>
      <c r="AK80" s="12"/>
      <c r="AL80" s="12">
        <f>313849</f>
        <v>313849</v>
      </c>
      <c r="AM80" s="24">
        <v>3.4000000000000002E-2</v>
      </c>
      <c r="AN80" s="24">
        <f t="shared" si="13"/>
        <v>13848.57332</v>
      </c>
      <c r="AO80" s="12">
        <f>13849</f>
        <v>13849</v>
      </c>
      <c r="AP80" s="12">
        <f>13849</f>
        <v>13849</v>
      </c>
      <c r="AQ80" s="12">
        <v>0</v>
      </c>
      <c r="AR80" s="12"/>
      <c r="AS80" s="12"/>
      <c r="AT80" s="12"/>
    </row>
    <row r="81" spans="1:46" s="27" customFormat="1" x14ac:dyDescent="0.15">
      <c r="A81" s="40">
        <v>41519</v>
      </c>
      <c r="B81" s="4" t="s">
        <v>842</v>
      </c>
      <c r="C81" s="25" t="s">
        <v>99</v>
      </c>
      <c r="D81" s="12" t="s">
        <v>100</v>
      </c>
      <c r="E81" s="12" t="s">
        <v>82</v>
      </c>
      <c r="F81" s="12" t="s">
        <v>101</v>
      </c>
      <c r="G81" s="12" t="s">
        <v>53</v>
      </c>
      <c r="H81" s="12" t="s">
        <v>102</v>
      </c>
      <c r="I81" s="12" t="s">
        <v>103</v>
      </c>
      <c r="J81" s="12" t="s">
        <v>104</v>
      </c>
      <c r="K81" s="12" t="s">
        <v>41</v>
      </c>
      <c r="L81" s="12"/>
      <c r="M81" s="12">
        <v>8700000</v>
      </c>
      <c r="N81" s="12">
        <f>7411961</f>
        <v>7411961</v>
      </c>
      <c r="O81" s="12"/>
      <c r="P81" s="12"/>
      <c r="Q81" s="26" t="s">
        <v>105</v>
      </c>
      <c r="R81" s="49">
        <v>41647</v>
      </c>
      <c r="S81" s="12">
        <v>2610</v>
      </c>
      <c r="T81" s="12"/>
      <c r="U81" s="12" t="s">
        <v>7</v>
      </c>
      <c r="V81" s="24">
        <v>0.03</v>
      </c>
      <c r="W81" s="12">
        <f t="shared" si="24"/>
        <v>483358.82999999996</v>
      </c>
      <c r="X81" s="12">
        <f>100000+161000+215853</f>
        <v>476853</v>
      </c>
      <c r="Y81" s="12">
        <f>476853</f>
        <v>476853</v>
      </c>
      <c r="Z81" s="12">
        <f>W81-Y81</f>
        <v>6505.8299999999581</v>
      </c>
      <c r="AA81" s="12">
        <f>870000+1807511+741196+943418.25+262358.92+1513947+750296.57+1557966+897006.31+964467.59</f>
        <v>10308167.640000001</v>
      </c>
      <c r="AB81" s="12">
        <f>10308167.64</f>
        <v>10308167.640000001</v>
      </c>
      <c r="AC81" s="12">
        <f>870000+1807511+741196+943418.25+1513947+262358.92+750296.57+1557966+897006.31</f>
        <v>9343700.0500000007</v>
      </c>
      <c r="AD81" s="12">
        <f>9343700.05</f>
        <v>9343700.0500000007</v>
      </c>
      <c r="AE81" s="24">
        <f t="shared" si="12"/>
        <v>0.57992320425800437</v>
      </c>
      <c r="AF81" s="12">
        <f>185363.8+400000+113137+100000+870412+550469+108775+130000+50000+213111+110000+517692.8+47483+1001642.88+1068541+10904.14+26179.6+215000+729247.18+160506.3+67770+400000+193580.09+40000+4800+890+5122+100000</f>
        <v>7420626.7899999982</v>
      </c>
      <c r="AG81" s="12">
        <f>7269814.79+40000+4800+890+5122+100000</f>
        <v>7420626.79</v>
      </c>
      <c r="AH81" s="12">
        <f>585363.8+113137+16200+100000+961447+550469+108775+155201+50000+400000+213111+32076+110000+517692.8+8920+124467+1001642.88+1068541+10904.14+26179.6+298469+729247.18+221758.3-4500+67770+400000+193580.09+41000+50812+100000</f>
        <v>8252263.7899999982</v>
      </c>
      <c r="AI81" s="12"/>
      <c r="AJ81" s="12"/>
      <c r="AK81" s="12"/>
      <c r="AL81" s="12">
        <f>8101451.79+50812+100000</f>
        <v>8252263.79</v>
      </c>
      <c r="AM81" s="24">
        <v>3.4000000000000002E-2</v>
      </c>
      <c r="AN81" s="24">
        <f t="shared" si="13"/>
        <v>350477.69976000005</v>
      </c>
      <c r="AO81" s="12">
        <f>29580+61455+25201+32076+8920+51474+25510+52971+30498+32792</f>
        <v>350477</v>
      </c>
      <c r="AP81" s="12">
        <f>350477</f>
        <v>350477</v>
      </c>
      <c r="AQ81" s="12">
        <v>0</v>
      </c>
      <c r="AR81" s="12"/>
      <c r="AS81" s="12">
        <v>90</v>
      </c>
      <c r="AT81" s="12" t="s">
        <v>57</v>
      </c>
    </row>
    <row r="82" spans="1:46" s="27" customFormat="1" x14ac:dyDescent="0.15">
      <c r="A82" s="40">
        <v>41522</v>
      </c>
      <c r="B82" s="4" t="s">
        <v>843</v>
      </c>
      <c r="C82" s="25" t="s">
        <v>472</v>
      </c>
      <c r="D82" s="12" t="s">
        <v>473</v>
      </c>
      <c r="E82" s="12" t="s">
        <v>31</v>
      </c>
      <c r="F82" s="12" t="s">
        <v>474</v>
      </c>
      <c r="G82" s="12" t="s">
        <v>457</v>
      </c>
      <c r="H82" s="12" t="s">
        <v>416</v>
      </c>
      <c r="I82" s="12" t="s">
        <v>417</v>
      </c>
      <c r="J82" s="12" t="s">
        <v>418</v>
      </c>
      <c r="K82" s="12" t="s">
        <v>13</v>
      </c>
      <c r="L82" s="12"/>
      <c r="M82" s="12">
        <f>360000</f>
        <v>360000</v>
      </c>
      <c r="N82" s="12"/>
      <c r="O82" s="12"/>
      <c r="P82" s="12"/>
      <c r="Q82" s="26" t="s">
        <v>475</v>
      </c>
      <c r="R82" s="49">
        <v>41540</v>
      </c>
      <c r="S82" s="12">
        <v>108</v>
      </c>
      <c r="T82" s="12"/>
      <c r="U82" s="12" t="s">
        <v>461</v>
      </c>
      <c r="V82" s="24">
        <v>3.5999999999999997E-2</v>
      </c>
      <c r="W82" s="12">
        <f t="shared" si="24"/>
        <v>12959.999999999998</v>
      </c>
      <c r="X82" s="12">
        <f>12960</f>
        <v>12960</v>
      </c>
      <c r="Y82" s="12">
        <f>12960</f>
        <v>12960</v>
      </c>
      <c r="Z82" s="12">
        <v>0</v>
      </c>
      <c r="AA82" s="12">
        <f>108000+108000+35827</f>
        <v>251827</v>
      </c>
      <c r="AB82" s="12">
        <f>251827</f>
        <v>251827</v>
      </c>
      <c r="AC82" s="12">
        <f>108000+107000+35827</f>
        <v>250827</v>
      </c>
      <c r="AD82" s="12">
        <f>250827</f>
        <v>250827</v>
      </c>
      <c r="AE82" s="24">
        <f t="shared" si="12"/>
        <v>0.6967416666666667</v>
      </c>
      <c r="AF82" s="12">
        <f>39536.1+100000+99999</f>
        <v>239535.1</v>
      </c>
      <c r="AG82" s="12">
        <f>239535.1</f>
        <v>239535.1</v>
      </c>
      <c r="AH82" s="12">
        <f>43208.1+3672+100000+1218+99999</f>
        <v>248097.1</v>
      </c>
      <c r="AI82" s="12"/>
      <c r="AJ82" s="12"/>
      <c r="AK82" s="12"/>
      <c r="AL82" s="12">
        <f>248097.1</f>
        <v>248097.1</v>
      </c>
      <c r="AM82" s="24">
        <v>3.4000000000000002E-2</v>
      </c>
      <c r="AN82" s="24">
        <f t="shared" si="13"/>
        <v>8562.1180000000004</v>
      </c>
      <c r="AO82" s="12">
        <f>3672+3672+1218</f>
        <v>8562</v>
      </c>
      <c r="AP82" s="12">
        <f>8562</f>
        <v>8562</v>
      </c>
      <c r="AQ82" s="12">
        <v>0</v>
      </c>
      <c r="AR82" s="12"/>
      <c r="AS82" s="12"/>
      <c r="AT82" s="12"/>
    </row>
    <row r="83" spans="1:46" s="31" customFormat="1" x14ac:dyDescent="0.15">
      <c r="A83" s="43">
        <v>41588</v>
      </c>
      <c r="B83" s="4" t="s">
        <v>844</v>
      </c>
      <c r="C83" s="32" t="s">
        <v>476</v>
      </c>
      <c r="D83" s="28" t="s">
        <v>479</v>
      </c>
      <c r="E83" s="28" t="s">
        <v>31</v>
      </c>
      <c r="F83" s="28" t="s">
        <v>480</v>
      </c>
      <c r="G83" s="28" t="s">
        <v>481</v>
      </c>
      <c r="H83" s="28" t="s">
        <v>482</v>
      </c>
      <c r="I83" s="28" t="s">
        <v>484</v>
      </c>
      <c r="J83" s="28" t="s">
        <v>252</v>
      </c>
      <c r="K83" s="28" t="s">
        <v>483</v>
      </c>
      <c r="L83" s="28"/>
      <c r="M83" s="28">
        <v>20420000</v>
      </c>
      <c r="N83" s="28"/>
      <c r="O83" s="28"/>
      <c r="P83" s="28"/>
      <c r="Q83" s="29" t="s">
        <v>485</v>
      </c>
      <c r="R83" s="50">
        <v>41604</v>
      </c>
      <c r="S83" s="28">
        <v>6126</v>
      </c>
      <c r="T83" s="28"/>
      <c r="U83" s="28" t="s">
        <v>7</v>
      </c>
      <c r="V83" s="30">
        <v>0.03</v>
      </c>
      <c r="W83" s="28">
        <f t="shared" si="24"/>
        <v>612600</v>
      </c>
      <c r="X83" s="28">
        <f>304982+197440+110178.5</f>
        <v>612600.5</v>
      </c>
      <c r="Y83" s="28">
        <f>612600.5</f>
        <v>612600.5</v>
      </c>
      <c r="Z83" s="28">
        <v>0</v>
      </c>
      <c r="AA83" s="28">
        <f>192567.45+3063000+4102272.91</f>
        <v>7357840.3600000003</v>
      </c>
      <c r="AB83" s="28">
        <f>7357840.36</f>
        <v>7357840.3600000003</v>
      </c>
      <c r="AC83" s="28">
        <f>3063000+192567.45+4102272.91</f>
        <v>7357840.3600000003</v>
      </c>
      <c r="AD83" s="28">
        <f>7357840.36</f>
        <v>7357840.3600000003</v>
      </c>
      <c r="AE83" s="30">
        <f t="shared" si="12"/>
        <v>0.36032518903036242</v>
      </c>
      <c r="AF83" s="28">
        <f>795510.11+302080+1800000+2902+17400+133706.8+1900+180000+3025621.29+124664+6000+216225.5+400000</f>
        <v>7006009.6999999993</v>
      </c>
      <c r="AG83" s="28">
        <f>7006009.7</f>
        <v>7006009.7000000002</v>
      </c>
      <c r="AH83" s="28">
        <f>795510.11+302080+1800000+17400+133706.8+1900+180000+3169927.92+124664+6000+216225.5+400000</f>
        <v>7147414.3300000001</v>
      </c>
      <c r="AI83" s="28">
        <v>121</v>
      </c>
      <c r="AJ83" s="28">
        <v>956</v>
      </c>
      <c r="AK83" s="28">
        <v>1825</v>
      </c>
      <c r="AL83" s="28">
        <f>7147414.33+121+956+1825</f>
        <v>7150316.3300000001</v>
      </c>
      <c r="AM83" s="30">
        <v>3.56E-2</v>
      </c>
      <c r="AN83" s="30">
        <f t="shared" si="13"/>
        <v>261939.11681600002</v>
      </c>
      <c r="AO83" s="28"/>
      <c r="AP83" s="28"/>
      <c r="AQ83" s="28">
        <v>0</v>
      </c>
      <c r="AR83" s="28"/>
      <c r="AS83" s="28"/>
      <c r="AT83" s="28"/>
    </row>
    <row r="84" spans="1:46" s="31" customFormat="1" x14ac:dyDescent="0.15">
      <c r="A84" s="43">
        <v>41532</v>
      </c>
      <c r="B84" s="4" t="s">
        <v>845</v>
      </c>
      <c r="C84" s="32" t="s">
        <v>477</v>
      </c>
      <c r="D84" s="28" t="s">
        <v>486</v>
      </c>
      <c r="E84" s="28" t="s">
        <v>31</v>
      </c>
      <c r="F84" s="28" t="s">
        <v>487</v>
      </c>
      <c r="G84" s="28" t="s">
        <v>481</v>
      </c>
      <c r="H84" s="28" t="s">
        <v>250</v>
      </c>
      <c r="I84" s="28" t="s">
        <v>484</v>
      </c>
      <c r="J84" s="28" t="s">
        <v>252</v>
      </c>
      <c r="K84" s="28" t="s">
        <v>5</v>
      </c>
      <c r="L84" s="28"/>
      <c r="M84" s="28">
        <v>26077738.800000001</v>
      </c>
      <c r="N84" s="28"/>
      <c r="O84" s="28"/>
      <c r="P84" s="28"/>
      <c r="Q84" s="29" t="s">
        <v>488</v>
      </c>
      <c r="R84" s="50">
        <v>41604</v>
      </c>
      <c r="S84" s="28">
        <v>7824</v>
      </c>
      <c r="T84" s="28"/>
      <c r="U84" s="28" t="s">
        <v>7</v>
      </c>
      <c r="V84" s="30">
        <v>0.03</v>
      </c>
      <c r="W84" s="28">
        <f t="shared" si="24"/>
        <v>782332.16399999999</v>
      </c>
      <c r="X84" s="28">
        <f>6047</f>
        <v>6047</v>
      </c>
      <c r="Y84" s="28">
        <f>6047</f>
        <v>6047</v>
      </c>
      <c r="Z84" s="28">
        <f>W84-Y84</f>
        <v>776285.16399999999</v>
      </c>
      <c r="AA84" s="28"/>
      <c r="AB84" s="28"/>
      <c r="AC84" s="28"/>
      <c r="AD84" s="28"/>
      <c r="AE84" s="30">
        <f t="shared" si="12"/>
        <v>0</v>
      </c>
      <c r="AF84" s="28"/>
      <c r="AG84" s="28"/>
      <c r="AH84" s="28"/>
      <c r="AI84" s="28"/>
      <c r="AJ84" s="28"/>
      <c r="AK84" s="28"/>
      <c r="AL84" s="28"/>
      <c r="AM84" s="30">
        <v>3.56E-2</v>
      </c>
      <c r="AN84" s="30">
        <f t="shared" ref="AN84:AN85" si="27">AM84*AB84</f>
        <v>0</v>
      </c>
      <c r="AO84" s="28"/>
      <c r="AP84" s="28"/>
      <c r="AQ84" s="28"/>
      <c r="AR84" s="28"/>
      <c r="AS84" s="28">
        <v>180</v>
      </c>
      <c r="AT84" s="28" t="s">
        <v>489</v>
      </c>
    </row>
    <row r="85" spans="1:46" s="27" customFormat="1" x14ac:dyDescent="0.15">
      <c r="A85" s="40">
        <v>41535</v>
      </c>
      <c r="B85" s="4" t="s">
        <v>846</v>
      </c>
      <c r="C85" s="25" t="s">
        <v>478</v>
      </c>
      <c r="D85" s="12" t="s">
        <v>490</v>
      </c>
      <c r="E85" s="12" t="s">
        <v>31</v>
      </c>
      <c r="F85" s="12" t="s">
        <v>491</v>
      </c>
      <c r="G85" s="12" t="s">
        <v>492</v>
      </c>
      <c r="H85" s="12" t="s">
        <v>493</v>
      </c>
      <c r="I85" s="4" t="s">
        <v>117</v>
      </c>
      <c r="J85" s="4" t="s">
        <v>118</v>
      </c>
      <c r="K85" s="4" t="s">
        <v>41</v>
      </c>
      <c r="L85" s="12"/>
      <c r="M85" s="12">
        <v>937580</v>
      </c>
      <c r="N85" s="12"/>
      <c r="O85" s="12"/>
      <c r="P85" s="12"/>
      <c r="Q85" s="26" t="s">
        <v>494</v>
      </c>
      <c r="R85" s="49">
        <v>41547</v>
      </c>
      <c r="S85" s="12">
        <v>282</v>
      </c>
      <c r="T85" s="12"/>
      <c r="U85" s="28" t="s">
        <v>7</v>
      </c>
      <c r="V85" s="24">
        <v>3.5999999999999997E-2</v>
      </c>
      <c r="W85" s="12">
        <f t="shared" si="24"/>
        <v>33752.879999999997</v>
      </c>
      <c r="X85" s="12">
        <f>33753</f>
        <v>33753</v>
      </c>
      <c r="Y85" s="12">
        <f>33753</f>
        <v>33753</v>
      </c>
      <c r="Z85" s="28">
        <v>0</v>
      </c>
      <c r="AA85" s="12">
        <f>281274+177032+131261.2</f>
        <v>589567.19999999995</v>
      </c>
      <c r="AB85" s="12">
        <f>589567.2</f>
        <v>589567.19999999995</v>
      </c>
      <c r="AC85" s="12">
        <f>281274+177032+131261.2</f>
        <v>589567.19999999995</v>
      </c>
      <c r="AD85" s="12">
        <f>589567.2</f>
        <v>589567.19999999995</v>
      </c>
      <c r="AE85" s="24">
        <f t="shared" si="12"/>
        <v>0.62881802086221972</v>
      </c>
      <c r="AF85" s="12">
        <f>200000+50000+12960+100000+200000</f>
        <v>562960</v>
      </c>
      <c r="AG85" s="12">
        <f>562960</f>
        <v>562960</v>
      </c>
      <c r="AH85" s="12">
        <f>9563+200000+50000+12960+106019+204463</f>
        <v>583005</v>
      </c>
      <c r="AI85" s="12"/>
      <c r="AJ85" s="12"/>
      <c r="AK85" s="12"/>
      <c r="AL85" s="12">
        <f>583005</f>
        <v>583005</v>
      </c>
      <c r="AM85" s="24">
        <v>3.4000000000000002E-2</v>
      </c>
      <c r="AN85" s="30">
        <f t="shared" si="27"/>
        <v>20045.284800000001</v>
      </c>
      <c r="AO85" s="12">
        <f>9563+6019+4463</f>
        <v>20045</v>
      </c>
      <c r="AP85" s="12">
        <f>20045</f>
        <v>20045</v>
      </c>
      <c r="AQ85" s="12">
        <v>0</v>
      </c>
      <c r="AR85" s="12"/>
      <c r="AS85" s="12"/>
      <c r="AT85" s="12"/>
    </row>
    <row r="86" spans="1:46" s="23" customFormat="1" x14ac:dyDescent="0.15">
      <c r="A86" s="39">
        <v>41557</v>
      </c>
      <c r="B86" s="4" t="s">
        <v>847</v>
      </c>
      <c r="C86" s="18" t="s">
        <v>27</v>
      </c>
      <c r="D86" s="19" t="s">
        <v>46</v>
      </c>
      <c r="E86" s="19" t="s">
        <v>31</v>
      </c>
      <c r="F86" s="19" t="s">
        <v>32</v>
      </c>
      <c r="G86" s="19" t="s">
        <v>33</v>
      </c>
      <c r="H86" s="19" t="s">
        <v>34</v>
      </c>
      <c r="I86" s="19" t="s">
        <v>35</v>
      </c>
      <c r="J86" s="19" t="s">
        <v>29</v>
      </c>
      <c r="K86" s="19" t="s">
        <v>36</v>
      </c>
      <c r="L86" s="19"/>
      <c r="M86" s="19">
        <v>7763574.6600000001</v>
      </c>
      <c r="N86" s="19"/>
      <c r="O86" s="19"/>
      <c r="P86" s="19"/>
      <c r="Q86" s="20" t="s">
        <v>28</v>
      </c>
      <c r="R86" s="48">
        <v>41627</v>
      </c>
      <c r="S86" s="19">
        <v>2330</v>
      </c>
      <c r="T86" s="19"/>
      <c r="U86" s="19" t="s">
        <v>7</v>
      </c>
      <c r="V86" s="21">
        <v>0.03</v>
      </c>
      <c r="W86" s="19">
        <f t="shared" ref="W86:W102" si="28">M86*V86</f>
        <v>232907.23980000001</v>
      </c>
      <c r="X86" s="19">
        <v>92979</v>
      </c>
      <c r="Y86" s="19">
        <f>92979</f>
        <v>92979</v>
      </c>
      <c r="Z86" s="19">
        <f>W86-Y86</f>
        <v>139928.23980000001</v>
      </c>
      <c r="AA86" s="19">
        <f>408855+453122+775336+772266+1014198+1482456</f>
        <v>4906233</v>
      </c>
      <c r="AB86" s="19">
        <f>4906233</f>
        <v>4906233</v>
      </c>
      <c r="AC86" s="19">
        <f>408855+453122+775336+772266+1014098</f>
        <v>3423677</v>
      </c>
      <c r="AD86" s="19">
        <f>3423677</f>
        <v>3423677</v>
      </c>
      <c r="AE86" s="21">
        <f t="shared" si="12"/>
        <v>0.44099234565743195</v>
      </c>
      <c r="AF86" s="19">
        <f>179000+200000+277980.9+99990+50000+324272.32+341762+48000+4953+146314.53+423799+30000+701290+100000+18240+299874.5+12941+2228.94+3000</f>
        <v>3263646.19</v>
      </c>
      <c r="AG86" s="19">
        <f>3258417.25+2228.94+3000</f>
        <v>3263646.19</v>
      </c>
      <c r="AH86" s="19">
        <f>179000+213492.21+292933.92+99990+50000+324272.32+368123+48000+10000+4953+5100+20000+207054.53+423799+30000+701290+100000+18240+299874.5+12941+2228.94+3000</f>
        <v>3414292.42</v>
      </c>
      <c r="AI86" s="19"/>
      <c r="AJ86" s="19"/>
      <c r="AK86" s="19"/>
      <c r="AL86" s="19">
        <f>3409063.48+2228.94+3000</f>
        <v>3414292.42</v>
      </c>
      <c r="AM86" s="21">
        <v>3.4000000000000002E-2</v>
      </c>
      <c r="AN86" s="21">
        <f t="shared" ref="AN86:AN94" si="29">AM86*AB86</f>
        <v>166811.92200000002</v>
      </c>
      <c r="AO86" s="19">
        <f>26361+26257+34483</f>
        <v>87101</v>
      </c>
      <c r="AP86" s="19">
        <f>87101</f>
        <v>87101</v>
      </c>
      <c r="AQ86" s="19"/>
      <c r="AR86" s="19"/>
      <c r="AS86" s="19">
        <v>100</v>
      </c>
      <c r="AT86" s="19" t="s">
        <v>30</v>
      </c>
    </row>
    <row r="87" spans="1:46" s="27" customFormat="1" x14ac:dyDescent="0.15">
      <c r="A87" s="40">
        <v>41562</v>
      </c>
      <c r="B87" s="4" t="s">
        <v>848</v>
      </c>
      <c r="C87" s="25" t="s">
        <v>144</v>
      </c>
      <c r="D87" s="12" t="s">
        <v>145</v>
      </c>
      <c r="E87" s="12" t="s">
        <v>146</v>
      </c>
      <c r="F87" s="12" t="s">
        <v>147</v>
      </c>
      <c r="G87" s="12" t="s">
        <v>148</v>
      </c>
      <c r="H87" s="12" t="s">
        <v>149</v>
      </c>
      <c r="I87" s="12" t="s">
        <v>150</v>
      </c>
      <c r="J87" s="12" t="s">
        <v>152</v>
      </c>
      <c r="K87" s="12" t="s">
        <v>151</v>
      </c>
      <c r="L87" s="12"/>
      <c r="M87" s="12">
        <f>13700792.69-2000000</f>
        <v>11700792.689999999</v>
      </c>
      <c r="N87" s="12"/>
      <c r="O87" s="12"/>
      <c r="P87" s="12"/>
      <c r="Q87" s="26" t="s">
        <v>153</v>
      </c>
      <c r="R87" s="49">
        <v>41782</v>
      </c>
      <c r="S87" s="12">
        <v>4111</v>
      </c>
      <c r="T87" s="12"/>
      <c r="U87" s="12" t="s">
        <v>7</v>
      </c>
      <c r="V87" s="24">
        <v>0.03</v>
      </c>
      <c r="W87" s="12">
        <f t="shared" si="28"/>
        <v>351023.78069999994</v>
      </c>
      <c r="X87" s="12">
        <v>351024</v>
      </c>
      <c r="Y87" s="12">
        <v>351024</v>
      </c>
      <c r="Z87" s="12">
        <v>0</v>
      </c>
      <c r="AA87" s="12">
        <f>3534362+2340159</f>
        <v>5874521</v>
      </c>
      <c r="AB87" s="12">
        <f>5874521</f>
        <v>5874521</v>
      </c>
      <c r="AC87" s="12">
        <f>3534362+2340159</f>
        <v>5874521</v>
      </c>
      <c r="AD87" s="12">
        <f>5874521</f>
        <v>5874521</v>
      </c>
      <c r="AE87" s="24">
        <f t="shared" si="12"/>
        <v>0.50206179663542094</v>
      </c>
      <c r="AF87" s="12">
        <f>334120.37+4071+32100+468239.8+604970+50000+1535324.89+54300+429990+699999.85+50517+250000+149990+44900+306227.22+100000+100000+25000+160000+2400</f>
        <v>5402150.129999999</v>
      </c>
      <c r="AG87" s="12">
        <f>5402150.13</f>
        <v>5402150.1299999999</v>
      </c>
      <c r="AH87" s="12">
        <f>454288.37+4071+32100+468239.8+604970+50000+1535324.89+50000+180000+79565+11000+429990+699999.85+50517+250000+159990+44900+306227.22+100000+100000+25000+160000+2400+1500</f>
        <v>5800083.129999999</v>
      </c>
      <c r="AI87" s="12"/>
      <c r="AJ87" s="12"/>
      <c r="AK87" s="12"/>
      <c r="AL87" s="12">
        <f>5800083.13</f>
        <v>5800083.1299999999</v>
      </c>
      <c r="AM87" s="24">
        <v>3.4000000000000002E-2</v>
      </c>
      <c r="AN87" s="24">
        <f t="shared" si="29"/>
        <v>199733.71400000001</v>
      </c>
      <c r="AO87" s="12">
        <f>120168+79565</f>
        <v>199733</v>
      </c>
      <c r="AP87" s="12">
        <f>199733</f>
        <v>199733</v>
      </c>
      <c r="AQ87" s="12">
        <v>0</v>
      </c>
      <c r="AR87" s="12"/>
      <c r="AS87" s="12">
        <v>85</v>
      </c>
      <c r="AT87" s="12" t="s">
        <v>154</v>
      </c>
    </row>
    <row r="88" spans="1:46" s="27" customFormat="1" x14ac:dyDescent="0.15">
      <c r="A88" s="40">
        <v>41566</v>
      </c>
      <c r="B88" s="4" t="s">
        <v>849</v>
      </c>
      <c r="C88" s="25" t="s">
        <v>495</v>
      </c>
      <c r="D88" s="12" t="s">
        <v>496</v>
      </c>
      <c r="E88" s="12" t="s">
        <v>146</v>
      </c>
      <c r="F88" s="12" t="s">
        <v>497</v>
      </c>
      <c r="G88" s="12" t="s">
        <v>492</v>
      </c>
      <c r="H88" s="12" t="s">
        <v>498</v>
      </c>
      <c r="I88" s="4" t="s">
        <v>23</v>
      </c>
      <c r="J88" s="4" t="s">
        <v>22</v>
      </c>
      <c r="K88" s="4" t="s">
        <v>13</v>
      </c>
      <c r="L88" s="12"/>
      <c r="M88" s="12">
        <v>3443591.39</v>
      </c>
      <c r="N88" s="12"/>
      <c r="O88" s="12"/>
      <c r="P88" s="12"/>
      <c r="Q88" s="26" t="s">
        <v>499</v>
      </c>
      <c r="R88" s="49">
        <v>41736</v>
      </c>
      <c r="S88" s="12">
        <v>1034</v>
      </c>
      <c r="T88" s="12"/>
      <c r="U88" s="12" t="s">
        <v>7</v>
      </c>
      <c r="V88" s="24">
        <v>3.5999999999999997E-2</v>
      </c>
      <c r="W88" s="12">
        <f t="shared" si="28"/>
        <v>123969.29003999999</v>
      </c>
      <c r="X88" s="12">
        <f>103969+20000</f>
        <v>123969</v>
      </c>
      <c r="Y88" s="12">
        <f>123969</f>
        <v>123969</v>
      </c>
      <c r="Z88" s="12">
        <v>0</v>
      </c>
      <c r="AA88" s="12">
        <f>688718+200000+833077.42+200000+500000</f>
        <v>2421795.42</v>
      </c>
      <c r="AB88" s="12">
        <f>2421795.42</f>
        <v>2421795.42</v>
      </c>
      <c r="AC88" s="12">
        <f>688718+150000+50000+833077.42+200000+500000</f>
        <v>2421795.42</v>
      </c>
      <c r="AD88" s="12">
        <f>2421795.42</f>
        <v>2421795.42</v>
      </c>
      <c r="AE88" s="24">
        <f t="shared" si="12"/>
        <v>0.70327607016115812</v>
      </c>
      <c r="AF88" s="12">
        <f>300337.98+153796.6+14887+150000+5613+150000+80000+570000+180000+30000+170740+450000+52500+5000</f>
        <v>2312874.58</v>
      </c>
      <c r="AG88" s="12">
        <f>2312874.58</f>
        <v>2312874.58</v>
      </c>
      <c r="AH88" s="12">
        <f>323753.98+153796.6+14887+15328.81+150000+6800+150000+40000+28325+570000+180000+36800+170740+17000+450000+52500</f>
        <v>2359931.3899999997</v>
      </c>
      <c r="AI88" s="12"/>
      <c r="AJ88" s="12"/>
      <c r="AK88" s="12">
        <f>5613+5000</f>
        <v>10613</v>
      </c>
      <c r="AL88" s="12">
        <f>2359931.39+10613</f>
        <v>2370544.39</v>
      </c>
      <c r="AM88" s="24">
        <v>3.4000000000000002E-2</v>
      </c>
      <c r="AN88" s="24">
        <f t="shared" si="29"/>
        <v>82341.044280000002</v>
      </c>
      <c r="AO88" s="12">
        <f>23416+6800+28325+6800+17000</f>
        <v>82341</v>
      </c>
      <c r="AP88" s="12">
        <f>82341</f>
        <v>82341</v>
      </c>
      <c r="AQ88" s="12">
        <v>0</v>
      </c>
      <c r="AR88" s="12"/>
      <c r="AS88" s="12">
        <v>52</v>
      </c>
      <c r="AT88" s="12" t="s">
        <v>500</v>
      </c>
    </row>
    <row r="89" spans="1:46" x14ac:dyDescent="0.15">
      <c r="A89" s="36">
        <v>41552</v>
      </c>
      <c r="B89" s="4" t="s">
        <v>850</v>
      </c>
      <c r="C89" s="4" t="s">
        <v>50</v>
      </c>
      <c r="D89" s="4" t="s">
        <v>51</v>
      </c>
      <c r="E89" s="4" t="s">
        <v>0</v>
      </c>
      <c r="F89" s="4" t="s">
        <v>52</v>
      </c>
      <c r="G89" s="4" t="s">
        <v>53</v>
      </c>
      <c r="H89" s="4" t="s">
        <v>54</v>
      </c>
      <c r="I89" s="4" t="s">
        <v>55</v>
      </c>
      <c r="J89" s="4" t="s">
        <v>58</v>
      </c>
      <c r="K89" s="4" t="s">
        <v>41</v>
      </c>
      <c r="L89" s="4"/>
      <c r="M89" s="4">
        <v>14920000</v>
      </c>
      <c r="N89" s="4">
        <f>28090783.74+23448433.68+1649187.29</f>
        <v>53188404.710000001</v>
      </c>
      <c r="O89" s="4"/>
      <c r="P89" s="4"/>
      <c r="Q89" s="5" t="s">
        <v>56</v>
      </c>
      <c r="R89" s="45">
        <v>41739</v>
      </c>
      <c r="S89" s="4">
        <v>4476</v>
      </c>
      <c r="T89" s="4"/>
      <c r="U89" s="4" t="s">
        <v>7</v>
      </c>
      <c r="V89" s="6">
        <v>2.5000000000000001E-2</v>
      </c>
      <c r="W89" s="4">
        <f t="shared" ref="W89:W98" si="30">(M89+N89)*V89</f>
        <v>1702710.1177500002</v>
      </c>
      <c r="X89" s="4">
        <f>3347+300000+300000+500000</f>
        <v>1103347</v>
      </c>
      <c r="Y89" s="4">
        <f>1103347</f>
        <v>1103347</v>
      </c>
      <c r="Z89" s="4">
        <f>W89-Y89</f>
        <v>599363.11775000021</v>
      </c>
      <c r="AA89" s="4">
        <f>2984000+4016000+8000000</f>
        <v>15000000</v>
      </c>
      <c r="AB89" s="4">
        <f>15000000</f>
        <v>15000000</v>
      </c>
      <c r="AC89" s="4">
        <f>5400000+1600000+7978500</f>
        <v>14978500</v>
      </c>
      <c r="AD89" s="4">
        <f>14978500</f>
        <v>14978500</v>
      </c>
      <c r="AE89" s="6">
        <f t="shared" si="12"/>
        <v>0.2199214629057489</v>
      </c>
      <c r="AF89" s="4">
        <f>2799840+1011505+306677.36+100000+200000+500000+400000+3399384.4+100000+500000+300000+800000+100000+1169995.8+99600</f>
        <v>11787002.560000001</v>
      </c>
      <c r="AG89" s="4">
        <f>11787002.56</f>
        <v>11787002.560000001</v>
      </c>
      <c r="AH89" s="4">
        <f>2837840-2+1011505+306677.36+100000+200000+500000+400000+3671384.4+100000+500000+300000+800000+100000+1169995.8+99600</f>
        <v>12097000.560000001</v>
      </c>
      <c r="AI89" s="4"/>
      <c r="AJ89" s="4"/>
      <c r="AK89" s="4"/>
      <c r="AL89" s="4">
        <f>12097000.56</f>
        <v>12097000.560000001</v>
      </c>
      <c r="AM89" s="6">
        <v>3.4000000000000002E-2</v>
      </c>
      <c r="AN89" s="6">
        <f t="shared" si="29"/>
        <v>510000.00000000006</v>
      </c>
      <c r="AO89" s="4">
        <f>101456+136544+272000</f>
        <v>510000</v>
      </c>
      <c r="AP89" s="4">
        <f>510000</f>
        <v>510000</v>
      </c>
      <c r="AQ89" s="4">
        <f t="shared" si="18"/>
        <v>0</v>
      </c>
      <c r="AR89" s="4"/>
      <c r="AS89" s="4">
        <v>210</v>
      </c>
      <c r="AT89" s="4" t="s">
        <v>57</v>
      </c>
    </row>
    <row r="90" spans="1:46" x14ac:dyDescent="0.15">
      <c r="A90" s="36">
        <v>41562</v>
      </c>
      <c r="B90" s="4" t="s">
        <v>851</v>
      </c>
      <c r="C90" s="4" t="s">
        <v>59</v>
      </c>
      <c r="D90" s="4" t="s">
        <v>60</v>
      </c>
      <c r="E90" s="4" t="s">
        <v>0</v>
      </c>
      <c r="F90" s="4" t="s">
        <v>61</v>
      </c>
      <c r="G90" s="4" t="s">
        <v>53</v>
      </c>
      <c r="H90" s="4" t="s">
        <v>62</v>
      </c>
      <c r="I90" s="4" t="s">
        <v>63</v>
      </c>
      <c r="J90" s="4" t="s">
        <v>64</v>
      </c>
      <c r="K90" s="4" t="s">
        <v>65</v>
      </c>
      <c r="L90" s="4"/>
      <c r="M90" s="4">
        <v>126591039.39</v>
      </c>
      <c r="N90" s="4"/>
      <c r="O90" s="4"/>
      <c r="P90" s="4"/>
      <c r="Q90" s="5"/>
      <c r="R90" s="45"/>
      <c r="S90" s="4"/>
      <c r="T90" s="4"/>
      <c r="U90" s="4" t="s">
        <v>7</v>
      </c>
      <c r="V90" s="6">
        <v>0.02</v>
      </c>
      <c r="W90" s="4">
        <f t="shared" si="30"/>
        <v>2531820.7878</v>
      </c>
      <c r="X90" s="4">
        <f>1339360.2+703496.86+39149.8+235277</f>
        <v>2317283.8600000003</v>
      </c>
      <c r="Y90" s="4">
        <f>2317283.86</f>
        <v>2317283.86</v>
      </c>
      <c r="Z90" s="4">
        <f>W90-Y90</f>
        <v>214536.92780000018</v>
      </c>
      <c r="AA90" s="4">
        <f>32318003.98+7487579.48+599890+2762001</f>
        <v>43167474.460000001</v>
      </c>
      <c r="AB90" s="4">
        <f>43167474.46</f>
        <v>43167474.460000001</v>
      </c>
      <c r="AC90" s="4">
        <f>20000000+10000000+2318003.98+2762001+3000000+3000000+2087469</f>
        <v>43167473.980000004</v>
      </c>
      <c r="AD90" s="4">
        <f>43167473.98</f>
        <v>43167473.979999997</v>
      </c>
      <c r="AE90" s="6">
        <f t="shared" si="12"/>
        <v>0.34099944346779726</v>
      </c>
      <c r="AF90" s="4">
        <f>199323.2+5003300+102990.62+10939520.43+564261.64+91962.38+55000+124528.5+200000+1692.31+2696+94548.36+5000000+100000+2470911.34+30638.5+48000+133861.59+48000+13249.2+47400+253446.7+404194.02+60000+132819.81+224650.12+210401.67+709000+122388+121500+168821+146733.06+1132694.12+60000+92032.7+58869+96739.43+485206.03+60952+20000+85277+25895.7+109915.02+1701463.9+1317911.4+101000+20000+41357+961000+28200+409572.33+361357+877304.12+136980.44</f>
        <v>36009565.639999986</v>
      </c>
      <c r="AG90" s="4">
        <f>35872585.2+136980.44</f>
        <v>36009565.640000001</v>
      </c>
      <c r="AH90" s="4">
        <f>1216305.63+352532.2+5003300+242990.62+10939520.43+150000+564261.64+91962.38+814741+65352+55000+124528.5+200000+1692.31+2696+680000+400000+231107.46+94548.36+5000000+207653+100100+2470911.34+291138.5+48000+133861.59+48000+13249.2+47400+253446.7+404194.02+60000+132819.81+224650.12+210401.67+360000+709000+122388+121500+57385.6+168821+146733.06+1132694.12+60000+92032.7+58869+96739.43+485206.03+267000+60952+20000+40000+85277+25895.7+109915.02+1701463.9+131791.14+7916.37+101000+20000+41357+961000+28200+409572.33+409157+400000+173234.34+877304.12+136980.44+411841.09</f>
        <v>40907590.870000005</v>
      </c>
      <c r="AI90" s="4"/>
      <c r="AJ90" s="4"/>
      <c r="AK90" s="4"/>
      <c r="AL90" s="4">
        <f>40358769.34+136980.44+411841.09</f>
        <v>40907590.870000005</v>
      </c>
      <c r="AM90" s="6">
        <v>3.3599999999999998E-2</v>
      </c>
      <c r="AN90" s="6">
        <f t="shared" si="29"/>
        <v>1450427.1418559998</v>
      </c>
      <c r="AO90" s="4"/>
      <c r="AP90" s="4"/>
      <c r="AQ90" s="4"/>
      <c r="AR90" s="4"/>
      <c r="AS90" s="4">
        <v>530</v>
      </c>
      <c r="AT90" s="4" t="s">
        <v>57</v>
      </c>
    </row>
    <row r="91" spans="1:46" x14ac:dyDescent="0.15">
      <c r="A91" s="36">
        <v>41565</v>
      </c>
      <c r="B91" s="4" t="s">
        <v>852</v>
      </c>
      <c r="C91" s="4" t="s">
        <v>106</v>
      </c>
      <c r="D91" s="4" t="s">
        <v>107</v>
      </c>
      <c r="E91" s="4" t="s">
        <v>0</v>
      </c>
      <c r="F91" s="4" t="s">
        <v>108</v>
      </c>
      <c r="G91" s="4" t="s">
        <v>109</v>
      </c>
      <c r="H91" s="4" t="s">
        <v>110</v>
      </c>
      <c r="I91" s="4" t="s">
        <v>111</v>
      </c>
      <c r="J91" s="4" t="s">
        <v>110</v>
      </c>
      <c r="K91" s="4" t="s">
        <v>97</v>
      </c>
      <c r="L91" s="4"/>
      <c r="M91" s="4">
        <v>5992383</v>
      </c>
      <c r="N91" s="4"/>
      <c r="O91" s="4"/>
      <c r="P91" s="4"/>
      <c r="Q91" s="5"/>
      <c r="R91" s="45"/>
      <c r="S91" s="4"/>
      <c r="T91" s="4"/>
      <c r="U91" s="4" t="s">
        <v>7</v>
      </c>
      <c r="V91" s="6">
        <v>0.03</v>
      </c>
      <c r="W91" s="4">
        <f t="shared" si="30"/>
        <v>179771.49</v>
      </c>
      <c r="X91" s="4">
        <f>54370+75401</f>
        <v>129771</v>
      </c>
      <c r="Y91" s="4">
        <f>129771</f>
        <v>129771</v>
      </c>
      <c r="Z91" s="4">
        <f>W91-Y91</f>
        <v>50000.489999999991</v>
      </c>
      <c r="AA91" s="4">
        <f>599238.3+1153533.7+2441896</f>
        <v>4194668</v>
      </c>
      <c r="AB91" s="4">
        <f>4194668</f>
        <v>4194668</v>
      </c>
      <c r="AC91" s="4">
        <f>599238.3+1153533.7+2441896</f>
        <v>4194668</v>
      </c>
      <c r="AD91" s="4">
        <f>4194668</f>
        <v>4194668</v>
      </c>
      <c r="AE91" s="6">
        <f t="shared" si="12"/>
        <v>0.69999998331214808</v>
      </c>
      <c r="AF91" s="4">
        <f>9000+432000+455000+233980+150000+40000+233980+759450+999900+199980+30000</f>
        <v>3543290</v>
      </c>
      <c r="AG91" s="4">
        <f>3313310+199980+30000</f>
        <v>3543290</v>
      </c>
      <c r="AH91" s="4">
        <f>129314.17+432000+494104.79+233980+150000+60000+40000+233980+842230.28+999900+199980+30000</f>
        <v>3845489.24</v>
      </c>
      <c r="AI91" s="4"/>
      <c r="AJ91" s="4"/>
      <c r="AK91" s="4"/>
      <c r="AL91" s="4">
        <f>3615509.24+199980+30000</f>
        <v>3845489.24</v>
      </c>
      <c r="AM91" s="6">
        <v>3.7400000000000003E-2</v>
      </c>
      <c r="AN91" s="6">
        <f t="shared" si="29"/>
        <v>156880.58320000002</v>
      </c>
      <c r="AO91" s="4"/>
      <c r="AP91" s="4"/>
      <c r="AQ91" s="4"/>
      <c r="AR91" s="4"/>
      <c r="AS91" s="4">
        <v>66</v>
      </c>
      <c r="AT91" s="4" t="s">
        <v>57</v>
      </c>
    </row>
    <row r="92" spans="1:46" x14ac:dyDescent="0.15">
      <c r="A92" s="36">
        <v>41579</v>
      </c>
      <c r="B92" s="4" t="s">
        <v>853</v>
      </c>
      <c r="C92" s="4" t="s">
        <v>501</v>
      </c>
      <c r="D92" s="4" t="s">
        <v>502</v>
      </c>
      <c r="E92" s="4" t="s">
        <v>0</v>
      </c>
      <c r="F92" s="4" t="s">
        <v>503</v>
      </c>
      <c r="G92" s="4" t="s">
        <v>492</v>
      </c>
      <c r="H92" s="4" t="s">
        <v>504</v>
      </c>
      <c r="I92" s="4" t="s">
        <v>103</v>
      </c>
      <c r="J92" s="4" t="s">
        <v>104</v>
      </c>
      <c r="K92" s="4" t="s">
        <v>176</v>
      </c>
      <c r="L92" s="4"/>
      <c r="M92" s="4">
        <v>3117195.98</v>
      </c>
      <c r="N92" s="4"/>
      <c r="O92" s="4"/>
      <c r="P92" s="4"/>
      <c r="Q92" s="5" t="s">
        <v>505</v>
      </c>
      <c r="R92" s="45">
        <v>41627</v>
      </c>
      <c r="S92" s="4">
        <v>936</v>
      </c>
      <c r="T92" s="4"/>
      <c r="U92" s="4" t="s">
        <v>7</v>
      </c>
      <c r="V92" s="6">
        <v>3.5999999999999997E-2</v>
      </c>
      <c r="W92" s="4">
        <f t="shared" si="30"/>
        <v>112219.05527999999</v>
      </c>
      <c r="X92" s="4">
        <f>112219</f>
        <v>112219</v>
      </c>
      <c r="Y92" s="4">
        <f>112219</f>
        <v>112219</v>
      </c>
      <c r="Z92" s="4">
        <v>0</v>
      </c>
      <c r="AA92" s="4">
        <f>620000+935000</f>
        <v>1555000</v>
      </c>
      <c r="AB92" s="4">
        <f>1555000</f>
        <v>1555000</v>
      </c>
      <c r="AC92" s="4">
        <f>620000+900000</f>
        <v>1520000</v>
      </c>
      <c r="AD92" s="4">
        <f>1520000</f>
        <v>1520000</v>
      </c>
      <c r="AE92" s="6">
        <f t="shared" si="12"/>
        <v>0.48761772110331031</v>
      </c>
      <c r="AF92" s="4">
        <f>3740+113280+20000+460000+708975.94+93503.7+50000</f>
        <v>1449499.64</v>
      </c>
      <c r="AG92" s="4">
        <f>1449499.64</f>
        <v>1449499.64</v>
      </c>
      <c r="AH92" s="4">
        <f>3740+21080+113280+100000-100000+20000+460000+740765.94+93503.7+50000</f>
        <v>1502369.64</v>
      </c>
      <c r="AI92" s="4"/>
      <c r="AJ92" s="4"/>
      <c r="AK92" s="4"/>
      <c r="AL92" s="4">
        <f>1502369.64</f>
        <v>1502369.64</v>
      </c>
      <c r="AM92" s="6">
        <v>3.4000000000000002E-2</v>
      </c>
      <c r="AN92" s="6">
        <f t="shared" si="29"/>
        <v>52870.000000000007</v>
      </c>
      <c r="AO92" s="4">
        <f>21080+31790</f>
        <v>52870</v>
      </c>
      <c r="AP92" s="4">
        <f>52870</f>
        <v>52870</v>
      </c>
      <c r="AQ92" s="4">
        <v>0</v>
      </c>
      <c r="AR92" s="4"/>
      <c r="AS92" s="4">
        <v>35</v>
      </c>
      <c r="AT92" s="4" t="s">
        <v>506</v>
      </c>
    </row>
    <row r="93" spans="1:46" x14ac:dyDescent="0.15">
      <c r="A93" s="36">
        <v>41599</v>
      </c>
      <c r="B93" s="4" t="s">
        <v>854</v>
      </c>
      <c r="C93" s="4" t="s">
        <v>442</v>
      </c>
      <c r="D93" s="4" t="s">
        <v>443</v>
      </c>
      <c r="E93" s="4" t="s">
        <v>0</v>
      </c>
      <c r="F93" s="4" t="s">
        <v>444</v>
      </c>
      <c r="G93" s="4" t="s">
        <v>427</v>
      </c>
      <c r="H93" s="4" t="s">
        <v>445</v>
      </c>
      <c r="I93" s="4" t="s">
        <v>446</v>
      </c>
      <c r="J93" s="4" t="s">
        <v>447</v>
      </c>
      <c r="K93" s="4" t="s">
        <v>435</v>
      </c>
      <c r="L93" s="4"/>
      <c r="M93" s="4">
        <v>5811890</v>
      </c>
      <c r="N93" s="4"/>
      <c r="O93" s="4"/>
      <c r="P93" s="4"/>
      <c r="Q93" s="5" t="s">
        <v>448</v>
      </c>
      <c r="R93" s="45">
        <v>41599</v>
      </c>
      <c r="S93" s="4">
        <f>562+588+594</f>
        <v>1744</v>
      </c>
      <c r="T93" s="4"/>
      <c r="U93" s="4" t="s">
        <v>449</v>
      </c>
      <c r="V93" s="6">
        <v>0.04</v>
      </c>
      <c r="W93" s="4">
        <f t="shared" si="30"/>
        <v>232475.6</v>
      </c>
      <c r="X93" s="4">
        <f>232476</f>
        <v>232476</v>
      </c>
      <c r="Y93" s="4">
        <f>232476</f>
        <v>232476</v>
      </c>
      <c r="Z93" s="4">
        <v>0</v>
      </c>
      <c r="AA93" s="4">
        <f>200000+2000000</f>
        <v>2200000</v>
      </c>
      <c r="AB93" s="4">
        <f>2200000</f>
        <v>2200000</v>
      </c>
      <c r="AC93" s="4">
        <f>200000+2000000</f>
        <v>2200000</v>
      </c>
      <c r="AD93" s="4">
        <f>200000+2000000</f>
        <v>2200000</v>
      </c>
      <c r="AE93" s="6">
        <f t="shared" si="12"/>
        <v>0.37853434941129305</v>
      </c>
      <c r="AF93" s="4">
        <f>6974+86000+100000+1431000</f>
        <v>1623974</v>
      </c>
      <c r="AG93" s="4">
        <f>192974+1431000</f>
        <v>1623974</v>
      </c>
      <c r="AH93" s="4">
        <f>13774+86000+100000+1499000</f>
        <v>1698774</v>
      </c>
      <c r="AI93" s="4"/>
      <c r="AJ93" s="4"/>
      <c r="AK93" s="4"/>
      <c r="AL93" s="4">
        <f>199774+1499000</f>
        <v>1698774</v>
      </c>
      <c r="AM93" s="6">
        <v>3.4000000000000002E-2</v>
      </c>
      <c r="AN93" s="6">
        <f t="shared" si="29"/>
        <v>74800</v>
      </c>
      <c r="AO93" s="4">
        <f>6800+68000</f>
        <v>74800</v>
      </c>
      <c r="AP93" s="4">
        <f>6800+68000</f>
        <v>74800</v>
      </c>
      <c r="AQ93" s="4">
        <f t="shared" si="18"/>
        <v>0</v>
      </c>
      <c r="AR93" s="4"/>
      <c r="AS93" s="4"/>
      <c r="AT93" s="4"/>
    </row>
    <row r="94" spans="1:46" x14ac:dyDescent="0.15">
      <c r="A94" s="36">
        <v>41583</v>
      </c>
      <c r="B94" s="4" t="s">
        <v>855</v>
      </c>
      <c r="C94" s="4" t="s">
        <v>390</v>
      </c>
      <c r="D94" s="4" t="s">
        <v>391</v>
      </c>
      <c r="E94" s="4" t="s">
        <v>0</v>
      </c>
      <c r="F94" s="4" t="s">
        <v>392</v>
      </c>
      <c r="G94" s="4" t="s">
        <v>372</v>
      </c>
      <c r="H94" s="4" t="s">
        <v>243</v>
      </c>
      <c r="I94" s="4" t="s">
        <v>89</v>
      </c>
      <c r="J94" s="4" t="s">
        <v>88</v>
      </c>
      <c r="K94" s="4" t="s">
        <v>13</v>
      </c>
      <c r="L94" s="4"/>
      <c r="M94" s="4">
        <v>76467</v>
      </c>
      <c r="N94" s="4">
        <v>479</v>
      </c>
      <c r="O94" s="4"/>
      <c r="P94" s="4"/>
      <c r="Q94" s="5" t="s">
        <v>393</v>
      </c>
      <c r="R94" s="45">
        <v>41657</v>
      </c>
      <c r="S94" s="4">
        <v>23</v>
      </c>
      <c r="T94" s="4"/>
      <c r="U94" s="4" t="s">
        <v>394</v>
      </c>
      <c r="V94" s="6">
        <v>3.5999999999999997E-2</v>
      </c>
      <c r="W94" s="4">
        <f t="shared" si="30"/>
        <v>2770.0559999999996</v>
      </c>
      <c r="X94" s="4">
        <f>2753</f>
        <v>2753</v>
      </c>
      <c r="Y94" s="4">
        <f>2753</f>
        <v>2753</v>
      </c>
      <c r="Z94" s="4">
        <f>W94-Y94</f>
        <v>17.055999999999585</v>
      </c>
      <c r="AA94" s="4">
        <f>54000+22946</f>
        <v>76946</v>
      </c>
      <c r="AB94" s="4">
        <f>76946</f>
        <v>76946</v>
      </c>
      <c r="AC94" s="4">
        <f>54000</f>
        <v>54000</v>
      </c>
      <c r="AD94" s="4">
        <f>54000</f>
        <v>54000</v>
      </c>
      <c r="AE94" s="6">
        <f t="shared" si="12"/>
        <v>0.70179086632183607</v>
      </c>
      <c r="AF94" s="4">
        <f>50000</f>
        <v>50000</v>
      </c>
      <c r="AG94" s="4">
        <f>50000</f>
        <v>50000</v>
      </c>
      <c r="AH94" s="4">
        <f>1836+50000+780</f>
        <v>52616</v>
      </c>
      <c r="AI94" s="4"/>
      <c r="AJ94" s="4"/>
      <c r="AK94" s="4"/>
      <c r="AL94" s="4">
        <f>52616</f>
        <v>52616</v>
      </c>
      <c r="AM94" s="6">
        <v>3.4000000000000002E-2</v>
      </c>
      <c r="AN94" s="6">
        <f t="shared" si="29"/>
        <v>2616.1640000000002</v>
      </c>
      <c r="AO94" s="4">
        <f>1836+780</f>
        <v>2616</v>
      </c>
      <c r="AP94" s="4">
        <f>2616</f>
        <v>2616</v>
      </c>
      <c r="AQ94" s="4">
        <v>0</v>
      </c>
      <c r="AR94" s="4"/>
      <c r="AS94" s="4"/>
      <c r="AT94" s="4"/>
    </row>
    <row r="95" spans="1:46" x14ac:dyDescent="0.15">
      <c r="A95" s="36">
        <v>41592</v>
      </c>
      <c r="B95" s="4" t="s">
        <v>856</v>
      </c>
      <c r="C95" s="4" t="s">
        <v>507</v>
      </c>
      <c r="D95" s="4" t="s">
        <v>511</v>
      </c>
      <c r="E95" s="4" t="s">
        <v>0</v>
      </c>
      <c r="F95" s="4" t="s">
        <v>512</v>
      </c>
      <c r="G95" s="4" t="s">
        <v>513</v>
      </c>
      <c r="H95" s="4" t="s">
        <v>152</v>
      </c>
      <c r="I95" s="12" t="s">
        <v>150</v>
      </c>
      <c r="J95" s="12" t="s">
        <v>152</v>
      </c>
      <c r="K95" s="4" t="s">
        <v>5</v>
      </c>
      <c r="L95" s="4"/>
      <c r="M95" s="4">
        <v>3058486</v>
      </c>
      <c r="N95" s="4"/>
      <c r="O95" s="4"/>
      <c r="P95" s="4"/>
      <c r="Q95" s="5" t="s">
        <v>514</v>
      </c>
      <c r="R95" s="45">
        <v>41596</v>
      </c>
      <c r="S95" s="4">
        <v>918</v>
      </c>
      <c r="T95" s="4"/>
      <c r="U95" s="4" t="s">
        <v>14</v>
      </c>
      <c r="V95" s="6">
        <v>3.5999999999999997E-2</v>
      </c>
      <c r="W95" s="4">
        <f t="shared" si="30"/>
        <v>110105.49599999998</v>
      </c>
      <c r="X95" s="4">
        <f>110105.36</f>
        <v>110105.36</v>
      </c>
      <c r="Y95" s="4">
        <f>110105.36</f>
        <v>110105.36</v>
      </c>
      <c r="Z95" s="4">
        <v>0</v>
      </c>
      <c r="AA95" s="4">
        <f>2140940.2</f>
        <v>2140940.2000000002</v>
      </c>
      <c r="AB95" s="4">
        <f>2140940.2</f>
        <v>2140940.2000000002</v>
      </c>
      <c r="AC95" s="4">
        <f>2140940.2</f>
        <v>2140940.2000000002</v>
      </c>
      <c r="AD95" s="4">
        <f>2140940.2</f>
        <v>2140940.2000000002</v>
      </c>
      <c r="AE95" s="6">
        <f t="shared" si="12"/>
        <v>0.70000000000000007</v>
      </c>
      <c r="AF95" s="4">
        <f>662597.44+76520+217382+144519+3713.5+549993.7+19281+101637+180000</f>
        <v>1955643.64</v>
      </c>
      <c r="AG95" s="4">
        <f>1955643.64</f>
        <v>1955643.64</v>
      </c>
      <c r="AH95" s="4">
        <f>662597.44+3670+147171.03+217387+144519+549993.7+17074+100000+180000</f>
        <v>2022412.17</v>
      </c>
      <c r="AI95" s="4">
        <f>714</f>
        <v>714</v>
      </c>
      <c r="AJ95" s="4">
        <f>2016.5+500+500</f>
        <v>3016.5</v>
      </c>
      <c r="AK95" s="4">
        <f>983+1137+1181+526</f>
        <v>3827</v>
      </c>
      <c r="AL95" s="4">
        <f>2022412.17+714+3016.5+3827</f>
        <v>2029969.67</v>
      </c>
      <c r="AM95" s="6"/>
      <c r="AN95" s="6">
        <f t="shared" ref="AN95:AN102" si="31">AM95*AB95</f>
        <v>0</v>
      </c>
      <c r="AO95" s="4"/>
      <c r="AP95" s="4"/>
      <c r="AQ95" s="4"/>
      <c r="AR95" s="4"/>
      <c r="AS95" s="4">
        <v>30</v>
      </c>
      <c r="AT95" s="4" t="s">
        <v>489</v>
      </c>
    </row>
    <row r="96" spans="1:46" x14ac:dyDescent="0.15">
      <c r="A96" s="36">
        <v>41596</v>
      </c>
      <c r="B96" s="4" t="s">
        <v>857</v>
      </c>
      <c r="C96" s="4" t="s">
        <v>508</v>
      </c>
      <c r="D96" s="4" t="s">
        <v>515</v>
      </c>
      <c r="E96" s="4" t="s">
        <v>0</v>
      </c>
      <c r="F96" s="4" t="s">
        <v>516</v>
      </c>
      <c r="G96" s="4" t="s">
        <v>492</v>
      </c>
      <c r="H96" s="4" t="s">
        <v>243</v>
      </c>
      <c r="I96" s="8" t="s">
        <v>89</v>
      </c>
      <c r="J96" s="8" t="s">
        <v>88</v>
      </c>
      <c r="K96" s="8" t="s">
        <v>13</v>
      </c>
      <c r="L96" s="4"/>
      <c r="M96" s="4">
        <v>12067070</v>
      </c>
      <c r="N96" s="4"/>
      <c r="O96" s="4"/>
      <c r="P96" s="4"/>
      <c r="Q96" s="5" t="s">
        <v>517</v>
      </c>
      <c r="R96" s="45">
        <v>41795</v>
      </c>
      <c r="S96" s="4">
        <v>3621</v>
      </c>
      <c r="T96" s="4"/>
      <c r="U96" s="4" t="s">
        <v>518</v>
      </c>
      <c r="V96" s="6">
        <v>0.03</v>
      </c>
      <c r="W96" s="4">
        <f t="shared" si="30"/>
        <v>362012.1</v>
      </c>
      <c r="X96" s="4"/>
      <c r="Y96" s="4"/>
      <c r="Z96" s="4">
        <f>W96-Y96</f>
        <v>362012.1</v>
      </c>
      <c r="AA96" s="4"/>
      <c r="AB96" s="4"/>
      <c r="AC96" s="4"/>
      <c r="AD96" s="4"/>
      <c r="AE96" s="6">
        <f t="shared" si="12"/>
        <v>0</v>
      </c>
      <c r="AF96" s="4"/>
      <c r="AG96" s="4"/>
      <c r="AH96" s="4"/>
      <c r="AI96" s="4"/>
      <c r="AJ96" s="4"/>
      <c r="AK96" s="4"/>
      <c r="AL96" s="4"/>
      <c r="AM96" s="6">
        <v>3.4000000000000002E-2</v>
      </c>
      <c r="AN96" s="6">
        <f t="shared" si="31"/>
        <v>0</v>
      </c>
      <c r="AO96" s="4"/>
      <c r="AP96" s="4"/>
      <c r="AQ96" s="4">
        <f>AN96-AP96</f>
        <v>0</v>
      </c>
      <c r="AR96" s="4"/>
      <c r="AS96" s="4">
        <v>140</v>
      </c>
      <c r="AT96" s="4" t="s">
        <v>519</v>
      </c>
    </row>
    <row r="97" spans="1:46" x14ac:dyDescent="0.15">
      <c r="A97" s="36">
        <v>41609</v>
      </c>
      <c r="B97" s="4" t="s">
        <v>858</v>
      </c>
      <c r="C97" s="4" t="s">
        <v>509</v>
      </c>
      <c r="D97" s="4" t="s">
        <v>520</v>
      </c>
      <c r="E97" s="4" t="s">
        <v>0</v>
      </c>
      <c r="F97" s="4" t="s">
        <v>521</v>
      </c>
      <c r="G97" s="4" t="s">
        <v>166</v>
      </c>
      <c r="H97" s="4" t="s">
        <v>167</v>
      </c>
      <c r="I97" s="4" t="s">
        <v>168</v>
      </c>
      <c r="J97" s="4" t="s">
        <v>167</v>
      </c>
      <c r="K97" s="4" t="s">
        <v>5</v>
      </c>
      <c r="L97" s="4"/>
      <c r="M97" s="4">
        <v>11000000</v>
      </c>
      <c r="N97" s="4"/>
      <c r="O97" s="4"/>
      <c r="P97" s="4"/>
      <c r="Q97" s="5" t="s">
        <v>522</v>
      </c>
      <c r="R97" s="45">
        <v>41614</v>
      </c>
      <c r="S97" s="4">
        <v>3300</v>
      </c>
      <c r="T97" s="4"/>
      <c r="U97" s="4" t="s">
        <v>518</v>
      </c>
      <c r="V97" s="6">
        <v>0.03</v>
      </c>
      <c r="W97" s="4">
        <f t="shared" si="30"/>
        <v>330000</v>
      </c>
      <c r="X97" s="4">
        <f>330000</f>
        <v>330000</v>
      </c>
      <c r="Y97" s="4">
        <f>330000</f>
        <v>330000</v>
      </c>
      <c r="Z97" s="4">
        <v>0</v>
      </c>
      <c r="AA97" s="4">
        <f>500000+2000000+2000000+1000000</f>
        <v>5500000</v>
      </c>
      <c r="AB97" s="4">
        <f>5500000</f>
        <v>5500000</v>
      </c>
      <c r="AC97" s="4">
        <f>500000+1000000+500000+2000000+1000000</f>
        <v>5000000</v>
      </c>
      <c r="AD97" s="4">
        <f>5000000</f>
        <v>5000000</v>
      </c>
      <c r="AE97" s="6">
        <f t="shared" si="12"/>
        <v>0.45454545454545453</v>
      </c>
      <c r="AF97" s="4">
        <f>480000+900000+420000+1000000+500000+150000+400000+500000+250000+80000</f>
        <v>4680000</v>
      </c>
      <c r="AG97" s="4">
        <f>4680000</f>
        <v>4680000</v>
      </c>
      <c r="AH97" s="4">
        <f>480000+900000+470000+1000000+500000+150000+484750+601700+250000+80000</f>
        <v>4916450</v>
      </c>
      <c r="AI97" s="4"/>
      <c r="AJ97" s="4"/>
      <c r="AK97" s="4"/>
      <c r="AL97" s="4">
        <f>4916450</f>
        <v>4916450</v>
      </c>
      <c r="AM97" s="6"/>
      <c r="AN97" s="6">
        <f t="shared" si="31"/>
        <v>0</v>
      </c>
      <c r="AO97" s="4"/>
      <c r="AP97" s="4"/>
      <c r="AQ97" s="4">
        <f t="shared" ref="AQ97:AQ98" si="32">AN97-AP97</f>
        <v>0</v>
      </c>
      <c r="AR97" s="4"/>
      <c r="AS97" s="4">
        <v>120</v>
      </c>
      <c r="AT97" s="4" t="s">
        <v>523</v>
      </c>
    </row>
    <row r="98" spans="1:46" x14ac:dyDescent="0.15">
      <c r="A98" s="36">
        <v>41609</v>
      </c>
      <c r="B98" s="4" t="s">
        <v>859</v>
      </c>
      <c r="C98" s="4" t="s">
        <v>510</v>
      </c>
      <c r="D98" s="4" t="s">
        <v>524</v>
      </c>
      <c r="E98" s="4" t="s">
        <v>0</v>
      </c>
      <c r="F98" s="4" t="s">
        <v>61</v>
      </c>
      <c r="G98" s="4" t="s">
        <v>492</v>
      </c>
      <c r="H98" s="4" t="s">
        <v>329</v>
      </c>
      <c r="I98" s="4" t="s">
        <v>330</v>
      </c>
      <c r="J98" s="4" t="s">
        <v>329</v>
      </c>
      <c r="K98" s="4" t="s">
        <v>36</v>
      </c>
      <c r="L98" s="4"/>
      <c r="M98" s="4">
        <v>924545</v>
      </c>
      <c r="N98" s="4"/>
      <c r="O98" s="4"/>
      <c r="P98" s="4"/>
      <c r="Q98" s="5" t="s">
        <v>525</v>
      </c>
      <c r="R98" s="45">
        <v>41625</v>
      </c>
      <c r="S98" s="4">
        <v>278</v>
      </c>
      <c r="T98" s="4"/>
      <c r="U98" s="4" t="s">
        <v>518</v>
      </c>
      <c r="V98" s="6">
        <v>0.03</v>
      </c>
      <c r="W98" s="4">
        <f t="shared" si="30"/>
        <v>27736.35</v>
      </c>
      <c r="X98" s="4">
        <f>2200</f>
        <v>2200</v>
      </c>
      <c r="Y98" s="4">
        <f>2200</f>
        <v>2200</v>
      </c>
      <c r="Z98" s="4">
        <f>W98-Y98</f>
        <v>25536.35</v>
      </c>
      <c r="AA98" s="4">
        <f>300000</f>
        <v>300000</v>
      </c>
      <c r="AB98" s="4">
        <f>300000</f>
        <v>300000</v>
      </c>
      <c r="AC98" s="4">
        <f>300000</f>
        <v>300000</v>
      </c>
      <c r="AD98" s="4">
        <f>300000</f>
        <v>300000</v>
      </c>
      <c r="AE98" s="6">
        <f t="shared" si="12"/>
        <v>0.32448393534116782</v>
      </c>
      <c r="AF98" s="4">
        <f>200000+2490</f>
        <v>202490</v>
      </c>
      <c r="AG98" s="4">
        <f>202490</f>
        <v>202490</v>
      </c>
      <c r="AH98" s="4">
        <f>10200+200000+9122.49</f>
        <v>219322.49</v>
      </c>
      <c r="AI98" s="4"/>
      <c r="AJ98" s="4"/>
      <c r="AK98" s="4">
        <v>2490</v>
      </c>
      <c r="AL98" s="4">
        <f>219322.49+2490</f>
        <v>221812.49</v>
      </c>
      <c r="AM98" s="6">
        <v>3.4000000000000002E-2</v>
      </c>
      <c r="AN98" s="6">
        <f t="shared" si="31"/>
        <v>10200</v>
      </c>
      <c r="AO98" s="4">
        <f>10200</f>
        <v>10200</v>
      </c>
      <c r="AP98" s="4">
        <f>10200</f>
        <v>10200</v>
      </c>
      <c r="AQ98" s="4">
        <f t="shared" si="32"/>
        <v>0</v>
      </c>
      <c r="AR98" s="4"/>
      <c r="AS98" s="4">
        <v>7</v>
      </c>
      <c r="AT98" s="4" t="s">
        <v>527</v>
      </c>
    </row>
    <row r="99" spans="1:46" x14ac:dyDescent="0.15">
      <c r="A99" s="36">
        <v>41618</v>
      </c>
      <c r="B99" s="4" t="s">
        <v>860</v>
      </c>
      <c r="C99" s="4" t="s">
        <v>20</v>
      </c>
      <c r="D99" s="4" t="s">
        <v>47</v>
      </c>
      <c r="E99" s="4" t="s">
        <v>0</v>
      </c>
      <c r="F99" s="4" t="s">
        <v>15</v>
      </c>
      <c r="G99" s="4" t="s">
        <v>16</v>
      </c>
      <c r="H99" s="4" t="s">
        <v>17</v>
      </c>
      <c r="I99" s="4" t="s">
        <v>18</v>
      </c>
      <c r="J99" s="4" t="s">
        <v>19</v>
      </c>
      <c r="K99" s="4" t="s">
        <v>5</v>
      </c>
      <c r="L99" s="4"/>
      <c r="M99" s="4">
        <v>19413696.16</v>
      </c>
      <c r="N99" s="4"/>
      <c r="O99" s="4"/>
      <c r="P99" s="4"/>
      <c r="Q99" s="5" t="s">
        <v>526</v>
      </c>
      <c r="R99" s="45">
        <v>41739</v>
      </c>
      <c r="S99" s="4">
        <v>5825</v>
      </c>
      <c r="T99" s="4"/>
      <c r="U99" s="4" t="s">
        <v>7</v>
      </c>
      <c r="V99" s="6">
        <v>0.03</v>
      </c>
      <c r="W99" s="4">
        <f t="shared" si="28"/>
        <v>582410.8848</v>
      </c>
      <c r="X99" s="4">
        <f>300000+282411</f>
        <v>582411</v>
      </c>
      <c r="Y99" s="4">
        <f>582411</f>
        <v>582411</v>
      </c>
      <c r="Z99" s="4">
        <v>0</v>
      </c>
      <c r="AA99" s="4">
        <f>7525280+3885465</f>
        <v>11410745</v>
      </c>
      <c r="AB99" s="4">
        <f>11410745</f>
        <v>11410745</v>
      </c>
      <c r="AC99" s="4">
        <f>5390000+2790000+4140000</f>
        <v>12320000</v>
      </c>
      <c r="AD99" s="4">
        <f>12320000</f>
        <v>12320000</v>
      </c>
      <c r="AE99" s="6">
        <f t="shared" si="12"/>
        <v>0.63460352415446475</v>
      </c>
      <c r="AF99" s="4">
        <f>4920213+2600000+3958215.55</f>
        <v>11478428.550000001</v>
      </c>
      <c r="AG99" s="4">
        <f>11478428.55</f>
        <v>11478428.550000001</v>
      </c>
      <c r="AH99" s="4">
        <f>4920213+2600000+3958215.55</f>
        <v>11478428.550000001</v>
      </c>
      <c r="AI99" s="4"/>
      <c r="AJ99" s="4"/>
      <c r="AK99" s="4"/>
      <c r="AL99" s="4">
        <f>11478428.55</f>
        <v>11478428.550000001</v>
      </c>
      <c r="AM99" s="6"/>
      <c r="AN99" s="6"/>
      <c r="AO99" s="4"/>
      <c r="AP99" s="4"/>
      <c r="AQ99" s="4">
        <f t="shared" si="18"/>
        <v>0</v>
      </c>
      <c r="AR99" s="4"/>
      <c r="AS99" s="4"/>
      <c r="AT99" s="4"/>
    </row>
    <row r="100" spans="1:46" x14ac:dyDescent="0.15">
      <c r="A100" s="36">
        <v>41626</v>
      </c>
      <c r="B100" s="4" t="s">
        <v>861</v>
      </c>
      <c r="C100" s="4" t="s">
        <v>528</v>
      </c>
      <c r="D100" s="4" t="s">
        <v>531</v>
      </c>
      <c r="E100" s="4" t="s">
        <v>0</v>
      </c>
      <c r="F100" s="4" t="s">
        <v>532</v>
      </c>
      <c r="G100" s="4"/>
      <c r="H100" s="4" t="s">
        <v>180</v>
      </c>
      <c r="I100" s="4" t="s">
        <v>181</v>
      </c>
      <c r="J100" s="4" t="s">
        <v>182</v>
      </c>
      <c r="K100" s="4"/>
      <c r="L100" s="4"/>
      <c r="M100" s="4">
        <v>8060000</v>
      </c>
      <c r="N100" s="4"/>
      <c r="O100" s="4"/>
      <c r="P100" s="4"/>
      <c r="Q100" s="5"/>
      <c r="R100" s="45"/>
      <c r="S100" s="4"/>
      <c r="T100" s="4"/>
      <c r="U100" s="4" t="s">
        <v>7</v>
      </c>
      <c r="V100" s="6">
        <v>0.03</v>
      </c>
      <c r="W100" s="4">
        <f t="shared" si="28"/>
        <v>241800</v>
      </c>
      <c r="X100" s="4">
        <f>241800</f>
        <v>241800</v>
      </c>
      <c r="Y100" s="4">
        <f>241800</f>
        <v>241800</v>
      </c>
      <c r="Z100" s="4">
        <f>W100-Y100</f>
        <v>0</v>
      </c>
      <c r="AA100" s="4"/>
      <c r="AB100" s="4"/>
      <c r="AC100" s="4">
        <f>3057158</f>
        <v>3057158</v>
      </c>
      <c r="AD100" s="4">
        <f>3057158</f>
        <v>3057158</v>
      </c>
      <c r="AE100" s="6">
        <f t="shared" si="12"/>
        <v>0.37930000000000003</v>
      </c>
      <c r="AF100" s="4">
        <f>1710000+606500+100000+29500+259096.52+60000</f>
        <v>2765096.52</v>
      </c>
      <c r="AG100" s="4">
        <f>2765096.52</f>
        <v>2765096.52</v>
      </c>
      <c r="AH100" s="4">
        <f>1710000+606500+100000+29500+259096.52+60000</f>
        <v>2765096.52</v>
      </c>
      <c r="AI100" s="4"/>
      <c r="AJ100" s="4"/>
      <c r="AK100" s="4"/>
      <c r="AL100" s="4">
        <f>2765096.52</f>
        <v>2765096.52</v>
      </c>
      <c r="AM100" s="6"/>
      <c r="AN100" s="6"/>
      <c r="AO100" s="4"/>
      <c r="AP100" s="4"/>
      <c r="AQ100" s="4">
        <f t="shared" si="18"/>
        <v>0</v>
      </c>
      <c r="AR100" s="4"/>
      <c r="AS100" s="4">
        <v>104</v>
      </c>
      <c r="AT100" s="4" t="s">
        <v>500</v>
      </c>
    </row>
    <row r="101" spans="1:46" x14ac:dyDescent="0.15">
      <c r="A101" s="36">
        <v>41626</v>
      </c>
      <c r="B101" s="4" t="s">
        <v>862</v>
      </c>
      <c r="C101" s="4" t="s">
        <v>529</v>
      </c>
      <c r="D101" s="4" t="s">
        <v>533</v>
      </c>
      <c r="E101" s="4" t="s">
        <v>0</v>
      </c>
      <c r="F101" s="4" t="s">
        <v>534</v>
      </c>
      <c r="G101" s="4" t="s">
        <v>492</v>
      </c>
      <c r="H101" s="4" t="s">
        <v>152</v>
      </c>
      <c r="I101" s="12" t="s">
        <v>150</v>
      </c>
      <c r="J101" s="12" t="s">
        <v>152</v>
      </c>
      <c r="K101" s="4" t="s">
        <v>535</v>
      </c>
      <c r="L101" s="4"/>
      <c r="M101" s="4">
        <v>229276</v>
      </c>
      <c r="N101" s="4"/>
      <c r="O101" s="4"/>
      <c r="P101" s="4"/>
      <c r="Q101" s="5" t="s">
        <v>536</v>
      </c>
      <c r="R101" s="45">
        <v>41782</v>
      </c>
      <c r="S101" s="4">
        <v>69</v>
      </c>
      <c r="T101" s="4"/>
      <c r="U101" s="4" t="s">
        <v>537</v>
      </c>
      <c r="V101" s="6">
        <v>0.03</v>
      </c>
      <c r="W101" s="4">
        <f t="shared" si="28"/>
        <v>6878.28</v>
      </c>
      <c r="X101" s="4"/>
      <c r="Y101" s="4"/>
      <c r="Z101" s="4">
        <f t="shared" ref="Z101:Z102" si="33">W101-Y101</f>
        <v>6878.28</v>
      </c>
      <c r="AA101" s="4">
        <f>91710.76</f>
        <v>91710.76</v>
      </c>
      <c r="AB101" s="4">
        <f>91710.76</f>
        <v>91710.76</v>
      </c>
      <c r="AC101" s="4">
        <f>91710.76</f>
        <v>91710.76</v>
      </c>
      <c r="AD101" s="4">
        <f>91710.76</f>
        <v>91710.76</v>
      </c>
      <c r="AE101" s="6">
        <f t="shared" si="12"/>
        <v>0.40000157015998183</v>
      </c>
      <c r="AF101" s="4">
        <f>61818+1350+299-3118</f>
        <v>60349</v>
      </c>
      <c r="AG101" s="4">
        <f>60349</f>
        <v>60349</v>
      </c>
      <c r="AH101" s="4">
        <f>61818+1350+2990</f>
        <v>66158</v>
      </c>
      <c r="AI101" s="4"/>
      <c r="AJ101" s="4"/>
      <c r="AK101" s="4"/>
      <c r="AL101" s="4">
        <f>66158</f>
        <v>66158</v>
      </c>
      <c r="AM101" s="6">
        <v>3.4000000000000002E-2</v>
      </c>
      <c r="AN101" s="6">
        <f t="shared" si="31"/>
        <v>3118.1658400000001</v>
      </c>
      <c r="AO101" s="4">
        <f>3118</f>
        <v>3118</v>
      </c>
      <c r="AP101" s="4">
        <f>3118</f>
        <v>3118</v>
      </c>
      <c r="AQ101" s="4">
        <v>0</v>
      </c>
      <c r="AR101" s="4"/>
      <c r="AS101" s="4">
        <v>2</v>
      </c>
      <c r="AT101" s="4" t="s">
        <v>489</v>
      </c>
    </row>
    <row r="102" spans="1:46" x14ac:dyDescent="0.15">
      <c r="A102" s="36">
        <v>41628</v>
      </c>
      <c r="B102" s="4" t="s">
        <v>863</v>
      </c>
      <c r="C102" s="4" t="s">
        <v>530</v>
      </c>
      <c r="D102" s="4" t="s">
        <v>538</v>
      </c>
      <c r="E102" s="4" t="s">
        <v>0</v>
      </c>
      <c r="F102" s="4" t="s">
        <v>539</v>
      </c>
      <c r="G102" s="4" t="s">
        <v>492</v>
      </c>
      <c r="H102" s="4" t="s">
        <v>540</v>
      </c>
      <c r="I102" s="4" t="s">
        <v>256</v>
      </c>
      <c r="J102" s="4" t="s">
        <v>257</v>
      </c>
      <c r="K102" s="4" t="s">
        <v>176</v>
      </c>
      <c r="L102" s="4"/>
      <c r="M102" s="4">
        <v>330000</v>
      </c>
      <c r="N102" s="4"/>
      <c r="O102" s="4"/>
      <c r="P102" s="4"/>
      <c r="Q102" s="5" t="s">
        <v>541</v>
      </c>
      <c r="R102" s="45">
        <v>41633</v>
      </c>
      <c r="S102" s="4">
        <v>99</v>
      </c>
      <c r="T102" s="4"/>
      <c r="U102" s="4" t="s">
        <v>537</v>
      </c>
      <c r="V102" s="6">
        <v>3.5999999999999997E-2</v>
      </c>
      <c r="W102" s="4">
        <f t="shared" si="28"/>
        <v>11880</v>
      </c>
      <c r="X102" s="4">
        <f>3405.5</f>
        <v>3405.5</v>
      </c>
      <c r="Y102" s="4">
        <f>3405.5</f>
        <v>3405.5</v>
      </c>
      <c r="Z102" s="4">
        <f t="shared" si="33"/>
        <v>8474.5</v>
      </c>
      <c r="AA102" s="4">
        <f>180000</f>
        <v>180000</v>
      </c>
      <c r="AB102" s="4">
        <f>180000</f>
        <v>180000</v>
      </c>
      <c r="AC102" s="4">
        <f>180000</f>
        <v>180000</v>
      </c>
      <c r="AD102" s="4">
        <f>180000</f>
        <v>180000</v>
      </c>
      <c r="AE102" s="6">
        <f t="shared" si="12"/>
        <v>0.54545454545454541</v>
      </c>
      <c r="AF102" s="4">
        <f>720+170000</f>
        <v>170720</v>
      </c>
      <c r="AG102" s="4">
        <f>170720</f>
        <v>170720</v>
      </c>
      <c r="AH102" s="4">
        <v>176120</v>
      </c>
      <c r="AI102" s="4"/>
      <c r="AJ102" s="4">
        <v>720</v>
      </c>
      <c r="AK102" s="4"/>
      <c r="AL102" s="4">
        <f>176120+720</f>
        <v>176840</v>
      </c>
      <c r="AM102" s="6">
        <v>3.4000000000000002E-2</v>
      </c>
      <c r="AN102" s="6">
        <f t="shared" si="31"/>
        <v>6120</v>
      </c>
      <c r="AO102" s="4">
        <f>6120</f>
        <v>6120</v>
      </c>
      <c r="AP102" s="4">
        <f>6120</f>
        <v>6120</v>
      </c>
      <c r="AQ102" s="4">
        <v>0</v>
      </c>
      <c r="AR102" s="4"/>
      <c r="AS102" s="4">
        <v>5</v>
      </c>
      <c r="AT102" s="4" t="s">
        <v>523</v>
      </c>
    </row>
    <row r="103" spans="1:46" x14ac:dyDescent="0.15">
      <c r="A103" s="36">
        <v>41640</v>
      </c>
      <c r="B103" s="4" t="s">
        <v>864</v>
      </c>
      <c r="C103" s="4" t="s">
        <v>6</v>
      </c>
      <c r="D103" s="4" t="s">
        <v>48</v>
      </c>
      <c r="E103" s="4" t="s">
        <v>0</v>
      </c>
      <c r="F103" s="4" t="s">
        <v>1</v>
      </c>
      <c r="G103" s="4" t="s">
        <v>2</v>
      </c>
      <c r="H103" s="4" t="s">
        <v>3</v>
      </c>
      <c r="I103" s="4" t="s">
        <v>4</v>
      </c>
      <c r="J103" s="4" t="s">
        <v>3</v>
      </c>
      <c r="K103" s="4" t="s">
        <v>5</v>
      </c>
      <c r="L103" s="4"/>
      <c r="M103" s="4">
        <v>61225227</v>
      </c>
      <c r="N103" s="4"/>
      <c r="O103" s="4"/>
      <c r="P103" s="4"/>
      <c r="Q103" s="5">
        <v>1251022</v>
      </c>
      <c r="R103" s="45">
        <v>41697</v>
      </c>
      <c r="S103" s="4">
        <v>18368</v>
      </c>
      <c r="T103" s="4"/>
      <c r="U103" s="4" t="s">
        <v>7</v>
      </c>
      <c r="V103" s="6">
        <v>2.5000000000000001E-2</v>
      </c>
      <c r="W103" s="4">
        <f>M103*V103</f>
        <v>1530630.675</v>
      </c>
      <c r="X103" s="4">
        <v>790000</v>
      </c>
      <c r="Y103" s="4">
        <f>790000</f>
        <v>790000</v>
      </c>
      <c r="Z103" s="4">
        <f>W103-X103</f>
        <v>740630.67500000005</v>
      </c>
      <c r="AA103" s="4">
        <f>8100136.9+20024819.28</f>
        <v>28124956.18</v>
      </c>
      <c r="AB103" s="4">
        <f>28124956.18</f>
        <v>28124956.18</v>
      </c>
      <c r="AC103" s="4">
        <f>5670095.83+14017373.5</f>
        <v>19687469.329999998</v>
      </c>
      <c r="AD103" s="4">
        <f>19687469.33</f>
        <v>19687469.329999998</v>
      </c>
      <c r="AE103" s="6">
        <f t="shared" si="12"/>
        <v>0.32155812717525734</v>
      </c>
      <c r="AF103" s="4">
        <f>1236545.96+390000+1870800+41420+1031680+900000+4417606.38+107690.06+4701758.88</f>
        <v>14697501.280000001</v>
      </c>
      <c r="AG103" s="4">
        <f>9995742.4+4701758.88</f>
        <v>14697501.280000001</v>
      </c>
      <c r="AH103" s="4">
        <f>230000+1236545.96+390000+1870800+403420+700000+1597310.2+642854.78+900000+307403.7+4689770.98+107690.06+4701758.88</f>
        <v>17777554.560000002</v>
      </c>
      <c r="AI103" s="4"/>
      <c r="AJ103" s="4"/>
      <c r="AK103" s="4"/>
      <c r="AL103" s="4">
        <f>13075795.68+4701758.88</f>
        <v>17777554.559999999</v>
      </c>
      <c r="AM103" s="6">
        <v>3.56E-2</v>
      </c>
      <c r="AN103" s="6">
        <f t="shared" ref="AN103:AN130" si="34">AM103*AB103</f>
        <v>1001248.440008</v>
      </c>
      <c r="AO103" s="4"/>
      <c r="AP103" s="4"/>
      <c r="AQ103" s="4"/>
      <c r="AR103" s="4"/>
      <c r="AS103" s="4"/>
      <c r="AT103" s="4" t="s">
        <v>8</v>
      </c>
    </row>
    <row r="104" spans="1:46" x14ac:dyDescent="0.15">
      <c r="A104" s="36">
        <v>41640</v>
      </c>
      <c r="B104" s="4" t="s">
        <v>865</v>
      </c>
      <c r="C104" s="4" t="s">
        <v>66</v>
      </c>
      <c r="D104" s="4" t="s">
        <v>119</v>
      </c>
      <c r="E104" s="4" t="s">
        <v>0</v>
      </c>
      <c r="F104" s="4" t="s">
        <v>120</v>
      </c>
      <c r="G104" s="4" t="s">
        <v>53</v>
      </c>
      <c r="H104" s="4" t="s">
        <v>121</v>
      </c>
      <c r="I104" s="4" t="s">
        <v>122</v>
      </c>
      <c r="J104" s="4" t="s">
        <v>121</v>
      </c>
      <c r="K104" s="4" t="s">
        <v>41</v>
      </c>
      <c r="L104" s="4"/>
      <c r="M104" s="4">
        <v>14355608.07</v>
      </c>
      <c r="N104" s="4"/>
      <c r="O104" s="4"/>
      <c r="P104" s="4"/>
      <c r="Q104" s="5" t="s">
        <v>140</v>
      </c>
      <c r="R104" s="45">
        <v>41703</v>
      </c>
      <c r="S104" s="4">
        <v>4307</v>
      </c>
      <c r="T104" s="4"/>
      <c r="U104" s="4" t="s">
        <v>7</v>
      </c>
      <c r="V104" s="6">
        <v>3.2000000000000001E-2</v>
      </c>
      <c r="W104" s="4">
        <f t="shared" ref="W104:W106" si="35">M104*V104</f>
        <v>459379.45824000001</v>
      </c>
      <c r="X104" s="4">
        <v>459379</v>
      </c>
      <c r="Y104" s="4">
        <v>459379</v>
      </c>
      <c r="Z104" s="4">
        <v>0</v>
      </c>
      <c r="AA104" s="4">
        <f>4306682+4593794.58+1866229</f>
        <v>10766705.58</v>
      </c>
      <c r="AB104" s="4">
        <v>10766705.58</v>
      </c>
      <c r="AC104" s="4">
        <f>4306682+4593794.58+1866229</f>
        <v>10766705.58</v>
      </c>
      <c r="AD104" s="4">
        <f>10766705.58</f>
        <v>10766705.58</v>
      </c>
      <c r="AE104" s="6">
        <f t="shared" si="12"/>
        <v>0.74999996708603367</v>
      </c>
      <c r="AF104" s="4">
        <f>200000+779000+732276.6+30310+600000+200000+500000+300000+650079.1+240100+1700000+495000+250000+300000+1063073.9-20000+217397.29</f>
        <v>8237236.8899999997</v>
      </c>
      <c r="AG104" s="4">
        <f>8019839.6+217397.29</f>
        <v>8237236.8899999997</v>
      </c>
      <c r="AH104" s="4">
        <f>996427+214355+779000+732276.6+30310+600000+50000+356189+500000+300000+650079.1+240100+1700000+495000+20000+467459.35+313452+300000+1063073.9-20000+217397.29</f>
        <v>10005119.239999998</v>
      </c>
      <c r="AI104" s="4"/>
      <c r="AJ104" s="4"/>
      <c r="AK104" s="4"/>
      <c r="AL104" s="4">
        <f>9787721.95+217397.29</f>
        <v>10005119.239999998</v>
      </c>
      <c r="AM104" s="6">
        <v>3.4000000000000002E-2</v>
      </c>
      <c r="AN104" s="6">
        <f t="shared" si="34"/>
        <v>366067.98972000001</v>
      </c>
      <c r="AO104" s="4">
        <f>146427+156189+63452</f>
        <v>366068</v>
      </c>
      <c r="AP104" s="4">
        <f>366068</f>
        <v>366068</v>
      </c>
      <c r="AQ104" s="4">
        <v>0</v>
      </c>
      <c r="AR104" s="4"/>
      <c r="AS104" s="4"/>
      <c r="AT104" s="4"/>
    </row>
    <row r="105" spans="1:46" x14ac:dyDescent="0.15">
      <c r="A105" s="36">
        <v>41640</v>
      </c>
      <c r="B105" s="4" t="s">
        <v>866</v>
      </c>
      <c r="C105" s="4" t="s">
        <v>112</v>
      </c>
      <c r="D105" s="4" t="s">
        <v>141</v>
      </c>
      <c r="E105" s="4" t="s">
        <v>0</v>
      </c>
      <c r="F105" s="4" t="s">
        <v>142</v>
      </c>
      <c r="G105" s="4" t="s">
        <v>53</v>
      </c>
      <c r="H105" s="4" t="s">
        <v>143</v>
      </c>
      <c r="I105" s="4"/>
      <c r="J105" s="4"/>
      <c r="K105" s="4"/>
      <c r="L105" s="4"/>
      <c r="M105" s="4"/>
      <c r="N105" s="4"/>
      <c r="O105" s="4"/>
      <c r="P105" s="4"/>
      <c r="Q105" s="5"/>
      <c r="R105" s="45"/>
      <c r="S105" s="4"/>
      <c r="T105" s="4"/>
      <c r="U105" s="4" t="s">
        <v>7</v>
      </c>
      <c r="V105" s="6"/>
      <c r="W105" s="4">
        <f t="shared" si="35"/>
        <v>0</v>
      </c>
      <c r="X105" s="4"/>
      <c r="Y105" s="4"/>
      <c r="Z105" s="4">
        <f t="shared" ref="Z105:Z106" si="36">W105-X105</f>
        <v>0</v>
      </c>
      <c r="AA105" s="4"/>
      <c r="AB105" s="4"/>
      <c r="AC105" s="4"/>
      <c r="AD105" s="4"/>
      <c r="AE105" s="6"/>
      <c r="AF105" s="4"/>
      <c r="AG105" s="4"/>
      <c r="AH105" s="4"/>
      <c r="AI105" s="4"/>
      <c r="AJ105" s="4"/>
      <c r="AK105" s="4"/>
      <c r="AL105" s="4"/>
      <c r="AM105" s="6"/>
      <c r="AN105" s="6">
        <f t="shared" si="34"/>
        <v>0</v>
      </c>
      <c r="AO105" s="4"/>
      <c r="AP105" s="4"/>
      <c r="AQ105" s="4"/>
      <c r="AR105" s="4"/>
      <c r="AS105" s="4"/>
      <c r="AT105" s="4"/>
    </row>
    <row r="106" spans="1:46" x14ac:dyDescent="0.15">
      <c r="A106" s="36">
        <v>41640</v>
      </c>
      <c r="B106" s="4" t="s">
        <v>867</v>
      </c>
      <c r="C106" s="4" t="s">
        <v>113</v>
      </c>
      <c r="D106" s="4" t="s">
        <v>114</v>
      </c>
      <c r="E106" s="4" t="s">
        <v>0</v>
      </c>
      <c r="F106" s="4" t="s">
        <v>115</v>
      </c>
      <c r="G106" s="4" t="s">
        <v>53</v>
      </c>
      <c r="H106" s="4" t="s">
        <v>116</v>
      </c>
      <c r="I106" s="4" t="s">
        <v>117</v>
      </c>
      <c r="J106" s="4" t="s">
        <v>118</v>
      </c>
      <c r="K106" s="4" t="s">
        <v>41</v>
      </c>
      <c r="L106" s="4"/>
      <c r="M106" s="4">
        <v>42615176.350000001</v>
      </c>
      <c r="N106" s="4"/>
      <c r="O106" s="4"/>
      <c r="P106" s="4"/>
      <c r="Q106" s="5"/>
      <c r="R106" s="45"/>
      <c r="S106" s="4"/>
      <c r="T106" s="4"/>
      <c r="U106" s="4" t="s">
        <v>7</v>
      </c>
      <c r="V106" s="6">
        <v>0.03</v>
      </c>
      <c r="W106" s="4">
        <f t="shared" si="35"/>
        <v>1278455.2904999999</v>
      </c>
      <c r="X106" s="4">
        <f>300000+200000+300000</f>
        <v>800000</v>
      </c>
      <c r="Y106" s="4">
        <f>800000</f>
        <v>800000</v>
      </c>
      <c r="Z106" s="4">
        <f t="shared" si="36"/>
        <v>478455.29049999989</v>
      </c>
      <c r="AA106" s="4">
        <f>2000000+1400000+3100000+3386113.5+8000000</f>
        <v>17886113.5</v>
      </c>
      <c r="AB106" s="4">
        <f>17886113.5</f>
        <v>17886113.5</v>
      </c>
      <c r="AC106" s="4">
        <f>2000000+2000000+1400000+1100000+3386113.5+8000000</f>
        <v>17886113.5</v>
      </c>
      <c r="AD106" s="4">
        <f>17886113.5</f>
        <v>17886113.5</v>
      </c>
      <c r="AE106" s="6">
        <f t="shared" si="12"/>
        <v>0.41971229575822228</v>
      </c>
      <c r="AF106" s="4">
        <f>1699998.5+50000+935000+571220+93000+400000+937451.2+300000+397471.4+520000+1738100+500000+700000+400000+100000+7248+4143449+1030000+1300000+400000</f>
        <v>16222938.100000001</v>
      </c>
      <c r="AG106" s="4">
        <f>15822938.1+400000</f>
        <v>16222938.1</v>
      </c>
      <c r="AH106" s="4">
        <f>1767998.5+152276.42+1088000-153000+571220+47600+93000+400000+937451.2+300000+70506+502871.4+520000+1853228+500000+700000+400000+100000+7248+4415449+1030000+1300000+400000</f>
        <v>17003848.52</v>
      </c>
      <c r="AI106" s="4"/>
      <c r="AJ106" s="4"/>
      <c r="AK106" s="4"/>
      <c r="AL106" s="4">
        <f>16603848.52+400000</f>
        <v>17003848.52</v>
      </c>
      <c r="AM106" s="6">
        <v>3.4000000000000002E-2</v>
      </c>
      <c r="AN106" s="6">
        <f t="shared" si="34"/>
        <v>608127.85900000005</v>
      </c>
      <c r="AO106" s="4">
        <f>68000+47600+105400+115128+272000</f>
        <v>608128</v>
      </c>
      <c r="AP106" s="4">
        <f>608128</f>
        <v>608128</v>
      </c>
      <c r="AQ106" s="4">
        <v>0</v>
      </c>
      <c r="AR106" s="4"/>
      <c r="AS106" s="4">
        <v>150</v>
      </c>
      <c r="AT106" s="4" t="s">
        <v>8</v>
      </c>
    </row>
    <row r="107" spans="1:46" x14ac:dyDescent="0.15">
      <c r="A107" s="36">
        <v>41699</v>
      </c>
      <c r="B107" s="4" t="s">
        <v>868</v>
      </c>
      <c r="C107" s="4" t="s">
        <v>67</v>
      </c>
      <c r="D107" s="4" t="s">
        <v>68</v>
      </c>
      <c r="E107" s="4" t="s">
        <v>0</v>
      </c>
      <c r="F107" s="4" t="s">
        <v>69</v>
      </c>
      <c r="G107" s="4" t="s">
        <v>53</v>
      </c>
      <c r="H107" s="4" t="s">
        <v>70</v>
      </c>
      <c r="I107" s="4" t="s">
        <v>71</v>
      </c>
      <c r="J107" s="4" t="s">
        <v>70</v>
      </c>
      <c r="K107" s="4" t="s">
        <v>41</v>
      </c>
      <c r="L107" s="4"/>
      <c r="M107" s="4">
        <v>261648.41</v>
      </c>
      <c r="N107" s="4"/>
      <c r="O107" s="4"/>
      <c r="P107" s="4"/>
      <c r="Q107" s="5" t="s">
        <v>72</v>
      </c>
      <c r="R107" s="45">
        <v>41724</v>
      </c>
      <c r="S107" s="4">
        <v>79</v>
      </c>
      <c r="T107" s="4"/>
      <c r="U107" s="4" t="s">
        <v>7</v>
      </c>
      <c r="V107" s="6">
        <v>3.5999999999999997E-2</v>
      </c>
      <c r="W107" s="4">
        <f>M107*V107</f>
        <v>9419.3427599999995</v>
      </c>
      <c r="X107" s="4">
        <v>9419</v>
      </c>
      <c r="Y107" s="4">
        <v>9419</v>
      </c>
      <c r="Z107" s="4">
        <v>0</v>
      </c>
      <c r="AA107" s="4">
        <v>248565.99</v>
      </c>
      <c r="AB107" s="4">
        <f>248565.99</f>
        <v>248565.99</v>
      </c>
      <c r="AC107" s="4">
        <f>248565.99</f>
        <v>248565.99</v>
      </c>
      <c r="AD107" s="4">
        <f>248565.99</f>
        <v>248565.99</v>
      </c>
      <c r="AE107" s="6">
        <f t="shared" si="12"/>
        <v>0.95000000191096134</v>
      </c>
      <c r="AF107" s="4">
        <v>109977</v>
      </c>
      <c r="AG107" s="4">
        <f>109977</f>
        <v>109977</v>
      </c>
      <c r="AH107" s="4">
        <f>8541+109977+130000</f>
        <v>248518</v>
      </c>
      <c r="AI107" s="4"/>
      <c r="AJ107" s="4"/>
      <c r="AK107" s="4"/>
      <c r="AL107" s="4">
        <f>118518+130000</f>
        <v>248518</v>
      </c>
      <c r="AM107" s="6">
        <v>3.4000000000000002E-2</v>
      </c>
      <c r="AN107" s="6">
        <f t="shared" si="34"/>
        <v>8451.2436600000001</v>
      </c>
      <c r="AO107" s="4">
        <v>8541</v>
      </c>
      <c r="AP107" s="4">
        <f>8541</f>
        <v>8541</v>
      </c>
      <c r="AQ107" s="4">
        <v>0</v>
      </c>
      <c r="AR107" s="4"/>
      <c r="AS107" s="4"/>
      <c r="AT107" s="4"/>
    </row>
    <row r="108" spans="1:46" x14ac:dyDescent="0.15">
      <c r="A108" s="36">
        <v>41699</v>
      </c>
      <c r="B108" s="4" t="s">
        <v>869</v>
      </c>
      <c r="C108" s="4" t="s">
        <v>155</v>
      </c>
      <c r="D108" s="4" t="s">
        <v>164</v>
      </c>
      <c r="E108" s="4" t="s">
        <v>0</v>
      </c>
      <c r="F108" s="4" t="s">
        <v>165</v>
      </c>
      <c r="G108" s="4" t="s">
        <v>166</v>
      </c>
      <c r="H108" s="4" t="s">
        <v>167</v>
      </c>
      <c r="I108" s="4" t="s">
        <v>168</v>
      </c>
      <c r="J108" s="4" t="s">
        <v>167</v>
      </c>
      <c r="K108" s="4"/>
      <c r="L108" s="4"/>
      <c r="M108" s="4">
        <v>1054353.53</v>
      </c>
      <c r="N108" s="4"/>
      <c r="O108" s="4"/>
      <c r="P108" s="4"/>
      <c r="Q108" s="5"/>
      <c r="R108" s="45"/>
      <c r="S108" s="4"/>
      <c r="T108" s="4"/>
      <c r="U108" s="4" t="s">
        <v>7</v>
      </c>
      <c r="V108" s="6">
        <v>0.03</v>
      </c>
      <c r="W108" s="4">
        <f t="shared" ref="W108:W111" si="37">M108*V108</f>
        <v>31630.605899999999</v>
      </c>
      <c r="X108" s="4">
        <f>31631</f>
        <v>31631</v>
      </c>
      <c r="Y108" s="4">
        <f>31631</f>
        <v>31631</v>
      </c>
      <c r="Z108" s="4">
        <v>0</v>
      </c>
      <c r="AA108" s="4">
        <v>200000</v>
      </c>
      <c r="AB108" s="4">
        <f>200000</f>
        <v>200000</v>
      </c>
      <c r="AC108" s="4">
        <f>200000</f>
        <v>200000</v>
      </c>
      <c r="AD108" s="4">
        <f>200000</f>
        <v>200000</v>
      </c>
      <c r="AE108" s="6">
        <f t="shared" si="12"/>
        <v>0.1896896954477878</v>
      </c>
      <c r="AF108" s="4">
        <f>80000</f>
        <v>80000</v>
      </c>
      <c r="AG108" s="4">
        <f>80000</f>
        <v>80000</v>
      </c>
      <c r="AH108" s="4">
        <f>80000+6800</f>
        <v>86800</v>
      </c>
      <c r="AI108" s="4"/>
      <c r="AJ108" s="4"/>
      <c r="AK108" s="4"/>
      <c r="AL108" s="4">
        <f>80000+6800</f>
        <v>86800</v>
      </c>
      <c r="AM108" s="6">
        <v>3.4000000000000002E-2</v>
      </c>
      <c r="AN108" s="6">
        <f t="shared" si="34"/>
        <v>6800.0000000000009</v>
      </c>
      <c r="AO108" s="4">
        <f>6800</f>
        <v>6800</v>
      </c>
      <c r="AP108" s="4">
        <f>6800</f>
        <v>6800</v>
      </c>
      <c r="AQ108" s="4">
        <f>AN108-AP108</f>
        <v>0</v>
      </c>
      <c r="AR108" s="4"/>
      <c r="AS108" s="4">
        <v>15</v>
      </c>
      <c r="AT108" s="4" t="s">
        <v>170</v>
      </c>
    </row>
    <row r="109" spans="1:46" x14ac:dyDescent="0.15">
      <c r="A109" s="36">
        <v>41730</v>
      </c>
      <c r="B109" s="4" t="s">
        <v>870</v>
      </c>
      <c r="C109" s="4" t="s">
        <v>156</v>
      </c>
      <c r="D109" s="4" t="s">
        <v>159</v>
      </c>
      <c r="E109" s="4" t="s">
        <v>0</v>
      </c>
      <c r="F109" s="4" t="s">
        <v>160</v>
      </c>
      <c r="G109" s="4" t="s">
        <v>148</v>
      </c>
      <c r="H109" s="4" t="s">
        <v>161</v>
      </c>
      <c r="I109" s="4" t="s">
        <v>23</v>
      </c>
      <c r="J109" s="4" t="s">
        <v>22</v>
      </c>
      <c r="K109" s="4" t="s">
        <v>13</v>
      </c>
      <c r="L109" s="4"/>
      <c r="M109" s="4">
        <v>1393840</v>
      </c>
      <c r="N109" s="4">
        <f>429523.15+77938.15+345972.4</f>
        <v>853433.70000000007</v>
      </c>
      <c r="O109" s="4"/>
      <c r="P109" s="4"/>
      <c r="Q109" s="5" t="s">
        <v>162</v>
      </c>
      <c r="R109" s="45">
        <v>41763</v>
      </c>
      <c r="S109" s="4">
        <v>419</v>
      </c>
      <c r="T109" s="4"/>
      <c r="U109" s="4" t="s">
        <v>7</v>
      </c>
      <c r="V109" s="6">
        <v>3.5999999999999997E-2</v>
      </c>
      <c r="W109" s="4">
        <f t="shared" si="37"/>
        <v>50178.239999999998</v>
      </c>
      <c r="X109" s="4">
        <f>45613+5000</f>
        <v>50613</v>
      </c>
      <c r="Y109" s="4">
        <f>50613</f>
        <v>50613</v>
      </c>
      <c r="Z109" s="4">
        <f>W109-Y109</f>
        <v>-434.76000000000204</v>
      </c>
      <c r="AA109" s="4">
        <f>335937+217744.38+24436.3+128856.94+19484.54+415975.55</f>
        <v>1142434.7100000002</v>
      </c>
      <c r="AB109" s="4">
        <f>1142434.71</f>
        <v>1142434.71</v>
      </c>
      <c r="AC109" s="4">
        <f>335937+242180.68+564317.03</f>
        <v>1142434.71</v>
      </c>
      <c r="AD109" s="4">
        <f>578117.68+564317.03</f>
        <v>1142434.71</v>
      </c>
      <c r="AE109" s="6">
        <f t="shared" si="12"/>
        <v>0.50836473990684794</v>
      </c>
      <c r="AF109" s="4">
        <f>65000+220000+13300+40000+203700+390058.05</f>
        <v>932058.05</v>
      </c>
      <c r="AG109" s="4">
        <f>338300+203700+390058.05</f>
        <v>932058.05</v>
      </c>
      <c r="AH109" s="4">
        <f>78094+220000+7403+831+18343+54143+203700+390058.05</f>
        <v>972572.05</v>
      </c>
      <c r="AI109" s="4"/>
      <c r="AJ109" s="4"/>
      <c r="AK109" s="4"/>
      <c r="AL109" s="4">
        <f>378814+203700+390058.05</f>
        <v>972572.05</v>
      </c>
      <c r="AM109" s="6">
        <v>3.4000000000000002E-2</v>
      </c>
      <c r="AN109" s="6">
        <f t="shared" si="34"/>
        <v>38842.780140000003</v>
      </c>
      <c r="AO109" s="4">
        <f>11422+7403+831+4381+662+14143</f>
        <v>38842</v>
      </c>
      <c r="AP109" s="4">
        <f>38842</f>
        <v>38842</v>
      </c>
      <c r="AQ109" s="4">
        <v>0</v>
      </c>
      <c r="AR109" s="4"/>
      <c r="AS109" s="4">
        <v>20</v>
      </c>
      <c r="AT109" s="4" t="s">
        <v>163</v>
      </c>
    </row>
    <row r="110" spans="1:46" x14ac:dyDescent="0.15">
      <c r="A110" s="36">
        <v>41730</v>
      </c>
      <c r="B110" s="4" t="s">
        <v>871</v>
      </c>
      <c r="C110" s="4" t="s">
        <v>157</v>
      </c>
      <c r="D110" s="4" t="s">
        <v>171</v>
      </c>
      <c r="E110" s="4" t="s">
        <v>0</v>
      </c>
      <c r="F110" s="4" t="s">
        <v>172</v>
      </c>
      <c r="G110" s="4" t="s">
        <v>173</v>
      </c>
      <c r="H110" s="4" t="s">
        <v>174</v>
      </c>
      <c r="I110" s="4" t="s">
        <v>175</v>
      </c>
      <c r="J110" s="4" t="s">
        <v>174</v>
      </c>
      <c r="K110" s="4" t="s">
        <v>176</v>
      </c>
      <c r="L110" s="4"/>
      <c r="M110" s="4">
        <v>1470000</v>
      </c>
      <c r="N110" s="4"/>
      <c r="O110" s="4"/>
      <c r="P110" s="4"/>
      <c r="Q110" s="5"/>
      <c r="R110" s="45"/>
      <c r="S110" s="4"/>
      <c r="T110" s="4"/>
      <c r="U110" s="4" t="s">
        <v>7</v>
      </c>
      <c r="V110" s="6">
        <v>3.5999999999999997E-2</v>
      </c>
      <c r="W110" s="4">
        <f t="shared" si="37"/>
        <v>52919.999999999993</v>
      </c>
      <c r="X110" s="4"/>
      <c r="Y110" s="4"/>
      <c r="Z110" s="4">
        <f>W110-Y110</f>
        <v>52919.999999999993</v>
      </c>
      <c r="AA110" s="4">
        <f>664033.28+511966.73</f>
        <v>1176000.01</v>
      </c>
      <c r="AB110" s="4">
        <f>1176000</f>
        <v>1176000</v>
      </c>
      <c r="AC110" s="4">
        <f>664033.28</f>
        <v>664033.28000000003</v>
      </c>
      <c r="AD110" s="4">
        <f>664033.28</f>
        <v>664033.28000000003</v>
      </c>
      <c r="AE110" s="6">
        <f t="shared" si="12"/>
        <v>0.45172331972789115</v>
      </c>
      <c r="AF110" s="4">
        <f>182910+58000+3028.24</f>
        <v>243938.24</v>
      </c>
      <c r="AG110" s="4">
        <f>182910+58000+3028.24</f>
        <v>243938.24</v>
      </c>
      <c r="AH110" s="4">
        <f>222894+58000+3028.24</f>
        <v>283922.24</v>
      </c>
      <c r="AI110" s="4"/>
      <c r="AJ110" s="4"/>
      <c r="AK110" s="4"/>
      <c r="AL110" s="4">
        <f>222894+58000+3028.24</f>
        <v>283922.24</v>
      </c>
      <c r="AM110" s="6">
        <v>3.4000000000000002E-2</v>
      </c>
      <c r="AN110" s="6">
        <f t="shared" si="34"/>
        <v>39984</v>
      </c>
      <c r="AO110" s="4">
        <f>22577+17407</f>
        <v>39984</v>
      </c>
      <c r="AP110" s="4">
        <f>39984</f>
        <v>39984</v>
      </c>
      <c r="AQ110" s="4">
        <v>0</v>
      </c>
      <c r="AR110" s="4"/>
      <c r="AS110" s="4">
        <v>1</v>
      </c>
      <c r="AT110" s="4" t="s">
        <v>177</v>
      </c>
    </row>
    <row r="111" spans="1:46" x14ac:dyDescent="0.15">
      <c r="A111" s="36">
        <v>41745</v>
      </c>
      <c r="B111" s="4" t="s">
        <v>872</v>
      </c>
      <c r="C111" s="4" t="s">
        <v>158</v>
      </c>
      <c r="D111" s="4" t="s">
        <v>178</v>
      </c>
      <c r="E111" s="4" t="s">
        <v>0</v>
      </c>
      <c r="F111" s="4" t="s">
        <v>179</v>
      </c>
      <c r="G111" s="4" t="s">
        <v>173</v>
      </c>
      <c r="H111" s="4" t="s">
        <v>180</v>
      </c>
      <c r="I111" s="4" t="s">
        <v>181</v>
      </c>
      <c r="J111" s="4" t="s">
        <v>182</v>
      </c>
      <c r="K111" s="4" t="s">
        <v>176</v>
      </c>
      <c r="L111" s="4"/>
      <c r="M111" s="4">
        <v>1287679</v>
      </c>
      <c r="N111" s="4"/>
      <c r="O111" s="4"/>
      <c r="P111" s="4"/>
      <c r="Q111" s="5"/>
      <c r="R111" s="45"/>
      <c r="S111" s="4"/>
      <c r="T111" s="4"/>
      <c r="U111" s="4" t="s">
        <v>7</v>
      </c>
      <c r="V111" s="6">
        <v>3.5999999999999997E-2</v>
      </c>
      <c r="W111" s="4">
        <f t="shared" si="37"/>
        <v>46356.443999999996</v>
      </c>
      <c r="X111" s="4">
        <f>46356</f>
        <v>46356</v>
      </c>
      <c r="Y111" s="4">
        <f>46356</f>
        <v>46356</v>
      </c>
      <c r="Z111" s="4">
        <v>0</v>
      </c>
      <c r="AA111" s="4">
        <f>400000</f>
        <v>400000</v>
      </c>
      <c r="AB111" s="4">
        <f>400000</f>
        <v>400000</v>
      </c>
      <c r="AC111" s="4">
        <f>400000</f>
        <v>400000</v>
      </c>
      <c r="AD111" s="4">
        <f>400000</f>
        <v>400000</v>
      </c>
      <c r="AE111" s="6">
        <f t="shared" si="12"/>
        <v>0.31063642413986714</v>
      </c>
      <c r="AF111" s="4">
        <f>100000+153418.72+100000</f>
        <v>353418.72</v>
      </c>
      <c r="AG111" s="4">
        <f>353418.72</f>
        <v>353418.72</v>
      </c>
      <c r="AH111" s="4">
        <f>113600+153418.72+100000</f>
        <v>367018.72</v>
      </c>
      <c r="AI111" s="4"/>
      <c r="AJ111" s="4"/>
      <c r="AK111" s="4"/>
      <c r="AL111" s="4">
        <f>367018.72</f>
        <v>367018.72</v>
      </c>
      <c r="AM111" s="6">
        <v>3.4000000000000002E-2</v>
      </c>
      <c r="AN111" s="6">
        <f t="shared" si="34"/>
        <v>13600.000000000002</v>
      </c>
      <c r="AO111" s="4">
        <f>13600</f>
        <v>13600</v>
      </c>
      <c r="AP111" s="4">
        <f>13600</f>
        <v>13600</v>
      </c>
      <c r="AQ111" s="4">
        <v>0</v>
      </c>
      <c r="AR111" s="4"/>
      <c r="AS111" s="4">
        <v>20</v>
      </c>
      <c r="AT111" s="4" t="s">
        <v>163</v>
      </c>
    </row>
    <row r="112" spans="1:46" x14ac:dyDescent="0.15">
      <c r="A112" s="36">
        <v>41747</v>
      </c>
      <c r="B112" s="4" t="s">
        <v>873</v>
      </c>
      <c r="C112" s="4" t="s">
        <v>24</v>
      </c>
      <c r="D112" s="4" t="s">
        <v>49</v>
      </c>
      <c r="E112" s="4" t="s">
        <v>0</v>
      </c>
      <c r="F112" s="4" t="s">
        <v>21</v>
      </c>
      <c r="G112" s="4" t="s">
        <v>10</v>
      </c>
      <c r="H112" s="4" t="s">
        <v>22</v>
      </c>
      <c r="I112" s="4" t="s">
        <v>23</v>
      </c>
      <c r="J112" s="4" t="s">
        <v>22</v>
      </c>
      <c r="K112" s="4" t="s">
        <v>13</v>
      </c>
      <c r="L112" s="4"/>
      <c r="M112" s="4">
        <v>420488.3</v>
      </c>
      <c r="N112" s="4"/>
      <c r="O112" s="4"/>
      <c r="P112" s="4"/>
      <c r="Q112" s="5" t="s">
        <v>25</v>
      </c>
      <c r="R112" s="45">
        <v>41789</v>
      </c>
      <c r="S112" s="4">
        <v>127</v>
      </c>
      <c r="T112" s="4"/>
      <c r="U112" s="4" t="s">
        <v>7</v>
      </c>
      <c r="V112" s="6">
        <v>3.5999999999999997E-2</v>
      </c>
      <c r="W112" s="4">
        <f>V112*M112</f>
        <v>15137.578799999999</v>
      </c>
      <c r="X112" s="4"/>
      <c r="Y112" s="4"/>
      <c r="Z112" s="4">
        <f>W112-Y112</f>
        <v>15137.578799999999</v>
      </c>
      <c r="AA112" s="4">
        <f>378000</f>
        <v>378000</v>
      </c>
      <c r="AB112" s="4">
        <f>378000</f>
        <v>378000</v>
      </c>
      <c r="AC112" s="4">
        <f>378000</f>
        <v>378000</v>
      </c>
      <c r="AD112" s="4">
        <f>378000</f>
        <v>378000</v>
      </c>
      <c r="AE112" s="6">
        <f t="shared" si="12"/>
        <v>0.89895485795918695</v>
      </c>
      <c r="AF112" s="4">
        <f>138482+180202.49</f>
        <v>318684.49</v>
      </c>
      <c r="AG112" s="4">
        <f>318684.49</f>
        <v>318684.49</v>
      </c>
      <c r="AH112" s="4">
        <f>151334+190202.49+10000</f>
        <v>351536.49</v>
      </c>
      <c r="AI112" s="4"/>
      <c r="AJ112" s="4"/>
      <c r="AK112" s="4"/>
      <c r="AL112" s="4">
        <f>341536.49+10000</f>
        <v>351536.49</v>
      </c>
      <c r="AM112" s="6">
        <v>3.4000000000000002E-2</v>
      </c>
      <c r="AN112" s="6">
        <f t="shared" si="34"/>
        <v>12852.000000000002</v>
      </c>
      <c r="AO112" s="4">
        <f>12852</f>
        <v>12852</v>
      </c>
      <c r="AP112" s="4">
        <f>12852</f>
        <v>12852</v>
      </c>
      <c r="AQ112" s="4">
        <f t="shared" si="18"/>
        <v>0</v>
      </c>
      <c r="AR112" s="4"/>
      <c r="AS112" s="4">
        <v>5</v>
      </c>
      <c r="AT112" s="4" t="s">
        <v>26</v>
      </c>
    </row>
    <row r="113" spans="1:46" x14ac:dyDescent="0.15">
      <c r="A113" s="36">
        <v>41744</v>
      </c>
      <c r="B113" s="4" t="s">
        <v>874</v>
      </c>
      <c r="C113" s="4" t="s">
        <v>201</v>
      </c>
      <c r="D113" s="4" t="s">
        <v>200</v>
      </c>
      <c r="E113" s="4" t="s">
        <v>0</v>
      </c>
      <c r="F113" s="4"/>
      <c r="G113" s="4"/>
      <c r="H113" s="4" t="s">
        <v>149</v>
      </c>
      <c r="I113" s="12" t="s">
        <v>150</v>
      </c>
      <c r="J113" s="12" t="s">
        <v>152</v>
      </c>
      <c r="K113" s="4"/>
      <c r="L113" s="4"/>
      <c r="M113" s="4">
        <v>1414102.49</v>
      </c>
      <c r="N113" s="4"/>
      <c r="O113" s="4"/>
      <c r="P113" s="4"/>
      <c r="Q113" s="5"/>
      <c r="R113" s="45"/>
      <c r="S113" s="4"/>
      <c r="T113" s="4"/>
      <c r="U113" s="4" t="s">
        <v>7</v>
      </c>
      <c r="V113" s="6">
        <v>3.5999999999999997E-2</v>
      </c>
      <c r="W113" s="4">
        <f>V113*M113</f>
        <v>50907.689639999997</v>
      </c>
      <c r="X113" s="4">
        <f>50908</f>
        <v>50908</v>
      </c>
      <c r="Y113" s="4">
        <f>50908</f>
        <v>50908</v>
      </c>
      <c r="Z113" s="4">
        <v>0</v>
      </c>
      <c r="AA113" s="4"/>
      <c r="AB113" s="4"/>
      <c r="AC113" s="4"/>
      <c r="AD113" s="4"/>
      <c r="AE113" s="6">
        <f t="shared" si="12"/>
        <v>0</v>
      </c>
      <c r="AF113" s="4"/>
      <c r="AG113" s="4"/>
      <c r="AH113" s="4"/>
      <c r="AI113" s="4"/>
      <c r="AJ113" s="4"/>
      <c r="AK113" s="4"/>
      <c r="AL113" s="4"/>
      <c r="AM113" s="6"/>
      <c r="AN113" s="6">
        <f t="shared" si="34"/>
        <v>0</v>
      </c>
      <c r="AO113" s="4"/>
      <c r="AP113" s="4"/>
      <c r="AQ113" s="4">
        <f t="shared" si="18"/>
        <v>0</v>
      </c>
      <c r="AR113" s="4"/>
      <c r="AS113" s="4">
        <v>15</v>
      </c>
      <c r="AT113" s="4" t="s">
        <v>154</v>
      </c>
    </row>
    <row r="114" spans="1:46" x14ac:dyDescent="0.15">
      <c r="A114" s="36">
        <v>41760</v>
      </c>
      <c r="B114" s="4" t="s">
        <v>875</v>
      </c>
      <c r="C114" s="4" t="s">
        <v>183</v>
      </c>
      <c r="D114" s="4" t="s">
        <v>202</v>
      </c>
      <c r="E114" s="4" t="s">
        <v>0</v>
      </c>
      <c r="F114" s="4" t="s">
        <v>203</v>
      </c>
      <c r="G114" s="4" t="s">
        <v>204</v>
      </c>
      <c r="H114" s="4" t="s">
        <v>205</v>
      </c>
      <c r="I114" s="4" t="s">
        <v>206</v>
      </c>
      <c r="J114" s="4" t="s">
        <v>205</v>
      </c>
      <c r="K114" s="4" t="s">
        <v>169</v>
      </c>
      <c r="L114" s="4"/>
      <c r="M114" s="4">
        <v>10118443</v>
      </c>
      <c r="N114" s="4"/>
      <c r="O114" s="4"/>
      <c r="P114" s="4"/>
      <c r="Q114" s="5"/>
      <c r="R114" s="45"/>
      <c r="S114" s="4"/>
      <c r="T114" s="4"/>
      <c r="U114" s="4" t="s">
        <v>7</v>
      </c>
      <c r="V114" s="6">
        <v>0.03</v>
      </c>
      <c r="W114" s="4">
        <f t="shared" ref="W114:W130" si="38">V114*M114</f>
        <v>303553.28999999998</v>
      </c>
      <c r="X114" s="4">
        <f>100000</f>
        <v>100000</v>
      </c>
      <c r="Y114" s="4">
        <f>100000</f>
        <v>100000</v>
      </c>
      <c r="Z114" s="4">
        <f t="shared" ref="Z114:Z130" si="39">W114-Y114</f>
        <v>203553.28999999998</v>
      </c>
      <c r="AA114" s="4">
        <f>1800000+3000000</f>
        <v>4800000</v>
      </c>
      <c r="AB114" s="4">
        <f>1800000+3000000</f>
        <v>4800000</v>
      </c>
      <c r="AC114" s="4">
        <f>1800000</f>
        <v>1800000</v>
      </c>
      <c r="AD114" s="4">
        <f>1800000</f>
        <v>1800000</v>
      </c>
      <c r="AE114" s="6">
        <f t="shared" si="12"/>
        <v>0.17789298215150295</v>
      </c>
      <c r="AF114" s="4">
        <f>1739791</f>
        <v>1739791</v>
      </c>
      <c r="AG114" s="4">
        <f>1739791</f>
        <v>1739791</v>
      </c>
      <c r="AH114" s="4">
        <f>1739791+61020</f>
        <v>1800811</v>
      </c>
      <c r="AI114" s="4"/>
      <c r="AJ114" s="4"/>
      <c r="AK114" s="4"/>
      <c r="AL114" s="4">
        <f>1800811</f>
        <v>1800811</v>
      </c>
      <c r="AM114" s="6">
        <v>3.7400000000000003E-2</v>
      </c>
      <c r="AN114" s="6">
        <f t="shared" si="34"/>
        <v>179520</v>
      </c>
      <c r="AO114" s="4">
        <f>67320+112200</f>
        <v>179520</v>
      </c>
      <c r="AP114" s="4">
        <f>67320+112200</f>
        <v>179520</v>
      </c>
      <c r="AQ114" s="4">
        <f t="shared" si="18"/>
        <v>0</v>
      </c>
      <c r="AR114" s="4"/>
      <c r="AS114" s="4">
        <v>132</v>
      </c>
      <c r="AT114" s="4" t="s">
        <v>154</v>
      </c>
    </row>
    <row r="115" spans="1:46" x14ac:dyDescent="0.15">
      <c r="A115" s="36">
        <v>41767</v>
      </c>
      <c r="B115" s="4" t="s">
        <v>876</v>
      </c>
      <c r="C115" s="4" t="s">
        <v>184</v>
      </c>
      <c r="D115" s="4" t="s">
        <v>207</v>
      </c>
      <c r="E115" s="4" t="s">
        <v>0</v>
      </c>
      <c r="F115" s="4" t="s">
        <v>208</v>
      </c>
      <c r="G115" s="4" t="s">
        <v>173</v>
      </c>
      <c r="H115" s="4" t="s">
        <v>209</v>
      </c>
      <c r="I115" s="4" t="s">
        <v>210</v>
      </c>
      <c r="J115" s="4" t="s">
        <v>211</v>
      </c>
      <c r="K115" s="4" t="s">
        <v>176</v>
      </c>
      <c r="L115" s="4"/>
      <c r="M115" s="4">
        <v>944953.41</v>
      </c>
      <c r="N115" s="4"/>
      <c r="O115" s="4"/>
      <c r="P115" s="4"/>
      <c r="Q115" s="5" t="s">
        <v>212</v>
      </c>
      <c r="R115" s="45">
        <v>41773</v>
      </c>
      <c r="S115" s="4">
        <v>284</v>
      </c>
      <c r="T115" s="4"/>
      <c r="U115" s="4" t="s">
        <v>7</v>
      </c>
      <c r="V115" s="6">
        <v>3.5999999999999997E-2</v>
      </c>
      <c r="W115" s="4">
        <f t="shared" si="38"/>
        <v>34018.322759999995</v>
      </c>
      <c r="X115" s="4">
        <f>19298.8</f>
        <v>19298.8</v>
      </c>
      <c r="Y115" s="4">
        <f>19298.8</f>
        <v>19298.8</v>
      </c>
      <c r="Z115" s="4">
        <f t="shared" si="39"/>
        <v>14719.522759999996</v>
      </c>
      <c r="AA115" s="4">
        <f>300000+200000</f>
        <v>500000</v>
      </c>
      <c r="AB115" s="4">
        <f>500000</f>
        <v>500000</v>
      </c>
      <c r="AC115" s="4">
        <f>300000+200000</f>
        <v>500000</v>
      </c>
      <c r="AD115" s="4">
        <f>300000+200000</f>
        <v>500000</v>
      </c>
      <c r="AE115" s="6">
        <f t="shared" si="12"/>
        <v>0.52912661588257559</v>
      </c>
      <c r="AF115" s="4">
        <f>4298.8+237666.29+13164+103300</f>
        <v>358429.08999999997</v>
      </c>
      <c r="AG115" s="4">
        <f>255129.09+103300</f>
        <v>358429.08999999997</v>
      </c>
      <c r="AH115" s="4">
        <f>15632.8+237666.29+13164+28000+110100</f>
        <v>404563.08999999997</v>
      </c>
      <c r="AI115" s="4"/>
      <c r="AJ115" s="4"/>
      <c r="AK115" s="4"/>
      <c r="AL115" s="4">
        <f>294463.09+110100</f>
        <v>404563.09</v>
      </c>
      <c r="AM115" s="6">
        <v>3.4000000000000002E-2</v>
      </c>
      <c r="AN115" s="6">
        <f t="shared" si="34"/>
        <v>17000</v>
      </c>
      <c r="AO115" s="4">
        <f>10200</f>
        <v>10200</v>
      </c>
      <c r="AP115" s="4">
        <f>10200</f>
        <v>10200</v>
      </c>
      <c r="AQ115" s="4">
        <f t="shared" si="18"/>
        <v>6800</v>
      </c>
      <c r="AR115" s="4"/>
      <c r="AS115" s="4">
        <v>4</v>
      </c>
      <c r="AT115" s="4" t="s">
        <v>213</v>
      </c>
    </row>
    <row r="116" spans="1:46" x14ac:dyDescent="0.15">
      <c r="A116" s="36">
        <v>41760</v>
      </c>
      <c r="B116" s="4" t="s">
        <v>877</v>
      </c>
      <c r="C116" s="4" t="s">
        <v>185</v>
      </c>
      <c r="D116" s="4" t="s">
        <v>214</v>
      </c>
      <c r="E116" s="4" t="s">
        <v>0</v>
      </c>
      <c r="F116" s="4" t="s">
        <v>216</v>
      </c>
      <c r="G116" s="4" t="s">
        <v>173</v>
      </c>
      <c r="H116" s="4" t="s">
        <v>215</v>
      </c>
      <c r="I116" s="4" t="s">
        <v>71</v>
      </c>
      <c r="J116" s="4" t="s">
        <v>70</v>
      </c>
      <c r="K116" s="4" t="s">
        <v>13</v>
      </c>
      <c r="L116" s="4"/>
      <c r="M116" s="4">
        <v>14986416.529999999</v>
      </c>
      <c r="N116" s="4"/>
      <c r="O116" s="4"/>
      <c r="P116" s="4"/>
      <c r="Q116" s="5"/>
      <c r="R116" s="45"/>
      <c r="S116" s="4"/>
      <c r="T116" s="4"/>
      <c r="U116" s="4" t="s">
        <v>7</v>
      </c>
      <c r="V116" s="6">
        <v>0.03</v>
      </c>
      <c r="W116" s="4">
        <f t="shared" si="38"/>
        <v>449592.49589999998</v>
      </c>
      <c r="X116" s="4"/>
      <c r="Y116" s="4"/>
      <c r="Z116" s="4">
        <f t="shared" si="39"/>
        <v>449592.49589999998</v>
      </c>
      <c r="AA116" s="4"/>
      <c r="AB116" s="4"/>
      <c r="AC116" s="4"/>
      <c r="AD116" s="4"/>
      <c r="AE116" s="6">
        <f t="shared" si="12"/>
        <v>0</v>
      </c>
      <c r="AF116" s="4"/>
      <c r="AG116" s="4"/>
      <c r="AH116" s="4"/>
      <c r="AI116" s="4"/>
      <c r="AJ116" s="4"/>
      <c r="AK116" s="4"/>
      <c r="AL116" s="4"/>
      <c r="AM116" s="6"/>
      <c r="AN116" s="6">
        <f t="shared" si="34"/>
        <v>0</v>
      </c>
      <c r="AO116" s="4"/>
      <c r="AP116" s="4"/>
      <c r="AQ116" s="4">
        <f t="shared" si="18"/>
        <v>0</v>
      </c>
      <c r="AR116" s="4"/>
      <c r="AS116" s="4">
        <v>110</v>
      </c>
      <c r="AT116" s="4" t="s">
        <v>163</v>
      </c>
    </row>
    <row r="117" spans="1:46" x14ac:dyDescent="0.15">
      <c r="A117" s="36">
        <v>41760</v>
      </c>
      <c r="B117" s="4" t="s">
        <v>878</v>
      </c>
      <c r="C117" s="4" t="s">
        <v>186</v>
      </c>
      <c r="D117" s="4" t="s">
        <v>217</v>
      </c>
      <c r="E117" s="4" t="s">
        <v>0</v>
      </c>
      <c r="F117" s="4"/>
      <c r="G117" s="4" t="s">
        <v>218</v>
      </c>
      <c r="H117" s="4"/>
      <c r="I117" s="4"/>
      <c r="J117" s="4"/>
      <c r="K117" s="4"/>
      <c r="L117" s="4"/>
      <c r="M117" s="4"/>
      <c r="N117" s="4"/>
      <c r="O117" s="4"/>
      <c r="P117" s="4"/>
      <c r="Q117" s="5"/>
      <c r="R117" s="45"/>
      <c r="S117" s="4"/>
      <c r="T117" s="4"/>
      <c r="U117" s="4" t="s">
        <v>7</v>
      </c>
      <c r="V117" s="6"/>
      <c r="W117" s="4">
        <f t="shared" si="38"/>
        <v>0</v>
      </c>
      <c r="X117" s="4"/>
      <c r="Y117" s="4"/>
      <c r="Z117" s="4">
        <f t="shared" si="39"/>
        <v>0</v>
      </c>
      <c r="AA117" s="4"/>
      <c r="AB117" s="4"/>
      <c r="AC117" s="4"/>
      <c r="AD117" s="4"/>
      <c r="AE117" s="6" t="e">
        <f t="shared" si="12"/>
        <v>#DIV/0!</v>
      </c>
      <c r="AF117" s="4"/>
      <c r="AG117" s="4"/>
      <c r="AH117" s="4"/>
      <c r="AI117" s="4"/>
      <c r="AJ117" s="4"/>
      <c r="AK117" s="4"/>
      <c r="AL117" s="4"/>
      <c r="AM117" s="6"/>
      <c r="AN117" s="6">
        <f t="shared" si="34"/>
        <v>0</v>
      </c>
      <c r="AO117" s="4"/>
      <c r="AP117" s="4"/>
      <c r="AQ117" s="4">
        <f t="shared" si="18"/>
        <v>0</v>
      </c>
      <c r="AR117" s="4"/>
      <c r="AS117" s="4"/>
      <c r="AT117" s="4"/>
    </row>
    <row r="118" spans="1:46" x14ac:dyDescent="0.15">
      <c r="A118" s="36">
        <v>41760</v>
      </c>
      <c r="B118" s="4" t="s">
        <v>879</v>
      </c>
      <c r="C118" s="4" t="s">
        <v>187</v>
      </c>
      <c r="D118" s="4" t="s">
        <v>219</v>
      </c>
      <c r="E118" s="4" t="s">
        <v>0</v>
      </c>
      <c r="F118" s="4"/>
      <c r="G118" s="4" t="s">
        <v>173</v>
      </c>
      <c r="H118" s="4" t="s">
        <v>220</v>
      </c>
      <c r="I118" s="4" t="s">
        <v>221</v>
      </c>
      <c r="J118" s="4"/>
      <c r="K118" s="4"/>
      <c r="L118" s="4"/>
      <c r="M118" s="4">
        <v>769500</v>
      </c>
      <c r="N118" s="4"/>
      <c r="O118" s="4"/>
      <c r="P118" s="4"/>
      <c r="Q118" s="5" t="s">
        <v>222</v>
      </c>
      <c r="R118" s="45">
        <v>41796</v>
      </c>
      <c r="S118" s="4">
        <v>231</v>
      </c>
      <c r="T118" s="4"/>
      <c r="U118" s="4" t="s">
        <v>7</v>
      </c>
      <c r="V118" s="6">
        <v>4.5999999999999999E-2</v>
      </c>
      <c r="W118" s="4">
        <f t="shared" si="38"/>
        <v>35397</v>
      </c>
      <c r="X118" s="4">
        <f>35397</f>
        <v>35397</v>
      </c>
      <c r="Y118" s="4">
        <f>35397</f>
        <v>35397</v>
      </c>
      <c r="Z118" s="4">
        <f t="shared" si="39"/>
        <v>0</v>
      </c>
      <c r="AA118" s="4"/>
      <c r="AB118" s="4"/>
      <c r="AC118" s="4"/>
      <c r="AD118" s="4"/>
      <c r="AE118" s="6">
        <f t="shared" si="12"/>
        <v>0</v>
      </c>
      <c r="AF118" s="4"/>
      <c r="AG118" s="4"/>
      <c r="AH118" s="4"/>
      <c r="AI118" s="4"/>
      <c r="AJ118" s="4"/>
      <c r="AK118" s="4"/>
      <c r="AL118" s="4"/>
      <c r="AM118" s="6"/>
      <c r="AN118" s="6">
        <f t="shared" si="34"/>
        <v>0</v>
      </c>
      <c r="AO118" s="4"/>
      <c r="AP118" s="4"/>
      <c r="AQ118" s="4">
        <f t="shared" si="18"/>
        <v>0</v>
      </c>
      <c r="AR118" s="4"/>
      <c r="AS118" s="4">
        <v>6</v>
      </c>
      <c r="AT118" s="4" t="s">
        <v>223</v>
      </c>
    </row>
    <row r="119" spans="1:46" x14ac:dyDescent="0.15">
      <c r="A119" s="36">
        <v>41779</v>
      </c>
      <c r="B119" s="4" t="s">
        <v>880</v>
      </c>
      <c r="C119" s="4" t="s">
        <v>188</v>
      </c>
      <c r="D119" s="4" t="s">
        <v>224</v>
      </c>
      <c r="E119" s="4" t="s">
        <v>0</v>
      </c>
      <c r="F119" s="4" t="s">
        <v>225</v>
      </c>
      <c r="G119" s="4" t="s">
        <v>173</v>
      </c>
      <c r="H119" s="4" t="s">
        <v>226</v>
      </c>
      <c r="I119" s="4" t="s">
        <v>227</v>
      </c>
      <c r="J119" s="4" t="s">
        <v>226</v>
      </c>
      <c r="K119" s="4" t="s">
        <v>176</v>
      </c>
      <c r="L119" s="4"/>
      <c r="M119" s="4">
        <v>520000</v>
      </c>
      <c r="N119" s="4"/>
      <c r="O119" s="4"/>
      <c r="P119" s="4"/>
      <c r="Q119" s="5" t="s">
        <v>228</v>
      </c>
      <c r="R119" s="45">
        <v>41793</v>
      </c>
      <c r="S119" s="4">
        <v>156</v>
      </c>
      <c r="T119" s="4"/>
      <c r="U119" s="4" t="s">
        <v>7</v>
      </c>
      <c r="V119" s="6">
        <v>3.5999999999999997E-2</v>
      </c>
      <c r="W119" s="4">
        <f t="shared" si="38"/>
        <v>18720</v>
      </c>
      <c r="X119" s="4">
        <f>18720</f>
        <v>18720</v>
      </c>
      <c r="Y119" s="4">
        <f>18720</f>
        <v>18720</v>
      </c>
      <c r="Z119" s="4">
        <f t="shared" si="39"/>
        <v>0</v>
      </c>
      <c r="AA119" s="4">
        <f>156000</f>
        <v>156000</v>
      </c>
      <c r="AB119" s="4">
        <f>156000</f>
        <v>156000</v>
      </c>
      <c r="AC119" s="4">
        <f>156000</f>
        <v>156000</v>
      </c>
      <c r="AD119" s="4">
        <v>156000</v>
      </c>
      <c r="AE119" s="6">
        <f t="shared" si="12"/>
        <v>0.3</v>
      </c>
      <c r="AF119" s="4">
        <f>140000</f>
        <v>140000</v>
      </c>
      <c r="AG119" s="4">
        <f>140000</f>
        <v>140000</v>
      </c>
      <c r="AH119" s="4">
        <f>145304</f>
        <v>145304</v>
      </c>
      <c r="AI119" s="4"/>
      <c r="AJ119" s="4"/>
      <c r="AK119" s="4"/>
      <c r="AL119" s="4">
        <f>145304</f>
        <v>145304</v>
      </c>
      <c r="AM119" s="6">
        <v>3.4000000000000002E-2</v>
      </c>
      <c r="AN119" s="6">
        <f t="shared" si="34"/>
        <v>5304</v>
      </c>
      <c r="AO119" s="4">
        <v>5304</v>
      </c>
      <c r="AP119" s="4">
        <v>5304</v>
      </c>
      <c r="AQ119" s="4">
        <f t="shared" si="18"/>
        <v>0</v>
      </c>
      <c r="AR119" s="4"/>
      <c r="AS119" s="4"/>
      <c r="AT119" s="4"/>
    </row>
    <row r="120" spans="1:46" x14ac:dyDescent="0.15">
      <c r="A120" s="36">
        <v>41791</v>
      </c>
      <c r="B120" s="4" t="s">
        <v>881</v>
      </c>
      <c r="C120" s="4" t="s">
        <v>189</v>
      </c>
      <c r="D120" s="4" t="s">
        <v>229</v>
      </c>
      <c r="E120" s="4" t="s">
        <v>0</v>
      </c>
      <c r="F120" s="4" t="s">
        <v>230</v>
      </c>
      <c r="G120" s="4" t="s">
        <v>173</v>
      </c>
      <c r="H120" s="4" t="s">
        <v>167</v>
      </c>
      <c r="I120" s="4" t="s">
        <v>168</v>
      </c>
      <c r="J120" s="4" t="s">
        <v>167</v>
      </c>
      <c r="K120" s="4" t="s">
        <v>151</v>
      </c>
      <c r="L120" s="4"/>
      <c r="M120" s="4">
        <v>14800000</v>
      </c>
      <c r="N120" s="4"/>
      <c r="O120" s="4"/>
      <c r="P120" s="4"/>
      <c r="Q120" s="5"/>
      <c r="R120" s="45"/>
      <c r="S120" s="4"/>
      <c r="T120" s="4"/>
      <c r="U120" s="4" t="s">
        <v>7</v>
      </c>
      <c r="V120" s="6"/>
      <c r="W120" s="4">
        <f t="shared" si="38"/>
        <v>0</v>
      </c>
      <c r="X120" s="4"/>
      <c r="Y120" s="4"/>
      <c r="Z120" s="4">
        <f t="shared" si="39"/>
        <v>0</v>
      </c>
      <c r="AA120" s="4"/>
      <c r="AB120" s="4"/>
      <c r="AC120" s="4">
        <f>1000000+2300000</f>
        <v>3300000</v>
      </c>
      <c r="AD120" s="4">
        <f>1000000+2300000</f>
        <v>3300000</v>
      </c>
      <c r="AE120" s="6">
        <f t="shared" si="12"/>
        <v>0.22297297297297297</v>
      </c>
      <c r="AF120" s="4">
        <f>300000+361050+200000+400000</f>
        <v>1261050</v>
      </c>
      <c r="AG120" s="4">
        <f>861050+400000</f>
        <v>1261050</v>
      </c>
      <c r="AH120" s="4">
        <f>300000+361050+200000+400000</f>
        <v>1261050</v>
      </c>
      <c r="AI120" s="4"/>
      <c r="AJ120" s="4"/>
      <c r="AK120" s="4"/>
      <c r="AL120" s="4">
        <f>861050+400000</f>
        <v>1261050</v>
      </c>
      <c r="AM120" s="6">
        <v>3.4000000000000002E-2</v>
      </c>
      <c r="AN120" s="6">
        <f t="shared" si="34"/>
        <v>0</v>
      </c>
      <c r="AO120" s="4"/>
      <c r="AP120" s="4"/>
      <c r="AQ120" s="4">
        <f t="shared" si="18"/>
        <v>0</v>
      </c>
      <c r="AR120" s="4"/>
      <c r="AS120" s="4">
        <v>44</v>
      </c>
      <c r="AT120" s="4" t="s">
        <v>170</v>
      </c>
    </row>
    <row r="121" spans="1:46" x14ac:dyDescent="0.15">
      <c r="A121" s="36">
        <v>41791</v>
      </c>
      <c r="B121" s="4" t="s">
        <v>882</v>
      </c>
      <c r="C121" s="4" t="s">
        <v>190</v>
      </c>
      <c r="D121" s="4" t="s">
        <v>231</v>
      </c>
      <c r="E121" s="4" t="s">
        <v>0</v>
      </c>
      <c r="F121" s="4"/>
      <c r="G121" s="4" t="s">
        <v>173</v>
      </c>
      <c r="H121" s="4" t="s">
        <v>232</v>
      </c>
      <c r="I121" s="4" t="s">
        <v>122</v>
      </c>
      <c r="J121" s="4" t="s">
        <v>121</v>
      </c>
      <c r="K121" s="4" t="s">
        <v>13</v>
      </c>
      <c r="L121" s="4"/>
      <c r="M121" s="4">
        <v>3326070</v>
      </c>
      <c r="N121" s="4"/>
      <c r="O121" s="4"/>
      <c r="P121" s="4"/>
      <c r="Q121" s="5"/>
      <c r="R121" s="45"/>
      <c r="S121" s="4"/>
      <c r="T121" s="4"/>
      <c r="U121" s="4" t="s">
        <v>7</v>
      </c>
      <c r="V121" s="6">
        <v>3.5999999999999997E-2</v>
      </c>
      <c r="W121" s="4">
        <f t="shared" si="38"/>
        <v>119738.51999999999</v>
      </c>
      <c r="X121" s="4"/>
      <c r="Y121" s="4"/>
      <c r="Z121" s="4">
        <f t="shared" si="39"/>
        <v>119738.51999999999</v>
      </c>
      <c r="AA121" s="4">
        <f>300000</f>
        <v>300000</v>
      </c>
      <c r="AB121" s="4">
        <f>300000</f>
        <v>300000</v>
      </c>
      <c r="AC121" s="4"/>
      <c r="AD121" s="4"/>
      <c r="AE121" s="6">
        <f t="shared" si="12"/>
        <v>0</v>
      </c>
      <c r="AF121" s="4"/>
      <c r="AG121" s="4"/>
      <c r="AH121" s="4"/>
      <c r="AI121" s="4"/>
      <c r="AJ121" s="4"/>
      <c r="AK121" s="4"/>
      <c r="AL121" s="4"/>
      <c r="AM121" s="6">
        <v>3.4000000000000002E-2</v>
      </c>
      <c r="AN121" s="6">
        <f t="shared" si="34"/>
        <v>10200</v>
      </c>
      <c r="AO121" s="4"/>
      <c r="AP121" s="4"/>
      <c r="AQ121" s="4">
        <f t="shared" si="18"/>
        <v>10200</v>
      </c>
      <c r="AR121" s="4"/>
      <c r="AS121" s="4">
        <v>35</v>
      </c>
      <c r="AT121" s="4" t="s">
        <v>223</v>
      </c>
    </row>
    <row r="122" spans="1:46" x14ac:dyDescent="0.15">
      <c r="A122" s="36">
        <v>41820</v>
      </c>
      <c r="B122" s="4" t="s">
        <v>883</v>
      </c>
      <c r="C122" s="4" t="s">
        <v>191</v>
      </c>
      <c r="D122" s="4" t="s">
        <v>233</v>
      </c>
      <c r="E122" s="4" t="s">
        <v>0</v>
      </c>
      <c r="F122" s="4"/>
      <c r="G122" s="4" t="s">
        <v>173</v>
      </c>
      <c r="H122" s="4" t="s">
        <v>234</v>
      </c>
      <c r="I122" s="4" t="s">
        <v>235</v>
      </c>
      <c r="J122" s="4" t="s">
        <v>234</v>
      </c>
      <c r="K122" s="4" t="s">
        <v>176</v>
      </c>
      <c r="L122" s="4"/>
      <c r="M122" s="4">
        <v>5305357.5999999996</v>
      </c>
      <c r="N122" s="4"/>
      <c r="O122" s="4"/>
      <c r="P122" s="4"/>
      <c r="Q122" s="5"/>
      <c r="R122" s="45"/>
      <c r="S122" s="4"/>
      <c r="T122" s="4"/>
      <c r="U122" s="4" t="s">
        <v>7</v>
      </c>
      <c r="V122" s="6">
        <v>0.03</v>
      </c>
      <c r="W122" s="4">
        <f t="shared" si="38"/>
        <v>159160.72799999997</v>
      </c>
      <c r="X122" s="4">
        <f>100000</f>
        <v>100000</v>
      </c>
      <c r="Y122" s="4">
        <f>100000</f>
        <v>100000</v>
      </c>
      <c r="Z122" s="4">
        <f t="shared" si="39"/>
        <v>59160.727999999974</v>
      </c>
      <c r="AA122" s="4">
        <f>1060000</f>
        <v>1060000</v>
      </c>
      <c r="AB122" s="4">
        <f>1060000</f>
        <v>1060000</v>
      </c>
      <c r="AC122" s="4">
        <f>1060000</f>
        <v>1060000</v>
      </c>
      <c r="AD122" s="4">
        <f>1060000</f>
        <v>1060000</v>
      </c>
      <c r="AE122" s="6">
        <f t="shared" si="12"/>
        <v>0.19979803057950327</v>
      </c>
      <c r="AF122" s="4">
        <f>200000+150000+6366.43</f>
        <v>356366.43</v>
      </c>
      <c r="AG122" s="4">
        <f>200000+150000+6366.43</f>
        <v>356366.43</v>
      </c>
      <c r="AH122" s="4">
        <f>236040+150000+36040+6366.43</f>
        <v>428446.43</v>
      </c>
      <c r="AI122" s="4"/>
      <c r="AJ122" s="4"/>
      <c r="AK122" s="4"/>
      <c r="AL122" s="4">
        <f>386040+36040+6366.43</f>
        <v>428446.43</v>
      </c>
      <c r="AM122" s="6">
        <v>3.4000000000000002E-2</v>
      </c>
      <c r="AN122" s="6">
        <f t="shared" si="34"/>
        <v>36040</v>
      </c>
      <c r="AO122" s="4">
        <f>36040</f>
        <v>36040</v>
      </c>
      <c r="AP122" s="4">
        <f>36040</f>
        <v>36040</v>
      </c>
      <c r="AQ122" s="4">
        <f t="shared" si="18"/>
        <v>0</v>
      </c>
      <c r="AR122" s="4"/>
      <c r="AS122" s="4">
        <v>72</v>
      </c>
      <c r="AT122" s="4" t="s">
        <v>163</v>
      </c>
    </row>
    <row r="123" spans="1:46" x14ac:dyDescent="0.15">
      <c r="A123" s="36">
        <v>41821</v>
      </c>
      <c r="B123" s="4" t="s">
        <v>884</v>
      </c>
      <c r="C123" s="4" t="s">
        <v>192</v>
      </c>
      <c r="D123" s="4" t="s">
        <v>236</v>
      </c>
      <c r="E123" s="4" t="s">
        <v>0</v>
      </c>
      <c r="F123" s="4"/>
      <c r="G123" s="4" t="s">
        <v>204</v>
      </c>
      <c r="H123" s="4" t="s">
        <v>174</v>
      </c>
      <c r="I123" s="4" t="s">
        <v>175</v>
      </c>
      <c r="J123" s="4" t="s">
        <v>174</v>
      </c>
      <c r="K123" s="4"/>
      <c r="L123" s="4"/>
      <c r="M123" s="4">
        <v>743283</v>
      </c>
      <c r="N123" s="4"/>
      <c r="O123" s="4"/>
      <c r="P123" s="4"/>
      <c r="Q123" s="5"/>
      <c r="R123" s="45"/>
      <c r="S123" s="4"/>
      <c r="T123" s="4"/>
      <c r="U123" s="4" t="s">
        <v>7</v>
      </c>
      <c r="V123" s="6">
        <v>3.5999999999999997E-2</v>
      </c>
      <c r="W123" s="4">
        <f t="shared" si="38"/>
        <v>26758.187999999998</v>
      </c>
      <c r="X123" s="4"/>
      <c r="Y123" s="4"/>
      <c r="Z123" s="4">
        <f t="shared" si="39"/>
        <v>26758.187999999998</v>
      </c>
      <c r="AA123" s="4">
        <f>631790.55</f>
        <v>631790.55000000005</v>
      </c>
      <c r="AB123" s="4">
        <f>631790.55</f>
        <v>631790.55000000005</v>
      </c>
      <c r="AC123" s="4"/>
      <c r="AD123" s="4"/>
      <c r="AE123" s="6">
        <f t="shared" si="12"/>
        <v>0</v>
      </c>
      <c r="AF123" s="4"/>
      <c r="AG123" s="4"/>
      <c r="AH123" s="4"/>
      <c r="AI123" s="4"/>
      <c r="AJ123" s="4"/>
      <c r="AK123" s="4"/>
      <c r="AL123" s="4"/>
      <c r="AM123" s="6"/>
      <c r="AN123" s="6">
        <f t="shared" si="34"/>
        <v>0</v>
      </c>
      <c r="AO123" s="4"/>
      <c r="AP123" s="4"/>
      <c r="AQ123" s="4">
        <f t="shared" si="18"/>
        <v>0</v>
      </c>
      <c r="AR123" s="4"/>
      <c r="AS123" s="4">
        <v>10</v>
      </c>
      <c r="AT123" s="4" t="s">
        <v>163</v>
      </c>
    </row>
    <row r="124" spans="1:46" x14ac:dyDescent="0.15">
      <c r="A124" s="36"/>
      <c r="B124" s="4" t="s">
        <v>885</v>
      </c>
      <c r="C124" s="4" t="s">
        <v>193</v>
      </c>
      <c r="D124" s="4" t="s">
        <v>237</v>
      </c>
      <c r="E124" s="4" t="s">
        <v>0</v>
      </c>
      <c r="F124" s="4"/>
      <c r="G124" s="4"/>
      <c r="H124" s="4" t="s">
        <v>149</v>
      </c>
      <c r="I124" s="12" t="s">
        <v>150</v>
      </c>
      <c r="J124" s="12" t="s">
        <v>152</v>
      </c>
      <c r="K124" s="4"/>
      <c r="L124" s="4"/>
      <c r="M124" s="4"/>
      <c r="N124" s="4"/>
      <c r="O124" s="4"/>
      <c r="P124" s="4"/>
      <c r="Q124" s="5"/>
      <c r="R124" s="45"/>
      <c r="S124" s="4"/>
      <c r="T124" s="4"/>
      <c r="U124" s="4" t="s">
        <v>7</v>
      </c>
      <c r="V124" s="6"/>
      <c r="W124" s="4">
        <f t="shared" si="38"/>
        <v>0</v>
      </c>
      <c r="X124" s="4"/>
      <c r="Y124" s="4"/>
      <c r="Z124" s="4">
        <f t="shared" si="39"/>
        <v>0</v>
      </c>
      <c r="AA124" s="4"/>
      <c r="AB124" s="4"/>
      <c r="AC124" s="4"/>
      <c r="AD124" s="4"/>
      <c r="AE124" s="6" t="e">
        <f t="shared" si="12"/>
        <v>#DIV/0!</v>
      </c>
      <c r="AF124" s="4"/>
      <c r="AG124" s="4"/>
      <c r="AH124" s="4"/>
      <c r="AI124" s="4"/>
      <c r="AJ124" s="4"/>
      <c r="AK124" s="4"/>
      <c r="AL124" s="4"/>
      <c r="AM124" s="6"/>
      <c r="AN124" s="6">
        <f t="shared" si="34"/>
        <v>0</v>
      </c>
      <c r="AO124" s="4"/>
      <c r="AP124" s="4"/>
      <c r="AQ124" s="4">
        <f t="shared" si="18"/>
        <v>0</v>
      </c>
      <c r="AR124" s="4"/>
      <c r="AS124" s="4"/>
      <c r="AT124" s="4"/>
    </row>
    <row r="125" spans="1:46" x14ac:dyDescent="0.15">
      <c r="A125" s="36">
        <v>41837</v>
      </c>
      <c r="B125" s="4" t="s">
        <v>886</v>
      </c>
      <c r="C125" s="4" t="s">
        <v>194</v>
      </c>
      <c r="D125" s="4" t="s">
        <v>238</v>
      </c>
      <c r="E125" s="4" t="s">
        <v>0</v>
      </c>
      <c r="F125" s="4"/>
      <c r="G125" s="4" t="s">
        <v>173</v>
      </c>
      <c r="H125" s="4" t="s">
        <v>239</v>
      </c>
      <c r="I125" s="4" t="s">
        <v>240</v>
      </c>
      <c r="J125" s="4" t="s">
        <v>241</v>
      </c>
      <c r="K125" s="4" t="s">
        <v>151</v>
      </c>
      <c r="L125" s="4"/>
      <c r="M125" s="4">
        <v>5519500</v>
      </c>
      <c r="N125" s="4"/>
      <c r="O125" s="4"/>
      <c r="P125" s="4"/>
      <c r="Q125" s="5"/>
      <c r="R125" s="45"/>
      <c r="S125" s="4"/>
      <c r="T125" s="4"/>
      <c r="U125" s="4" t="s">
        <v>7</v>
      </c>
      <c r="V125" s="6">
        <v>0.03</v>
      </c>
      <c r="W125" s="4">
        <f t="shared" si="38"/>
        <v>165585</v>
      </c>
      <c r="X125" s="4">
        <f>50000</f>
        <v>50000</v>
      </c>
      <c r="Y125" s="4">
        <f>50000</f>
        <v>50000</v>
      </c>
      <c r="Z125" s="4">
        <f t="shared" si="39"/>
        <v>115585</v>
      </c>
      <c r="AA125" s="4">
        <f>1000000</f>
        <v>1000000</v>
      </c>
      <c r="AB125" s="4">
        <f>1000000</f>
        <v>1000000</v>
      </c>
      <c r="AC125" s="4">
        <f>1000000</f>
        <v>1000000</v>
      </c>
      <c r="AD125" s="4">
        <f>1000000</f>
        <v>1000000</v>
      </c>
      <c r="AE125" s="6">
        <f t="shared" si="12"/>
        <v>0.18117583114412536</v>
      </c>
      <c r="AF125" s="4">
        <f>300000+6623.4+394887.52</f>
        <v>701510.92</v>
      </c>
      <c r="AG125" s="4">
        <f>300000+6623.4+394887.52</f>
        <v>701510.92</v>
      </c>
      <c r="AH125" s="4">
        <f>300000+34000+6623.4+394887.52</f>
        <v>735510.92</v>
      </c>
      <c r="AI125" s="4"/>
      <c r="AJ125" s="4"/>
      <c r="AK125" s="4"/>
      <c r="AL125" s="4">
        <f>300000+6623.4+34000+394887.52</f>
        <v>735510.92</v>
      </c>
      <c r="AM125" s="6">
        <v>3.4000000000000002E-2</v>
      </c>
      <c r="AN125" s="6">
        <f t="shared" si="34"/>
        <v>34000</v>
      </c>
      <c r="AO125" s="4">
        <f>34000</f>
        <v>34000</v>
      </c>
      <c r="AP125" s="4">
        <f>34000</f>
        <v>34000</v>
      </c>
      <c r="AQ125" s="4">
        <f t="shared" si="18"/>
        <v>0</v>
      </c>
      <c r="AR125" s="4"/>
      <c r="AS125" s="4">
        <v>77</v>
      </c>
      <c r="AT125" s="4" t="s">
        <v>154</v>
      </c>
    </row>
    <row r="126" spans="1:46" x14ac:dyDescent="0.15">
      <c r="A126" s="36">
        <v>41837</v>
      </c>
      <c r="B126" s="4" t="s">
        <v>887</v>
      </c>
      <c r="C126" s="4" t="s">
        <v>195</v>
      </c>
      <c r="D126" s="4" t="s">
        <v>242</v>
      </c>
      <c r="E126" s="4" t="s">
        <v>0</v>
      </c>
      <c r="F126" s="4"/>
      <c r="G126" s="4" t="s">
        <v>173</v>
      </c>
      <c r="H126" s="4" t="s">
        <v>243</v>
      </c>
      <c r="I126" s="4" t="s">
        <v>89</v>
      </c>
      <c r="J126" s="4" t="s">
        <v>88</v>
      </c>
      <c r="K126" s="4" t="s">
        <v>151</v>
      </c>
      <c r="L126" s="4"/>
      <c r="M126" s="4">
        <v>14892896.99</v>
      </c>
      <c r="N126" s="4"/>
      <c r="O126" s="4"/>
      <c r="P126" s="4"/>
      <c r="Q126" s="5"/>
      <c r="R126" s="45"/>
      <c r="S126" s="4"/>
      <c r="T126" s="4"/>
      <c r="U126" s="4" t="s">
        <v>7</v>
      </c>
      <c r="V126" s="6"/>
      <c r="W126" s="4">
        <f t="shared" si="38"/>
        <v>0</v>
      </c>
      <c r="X126" s="4"/>
      <c r="Y126" s="4"/>
      <c r="Z126" s="4">
        <f t="shared" si="39"/>
        <v>0</v>
      </c>
      <c r="AA126" s="4"/>
      <c r="AB126" s="4"/>
      <c r="AC126" s="4"/>
      <c r="AD126" s="4"/>
      <c r="AE126" s="6">
        <f t="shared" si="12"/>
        <v>0</v>
      </c>
      <c r="AF126" s="4"/>
      <c r="AG126" s="4"/>
      <c r="AH126" s="4"/>
      <c r="AI126" s="4"/>
      <c r="AJ126" s="4"/>
      <c r="AK126" s="4"/>
      <c r="AL126" s="4"/>
      <c r="AM126" s="6">
        <v>3.4000000000000002E-2</v>
      </c>
      <c r="AN126" s="6">
        <f t="shared" si="34"/>
        <v>0</v>
      </c>
      <c r="AO126" s="4"/>
      <c r="AP126" s="4"/>
      <c r="AQ126" s="4">
        <f t="shared" si="18"/>
        <v>0</v>
      </c>
      <c r="AR126" s="4"/>
      <c r="AS126" s="4"/>
      <c r="AT126" s="4"/>
    </row>
    <row r="127" spans="1:46" x14ac:dyDescent="0.15">
      <c r="A127" s="36">
        <v>41821</v>
      </c>
      <c r="B127" s="4" t="s">
        <v>888</v>
      </c>
      <c r="C127" s="4" t="s">
        <v>196</v>
      </c>
      <c r="D127" s="4" t="s">
        <v>244</v>
      </c>
      <c r="E127" s="4" t="s">
        <v>0</v>
      </c>
      <c r="F127" s="4" t="s">
        <v>245</v>
      </c>
      <c r="G127" s="4" t="s">
        <v>173</v>
      </c>
      <c r="H127" s="4" t="s">
        <v>232</v>
      </c>
      <c r="I127" s="4" t="s">
        <v>122</v>
      </c>
      <c r="J127" s="4" t="s">
        <v>121</v>
      </c>
      <c r="K127" s="4" t="s">
        <v>13</v>
      </c>
      <c r="L127" s="4"/>
      <c r="M127" s="4">
        <v>1885067.2</v>
      </c>
      <c r="N127" s="4"/>
      <c r="O127" s="4"/>
      <c r="P127" s="4"/>
      <c r="Q127" s="5"/>
      <c r="R127" s="45"/>
      <c r="S127" s="4"/>
      <c r="T127" s="4"/>
      <c r="U127" s="4" t="s">
        <v>7</v>
      </c>
      <c r="V127" s="6">
        <v>3.5999999999999997E-2</v>
      </c>
      <c r="W127" s="4">
        <f t="shared" si="38"/>
        <v>67862.419199999989</v>
      </c>
      <c r="X127" s="4"/>
      <c r="Y127" s="4"/>
      <c r="Z127" s="4">
        <f t="shared" si="39"/>
        <v>67862.419199999989</v>
      </c>
      <c r="AA127" s="4">
        <f>565520</f>
        <v>565520</v>
      </c>
      <c r="AB127" s="4">
        <f>565520</f>
        <v>565520</v>
      </c>
      <c r="AC127" s="4"/>
      <c r="AD127" s="4"/>
      <c r="AE127" s="6">
        <f t="shared" si="12"/>
        <v>0</v>
      </c>
      <c r="AF127" s="4"/>
      <c r="AG127" s="4"/>
      <c r="AH127" s="4"/>
      <c r="AI127" s="4"/>
      <c r="AJ127" s="4"/>
      <c r="AK127" s="4"/>
      <c r="AL127" s="4"/>
      <c r="AM127" s="6">
        <v>3.4000000000000002E-2</v>
      </c>
      <c r="AN127" s="6">
        <f t="shared" si="34"/>
        <v>19227.68</v>
      </c>
      <c r="AO127" s="4"/>
      <c r="AP127" s="4"/>
      <c r="AQ127" s="4">
        <f t="shared" si="18"/>
        <v>19227.68</v>
      </c>
      <c r="AR127" s="4"/>
      <c r="AS127" s="4">
        <v>21</v>
      </c>
      <c r="AT127" s="4" t="s">
        <v>223</v>
      </c>
    </row>
    <row r="128" spans="1:46" x14ac:dyDescent="0.15">
      <c r="A128" s="36">
        <v>41821</v>
      </c>
      <c r="B128" s="4" t="s">
        <v>889</v>
      </c>
      <c r="C128" s="4" t="s">
        <v>197</v>
      </c>
      <c r="D128" s="4" t="s">
        <v>246</v>
      </c>
      <c r="E128" s="4" t="s">
        <v>0</v>
      </c>
      <c r="F128" s="4"/>
      <c r="G128" s="4" t="s">
        <v>173</v>
      </c>
      <c r="H128" s="4" t="s">
        <v>247</v>
      </c>
      <c r="I128" s="4" t="s">
        <v>248</v>
      </c>
      <c r="J128" s="4" t="s">
        <v>258</v>
      </c>
      <c r="K128" s="4" t="s">
        <v>176</v>
      </c>
      <c r="L128" s="4"/>
      <c r="M128" s="4">
        <v>1679000</v>
      </c>
      <c r="N128" s="4"/>
      <c r="O128" s="4"/>
      <c r="P128" s="4"/>
      <c r="Q128" s="5"/>
      <c r="R128" s="45"/>
      <c r="S128" s="4"/>
      <c r="T128" s="4"/>
      <c r="U128" s="4" t="s">
        <v>7</v>
      </c>
      <c r="V128" s="6">
        <v>3.5999999999999997E-2</v>
      </c>
      <c r="W128" s="4">
        <f t="shared" si="38"/>
        <v>60443.999999999993</v>
      </c>
      <c r="X128" s="4"/>
      <c r="Y128" s="4"/>
      <c r="Z128" s="4">
        <f t="shared" si="39"/>
        <v>60443.999999999993</v>
      </c>
      <c r="AA128" s="4"/>
      <c r="AB128" s="4"/>
      <c r="AC128" s="4"/>
      <c r="AD128" s="4"/>
      <c r="AE128" s="6">
        <f t="shared" si="12"/>
        <v>0</v>
      </c>
      <c r="AF128" s="4"/>
      <c r="AG128" s="4"/>
      <c r="AH128" s="4"/>
      <c r="AI128" s="4"/>
      <c r="AJ128" s="4"/>
      <c r="AK128" s="4"/>
      <c r="AL128" s="4"/>
      <c r="AM128" s="6">
        <v>3.4000000000000002E-2</v>
      </c>
      <c r="AN128" s="6">
        <f t="shared" si="34"/>
        <v>0</v>
      </c>
      <c r="AO128" s="4"/>
      <c r="AP128" s="4"/>
      <c r="AQ128" s="4">
        <f t="shared" si="18"/>
        <v>0</v>
      </c>
      <c r="AR128" s="4"/>
      <c r="AS128" s="4">
        <v>19</v>
      </c>
      <c r="AT128" s="4" t="s">
        <v>223</v>
      </c>
    </row>
    <row r="129" spans="1:46" x14ac:dyDescent="0.15">
      <c r="A129" s="36">
        <v>41821</v>
      </c>
      <c r="B129" s="4" t="s">
        <v>890</v>
      </c>
      <c r="C129" s="4" t="s">
        <v>198</v>
      </c>
      <c r="D129" s="4" t="s">
        <v>249</v>
      </c>
      <c r="E129" s="4" t="s">
        <v>0</v>
      </c>
      <c r="F129" s="4"/>
      <c r="G129" s="4" t="s">
        <v>173</v>
      </c>
      <c r="H129" s="4" t="s">
        <v>250</v>
      </c>
      <c r="I129" s="4" t="s">
        <v>251</v>
      </c>
      <c r="J129" s="4" t="s">
        <v>252</v>
      </c>
      <c r="K129" s="4" t="s">
        <v>176</v>
      </c>
      <c r="L129" s="4"/>
      <c r="M129" s="4">
        <v>1758061</v>
      </c>
      <c r="N129" s="4"/>
      <c r="O129" s="4"/>
      <c r="P129" s="4"/>
      <c r="Q129" s="5"/>
      <c r="R129" s="45"/>
      <c r="S129" s="4"/>
      <c r="T129" s="4"/>
      <c r="U129" s="4" t="s">
        <v>7</v>
      </c>
      <c r="V129" s="6">
        <v>3.5999999999999997E-2</v>
      </c>
      <c r="W129" s="4">
        <f t="shared" si="38"/>
        <v>63290.195999999996</v>
      </c>
      <c r="X129" s="4"/>
      <c r="Y129" s="4"/>
      <c r="Z129" s="4">
        <f t="shared" si="39"/>
        <v>63290.195999999996</v>
      </c>
      <c r="AA129" s="4">
        <f>527418.3</f>
        <v>527418.30000000005</v>
      </c>
      <c r="AB129" s="4">
        <f>527418.3</f>
        <v>527418.30000000005</v>
      </c>
      <c r="AC129" s="4"/>
      <c r="AD129" s="4"/>
      <c r="AE129" s="6">
        <f t="shared" si="12"/>
        <v>0</v>
      </c>
      <c r="AF129" s="4"/>
      <c r="AG129" s="4"/>
      <c r="AH129" s="4"/>
      <c r="AI129" s="4"/>
      <c r="AJ129" s="4"/>
      <c r="AK129" s="4"/>
      <c r="AL129" s="4"/>
      <c r="AM129" s="6">
        <v>3.4000000000000002E-2</v>
      </c>
      <c r="AN129" s="6">
        <f t="shared" si="34"/>
        <v>17932.222200000004</v>
      </c>
      <c r="AO129" s="4"/>
      <c r="AP129" s="4"/>
      <c r="AQ129" s="4">
        <f t="shared" si="18"/>
        <v>17932.222200000004</v>
      </c>
      <c r="AR129" s="4"/>
      <c r="AS129" s="4"/>
      <c r="AT129" s="4"/>
    </row>
    <row r="130" spans="1:46" x14ac:dyDescent="0.15">
      <c r="A130" s="36">
        <v>41855</v>
      </c>
      <c r="B130" s="4" t="s">
        <v>891</v>
      </c>
      <c r="C130" s="4" t="s">
        <v>199</v>
      </c>
      <c r="D130" s="4" t="s">
        <v>253</v>
      </c>
      <c r="E130" s="4" t="s">
        <v>0</v>
      </c>
      <c r="F130" s="4" t="s">
        <v>254</v>
      </c>
      <c r="G130" s="4" t="s">
        <v>173</v>
      </c>
      <c r="H130" s="4" t="s">
        <v>255</v>
      </c>
      <c r="I130" s="4" t="s">
        <v>256</v>
      </c>
      <c r="J130" s="4" t="s">
        <v>257</v>
      </c>
      <c r="K130" s="4" t="s">
        <v>176</v>
      </c>
      <c r="L130" s="4"/>
      <c r="M130" s="4">
        <v>100000</v>
      </c>
      <c r="N130" s="4"/>
      <c r="O130" s="4"/>
      <c r="P130" s="4"/>
      <c r="Q130" s="5"/>
      <c r="R130" s="45"/>
      <c r="S130" s="4"/>
      <c r="T130" s="4"/>
      <c r="U130" s="4" t="s">
        <v>7</v>
      </c>
      <c r="V130" s="6">
        <v>3.5999999999999997E-2</v>
      </c>
      <c r="W130" s="4">
        <f t="shared" si="38"/>
        <v>3599.9999999999995</v>
      </c>
      <c r="X130" s="4"/>
      <c r="Y130" s="4"/>
      <c r="Z130" s="4">
        <f t="shared" si="39"/>
        <v>3599.9999999999995</v>
      </c>
      <c r="AA130" s="4"/>
      <c r="AB130" s="4"/>
      <c r="AC130" s="4"/>
      <c r="AD130" s="4"/>
      <c r="AE130" s="6">
        <f t="shared" si="12"/>
        <v>0</v>
      </c>
      <c r="AF130" s="4"/>
      <c r="AG130" s="4"/>
      <c r="AH130" s="4"/>
      <c r="AI130" s="4"/>
      <c r="AJ130" s="4"/>
      <c r="AK130" s="4"/>
      <c r="AL130" s="4"/>
      <c r="AM130" s="6">
        <v>3.4000000000000002E-2</v>
      </c>
      <c r="AN130" s="6">
        <f t="shared" si="34"/>
        <v>0</v>
      </c>
      <c r="AO130" s="4"/>
      <c r="AP130" s="4"/>
      <c r="AQ130" s="4">
        <f t="shared" si="18"/>
        <v>0</v>
      </c>
      <c r="AR130" s="4"/>
      <c r="AS130" s="4"/>
      <c r="AT130" s="4"/>
    </row>
  </sheetData>
  <sheetProtection formatCells="0" formatColumns="0" formatRows="0" insertRows="0" deleteRows="0" sort="0" autoFilter="0" pivotTables="0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00_数据初始化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2014-08-22T07:40:34Z</dcterms:modified>
</cp:coreProperties>
</file>